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Board of Directors\Committees of the Board\Budget and Finance Committee\Meeting Minutes 2019\"/>
    </mc:Choice>
  </mc:AlternateContent>
  <bookViews>
    <workbookView xWindow="90" yWindow="35820" windowWidth="14955" windowHeight="9060" tabRatio="787"/>
  </bookViews>
  <sheets>
    <sheet name="Notes" sheetId="15" r:id="rId1"/>
    <sheet name="Data" sheetId="19" state="hidden" r:id="rId2"/>
    <sheet name="Feb'19 Revenues &amp; Expenses" sheetId="3" r:id="rId3"/>
    <sheet name="Feb'19 AR Aging " sheetId="6" r:id="rId4"/>
    <sheet name="Feb'19 Financial Position" sheetId="5" r:id="rId5"/>
    <sheet name="Feb'19 State of Activities" sheetId="12" r:id="rId6"/>
    <sheet name="Feb'19 Transportation" sheetId="18" r:id="rId7"/>
    <sheet name="2019 Budget" sheetId="22" state="hidden" r:id="rId8"/>
    <sheet name="2017 Medicaid Revenue" sheetId="21" state="hidden" r:id="rId9"/>
    <sheet name="Budget" sheetId="20" state="hidden" r:id="rId10"/>
    <sheet name="YE Historic Data" sheetId="17" state="hidden" r:id="rId11"/>
  </sheets>
  <definedNames>
    <definedName name="_xlnm.Print_Area" localSheetId="8">'2017 Medicaid Revenue'!$A$1:$H$69</definedName>
    <definedName name="_xlnm.Print_Area" localSheetId="9">Budget!$A$1:$G$54</definedName>
    <definedName name="_xlnm.Print_Area" localSheetId="3">'Feb''19 AR Aging '!$A$1:$G$107</definedName>
    <definedName name="_xlnm.Print_Area" localSheetId="4">'Feb''19 Financial Position'!$A$1:$L$67</definedName>
    <definedName name="_xlnm.Print_Area" localSheetId="2">'Feb''19 Revenues &amp; Expenses'!$A$1:$L$58</definedName>
    <definedName name="_xlnm.Print_Area" localSheetId="5">'Feb''19 State of Activities'!$A$1:$O$71</definedName>
    <definedName name="_xlnm.Print_Area" localSheetId="6">'Feb''19 Transportation'!$A$1:$P$61</definedName>
    <definedName name="_xlnm.Print_Area" localSheetId="0">Notes!$A$4:$H$102</definedName>
    <definedName name="_xlnm.Print_Area" localSheetId="10">'YE Historic Data'!$A$1:$W$41</definedName>
    <definedName name="_xlnm.Print_Titles" localSheetId="0">Notes!$1:$3</definedName>
  </definedNames>
  <calcPr calcId="152511"/>
</workbook>
</file>

<file path=xl/calcChain.xml><?xml version="1.0" encoding="utf-8"?>
<calcChain xmlns="http://schemas.openxmlformats.org/spreadsheetml/2006/main">
  <c r="L39" i="3" l="1"/>
  <c r="F96" i="15"/>
  <c r="F95" i="15"/>
  <c r="G84" i="15"/>
  <c r="G87" i="15"/>
  <c r="F33" i="15"/>
  <c r="F32" i="15"/>
  <c r="F31" i="15"/>
  <c r="F30" i="15"/>
  <c r="F29" i="15"/>
  <c r="F28" i="15"/>
  <c r="C35" i="15"/>
  <c r="E17" i="15" l="1"/>
  <c r="E15" i="15"/>
  <c r="E16" i="15"/>
  <c r="B837" i="19"/>
  <c r="B836" i="19"/>
  <c r="P13" i="18"/>
  <c r="O11" i="18"/>
  <c r="O10" i="18"/>
  <c r="O9" i="18"/>
  <c r="K30" i="18" l="1"/>
  <c r="K46" i="18" l="1"/>
  <c r="K41" i="18"/>
  <c r="K29" i="18"/>
  <c r="J29" i="18"/>
  <c r="M46" i="18"/>
  <c r="M29" i="18"/>
  <c r="K11" i="18"/>
  <c r="M22" i="18" l="1"/>
  <c r="J22" i="18"/>
  <c r="J43" i="18"/>
  <c r="J42" i="18"/>
  <c r="M42" i="18"/>
  <c r="M41" i="18"/>
  <c r="J41" i="18"/>
  <c r="M40" i="18"/>
  <c r="J40" i="18"/>
  <c r="J39" i="18"/>
  <c r="O39" i="18" s="1"/>
  <c r="M36" i="18"/>
  <c r="O36" i="18" s="1"/>
  <c r="P36" i="18" s="1"/>
  <c r="J36" i="18"/>
  <c r="P35" i="18"/>
  <c r="P34" i="18"/>
  <c r="P33" i="18"/>
  <c r="P32" i="18"/>
  <c r="P28" i="18"/>
  <c r="O50" i="18"/>
  <c r="O46" i="18"/>
  <c r="O45" i="18"/>
  <c r="P45" i="18" s="1"/>
  <c r="O44" i="18"/>
  <c r="O43" i="18"/>
  <c r="P43" i="18" s="1"/>
  <c r="O38" i="18"/>
  <c r="P38" i="18" s="1"/>
  <c r="O35" i="18"/>
  <c r="O34" i="18"/>
  <c r="O33" i="18"/>
  <c r="O32" i="18"/>
  <c r="O31" i="18"/>
  <c r="O29" i="18"/>
  <c r="P29" i="18" s="1"/>
  <c r="O28" i="18"/>
  <c r="O23" i="18"/>
  <c r="P23" i="18" s="1"/>
  <c r="O13" i="18"/>
  <c r="P11" i="18"/>
  <c r="K13" i="18"/>
  <c r="M14" i="18"/>
  <c r="M13" i="18"/>
  <c r="J13" i="18"/>
  <c r="J16" i="18"/>
  <c r="O16" i="18" s="1"/>
  <c r="P16" i="18" s="1"/>
  <c r="J14" i="18"/>
  <c r="O14" i="18" s="1"/>
  <c r="P14" i="18" s="1"/>
  <c r="M66" i="12"/>
  <c r="M65" i="12"/>
  <c r="M64" i="12"/>
  <c r="M63" i="12"/>
  <c r="M62" i="12"/>
  <c r="M58" i="12"/>
  <c r="M56" i="12"/>
  <c r="M53" i="12"/>
  <c r="M52" i="12"/>
  <c r="M51" i="12"/>
  <c r="M50" i="12"/>
  <c r="M49" i="12"/>
  <c r="M48" i="12"/>
  <c r="M47" i="12"/>
  <c r="M45" i="12"/>
  <c r="M44" i="12"/>
  <c r="M42" i="12"/>
  <c r="M41" i="12"/>
  <c r="M40" i="12"/>
  <c r="M39" i="12"/>
  <c r="M38" i="12"/>
  <c r="M37" i="12"/>
  <c r="M36" i="12"/>
  <c r="M35" i="12"/>
  <c r="M34" i="12"/>
  <c r="M33" i="12"/>
  <c r="M32" i="12"/>
  <c r="M31" i="12"/>
  <c r="M28" i="12"/>
  <c r="M27" i="12"/>
  <c r="M26" i="12"/>
  <c r="M25" i="12"/>
  <c r="M23" i="12"/>
  <c r="M22" i="12"/>
  <c r="M21" i="12"/>
  <c r="M20" i="12"/>
  <c r="M19" i="12"/>
  <c r="M18" i="12"/>
  <c r="M17" i="12"/>
  <c r="M15" i="12"/>
  <c r="M14" i="12"/>
  <c r="M12" i="12"/>
  <c r="M11" i="12"/>
  <c r="M10" i="12"/>
  <c r="M9" i="12"/>
  <c r="J70" i="12"/>
  <c r="J53" i="12"/>
  <c r="J50" i="12"/>
  <c r="L50" i="12" s="1"/>
  <c r="J47" i="12"/>
  <c r="L47" i="12" s="1"/>
  <c r="J39" i="12"/>
  <c r="J33" i="12"/>
  <c r="L33" i="12" s="1"/>
  <c r="L64" i="12"/>
  <c r="L63" i="12"/>
  <c r="L62" i="12"/>
  <c r="L54" i="12"/>
  <c r="L53" i="12"/>
  <c r="L52" i="12"/>
  <c r="L51" i="12"/>
  <c r="L49" i="12"/>
  <c r="L48" i="12"/>
  <c r="L46" i="12"/>
  <c r="L45" i="12"/>
  <c r="L44" i="12"/>
  <c r="L43" i="12"/>
  <c r="L42" i="12"/>
  <c r="L41" i="12"/>
  <c r="L40" i="12"/>
  <c r="L39" i="12"/>
  <c r="L38" i="12"/>
  <c r="L37" i="12"/>
  <c r="L36" i="12"/>
  <c r="L35" i="12"/>
  <c r="L34" i="12"/>
  <c r="L32" i="12"/>
  <c r="L31" i="12"/>
  <c r="L27" i="12"/>
  <c r="L25" i="12"/>
  <c r="L24" i="12"/>
  <c r="L23" i="12"/>
  <c r="L22" i="12"/>
  <c r="L21" i="12"/>
  <c r="L20" i="12"/>
  <c r="L19" i="12"/>
  <c r="L18" i="12"/>
  <c r="L17" i="12"/>
  <c r="L16" i="12"/>
  <c r="L15" i="12"/>
  <c r="L14" i="12"/>
  <c r="L13" i="12"/>
  <c r="L12" i="12"/>
  <c r="L11" i="12"/>
  <c r="L10" i="12"/>
  <c r="L9" i="12"/>
  <c r="G53" i="12"/>
  <c r="G50" i="12"/>
  <c r="G47" i="12"/>
  <c r="H44" i="5"/>
  <c r="G44" i="12"/>
  <c r="G39" i="12"/>
  <c r="G33" i="12"/>
  <c r="H64" i="12"/>
  <c r="H66" i="12" s="1"/>
  <c r="H65" i="12"/>
  <c r="H53" i="12"/>
  <c r="H50" i="12"/>
  <c r="H47" i="12"/>
  <c r="H46" i="12"/>
  <c r="H39" i="12"/>
  <c r="H33" i="12"/>
  <c r="H23" i="12"/>
  <c r="H16" i="12"/>
  <c r="H50" i="5"/>
  <c r="H59" i="5"/>
  <c r="J48" i="3"/>
  <c r="J47" i="3"/>
  <c r="I35" i="3"/>
  <c r="K32" i="3"/>
  <c r="O22" i="18" l="1"/>
  <c r="P22" i="18" s="1"/>
  <c r="O42" i="18"/>
  <c r="P42" i="18" s="1"/>
  <c r="O41" i="18"/>
  <c r="P41" i="18" s="1"/>
  <c r="O40" i="18"/>
  <c r="P40" i="18" s="1"/>
  <c r="I32" i="3"/>
  <c r="G18" i="3"/>
  <c r="J18" i="3"/>
  <c r="H21" i="3" l="1"/>
  <c r="J21" i="3"/>
  <c r="I21" i="3"/>
  <c r="J15" i="3" l="1"/>
  <c r="I15" i="3"/>
  <c r="H15" i="3"/>
  <c r="H18" i="3"/>
  <c r="G12" i="3"/>
  <c r="J12" i="3"/>
  <c r="H12" i="3"/>
  <c r="L59" i="5" l="1"/>
  <c r="L50" i="5"/>
  <c r="L42" i="5"/>
  <c r="L22" i="5"/>
  <c r="H22" i="5"/>
  <c r="J59" i="5"/>
  <c r="J50" i="5"/>
  <c r="J42" i="5"/>
  <c r="J22" i="5"/>
  <c r="C71" i="6"/>
  <c r="G65" i="6"/>
  <c r="C84" i="6" l="1"/>
  <c r="C65" i="6"/>
  <c r="G63" i="6"/>
  <c r="F13" i="3" l="1"/>
  <c r="H8" i="3"/>
  <c r="I8" i="3" s="1"/>
  <c r="H7" i="3"/>
  <c r="D57" i="6"/>
  <c r="G40" i="6"/>
  <c r="C40" i="6"/>
  <c r="G41" i="6"/>
  <c r="C42" i="6"/>
  <c r="E8" i="6"/>
  <c r="D8" i="6"/>
  <c r="C7" i="6"/>
  <c r="J8" i="3" l="1"/>
  <c r="G8" i="3"/>
  <c r="G64" i="15"/>
  <c r="M548" i="19" l="1"/>
  <c r="M547" i="19"/>
  <c r="M546" i="19"/>
  <c r="M545" i="19"/>
  <c r="M544" i="19"/>
  <c r="M554" i="19"/>
  <c r="M556" i="19" s="1"/>
  <c r="A4" i="18" l="1"/>
  <c r="M543" i="19"/>
  <c r="M552" i="19" s="1"/>
  <c r="M557" i="19" s="1"/>
  <c r="K48" i="3"/>
  <c r="J30" i="18" l="1"/>
  <c r="F15" i="3" l="1"/>
  <c r="I7" i="3"/>
  <c r="J7" i="3" s="1"/>
  <c r="G51" i="22" l="1"/>
  <c r="G47" i="22"/>
  <c r="G46" i="22"/>
  <c r="G28" i="22"/>
  <c r="G13" i="22"/>
  <c r="G20" i="22"/>
  <c r="G34" i="22" l="1"/>
  <c r="G53" i="22" l="1"/>
  <c r="G55" i="22" s="1"/>
  <c r="L31" i="5" l="1"/>
  <c r="J49" i="3"/>
  <c r="J22" i="3" l="1"/>
  <c r="C108" i="6"/>
  <c r="E43" i="6" l="1"/>
  <c r="F35" i="15" l="1"/>
  <c r="G28" i="15" s="1"/>
  <c r="M18" i="18" l="1"/>
  <c r="G64" i="12"/>
  <c r="J11" i="3" l="1"/>
  <c r="M30" i="18" l="1"/>
  <c r="O30" i="18" s="1"/>
  <c r="P30" i="18" s="1"/>
  <c r="G69" i="15" l="1"/>
  <c r="M15" i="18" l="1"/>
  <c r="M9" i="18"/>
  <c r="M61" i="18" s="1"/>
  <c r="D14" i="6" l="1"/>
  <c r="D86" i="15" l="1"/>
  <c r="D35" i="15"/>
  <c r="J20" i="18" l="1"/>
  <c r="K20" i="18"/>
  <c r="K37" i="18" s="1"/>
  <c r="K18" i="18"/>
  <c r="K9" i="18"/>
  <c r="K61" i="18" s="1"/>
  <c r="K15" i="18"/>
  <c r="K14" i="18"/>
  <c r="K8" i="18"/>
  <c r="K47" i="18" l="1"/>
  <c r="K51" i="18"/>
  <c r="J37" i="18"/>
  <c r="K21" i="18"/>
  <c r="K55" i="18" l="1"/>
  <c r="K58" i="18"/>
  <c r="L8" i="5"/>
  <c r="K47" i="3"/>
  <c r="L47" i="3" s="1"/>
  <c r="D43" i="6" l="1"/>
  <c r="G13" i="6"/>
  <c r="H11" i="3" l="1"/>
  <c r="G11" i="3" s="1"/>
  <c r="E35" i="15"/>
  <c r="A3" i="21" l="1"/>
  <c r="G33" i="15" l="1"/>
  <c r="G31" i="15"/>
  <c r="G30" i="15"/>
  <c r="G32" i="15"/>
  <c r="G29" i="15"/>
  <c r="G35" i="15" l="1"/>
  <c r="L48" i="3"/>
  <c r="F48" i="3"/>
  <c r="I31" i="3"/>
  <c r="K31" i="3" s="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G46" i="6"/>
  <c r="E75" i="15" l="1"/>
  <c r="K49" i="3" l="1"/>
  <c r="K25" i="3" l="1"/>
  <c r="D32" i="6"/>
  <c r="J18" i="18" l="1"/>
  <c r="O18" i="18" s="1"/>
  <c r="K51" i="3" l="1"/>
  <c r="G55" i="15" l="1"/>
  <c r="G50" i="15"/>
  <c r="J25" i="12"/>
  <c r="G8" i="12"/>
  <c r="J34" i="12" l="1"/>
  <c r="E76" i="15"/>
  <c r="B323" i="19" l="1"/>
  <c r="M51" i="18" l="1"/>
  <c r="K24" i="18"/>
  <c r="K48" i="18" s="1"/>
  <c r="K52" i="18" s="1"/>
  <c r="M20" i="18"/>
  <c r="O20" i="18" s="1"/>
  <c r="M37" i="18" l="1"/>
  <c r="M21" i="18"/>
  <c r="M24" i="18" s="1"/>
  <c r="J9" i="18"/>
  <c r="P9" i="18" s="1"/>
  <c r="J8" i="18"/>
  <c r="A3" i="18"/>
  <c r="J51" i="18"/>
  <c r="O51" i="18" s="1"/>
  <c r="M47" i="18" l="1"/>
  <c r="M55" i="18" s="1"/>
  <c r="O37" i="18"/>
  <c r="P37" i="18" s="1"/>
  <c r="J61" i="18"/>
  <c r="J47" i="18"/>
  <c r="M48" i="18" l="1"/>
  <c r="M52" i="18" s="1"/>
  <c r="M58" i="18"/>
  <c r="J55" i="18"/>
  <c r="O47" i="18"/>
  <c r="P47" i="18" s="1"/>
  <c r="J58" i="18"/>
  <c r="J8" i="12"/>
  <c r="M8" i="18" s="1"/>
  <c r="J63" i="12" l="1"/>
  <c r="G34" i="12"/>
  <c r="G17" i="12"/>
  <c r="H34" i="12"/>
  <c r="G56" i="12" l="1"/>
  <c r="G26" i="12"/>
  <c r="J15" i="18"/>
  <c r="O15" i="18" s="1"/>
  <c r="P15" i="18" s="1"/>
  <c r="H26" i="12"/>
  <c r="H28" i="12" s="1"/>
  <c r="K52" i="3"/>
  <c r="K35" i="3"/>
  <c r="G86" i="15" s="1"/>
  <c r="F86" i="15" s="1"/>
  <c r="I37" i="3"/>
  <c r="O21" i="18" l="1"/>
  <c r="P21" i="18" s="1"/>
  <c r="J21" i="18"/>
  <c r="J24" i="18" s="1"/>
  <c r="O24" i="18" s="1"/>
  <c r="P24" i="18" s="1"/>
  <c r="J48" i="18" l="1"/>
  <c r="O48" i="18" s="1"/>
  <c r="P48" i="18" s="1"/>
  <c r="J52" i="18" l="1"/>
  <c r="O52" i="18" s="1"/>
  <c r="G14" i="20"/>
  <c r="G46" i="20"/>
  <c r="G49" i="20"/>
  <c r="G48" i="20"/>
  <c r="G43" i="20"/>
  <c r="G41" i="20"/>
  <c r="G40" i="20"/>
  <c r="G28" i="20"/>
  <c r="G29" i="20" s="1"/>
  <c r="G24" i="20"/>
  <c r="G19" i="20"/>
  <c r="G31" i="20"/>
  <c r="G30" i="20"/>
  <c r="F100"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8" i="6" l="1"/>
  <c r="D50" i="6"/>
  <c r="D65" i="6" s="1"/>
  <c r="D91" i="15" l="1"/>
  <c r="E91" i="15"/>
  <c r="G89" i="15"/>
  <c r="F89" i="15" s="1"/>
  <c r="F99" i="15"/>
  <c r="G57" i="6" l="1"/>
  <c r="H22" i="3" s="1"/>
  <c r="G22" i="3" s="1"/>
  <c r="C50" i="6"/>
  <c r="C43" i="6"/>
  <c r="G17" i="6"/>
  <c r="G18" i="6" l="1"/>
  <c r="F98" i="15"/>
  <c r="F97" i="15"/>
  <c r="D102" i="15"/>
  <c r="G101" i="15"/>
  <c r="G100" i="15"/>
  <c r="G99" i="15"/>
  <c r="H56" i="12" l="1"/>
  <c r="G96" i="15"/>
  <c r="E97" i="15" l="1"/>
  <c r="F102" i="15"/>
  <c r="G95" i="15"/>
  <c r="G97" i="15" l="1"/>
  <c r="G61"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G65" i="12" l="1"/>
  <c r="L54" i="5" l="1"/>
  <c r="L47" i="5"/>
  <c r="L16" i="5"/>
  <c r="K56" i="3"/>
  <c r="F84" i="15"/>
  <c r="G42" i="6" l="1"/>
  <c r="E14" i="15" l="1"/>
  <c r="J60" i="3"/>
  <c r="G47" i="6" l="1"/>
  <c r="G60" i="3" l="1"/>
  <c r="L56" i="5" l="1"/>
  <c r="L23" i="5"/>
  <c r="L25" i="5" s="1"/>
  <c r="J54" i="5"/>
  <c r="H54" i="5"/>
  <c r="J16" i="5"/>
  <c r="H16" i="5"/>
  <c r="L67" i="5" l="1"/>
  <c r="L35" i="5"/>
  <c r="D182" i="6" l="1"/>
  <c r="D183" i="6"/>
  <c r="D184" i="6"/>
  <c r="J65" i="12" l="1"/>
  <c r="L65" i="12" s="1"/>
  <c r="F182" i="6" l="1"/>
  <c r="G31" i="6" l="1"/>
  <c r="G59" i="6"/>
  <c r="H24" i="3" s="1"/>
  <c r="G50" i="6"/>
  <c r="G49" i="6"/>
  <c r="J24" i="3" l="1"/>
  <c r="F37" i="3"/>
  <c r="G24" i="3" l="1"/>
  <c r="N186" i="6"/>
  <c r="M186" i="6"/>
  <c r="L186" i="6"/>
  <c r="K186" i="6"/>
  <c r="J186" i="6"/>
  <c r="I186" i="6"/>
  <c r="H186" i="6"/>
  <c r="G186" i="6"/>
  <c r="C55" i="6" l="1"/>
  <c r="F27" i="6"/>
  <c r="F65" i="6" s="1"/>
  <c r="C32" i="6"/>
  <c r="C185" i="6" l="1"/>
  <c r="G53" i="6" l="1"/>
  <c r="G54" i="6"/>
  <c r="G55" i="6" l="1"/>
  <c r="G21" i="3" l="1"/>
  <c r="G20" i="6"/>
  <c r="C14" i="6"/>
  <c r="G12" i="6"/>
  <c r="H10" i="3" s="1"/>
  <c r="G6" i="6"/>
  <c r="J26" i="12" l="1"/>
  <c r="L26" i="12" s="1"/>
  <c r="L28" i="12" l="1"/>
  <c r="J56" i="12"/>
  <c r="J28" i="12"/>
  <c r="J66" i="12"/>
  <c r="L56" i="12" l="1"/>
  <c r="J58" i="12"/>
  <c r="J68" i="12" l="1"/>
  <c r="J71" i="12" s="1"/>
  <c r="I30" i="3" l="1"/>
  <c r="K30" i="3" s="1"/>
  <c r="I60" i="3" l="1"/>
  <c r="G28" i="12" l="1"/>
  <c r="G58" i="12" l="1"/>
  <c r="H61" i="5" s="1"/>
  <c r="H58" i="12"/>
  <c r="J37" i="3"/>
  <c r="H68" i="12" l="1"/>
  <c r="H71" i="12" s="1"/>
  <c r="G70" i="12" s="1"/>
  <c r="L62" i="5"/>
  <c r="L58" i="12"/>
  <c r="L64" i="5" l="1"/>
  <c r="L70" i="5" s="1"/>
  <c r="C183" i="6" l="1"/>
  <c r="G39" i="6"/>
  <c r="G32" i="6"/>
  <c r="G11" i="6"/>
  <c r="E12" i="15" l="1"/>
  <c r="G15" i="3"/>
  <c r="H60" i="3"/>
  <c r="K60" i="3" s="1"/>
  <c r="D186" i="6"/>
  <c r="G14" i="6"/>
  <c r="E13" i="15" s="1"/>
  <c r="G27" i="6"/>
  <c r="G43" i="6"/>
  <c r="F186" i="6" l="1"/>
  <c r="J23" i="5" l="1"/>
  <c r="J25" i="5" s="1"/>
  <c r="J35" i="5" s="1"/>
  <c r="M56" i="3"/>
  <c r="I56" i="3"/>
  <c r="J64" i="3" s="1"/>
  <c r="J56" i="3"/>
  <c r="G56" i="3"/>
  <c r="F56" i="3"/>
  <c r="L53" i="3"/>
  <c r="L51" i="3"/>
  <c r="L50" i="3"/>
  <c r="F39" i="3"/>
  <c r="G39" i="3"/>
  <c r="J39" i="3"/>
  <c r="J47" i="5" l="1"/>
  <c r="J56" i="5" s="1"/>
  <c r="J67" i="5" s="1"/>
  <c r="L52" i="3" l="1"/>
  <c r="L56" i="3" l="1"/>
  <c r="L58" i="3" s="1"/>
  <c r="H56" i="3"/>
  <c r="G66" i="12"/>
  <c r="E98" i="15"/>
  <c r="J62" i="5" l="1"/>
  <c r="J64" i="5" s="1"/>
  <c r="J70" i="5" s="1"/>
  <c r="H60" i="5"/>
  <c r="H62" i="5" s="1"/>
  <c r="G68" i="12"/>
  <c r="G71" i="12" s="1"/>
  <c r="L66" i="12"/>
  <c r="E102" i="15"/>
  <c r="G98" i="15"/>
  <c r="G102" i="15" s="1"/>
  <c r="L68" i="12" l="1"/>
  <c r="E65" i="6"/>
  <c r="C184" i="6" s="1"/>
  <c r="G7" i="6"/>
  <c r="G7" i="3" s="1"/>
  <c r="G8" i="6" l="1"/>
  <c r="C8" i="6"/>
  <c r="E11" i="15" l="1"/>
  <c r="E18" i="15" s="1"/>
  <c r="C182" i="6"/>
  <c r="C186" i="6" s="1"/>
  <c r="J25" i="3"/>
  <c r="G25" i="3"/>
  <c r="I25" i="3"/>
  <c r="H25" i="3"/>
  <c r="C86" i="6" l="1"/>
  <c r="H19" i="5"/>
  <c r="H23" i="5" s="1"/>
  <c r="H25" i="5" s="1"/>
  <c r="H35" i="5" s="1"/>
  <c r="J65" i="3"/>
  <c r="J66" i="3" s="1"/>
  <c r="I34" i="3"/>
  <c r="K34" i="3" s="1"/>
  <c r="F83" i="15"/>
  <c r="F91" i="15" s="1"/>
  <c r="H39" i="3" l="1"/>
  <c r="I39" i="3" l="1"/>
  <c r="K39" i="3" l="1"/>
  <c r="H46" i="5" s="1"/>
  <c r="H47" i="5" s="1"/>
  <c r="H56" i="5" s="1"/>
  <c r="G83" i="15"/>
  <c r="G91" i="15" s="1"/>
  <c r="H67" i="5" l="1"/>
  <c r="H64" i="5"/>
  <c r="H70" i="5" s="1"/>
</calcChain>
</file>

<file path=xl/comments1.xml><?xml version="1.0" encoding="utf-8"?>
<comments xmlns="http://schemas.openxmlformats.org/spreadsheetml/2006/main">
  <authors>
    <author>John Ray</author>
  </authors>
  <commentList>
    <comment ref="C46" authorId="0" shapeId="0">
      <text>
        <r>
          <rPr>
            <b/>
            <sz val="9"/>
            <color indexed="81"/>
            <rFont val="Tahoma"/>
            <family val="2"/>
          </rPr>
          <t>John Ray:</t>
        </r>
        <r>
          <rPr>
            <sz val="9"/>
            <color indexed="81"/>
            <rFont val="Tahoma"/>
            <family val="2"/>
          </rPr>
          <t xml:space="preserve">
85100+85200</t>
        </r>
      </text>
    </comment>
    <comment ref="C47" authorId="0" shapeId="0">
      <text>
        <r>
          <rPr>
            <b/>
            <sz val="9"/>
            <color indexed="81"/>
            <rFont val="Tahoma"/>
            <family val="2"/>
          </rPr>
          <t>John Ray:</t>
        </r>
        <r>
          <rPr>
            <sz val="9"/>
            <color indexed="81"/>
            <rFont val="Tahoma"/>
            <family val="2"/>
          </rPr>
          <t xml:space="preserve">
85300+81150</t>
        </r>
      </text>
    </comment>
    <comment ref="C53" authorId="0" shapeId="0">
      <text>
        <r>
          <rPr>
            <b/>
            <sz val="9"/>
            <color indexed="81"/>
            <rFont val="Tahoma"/>
            <family val="2"/>
          </rPr>
          <t>John Ray:</t>
        </r>
        <r>
          <rPr>
            <sz val="9"/>
            <color indexed="81"/>
            <rFont val="Tahoma"/>
            <family val="2"/>
          </rPr>
          <t xml:space="preserve">
80060+81100
</t>
        </r>
      </text>
    </comment>
    <comment ref="C54"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<sst xmlns="http://schemas.openxmlformats.org/spreadsheetml/2006/main" count="685" uniqueCount="470">
  <si>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</si>
  <si>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</si>
  <si>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</si>
  <si>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</si>
  <si>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</si>
  <si>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</si>
  <si>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</si>
  <si>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</si>
  <si>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</si>
  <si>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Temporary Restricted Net Assets</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</si>
  <si>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</si>
  <si>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</si>
  <si>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</si>
  <si>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</si>
  <si>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</si>
  <si>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</si>
  <si>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</si>
  <si>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</si>
  <si>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</si>
  <si>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</si>
  <si>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</si>
  <si>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</si>
  <si>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</si>
  <si>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</si>
  <si>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</si>
  <si>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</si>
  <si>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</si>
  <si>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</si>
  <si>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</si>
  <si>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</si>
  <si>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</si>
  <si>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</si>
  <si>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</si>
  <si>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</si>
  <si>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</si>
  <si>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</si>
  <si>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</si>
  <si>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</si>
  <si>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</si>
  <si>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</si>
  <si>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</si>
  <si>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</si>
  <si>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</si>
  <si>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</si>
  <si>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</si>
  <si>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Actual Expenses FYTD</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</si>
  <si>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</si>
  <si>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</si>
  <si>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</si>
  <si>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</si>
  <si>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</si>
  <si>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</si>
  <si>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</si>
  <si>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</si>
  <si>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</si>
  <si>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</si>
  <si>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</si>
  <si>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</si>
  <si>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</si>
  <si>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</si>
  <si>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</si>
  <si>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</si>
  <si>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</si>
  <si>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</si>
  <si>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</si>
  <si>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</si>
  <si>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</si>
  <si>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</si>
  <si>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</si>
  <si>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</si>
  <si>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</si>
  <si>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</si>
  <si>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</si>
  <si>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</si>
  <si>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</si>
  <si>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</si>
  <si>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TOTALS $</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</si>
  <si>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</si>
  <si>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</si>
  <si>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</si>
  <si>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</si>
  <si>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</si>
  <si>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</si>
  <si>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</si>
  <si>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</si>
  <si>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</si>
  <si>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</si>
  <si>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</si>
  <si>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</si>
  <si>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</si>
  <si>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</si>
  <si>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</si>
  <si>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</si>
  <si>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</si>
  <si>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</si>
  <si>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</si>
  <si>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</si>
  <si>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</si>
  <si>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</si>
  <si>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</si>
  <si>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</si>
  <si>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</si>
  <si>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</si>
  <si>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</si>
  <si>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</si>
  <si>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</si>
  <si>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Total Temp Restricted</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</si>
  <si>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</si>
  <si>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</si>
  <si>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</si>
  <si>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</si>
  <si>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</si>
  <si>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</si>
  <si>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</si>
  <si>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</si>
  <si>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</si>
  <si>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</si>
  <si>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</si>
  <si>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</si>
  <si>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</si>
  <si>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</si>
  <si>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</si>
  <si>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</si>
  <si>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</si>
  <si>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</si>
  <si>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</si>
  <si>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</si>
  <si>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</si>
  <si>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</si>
  <si>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</si>
  <si>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</si>
  <si>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</si>
  <si>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</si>
  <si>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</si>
  <si>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</si>
  <si>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</si>
  <si>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</si>
  <si>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</si>
  <si>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</si>
  <si>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</si>
  <si>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</si>
  <si>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</si>
  <si>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</si>
  <si>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</si>
  <si>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</si>
  <si>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</si>
  <si>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</si>
  <si>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Greene County</t>
  </si>
  <si>
    <t xml:space="preserve">Transportation Clients         </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</si>
  <si>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</si>
  <si>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</si>
  <si>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</si>
  <si>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</si>
  <si>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</si>
  <si>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</si>
  <si>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</si>
  <si>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</si>
  <si>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</si>
  <si>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</si>
  <si>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</si>
  <si>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</si>
  <si>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</si>
  <si>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</si>
  <si>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</si>
  <si>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</si>
  <si>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C-028699</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</si>
  <si>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</si>
  <si>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</si>
  <si>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</si>
  <si>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</si>
  <si>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</si>
  <si>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C-029670</t>
  </si>
  <si>
    <t>Miscellaneous Receivable</t>
  </si>
  <si>
    <t>Donations - Others</t>
  </si>
  <si>
    <t>Income Received YTD</t>
  </si>
  <si>
    <t>Actual Expenses YTD</t>
  </si>
  <si>
    <t>Transportation &amp; Grant Development</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</si>
  <si>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</si>
  <si>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</si>
  <si>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</si>
  <si>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</si>
  <si>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</si>
  <si>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</si>
  <si>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</si>
  <si>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</si>
  <si>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</si>
  <si>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</si>
  <si>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</si>
  <si>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</si>
  <si>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</si>
  <si>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Rural Health Network Program</t>
  </si>
  <si>
    <t>Ancram/Copake Prescription Access (2015)</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</si>
  <si>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</si>
  <si>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</si>
  <si>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</si>
  <si>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</si>
  <si>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</si>
  <si>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</si>
  <si>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</si>
  <si>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</si>
  <si>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</si>
  <si>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</si>
  <si>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</si>
  <si>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</si>
  <si>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</si>
  <si>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</si>
  <si>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</si>
  <si>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</si>
  <si>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</si>
  <si>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</si>
  <si>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$28.85, and</t>
  </si>
  <si>
    <t>NY Connects Expansion &amp; Enhancement Program</t>
  </si>
  <si>
    <t>Grants      Receivable</t>
  </si>
  <si>
    <t>Grants           Receivable</t>
  </si>
  <si>
    <t>COLA CSP Infrastructure</t>
  </si>
  <si>
    <t>Ratio of (Cash &amp; Receivables) to Liabilities</t>
  </si>
  <si>
    <t>Travel, Meals and Conferences</t>
  </si>
  <si>
    <t>Ancram/Copake Prescription Access (2016)</t>
  </si>
  <si>
    <t>Navigator Health Exchange Program</t>
  </si>
  <si>
    <t>Tobacco-Free Program</t>
  </si>
  <si>
    <t>Transportation-Medicaid</t>
  </si>
  <si>
    <t>Other Columbia County Programs</t>
  </si>
  <si>
    <t>Total Grant Receivable</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</si>
  <si>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</si>
  <si>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</si>
  <si>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</si>
  <si>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</si>
  <si>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</si>
  <si>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</si>
  <si>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</si>
  <si>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</si>
  <si>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</si>
  <si>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</si>
  <si>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</si>
  <si>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</si>
  <si>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</si>
  <si>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</si>
  <si>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</si>
  <si>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</si>
  <si>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</si>
  <si>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</si>
  <si>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</si>
  <si>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</si>
  <si>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</si>
  <si>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</si>
  <si>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</si>
  <si>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</si>
  <si>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</si>
  <si>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</si>
  <si>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</si>
  <si>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</si>
  <si>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</si>
  <si>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</si>
  <si>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</si>
  <si>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</si>
  <si>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</si>
  <si>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Gain (Loss) on Sale of Vehicles</t>
  </si>
  <si>
    <t>Various Medical Providers</t>
  </si>
  <si>
    <t>Prescription Rx Access</t>
  </si>
  <si>
    <t>Transportation: Acram/Copake</t>
  </si>
  <si>
    <t>NYS Grant Advances</t>
  </si>
  <si>
    <t>Tobacco Free Program</t>
  </si>
  <si>
    <t>Total Advance Funding Payable</t>
  </si>
  <si>
    <t>Investment Income</t>
  </si>
  <si>
    <t>Foundation Revenue - FCH &amp; Dyson</t>
  </si>
  <si>
    <t>Income</t>
  </si>
  <si>
    <t>Unrealized Gains</t>
  </si>
  <si>
    <t xml:space="preserve">FCISX </t>
  </si>
  <si>
    <t xml:space="preserve">FRUGX </t>
  </si>
  <si>
    <t xml:space="preserve">FRGSX </t>
  </si>
  <si>
    <t>FCSCX</t>
  </si>
  <si>
    <t xml:space="preserve">FSGCX </t>
  </si>
  <si>
    <t>TEGBX</t>
  </si>
  <si>
    <t>Month in Service</t>
  </si>
  <si>
    <t>Funding Source</t>
  </si>
  <si>
    <t>Supplier</t>
  </si>
  <si>
    <t>Cost</t>
  </si>
  <si>
    <t>Total</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</si>
  <si>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</si>
  <si>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</si>
  <si>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</si>
  <si>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</si>
  <si>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</si>
  <si>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</si>
  <si>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</si>
  <si>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Tobacco Free Communities Grant - COLA</t>
  </si>
  <si>
    <t>Totals</t>
  </si>
  <si>
    <t>Ten Months Ended October 31, 2016 and 2015</t>
  </si>
  <si>
    <t>Albany Medical Center</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</si>
  <si>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</si>
  <si>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</si>
  <si>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</si>
  <si>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</si>
  <si>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</si>
  <si>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</si>
  <si>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</si>
  <si>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</si>
  <si>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</si>
  <si>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</si>
  <si>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</si>
  <si>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</si>
  <si>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</si>
  <si>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r>
      <t xml:space="preserve">Greene County DSS </t>
    </r>
    <r>
      <rPr>
        <sz val="10"/>
        <color theme="1"/>
        <rFont val="Arial"/>
        <family val="2"/>
      </rPr>
      <t>(Community Service Workers )</t>
    </r>
  </si>
  <si>
    <t>Sold in Month</t>
  </si>
  <si>
    <t>Revenue</t>
  </si>
  <si>
    <t>Mileage</t>
  </si>
  <si>
    <t>Sold thru</t>
  </si>
  <si>
    <t>Vehicle Fuel &amp; Repairs</t>
  </si>
  <si>
    <t>CSP Clinical Services</t>
  </si>
  <si>
    <t>NYSDOH 07/17 to 06/18</t>
  </si>
  <si>
    <t>Pending on NYS Statewide Financial System Website</t>
  </si>
  <si>
    <t>Tobacco Free Communities Grant - Yr#4 of 5</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</si>
  <si>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</si>
  <si>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NYSDOH 10/17 to 09/18</t>
  </si>
  <si>
    <t xml:space="preserve">Transportation Services </t>
  </si>
  <si>
    <t>NY Connects E&amp;EP         01/17 to 03/18</t>
  </si>
  <si>
    <t>NY Connects Year #11 Ext  10/17 to 3/18</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</si>
  <si>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</si>
  <si>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</si>
  <si>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</si>
  <si>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</si>
  <si>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</si>
  <si>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</si>
  <si>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</si>
  <si>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</si>
  <si>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</si>
  <si>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</si>
  <si>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</si>
  <si>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</si>
  <si>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</si>
  <si>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</si>
  <si>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</si>
  <si>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</si>
  <si>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</si>
  <si>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</si>
  <si>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</si>
  <si>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</si>
  <si>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</si>
  <si>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</si>
  <si>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</si>
  <si>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Rural Health Network Program-(9 Month Extension)</t>
  </si>
  <si>
    <t>Unrealized Gain (Loss) on Investments</t>
  </si>
  <si>
    <t>Complementary Therapies Fund</t>
  </si>
  <si>
    <t>Vehicle Maintenance &amp; Repairs</t>
  </si>
  <si>
    <t>CoCo Dept. of Human Services</t>
  </si>
  <si>
    <t>Greene County-Dept. of Social Services</t>
  </si>
  <si>
    <t>NYSDOH 04/18 to 12/18 (Quarterly Voucher)</t>
  </si>
  <si>
    <t>NYSDOH Infrastructure Grant 04/18 to 09/18</t>
  </si>
  <si>
    <t>NYSDOH Clinical Services Grant 04/18 to 09/18</t>
  </si>
  <si>
    <t>NY Connects E&amp;EP         04/18 to 03/19</t>
  </si>
  <si>
    <t>MIPPA                              04/18 to 9/18</t>
  </si>
  <si>
    <t>Tobacco Free Communities Grant - Yr#5 of 5</t>
  </si>
  <si>
    <t>Miscellaneous</t>
  </si>
  <si>
    <t>Vehicle mileage for period</t>
  </si>
  <si>
    <t>Number of Rides for period</t>
  </si>
  <si>
    <t>Number of Medicaid Rides for Period</t>
  </si>
  <si>
    <t>Medicaid Revenue/Medicaid Ride</t>
  </si>
  <si>
    <t>Recoup 2% of Medicaid Claims from 2015 Yr</t>
  </si>
  <si>
    <t>NYSDOH 07/18 to 06/19</t>
  </si>
  <si>
    <t>HRI Clinical Services 07/18 to 09/18</t>
  </si>
  <si>
    <t>Women's Health Project</t>
  </si>
  <si>
    <t>Research Foundation-SUNY</t>
  </si>
  <si>
    <t>Transportation Scheduling Software-RoutingBox</t>
  </si>
  <si>
    <t>Cost per Rider (w/o depreciation&amp;rent)</t>
  </si>
  <si>
    <t>Cost per mile (w/o depreciation&amp;rent)</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</si>
  <si>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another twelve months until August 1, 2019. </t>
    </r>
  </si>
  <si>
    <t>Research Foundation SUNY - Women's Project</t>
  </si>
  <si>
    <t>Transportation Services (2019)</t>
  </si>
  <si>
    <r>
      <t xml:space="preserve">Greene County DSS </t>
    </r>
    <r>
      <rPr>
        <sz val="10"/>
        <color theme="1"/>
        <rFont val="Arial"/>
        <family val="2"/>
      </rPr>
      <t>(HEAP Program )</t>
    </r>
  </si>
  <si>
    <t>For the Year Ended December 31, 2019</t>
  </si>
  <si>
    <t>Grants - Federal (5310 Funding)</t>
  </si>
  <si>
    <t>Columbia County BOS</t>
  </si>
  <si>
    <t>Unrealized Gain on Investments</t>
  </si>
  <si>
    <t>Community Cancer Funds</t>
  </si>
  <si>
    <t>Gain on Sale of Vehicle</t>
  </si>
  <si>
    <t>The Research Foundation - SUNY (Women's Project)</t>
  </si>
  <si>
    <t>December</t>
  </si>
  <si>
    <t>OFA: NY Connects - E&amp;EP - November 2018 Voucher</t>
  </si>
  <si>
    <t>OFA: Senior Transportation - November 2018 Voucher</t>
  </si>
  <si>
    <t>Senior Transportation Services - 2019</t>
  </si>
  <si>
    <t>County Government - 2019</t>
  </si>
  <si>
    <t>County Departments - 2019</t>
  </si>
  <si>
    <t>Columbia County BOS 2019 Budget Appropriation</t>
  </si>
  <si>
    <t>Columbia County Departments 2019 Donations (CARTS)</t>
  </si>
  <si>
    <t>Legal</t>
  </si>
  <si>
    <t>Credit sales</t>
  </si>
  <si>
    <t>NY State</t>
  </si>
  <si>
    <t>Medicaid</t>
  </si>
  <si>
    <t>Federal</t>
  </si>
  <si>
    <t>Greene Cty</t>
  </si>
  <si>
    <t>OFA</t>
  </si>
  <si>
    <t>Dept of Human</t>
  </si>
  <si>
    <t>Columbia Cty</t>
  </si>
  <si>
    <t>Col Depts</t>
  </si>
  <si>
    <t>Average AR</t>
  </si>
  <si>
    <t>Sales</t>
  </si>
  <si>
    <t>Total Fixed Assets-Net</t>
  </si>
  <si>
    <t>Rural Health Network Program- Yr#1of 5</t>
  </si>
  <si>
    <t>Columbia Memorial Hospital - Transportation</t>
  </si>
  <si>
    <t>NYSDOH 01/19 to 12/19 (Quarterly Voucher)</t>
  </si>
  <si>
    <t>Grants Receivable Aging Summary as of February 28, 2019</t>
  </si>
  <si>
    <t>February</t>
  </si>
  <si>
    <t>January</t>
  </si>
  <si>
    <t>November &amp; Older</t>
  </si>
  <si>
    <t>NYSDOH 10/18 to 04/19</t>
  </si>
  <si>
    <t>Columbia County Dept. of Human Services (Qrtly)</t>
  </si>
  <si>
    <t>Columbia County - BOS (Receptionist &amp; CARTS)</t>
  </si>
  <si>
    <t>Greene County Sheriff Dept. - Greene Cty Cancer Fund</t>
  </si>
  <si>
    <t>Columbia County - BOS (First of Twp Payments)</t>
  </si>
  <si>
    <t>Grants Receivable at 02/28/2019</t>
  </si>
  <si>
    <t>Payments Received After February 28, 2019</t>
  </si>
  <si>
    <t>Greene County -Dept of Social Services (HEAP Program)</t>
  </si>
  <si>
    <t>Navigator Program - January 2019 Voucher</t>
  </si>
  <si>
    <t>Rural Health Network Program - 4th Quarter 2018 Voucher</t>
  </si>
  <si>
    <t>The Research Foundation for SUNY, Women's Health Project</t>
  </si>
  <si>
    <t>Tobacco-Free Program - January 2019 Voucher</t>
  </si>
  <si>
    <t>Columbia County - Various Depts for CARTS</t>
  </si>
  <si>
    <t>Rural Health Network Program - January 2019 Voucher</t>
  </si>
  <si>
    <t>Auctions International for Sale of Chevy Impala</t>
  </si>
  <si>
    <t>Total AR Payments Received After February 28, 2019</t>
  </si>
  <si>
    <t>As of  February 28, 2019</t>
  </si>
  <si>
    <t>C34154GG-34500</t>
  </si>
  <si>
    <t>In Person Assisitors &amp; Navigators (7 Mth Extension)</t>
  </si>
  <si>
    <t>In Person Assisitors &amp; Navigators (3 Mth Extension)</t>
  </si>
  <si>
    <t>TBD</t>
  </si>
  <si>
    <t>In Person Assistors &amp; Navigators- Yr#1 of 5</t>
  </si>
  <si>
    <t>Balance as of 01/01/2019</t>
  </si>
  <si>
    <t>QuickBooks AR at 02/28/2019</t>
  </si>
  <si>
    <t>Dyson Foundation (General Operating Support)</t>
  </si>
  <si>
    <t xml:space="preserve">Dyson Foundation-Operating Support </t>
  </si>
  <si>
    <t>February 28th AR Balance at March 22, 2019</t>
  </si>
  <si>
    <t>Without Donor Restrictions</t>
  </si>
  <si>
    <t>With Donor Restrictions</t>
  </si>
  <si>
    <t>General Operating Support (12-Months)</t>
  </si>
  <si>
    <t>Prescription Access (30-Months)</t>
  </si>
  <si>
    <t>Medicare Improvements for Patients &amp; Providers (MIPPA)</t>
  </si>
  <si>
    <t>With Donor Restrictions Net Assets</t>
  </si>
  <si>
    <t>Diff CMH</t>
  </si>
  <si>
    <t>Two Months Ended February 28, 2019 and 2018</t>
  </si>
  <si>
    <t>For the Year Ended December 31, 2018</t>
  </si>
  <si>
    <t>Statement of Activities</t>
  </si>
  <si>
    <t xml:space="preserve">Change in With Donor Restrictions </t>
  </si>
  <si>
    <t>Changes in With Donor Restrictions - Net Assets</t>
  </si>
  <si>
    <t>February '19 vs.'18</t>
  </si>
  <si>
    <t>CSP Program stopped as of Sept'18</t>
  </si>
  <si>
    <t>Decrease in CSP Grants by &lt;$21K&gt; and RHN &lt;$10K&gt;</t>
  </si>
  <si>
    <t>Sharp increase in value during first two months of 2019</t>
  </si>
  <si>
    <t>in 2019, sold Chevy Impala.</t>
  </si>
  <si>
    <t>Health &amp; Dental Ins increased by $3.5K &amp; W/C Ins by $0.6K in 2019</t>
  </si>
  <si>
    <t>In 2019, Review of Executive Director's employment contract</t>
  </si>
  <si>
    <t>Tobacco Program Supplies increased by $3.2K in 2018</t>
  </si>
  <si>
    <t xml:space="preserve">Tobacco Program purchased a $14K Community Study </t>
  </si>
  <si>
    <t>Tobacco No Smoking campaign starting later in 2019</t>
  </si>
  <si>
    <t>Vehicle R&amp;M expense increased by $2K in 2019</t>
  </si>
  <si>
    <t>Columbia Memorial Hospital</t>
  </si>
  <si>
    <t>Misc. Revenue</t>
  </si>
  <si>
    <t>February'19 vs. '18</t>
  </si>
  <si>
    <r>
      <t>è</t>
    </r>
    <r>
      <rPr>
        <b/>
        <sz val="12"/>
        <color theme="1"/>
        <rFont val="Times New Roman"/>
        <family val="1"/>
      </rPr>
      <t xml:space="preserve"> Cash</t>
    </r>
    <r>
      <rPr>
        <sz val="12"/>
        <color theme="1"/>
        <rFont val="Calibri"/>
        <family val="2"/>
      </rPr>
      <t xml:space="preserve"> -  Cash balance in the operating checking account started the 2019 year off with $274K and ended on the month of Feb'19 with $224K. Low balance on Feb 20th was $199K &amp; the high balance on Jan 11th was $319K. Average daily balance for the 2019 &amp; 2018 years were $245K and $259K, respectively.</t>
    </r>
  </si>
  <si>
    <t>Greene County DSS &amp; Other</t>
  </si>
  <si>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February 28, 2019 our Grant Receivable is $386K. Expectation is that we will collect on all receivables.  The average collection period for 2018 was 73 days. Summary of Grants Receivable at February 28, 2019 is as follows:</t>
    </r>
  </si>
  <si>
    <t>Beginning Balance at 01/01/2019</t>
  </si>
  <si>
    <t>Ending Balance at 02/28/2019</t>
  </si>
  <si>
    <r>
      <t>è</t>
    </r>
    <r>
      <rPr>
        <b/>
        <sz val="12"/>
        <color theme="1"/>
        <rFont val="Times New Roman"/>
        <family val="1"/>
      </rPr>
      <t xml:space="preserve"> Investment - Infinex Financial-Securities</t>
    </r>
    <r>
      <rPr>
        <sz val="12"/>
        <color theme="1"/>
        <rFont val="Calibri"/>
        <family val="2"/>
      </rPr>
      <t xml:space="preserve"> - As of February 28, 2019, investment account value of six mutual funds is $170,486. Initial investment during March 2016 was $152,036 or $25.3K per mutual fund</t>
    </r>
  </si>
  <si>
    <r>
      <t>è</t>
    </r>
    <r>
      <rPr>
        <b/>
        <sz val="12"/>
        <color theme="1"/>
        <rFont val="Times New Roman"/>
        <family val="1"/>
      </rPr>
      <t xml:space="preserve">Accounts Payable - </t>
    </r>
    <r>
      <rPr>
        <sz val="12"/>
        <color theme="1"/>
        <rFont val="Calibri"/>
        <family val="2"/>
        <scheme val="minor"/>
      </rPr>
      <t>At February 28, 2019, accounts payable lability is $42,623 and all AP liability is being paid timely within 28 days. Two vendors with the largest balance due was American Lung Association in the amount of $15,595 for support of a statewide tobacco advertising campaign plus Siena Research Institute in the amount of $14,000 for a Community Smoking Survey for the Tobacco Program.</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</si>
  <si>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February 28, 2019,</t>
    </r>
  </si>
  <si>
    <t>Ending Balance at February 28, 2019</t>
  </si>
  <si>
    <t>2019 Operating Support</t>
  </si>
  <si>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February 28, 2019: </t>
    </r>
  </si>
  <si>
    <r>
      <t>è</t>
    </r>
    <r>
      <rPr>
        <b/>
        <sz val="12"/>
        <color theme="1"/>
        <rFont val="Times New Roman"/>
        <family val="1"/>
      </rPr>
      <t xml:space="preserve"> Equipment, Furniture &amp; Vehicles</t>
    </r>
    <r>
      <rPr>
        <sz val="12"/>
        <color theme="1"/>
        <rFont val="Calibri"/>
        <family val="2"/>
      </rPr>
      <t xml:space="preserve"> -On January 28, 2019, we sold the 2012 Chevy Impala thru Auctions International for $2,300. Original cost $17,844. No other sales or purchases of equipment, furniture or vehicles. </t>
    </r>
  </si>
  <si>
    <r>
      <t>è</t>
    </r>
    <r>
      <rPr>
        <b/>
        <sz val="12"/>
        <color theme="1"/>
        <rFont val="Calibri"/>
        <family val="2"/>
      </rPr>
      <t xml:space="preserve"> Insurance Policy Renewal</t>
    </r>
    <r>
      <rPr>
        <sz val="12"/>
        <color theme="1"/>
        <rFont val="Calibri"/>
        <family val="2"/>
      </rPr>
      <t xml:space="preserve"> - On February 01, 2019, our various annual insurance polices with our provider, Philadelphia Insurance Co. renewed (See below pdf file --&gt;double click for better viewing). Our annual premiums decreased by $3,000 to $28,836 due to the following reasons:
1) Reduced and actuary stated our office sq ft exposure at 3,000sf. Previously stated at 10,000sf. 
2) reduced and actuary stated our business personal property at $100,000. Previously business property stated at $150,000.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</si>
</sst>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0.000000000000_);[Red]\(#,##0.000000000000\)"/>
    <numFmt numFmtId="171" formatCode="&quot;$&quot;#,##0"/>
  </numFmts>
  <fonts count="65"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s>
  <borders count="7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s>
  <cellStyleXfs count="5">
    <xf numFmtId="0" fontId="0"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9" fontId="2" fillId="0" borderId="0" applyFont="0" applyFill="0" applyBorder="0" applyAlignment="0" applyProtection="0"/>
  </cellStyleXfs>
  <cellXfs count="814">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4" fillId="0" borderId="0" xfId="0" applyFont="1" applyFill="1"/>
    <xf numFmtId="0" fontId="5" fillId="0" borderId="0" xfId="0" applyFont="1" applyFill="1" applyAlignment="1">
      <alignment horizontal="center"/>
    </xf>
    <xf numFmtId="0" fontId="5" fillId="0" borderId="0" xfId="0" applyFont="1" applyFill="1"/>
    <xf numFmtId="0" fontId="5" fillId="0" borderId="0" xfId="0" applyFont="1"/>
    <xf numFmtId="14" fontId="4" fillId="0" borderId="0" xfId="0" applyNumberFormat="1" applyFont="1" applyFill="1" applyAlignment="1">
      <alignment horizontal="left"/>
    </xf>
    <xf numFmtId="0" fontId="6"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4" fillId="4" borderId="6" xfId="0" applyFont="1" applyFill="1" applyBorder="1"/>
    <xf numFmtId="0" fontId="0" fillId="4" borderId="6" xfId="0" applyFill="1" applyBorder="1"/>
    <xf numFmtId="0" fontId="0" fillId="3" borderId="2" xfId="0" applyFill="1" applyBorder="1" applyAlignment="1">
      <alignment horizontal="center"/>
    </xf>
    <xf numFmtId="0" fontId="7" fillId="4" borderId="0" xfId="0" applyFont="1" applyFill="1"/>
    <xf numFmtId="0" fontId="0" fillId="0" borderId="12" xfId="0" applyBorder="1"/>
    <xf numFmtId="40" fontId="5" fillId="0" borderId="0" xfId="0" applyNumberFormat="1" applyFont="1" applyFill="1" applyAlignment="1"/>
    <xf numFmtId="40" fontId="5"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5" fillId="0" borderId="0" xfId="0" applyNumberFormat="1" applyFont="1" applyFill="1" applyBorder="1" applyAlignment="1"/>
    <xf numFmtId="0" fontId="5" fillId="0" borderId="0" xfId="0" applyFont="1" applyFill="1" applyBorder="1"/>
    <xf numFmtId="40" fontId="7" fillId="0" borderId="0" xfId="0" applyNumberFormat="1" applyFont="1" applyFill="1" applyBorder="1" applyAlignment="1"/>
    <xf numFmtId="4" fontId="7" fillId="0" borderId="0" xfId="0" applyNumberFormat="1" applyFont="1" applyFill="1" applyBorder="1" applyAlignment="1"/>
    <xf numFmtId="0" fontId="7"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6" fillId="0" borderId="0" xfId="0" applyNumberFormat="1" applyFont="1" applyFill="1" applyBorder="1" applyAlignment="1"/>
    <xf numFmtId="4" fontId="6" fillId="0" borderId="0" xfId="0" applyNumberFormat="1" applyFont="1" applyFill="1" applyBorder="1" applyAlignment="1"/>
    <xf numFmtId="0" fontId="6" fillId="0" borderId="0" xfId="0" applyFont="1" applyFill="1" applyBorder="1"/>
    <xf numFmtId="40" fontId="4" fillId="0" borderId="0" xfId="0" applyNumberFormat="1" applyFont="1" applyFill="1" applyBorder="1" applyAlignment="1"/>
    <xf numFmtId="0" fontId="4" fillId="0" borderId="0" xfId="0" applyFont="1" applyFill="1" applyBorder="1"/>
    <xf numFmtId="4" fontId="4"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3"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6" fillId="0" borderId="0" xfId="1" applyNumberFormat="1" applyFont="1" applyFill="1" applyBorder="1" applyAlignment="1"/>
    <xf numFmtId="0" fontId="0" fillId="4" borderId="11" xfId="0" applyFill="1" applyBorder="1"/>
    <xf numFmtId="0" fontId="6" fillId="0" borderId="0" xfId="0" applyFont="1" applyFill="1" applyBorder="1" applyAlignment="1"/>
    <xf numFmtId="0" fontId="6" fillId="3" borderId="0" xfId="0" applyFont="1" applyFill="1" applyBorder="1" applyAlignment="1"/>
    <xf numFmtId="0" fontId="6" fillId="3" borderId="5" xfId="0" applyFont="1" applyFill="1" applyBorder="1" applyAlignment="1"/>
    <xf numFmtId="0" fontId="6" fillId="4" borderId="13" xfId="0" applyFont="1" applyFill="1" applyBorder="1" applyAlignment="1"/>
    <xf numFmtId="0" fontId="6" fillId="4" borderId="14" xfId="0" applyFont="1" applyFill="1" applyBorder="1" applyAlignment="1"/>
    <xf numFmtId="0" fontId="6" fillId="3" borderId="16" xfId="0" applyFont="1" applyFill="1" applyBorder="1" applyAlignment="1"/>
    <xf numFmtId="0" fontId="0" fillId="0" borderId="0" xfId="0" applyFill="1" applyBorder="1" applyAlignment="1">
      <alignment horizontal="left"/>
    </xf>
    <xf numFmtId="49" fontId="8" fillId="0" borderId="0" xfId="0" applyNumberFormat="1" applyFont="1" applyAlignment="1">
      <alignment horizontal="center"/>
    </xf>
    <xf numFmtId="0" fontId="0" fillId="0" borderId="0" xfId="0" applyAlignment="1">
      <alignment horizontal="center"/>
    </xf>
    <xf numFmtId="0" fontId="8" fillId="0" borderId="0" xfId="0" applyNumberFormat="1" applyFont="1"/>
    <xf numFmtId="0" fontId="9" fillId="0" borderId="0" xfId="0" applyFont="1"/>
    <xf numFmtId="0" fontId="10" fillId="0" borderId="0" xfId="0" applyFont="1"/>
    <xf numFmtId="0" fontId="10" fillId="0" borderId="0" xfId="0" applyFont="1" applyAlignment="1">
      <alignment horizontal="center"/>
    </xf>
    <xf numFmtId="49" fontId="11"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2" fillId="0" borderId="30" xfId="0" applyNumberFormat="1" applyFont="1" applyBorder="1" applyAlignment="1">
      <alignment vertical="center"/>
    </xf>
    <xf numFmtId="0" fontId="14" fillId="0" borderId="0" xfId="0" applyFont="1" applyBorder="1" applyAlignment="1">
      <alignment vertical="center"/>
    </xf>
    <xf numFmtId="0" fontId="14" fillId="0" borderId="30" xfId="0" applyFont="1" applyBorder="1" applyAlignment="1">
      <alignment vertical="center"/>
    </xf>
    <xf numFmtId="49" fontId="11" fillId="0" borderId="0" xfId="0" applyNumberFormat="1" applyFont="1" applyBorder="1" applyAlignment="1">
      <alignment vertical="center"/>
    </xf>
    <xf numFmtId="0" fontId="0" fillId="0" borderId="0" xfId="0" applyBorder="1" applyAlignment="1">
      <alignment vertical="center"/>
    </xf>
    <xf numFmtId="49" fontId="11" fillId="0" borderId="0" xfId="0" applyNumberFormat="1" applyFont="1" applyAlignment="1"/>
    <xf numFmtId="49" fontId="11" fillId="0" borderId="2" xfId="0" applyNumberFormat="1" applyFont="1" applyBorder="1" applyAlignment="1"/>
    <xf numFmtId="0" fontId="0" fillId="0" borderId="0" xfId="0" applyBorder="1" applyAlignment="1"/>
    <xf numFmtId="0" fontId="0" fillId="0" borderId="0" xfId="0" applyAlignment="1"/>
    <xf numFmtId="49" fontId="11" fillId="0" borderId="0" xfId="0" applyNumberFormat="1" applyFont="1" applyAlignment="1">
      <alignment vertical="center"/>
    </xf>
    <xf numFmtId="0" fontId="0" fillId="0" borderId="0" xfId="0" applyAlignment="1">
      <alignment vertical="center"/>
    </xf>
    <xf numFmtId="49" fontId="15"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5" fillId="0" borderId="2" xfId="0" applyNumberFormat="1" applyFont="1" applyBorder="1" applyAlignment="1">
      <alignment vertical="center"/>
    </xf>
    <xf numFmtId="49" fontId="15" fillId="0" borderId="0" xfId="0" applyNumberFormat="1" applyFont="1" applyBorder="1" applyAlignment="1">
      <alignment vertical="center"/>
    </xf>
    <xf numFmtId="49" fontId="11" fillId="0" borderId="3" xfId="0" applyNumberFormat="1" applyFont="1" applyBorder="1" applyAlignment="1">
      <alignment vertical="center"/>
    </xf>
    <xf numFmtId="49" fontId="12" fillId="0" borderId="31" xfId="0" applyNumberFormat="1" applyFont="1" applyBorder="1" applyAlignment="1">
      <alignment vertical="center"/>
    </xf>
    <xf numFmtId="0" fontId="12" fillId="0" borderId="0" xfId="0" applyFont="1" applyBorder="1" applyAlignment="1">
      <alignment vertical="center"/>
    </xf>
    <xf numFmtId="0" fontId="12" fillId="0" borderId="3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49" fontId="16" fillId="0" borderId="27" xfId="0" applyNumberFormat="1" applyFont="1" applyBorder="1" applyAlignment="1">
      <alignment vertical="center"/>
    </xf>
    <xf numFmtId="49" fontId="11" fillId="0" borderId="27" xfId="0" applyNumberFormat="1" applyFont="1" applyBorder="1" applyAlignment="1">
      <alignment vertical="center"/>
    </xf>
    <xf numFmtId="49" fontId="11" fillId="0" borderId="2" xfId="0" applyNumberFormat="1" applyFont="1" applyBorder="1" applyAlignment="1">
      <alignment vertical="center"/>
    </xf>
    <xf numFmtId="49" fontId="16" fillId="0" borderId="28" xfId="0" applyNumberFormat="1" applyFont="1" applyBorder="1" applyAlignment="1">
      <alignment vertical="center"/>
    </xf>
    <xf numFmtId="49" fontId="11" fillId="0" borderId="28" xfId="0" applyNumberFormat="1" applyFont="1" applyBorder="1" applyAlignment="1">
      <alignment vertical="center"/>
    </xf>
    <xf numFmtId="0" fontId="12" fillId="0" borderId="0" xfId="0" applyFont="1" applyAlignment="1">
      <alignment vertical="center"/>
    </xf>
    <xf numFmtId="49" fontId="17"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18"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19" fillId="6" borderId="0" xfId="0" applyNumberFormat="1" applyFont="1" applyFill="1" applyBorder="1"/>
    <xf numFmtId="0" fontId="0" fillId="7" borderId="0" xfId="0" applyFont="1" applyFill="1"/>
    <xf numFmtId="49" fontId="19" fillId="7" borderId="0" xfId="0" applyNumberFormat="1" applyFont="1" applyFill="1" applyBorder="1"/>
    <xf numFmtId="0" fontId="0" fillId="7" borderId="0" xfId="0" applyFont="1" applyFill="1" applyAlignment="1">
      <alignment horizontal="center"/>
    </xf>
    <xf numFmtId="49" fontId="18" fillId="0" borderId="0" xfId="0" applyNumberFormat="1" applyFont="1" applyFill="1" applyBorder="1" applyAlignment="1">
      <alignment horizontal="center"/>
    </xf>
    <xf numFmtId="49" fontId="18" fillId="0" borderId="0" xfId="0" applyNumberFormat="1" applyFont="1" applyFill="1" applyBorder="1" applyAlignment="1">
      <alignment horizontal="left"/>
    </xf>
    <xf numFmtId="0" fontId="0" fillId="10" borderId="0" xfId="0" applyFont="1" applyFill="1"/>
    <xf numFmtId="0" fontId="0" fillId="8" borderId="0" xfId="0" applyFont="1" applyFill="1"/>
    <xf numFmtId="49" fontId="18" fillId="0" borderId="0" xfId="0" applyNumberFormat="1" applyFont="1" applyFill="1" applyBorder="1"/>
    <xf numFmtId="0" fontId="0" fillId="0" borderId="3" xfId="0" applyFont="1" applyFill="1" applyBorder="1"/>
    <xf numFmtId="0" fontId="0" fillId="8" borderId="3" xfId="0" applyFont="1" applyFill="1" applyBorder="1"/>
    <xf numFmtId="49" fontId="19"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19" fillId="11" borderId="0" xfId="0" applyNumberFormat="1" applyFont="1" applyFill="1" applyBorder="1" applyAlignment="1">
      <alignment horizontal="left"/>
    </xf>
    <xf numFmtId="0" fontId="0" fillId="9" borderId="0" xfId="0" applyFont="1" applyFill="1" applyAlignment="1">
      <alignment horizontal="center"/>
    </xf>
    <xf numFmtId="49" fontId="18" fillId="0" borderId="0" xfId="0" applyNumberFormat="1" applyFont="1" applyBorder="1"/>
    <xf numFmtId="0" fontId="18" fillId="0" borderId="0" xfId="0" applyNumberFormat="1" applyFont="1" applyBorder="1"/>
    <xf numFmtId="0" fontId="0" fillId="12" borderId="0" xfId="0" applyFont="1" applyFill="1"/>
    <xf numFmtId="0" fontId="20" fillId="0" borderId="0" xfId="0" applyNumberFormat="1" applyFont="1" applyBorder="1"/>
    <xf numFmtId="0" fontId="8" fillId="0" borderId="0" xfId="0" applyNumberFormat="1" applyFont="1" applyBorder="1"/>
    <xf numFmtId="0" fontId="0" fillId="0" borderId="0" xfId="0" applyNumberFormat="1" applyAlignment="1">
      <alignment horizontal="right"/>
    </xf>
    <xf numFmtId="49" fontId="19" fillId="5" borderId="0" xfId="0" applyNumberFormat="1" applyFont="1" applyFill="1" applyBorder="1"/>
    <xf numFmtId="49" fontId="19" fillId="7" borderId="0" xfId="0" applyNumberFormat="1" applyFont="1" applyFill="1" applyBorder="1" applyAlignment="1">
      <alignment horizontal="left"/>
    </xf>
    <xf numFmtId="49" fontId="19" fillId="10" borderId="0" xfId="0" applyNumberFormat="1" applyFont="1" applyFill="1" applyBorder="1"/>
    <xf numFmtId="49" fontId="19" fillId="11" borderId="0" xfId="0" applyNumberFormat="1" applyFont="1" applyFill="1" applyBorder="1"/>
    <xf numFmtId="0" fontId="5" fillId="0" borderId="0" xfId="0" applyFont="1" applyBorder="1" applyAlignment="1">
      <alignment horizontal="center"/>
    </xf>
    <xf numFmtId="49" fontId="18" fillId="5" borderId="16" xfId="0" applyNumberFormat="1" applyFont="1" applyFill="1" applyBorder="1"/>
    <xf numFmtId="49" fontId="18" fillId="6" borderId="34" xfId="0" applyNumberFormat="1" applyFont="1" applyFill="1" applyBorder="1"/>
    <xf numFmtId="49" fontId="18" fillId="6" borderId="28" xfId="0" applyNumberFormat="1" applyFont="1" applyFill="1" applyBorder="1"/>
    <xf numFmtId="49" fontId="18" fillId="6" borderId="16" xfId="0" applyNumberFormat="1" applyFont="1" applyFill="1" applyBorder="1"/>
    <xf numFmtId="49" fontId="18" fillId="7" borderId="34" xfId="0" applyNumberFormat="1" applyFont="1" applyFill="1" applyBorder="1"/>
    <xf numFmtId="49" fontId="18" fillId="7" borderId="28" xfId="0" applyNumberFormat="1" applyFont="1" applyFill="1" applyBorder="1"/>
    <xf numFmtId="49" fontId="18" fillId="7" borderId="16" xfId="0" applyNumberFormat="1" applyFont="1" applyFill="1" applyBorder="1"/>
    <xf numFmtId="49" fontId="18" fillId="7" borderId="16" xfId="0" applyNumberFormat="1" applyFont="1" applyFill="1" applyBorder="1" applyAlignment="1">
      <alignment horizontal="center"/>
    </xf>
    <xf numFmtId="49" fontId="18" fillId="10" borderId="34" xfId="0" applyNumberFormat="1" applyFont="1" applyFill="1" applyBorder="1"/>
    <xf numFmtId="49" fontId="18" fillId="10" borderId="28" xfId="0" applyNumberFormat="1" applyFont="1" applyFill="1" applyBorder="1"/>
    <xf numFmtId="49" fontId="18" fillId="10" borderId="16" xfId="0" applyNumberFormat="1" applyFont="1" applyFill="1" applyBorder="1"/>
    <xf numFmtId="49" fontId="18" fillId="8" borderId="34" xfId="0" applyNumberFormat="1" applyFont="1" applyFill="1" applyBorder="1"/>
    <xf numFmtId="49" fontId="18" fillId="8" borderId="28" xfId="0" applyNumberFormat="1" applyFont="1" applyFill="1" applyBorder="1"/>
    <xf numFmtId="49" fontId="19" fillId="8" borderId="16" xfId="0" applyNumberFormat="1" applyFont="1" applyFill="1" applyBorder="1"/>
    <xf numFmtId="49" fontId="18" fillId="11" borderId="34" xfId="0" applyNumberFormat="1" applyFont="1" applyFill="1" applyBorder="1" applyAlignment="1">
      <alignment horizontal="left"/>
    </xf>
    <xf numFmtId="49" fontId="18" fillId="11" borderId="28" xfId="0" applyNumberFormat="1" applyFont="1" applyFill="1" applyBorder="1" applyAlignment="1">
      <alignment horizontal="center"/>
    </xf>
    <xf numFmtId="0" fontId="5" fillId="11" borderId="16" xfId="0" applyFont="1" applyFill="1" applyBorder="1" applyAlignment="1">
      <alignment horizontal="center"/>
    </xf>
    <xf numFmtId="49" fontId="18" fillId="9" borderId="34" xfId="0" applyNumberFormat="1" applyFont="1" applyFill="1" applyBorder="1"/>
    <xf numFmtId="49" fontId="18" fillId="5" borderId="37" xfId="0" applyNumberFormat="1" applyFont="1" applyFill="1" applyBorder="1" applyAlignment="1"/>
    <xf numFmtId="49" fontId="18" fillId="8" borderId="24" xfId="0" applyNumberFormat="1" applyFont="1" applyFill="1" applyBorder="1"/>
    <xf numFmtId="0" fontId="6" fillId="3" borderId="8" xfId="0" applyFont="1" applyFill="1" applyBorder="1" applyAlignment="1">
      <alignment horizontal="center" wrapText="1"/>
    </xf>
    <xf numFmtId="40" fontId="3" fillId="3" borderId="9" xfId="0" applyNumberFormat="1" applyFont="1" applyFill="1" applyBorder="1" applyAlignment="1">
      <alignment horizontal="center" vertical="center" wrapText="1"/>
    </xf>
    <xf numFmtId="0" fontId="6" fillId="3" borderId="22" xfId="0" applyFont="1" applyFill="1" applyBorder="1" applyAlignment="1">
      <alignment horizontal="center" vertical="center"/>
    </xf>
    <xf numFmtId="0" fontId="0" fillId="0" borderId="2" xfId="0" applyFont="1" applyBorder="1" applyAlignment="1">
      <alignment vertical="center"/>
    </xf>
    <xf numFmtId="49" fontId="11" fillId="0" borderId="27" xfId="0" applyNumberFormat="1" applyFont="1" applyBorder="1" applyAlignment="1"/>
    <xf numFmtId="0" fontId="0" fillId="0" borderId="27" xfId="0" applyBorder="1" applyAlignment="1"/>
    <xf numFmtId="49" fontId="18"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17" fillId="0" borderId="0" xfId="0" applyNumberFormat="1" applyFont="1" applyBorder="1" applyAlignment="1">
      <alignment horizontal="center"/>
    </xf>
    <xf numFmtId="0" fontId="20" fillId="0" borderId="0" xfId="0" applyNumberFormat="1" applyFont="1" applyAlignment="1">
      <alignment horizontal="center"/>
    </xf>
    <xf numFmtId="38" fontId="19" fillId="5" borderId="1" xfId="1" applyNumberFormat="1" applyFont="1" applyFill="1" applyBorder="1" applyAlignment="1">
      <alignment horizontal="right"/>
    </xf>
    <xf numFmtId="38" fontId="19" fillId="5" borderId="9" xfId="1" applyNumberFormat="1" applyFont="1" applyFill="1" applyBorder="1" applyAlignment="1">
      <alignment horizontal="right"/>
    </xf>
    <xf numFmtId="38" fontId="18" fillId="0" borderId="0" xfId="0" applyNumberFormat="1" applyFont="1" applyBorder="1" applyAlignment="1">
      <alignment horizontal="right"/>
    </xf>
    <xf numFmtId="38" fontId="19" fillId="6" borderId="37" xfId="0" applyNumberFormat="1" applyFont="1" applyFill="1" applyBorder="1" applyAlignment="1">
      <alignment horizontal="right"/>
    </xf>
    <xf numFmtId="38" fontId="19" fillId="6" borderId="39" xfId="0" applyNumberFormat="1" applyFont="1" applyFill="1" applyBorder="1" applyAlignment="1">
      <alignment horizontal="right"/>
    </xf>
    <xf numFmtId="38" fontId="19" fillId="6" borderId="1" xfId="1" applyNumberFormat="1" applyFont="1" applyFill="1" applyBorder="1" applyAlignment="1">
      <alignment horizontal="right"/>
    </xf>
    <xf numFmtId="38" fontId="19" fillId="6" borderId="9" xfId="1" applyNumberFormat="1" applyFont="1" applyFill="1" applyBorder="1" applyAlignment="1">
      <alignment horizontal="right"/>
    </xf>
    <xf numFmtId="38" fontId="18" fillId="0" borderId="0" xfId="1" applyNumberFormat="1" applyFont="1" applyBorder="1" applyAlignment="1">
      <alignment horizontal="right"/>
    </xf>
    <xf numFmtId="38" fontId="5" fillId="0" borderId="0" xfId="1" applyNumberFormat="1" applyFont="1" applyBorder="1" applyAlignment="1">
      <alignment horizontal="right"/>
    </xf>
    <xf numFmtId="38" fontId="19" fillId="7" borderId="37" xfId="1" applyNumberFormat="1" applyFont="1" applyFill="1" applyBorder="1" applyAlignment="1">
      <alignment horizontal="right"/>
    </xf>
    <xf numFmtId="38" fontId="19" fillId="7" borderId="39" xfId="1" applyNumberFormat="1" applyFont="1" applyFill="1" applyBorder="1" applyAlignment="1">
      <alignment horizontal="right"/>
    </xf>
    <xf numFmtId="38" fontId="19" fillId="7" borderId="1" xfId="1" applyNumberFormat="1" applyFont="1" applyFill="1" applyBorder="1" applyAlignment="1">
      <alignment horizontal="right"/>
    </xf>
    <xf numFmtId="38" fontId="19" fillId="7" borderId="9" xfId="1" applyNumberFormat="1" applyFont="1" applyFill="1" applyBorder="1" applyAlignment="1">
      <alignment horizontal="right"/>
    </xf>
    <xf numFmtId="38" fontId="18" fillId="0" borderId="0" xfId="1" applyNumberFormat="1" applyFont="1" applyFill="1" applyBorder="1" applyAlignment="1">
      <alignment horizontal="right"/>
    </xf>
    <xf numFmtId="38" fontId="19" fillId="10" borderId="37" xfId="1" applyNumberFormat="1" applyFont="1" applyFill="1" applyBorder="1" applyAlignment="1">
      <alignment horizontal="right"/>
    </xf>
    <xf numFmtId="38" fontId="19" fillId="10" borderId="39" xfId="1" applyNumberFormat="1" applyFont="1" applyFill="1" applyBorder="1" applyAlignment="1">
      <alignment horizontal="right"/>
    </xf>
    <xf numFmtId="38" fontId="19" fillId="10" borderId="1" xfId="1" applyNumberFormat="1" applyFont="1" applyFill="1" applyBorder="1" applyAlignment="1">
      <alignment horizontal="right"/>
    </xf>
    <xf numFmtId="38" fontId="19" fillId="10" borderId="9" xfId="1" applyNumberFormat="1" applyFont="1" applyFill="1" applyBorder="1" applyAlignment="1">
      <alignment horizontal="right"/>
    </xf>
    <xf numFmtId="38" fontId="19" fillId="8" borderId="37" xfId="1" applyNumberFormat="1" applyFont="1" applyFill="1" applyBorder="1" applyAlignment="1">
      <alignment horizontal="right"/>
    </xf>
    <xf numFmtId="38" fontId="19" fillId="8" borderId="39" xfId="1" applyNumberFormat="1" applyFont="1" applyFill="1" applyBorder="1" applyAlignment="1">
      <alignment horizontal="right"/>
    </xf>
    <xf numFmtId="38" fontId="19" fillId="8" borderId="1" xfId="1" applyNumberFormat="1" applyFont="1" applyFill="1" applyBorder="1" applyAlignment="1">
      <alignment horizontal="right"/>
    </xf>
    <xf numFmtId="38" fontId="19" fillId="8" borderId="9" xfId="1" applyNumberFormat="1" applyFont="1" applyFill="1" applyBorder="1" applyAlignment="1">
      <alignment horizontal="right"/>
    </xf>
    <xf numFmtId="38" fontId="18" fillId="8" borderId="37" xfId="1" applyNumberFormat="1" applyFont="1" applyFill="1" applyBorder="1" applyAlignment="1">
      <alignment horizontal="right"/>
    </xf>
    <xf numFmtId="38" fontId="18" fillId="8" borderId="39" xfId="1" applyNumberFormat="1" applyFont="1" applyFill="1" applyBorder="1" applyAlignment="1">
      <alignment horizontal="right"/>
    </xf>
    <xf numFmtId="38" fontId="18" fillId="11" borderId="37" xfId="1" applyNumberFormat="1" applyFont="1" applyFill="1" applyBorder="1" applyAlignment="1">
      <alignment horizontal="right"/>
    </xf>
    <xf numFmtId="38" fontId="18" fillId="11" borderId="39" xfId="1" applyNumberFormat="1" applyFont="1" applyFill="1" applyBorder="1" applyAlignment="1">
      <alignment horizontal="right"/>
    </xf>
    <xf numFmtId="38" fontId="19" fillId="11" borderId="1" xfId="1" applyNumberFormat="1" applyFont="1" applyFill="1" applyBorder="1" applyAlignment="1">
      <alignment horizontal="right"/>
    </xf>
    <xf numFmtId="38" fontId="19"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18" fillId="5" borderId="19" xfId="0" applyNumberFormat="1" applyFont="1" applyFill="1" applyBorder="1" applyAlignment="1">
      <alignment horizontal="center"/>
    </xf>
    <xf numFmtId="6" fontId="18" fillId="5" borderId="20"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18" fillId="6" borderId="19" xfId="0" applyNumberFormat="1" applyFont="1" applyFill="1" applyBorder="1" applyAlignment="1">
      <alignment horizontal="center"/>
    </xf>
    <xf numFmtId="6" fontId="18"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18" fillId="7" borderId="19" xfId="0" applyNumberFormat="1" applyFont="1" applyFill="1" applyBorder="1" applyAlignment="1">
      <alignment horizontal="center"/>
    </xf>
    <xf numFmtId="6" fontId="18"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18" fillId="10" borderId="19" xfId="0" applyNumberFormat="1" applyFont="1" applyFill="1" applyBorder="1" applyAlignment="1">
      <alignment horizontal="center"/>
    </xf>
    <xf numFmtId="6" fontId="18" fillId="10" borderId="25" xfId="1" applyNumberFormat="1" applyFont="1" applyFill="1" applyBorder="1" applyAlignment="1">
      <alignment horizontal="right"/>
    </xf>
    <xf numFmtId="6" fontId="18"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18" fillId="8" borderId="19" xfId="0" applyNumberFormat="1" applyFont="1" applyFill="1" applyBorder="1" applyAlignment="1">
      <alignment horizontal="center"/>
    </xf>
    <xf numFmtId="6" fontId="18" fillId="8" borderId="25" xfId="1" applyNumberFormat="1" applyFont="1" applyFill="1" applyBorder="1" applyAlignment="1">
      <alignment horizontal="right"/>
    </xf>
    <xf numFmtId="6" fontId="18" fillId="8" borderId="20"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4" fillId="11" borderId="19" xfId="0" applyNumberFormat="1" applyFont="1" applyFill="1" applyBorder="1" applyAlignment="1">
      <alignment horizontal="center"/>
    </xf>
    <xf numFmtId="6" fontId="18"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18"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0" fillId="0" borderId="0" xfId="0" applyNumberFormat="1" applyFont="1"/>
    <xf numFmtId="41" fontId="11" fillId="0" borderId="0" xfId="0" applyNumberFormat="1" applyFont="1" applyBorder="1" applyAlignment="1">
      <alignment horizontal="center" vertical="center"/>
    </xf>
    <xf numFmtId="41" fontId="15" fillId="0" borderId="0" xfId="0" applyNumberFormat="1" applyFont="1" applyBorder="1" applyAlignment="1">
      <alignment vertical="center"/>
    </xf>
    <xf numFmtId="41" fontId="15" fillId="0" borderId="27" xfId="0" applyNumberFormat="1" applyFont="1" applyBorder="1" applyAlignment="1"/>
    <xf numFmtId="41" fontId="15" fillId="0" borderId="0" xfId="0" applyNumberFormat="1" applyFont="1" applyAlignment="1">
      <alignment vertical="center"/>
    </xf>
    <xf numFmtId="41" fontId="15" fillId="0" borderId="2" xfId="0" applyNumberFormat="1" applyFont="1" applyBorder="1" applyAlignment="1">
      <alignment vertical="center"/>
    </xf>
    <xf numFmtId="41" fontId="11" fillId="0" borderId="0" xfId="0" applyNumberFormat="1" applyFont="1" applyAlignment="1">
      <alignment vertical="center"/>
    </xf>
    <xf numFmtId="41" fontId="11" fillId="0" borderId="0" xfId="0" applyNumberFormat="1" applyFont="1" applyBorder="1" applyAlignment="1">
      <alignment vertical="center"/>
    </xf>
    <xf numFmtId="41" fontId="11" fillId="0" borderId="31" xfId="0" applyNumberFormat="1" applyFont="1" applyBorder="1" applyAlignment="1">
      <alignment vertical="center"/>
    </xf>
    <xf numFmtId="41" fontId="15" fillId="0" borderId="2" xfId="0" applyNumberFormat="1" applyFont="1" applyBorder="1" applyAlignment="1"/>
    <xf numFmtId="41" fontId="11" fillId="0" borderId="3" xfId="0" applyNumberFormat="1" applyFont="1" applyBorder="1" applyAlignment="1">
      <alignment vertical="center"/>
    </xf>
    <xf numFmtId="41" fontId="13" fillId="0" borderId="30" xfId="0" applyNumberFormat="1" applyFont="1" applyBorder="1" applyAlignment="1">
      <alignment vertical="center"/>
    </xf>
    <xf numFmtId="41" fontId="15" fillId="0" borderId="27" xfId="0" applyNumberFormat="1" applyFont="1" applyBorder="1" applyAlignment="1">
      <alignment vertical="center"/>
    </xf>
    <xf numFmtId="41" fontId="15" fillId="0" borderId="6" xfId="0" applyNumberFormat="1" applyFont="1" applyBorder="1" applyAlignment="1">
      <alignment vertical="center"/>
    </xf>
    <xf numFmtId="41" fontId="0" fillId="0" borderId="0" xfId="0" applyNumberFormat="1"/>
    <xf numFmtId="42" fontId="15" fillId="0" borderId="0" xfId="0" applyNumberFormat="1" applyFont="1" applyAlignment="1">
      <alignment vertical="center"/>
    </xf>
    <xf numFmtId="42" fontId="12" fillId="0" borderId="31" xfId="0" applyNumberFormat="1" applyFont="1" applyBorder="1" applyAlignment="1">
      <alignment vertical="center"/>
    </xf>
    <xf numFmtId="42" fontId="15" fillId="0" borderId="0" xfId="0" applyNumberFormat="1" applyFont="1" applyBorder="1" applyAlignment="1">
      <alignment vertical="center"/>
    </xf>
    <xf numFmtId="41" fontId="0" fillId="0" borderId="0" xfId="0" applyNumberFormat="1" applyFont="1" applyBorder="1" applyAlignment="1">
      <alignment vertical="center"/>
    </xf>
    <xf numFmtId="6" fontId="0" fillId="0" borderId="0" xfId="0" applyNumberFormat="1" applyFill="1" applyAlignment="1"/>
    <xf numFmtId="165" fontId="0" fillId="0" borderId="0" xfId="1" applyNumberFormat="1" applyFont="1" applyFill="1" applyBorder="1" applyAlignment="1"/>
    <xf numFmtId="42" fontId="0" fillId="0" borderId="0" xfId="0" applyNumberFormat="1" applyBorder="1"/>
    <xf numFmtId="42" fontId="3" fillId="0" borderId="0" xfId="0" applyNumberFormat="1" applyFont="1" applyFill="1" applyBorder="1" applyAlignment="1"/>
    <xf numFmtId="42" fontId="3" fillId="0" borderId="0" xfId="0" applyNumberFormat="1" applyFont="1" applyFill="1" applyBorder="1"/>
    <xf numFmtId="42" fontId="3" fillId="3" borderId="6" xfId="0" applyNumberFormat="1" applyFont="1" applyFill="1" applyBorder="1"/>
    <xf numFmtId="40" fontId="3" fillId="0" borderId="45" xfId="0" applyNumberFormat="1" applyFont="1" applyFill="1" applyBorder="1" applyAlignment="1">
      <alignment horizontal="center"/>
    </xf>
    <xf numFmtId="40" fontId="3" fillId="0" borderId="44" xfId="0" applyNumberFormat="1" applyFont="1" applyFill="1" applyBorder="1" applyAlignment="1">
      <alignment horizontal="center"/>
    </xf>
    <xf numFmtId="0" fontId="6" fillId="4" borderId="32" xfId="0" applyFont="1" applyFill="1" applyBorder="1" applyAlignment="1">
      <alignment vertical="center"/>
    </xf>
    <xf numFmtId="0" fontId="6" fillId="4" borderId="33" xfId="0" applyFont="1" applyFill="1" applyBorder="1" applyAlignment="1">
      <alignment vertical="center"/>
    </xf>
    <xf numFmtId="0" fontId="6" fillId="4" borderId="42" xfId="0" applyFont="1" applyFill="1" applyBorder="1" applyAlignment="1">
      <alignment vertical="center"/>
    </xf>
    <xf numFmtId="40" fontId="3" fillId="3" borderId="47" xfId="0" applyNumberFormat="1" applyFont="1" applyFill="1" applyBorder="1" applyAlignment="1">
      <alignment horizontal="center" vertical="center" wrapText="1"/>
    </xf>
    <xf numFmtId="0" fontId="6" fillId="3" borderId="35" xfId="0" applyFont="1" applyFill="1" applyBorder="1"/>
    <xf numFmtId="0" fontId="6" fillId="3" borderId="27" xfId="0" applyFont="1" applyFill="1" applyBorder="1"/>
    <xf numFmtId="0" fontId="6" fillId="3" borderId="27" xfId="0" applyFont="1" applyFill="1" applyBorder="1" applyAlignment="1">
      <alignment horizontal="center"/>
    </xf>
    <xf numFmtId="14" fontId="6" fillId="3" borderId="27" xfId="0" applyNumberFormat="1" applyFont="1" applyFill="1" applyBorder="1" applyAlignment="1">
      <alignment horizontal="center"/>
    </xf>
    <xf numFmtId="42" fontId="23" fillId="0" borderId="0" xfId="0" applyNumberFormat="1" applyFont="1" applyAlignment="1">
      <alignment horizontal="right" vertical="center"/>
    </xf>
    <xf numFmtId="41" fontId="0" fillId="0" borderId="0" xfId="0" applyNumberFormat="1" applyBorder="1" applyAlignment="1">
      <alignment vertical="center"/>
    </xf>
    <xf numFmtId="42" fontId="15" fillId="0" borderId="0" xfId="0" applyNumberFormat="1" applyFont="1" applyFill="1" applyAlignment="1">
      <alignment vertical="center"/>
    </xf>
    <xf numFmtId="41" fontId="15" fillId="0" borderId="0" xfId="0" applyNumberFormat="1" applyFont="1" applyFill="1" applyAlignment="1">
      <alignment vertical="center"/>
    </xf>
    <xf numFmtId="41" fontId="15" fillId="0" borderId="27" xfId="0" applyNumberFormat="1" applyFont="1" applyFill="1" applyBorder="1" applyAlignment="1">
      <alignment vertical="center"/>
    </xf>
    <xf numFmtId="49" fontId="11" fillId="0" borderId="0" xfId="0" applyNumberFormat="1" applyFont="1" applyBorder="1" applyAlignment="1"/>
    <xf numFmtId="41" fontId="15" fillId="0" borderId="0" xfId="0" applyNumberFormat="1" applyFont="1" applyBorder="1" applyAlignment="1"/>
    <xf numFmtId="49" fontId="12" fillId="0" borderId="0" xfId="0" applyNumberFormat="1" applyFont="1" applyBorder="1" applyAlignment="1">
      <alignment vertical="center"/>
    </xf>
    <xf numFmtId="42" fontId="12" fillId="0" borderId="0" xfId="0" applyNumberFormat="1" applyFont="1" applyBorder="1" applyAlignment="1">
      <alignment vertical="center"/>
    </xf>
    <xf numFmtId="41" fontId="13" fillId="0" borderId="0" xfId="0" applyNumberFormat="1" applyFont="1" applyBorder="1" applyAlignment="1">
      <alignment vertical="center"/>
    </xf>
    <xf numFmtId="49" fontId="16" fillId="0" borderId="0" xfId="0" applyNumberFormat="1" applyFont="1" applyBorder="1" applyAlignment="1">
      <alignment vertical="center"/>
    </xf>
    <xf numFmtId="41" fontId="0" fillId="0" borderId="0" xfId="0" applyNumberFormat="1" applyBorder="1"/>
    <xf numFmtId="42" fontId="11" fillId="0" borderId="0" xfId="0" applyNumberFormat="1" applyFont="1" applyBorder="1" applyAlignment="1">
      <alignment vertical="center"/>
    </xf>
    <xf numFmtId="0" fontId="24" fillId="0" borderId="0" xfId="0" applyFont="1" applyBorder="1"/>
    <xf numFmtId="41" fontId="24" fillId="0" borderId="0" xfId="0" applyNumberFormat="1" applyFont="1" applyBorder="1" applyAlignment="1">
      <alignment vertical="center"/>
    </xf>
    <xf numFmtId="41" fontId="15" fillId="0" borderId="0" xfId="0" applyNumberFormat="1" applyFont="1" applyBorder="1" applyAlignment="1">
      <alignment horizontal="right" vertical="center"/>
    </xf>
    <xf numFmtId="41" fontId="24" fillId="0" borderId="0" xfId="0" applyNumberFormat="1" applyFont="1" applyBorder="1"/>
    <xf numFmtId="0" fontId="0" fillId="0" borderId="0" xfId="0" applyFill="1" applyBorder="1" applyAlignment="1">
      <alignment horizontal="left"/>
    </xf>
    <xf numFmtId="6" fontId="4" fillId="13" borderId="38" xfId="1" applyNumberFormat="1" applyFont="1" applyFill="1" applyBorder="1" applyAlignment="1">
      <alignment horizontal="right"/>
    </xf>
    <xf numFmtId="0" fontId="25" fillId="0" borderId="0" xfId="0" applyNumberFormat="1" applyFont="1"/>
    <xf numFmtId="38" fontId="15" fillId="0" borderId="0" xfId="0" applyNumberFormat="1" applyFont="1" applyBorder="1" applyAlignment="1">
      <alignment vertical="center"/>
    </xf>
    <xf numFmtId="166" fontId="26" fillId="0" borderId="27" xfId="0" applyNumberFormat="1" applyFont="1" applyBorder="1" applyAlignment="1">
      <alignment horizontal="center"/>
    </xf>
    <xf numFmtId="10" fontId="0" fillId="0" borderId="0" xfId="0" applyNumberFormat="1" applyFill="1" applyBorder="1" applyAlignment="1"/>
    <xf numFmtId="0" fontId="27" fillId="0" borderId="0" xfId="0" applyFont="1" applyFill="1" applyBorder="1" applyAlignment="1">
      <alignment horizontal="left"/>
    </xf>
    <xf numFmtId="42" fontId="6" fillId="3" borderId="46" xfId="1" applyNumberFormat="1" applyFont="1" applyFill="1" applyBorder="1" applyAlignment="1"/>
    <xf numFmtId="42" fontId="3" fillId="3" borderId="35" xfId="0" applyNumberFormat="1" applyFont="1" applyFill="1" applyBorder="1"/>
    <xf numFmtId="0" fontId="0" fillId="0" borderId="49" xfId="0" applyFill="1" applyBorder="1"/>
    <xf numFmtId="0" fontId="0" fillId="0" borderId="46" xfId="0" applyFill="1" applyBorder="1"/>
    <xf numFmtId="42" fontId="3" fillId="3" borderId="27" xfId="0" applyNumberFormat="1" applyFont="1" applyFill="1" applyBorder="1"/>
    <xf numFmtId="42" fontId="3"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0" fontId="0" fillId="0" borderId="46" xfId="0" applyFill="1" applyBorder="1" applyAlignment="1">
      <alignment horizontal="center"/>
    </xf>
    <xf numFmtId="42" fontId="3"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3" fillId="3" borderId="27" xfId="0" applyNumberFormat="1" applyFont="1" applyFill="1" applyBorder="1" applyAlignment="1"/>
    <xf numFmtId="42" fontId="3" fillId="3" borderId="52" xfId="0" applyNumberFormat="1" applyFont="1" applyFill="1" applyBorder="1" applyAlignment="1"/>
    <xf numFmtId="42" fontId="3" fillId="3" borderId="53" xfId="0" applyNumberFormat="1" applyFont="1" applyFill="1" applyBorder="1" applyAlignment="1"/>
    <xf numFmtId="0" fontId="6" fillId="4" borderId="34" xfId="0" applyFont="1" applyFill="1" applyBorder="1"/>
    <xf numFmtId="0" fontId="4" fillId="4" borderId="28" xfId="0" applyFont="1" applyFill="1" applyBorder="1"/>
    <xf numFmtId="0" fontId="4" fillId="4" borderId="28" xfId="0" applyFont="1" applyFill="1" applyBorder="1" applyAlignment="1">
      <alignment horizontal="center"/>
    </xf>
    <xf numFmtId="0" fontId="0" fillId="0" borderId="16" xfId="0" applyFill="1" applyBorder="1" applyAlignment="1">
      <alignment horizontal="left"/>
    </xf>
    <xf numFmtId="0" fontId="0" fillId="0" borderId="29" xfId="0" applyFill="1" applyBorder="1" applyAlignment="1">
      <alignment horizontal="left"/>
    </xf>
    <xf numFmtId="40" fontId="4"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4" fillId="4" borderId="41" xfId="0" applyNumberFormat="1" applyFont="1" applyFill="1" applyBorder="1" applyAlignment="1"/>
    <xf numFmtId="40" fontId="4" fillId="4" borderId="36" xfId="0" applyNumberFormat="1" applyFont="1" applyFill="1" applyBorder="1" applyAlignment="1"/>
    <xf numFmtId="14" fontId="0" fillId="0" borderId="48" xfId="0" applyNumberFormat="1" applyFill="1" applyBorder="1" applyAlignment="1">
      <alignment horizontal="center"/>
    </xf>
    <xf numFmtId="38" fontId="0" fillId="0" borderId="48" xfId="1"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28" fillId="0" borderId="0" xfId="0" applyNumberFormat="1" applyFont="1" applyBorder="1" applyAlignment="1">
      <alignment horizontal="center"/>
    </xf>
    <xf numFmtId="0" fontId="22" fillId="0" borderId="0" xfId="0" applyNumberFormat="1" applyFont="1"/>
    <xf numFmtId="14" fontId="0" fillId="0" borderId="29" xfId="0" applyNumberFormat="1" applyFill="1" applyBorder="1" applyAlignment="1">
      <alignment horizontal="center"/>
    </xf>
    <xf numFmtId="14" fontId="0" fillId="0" borderId="53" xfId="0" applyNumberFormat="1" applyFill="1" applyBorder="1" applyAlignment="1">
      <alignment horizontal="center"/>
    </xf>
    <xf numFmtId="0" fontId="3" fillId="3" borderId="44" xfId="0" applyFont="1" applyFill="1" applyBorder="1" applyAlignment="1">
      <alignment horizontal="center" vertical="center"/>
    </xf>
    <xf numFmtId="42" fontId="3" fillId="3" borderId="32" xfId="0" applyNumberFormat="1" applyFont="1" applyFill="1" applyBorder="1"/>
    <xf numFmtId="42" fontId="3" fillId="3" borderId="33" xfId="0" applyNumberFormat="1" applyFont="1" applyFill="1" applyBorder="1"/>
    <xf numFmtId="42" fontId="3" fillId="3" borderId="42" xfId="0" applyNumberFormat="1" applyFont="1" applyFill="1" applyBorder="1"/>
    <xf numFmtId="40" fontId="3" fillId="3" borderId="44" xfId="0" applyNumberFormat="1" applyFont="1" applyFill="1" applyBorder="1" applyAlignment="1">
      <alignment horizontal="center" vertical="center"/>
    </xf>
    <xf numFmtId="40" fontId="3" fillId="3" borderId="44" xfId="0" applyNumberFormat="1" applyFont="1" applyFill="1" applyBorder="1" applyAlignment="1">
      <alignment horizontal="center" vertical="center" wrapText="1"/>
    </xf>
    <xf numFmtId="0" fontId="0" fillId="0" borderId="57" xfId="0" applyBorder="1" applyAlignment="1">
      <alignment horizontal="center" vertical="center"/>
    </xf>
    <xf numFmtId="42" fontId="11" fillId="0" borderId="31" xfId="0" applyNumberFormat="1" applyFont="1" applyBorder="1" applyAlignment="1">
      <alignment vertical="center"/>
    </xf>
    <xf numFmtId="41" fontId="15" fillId="0" borderId="0" xfId="0" applyNumberFormat="1" applyFont="1" applyFill="1" applyBorder="1" applyAlignment="1">
      <alignment vertical="center"/>
    </xf>
    <xf numFmtId="166" fontId="26" fillId="0" borderId="0" xfId="0" applyNumberFormat="1" applyFont="1" applyBorder="1" applyAlignment="1">
      <alignment horizontal="center"/>
    </xf>
    <xf numFmtId="41" fontId="13" fillId="0" borderId="57" xfId="0" applyNumberFormat="1" applyFont="1" applyBorder="1" applyAlignment="1">
      <alignment vertical="center"/>
    </xf>
    <xf numFmtId="41" fontId="11" fillId="0" borderId="57" xfId="0" applyNumberFormat="1" applyFont="1" applyBorder="1" applyAlignment="1">
      <alignment vertical="center"/>
    </xf>
    <xf numFmtId="42" fontId="15" fillId="0" borderId="0" xfId="0" applyNumberFormat="1" applyFont="1" applyFill="1" applyBorder="1" applyAlignment="1">
      <alignment vertical="center"/>
    </xf>
    <xf numFmtId="41" fontId="18" fillId="5" borderId="16" xfId="0" applyNumberFormat="1" applyFont="1" applyFill="1" applyBorder="1" applyAlignment="1">
      <alignment horizontal="left"/>
    </xf>
    <xf numFmtId="41" fontId="18" fillId="5" borderId="1" xfId="0" applyNumberFormat="1" applyFont="1" applyFill="1" applyBorder="1" applyAlignment="1"/>
    <xf numFmtId="41" fontId="18" fillId="5" borderId="9" xfId="0" applyNumberFormat="1" applyFont="1" applyFill="1" applyBorder="1" applyAlignment="1"/>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4" xfId="0" applyFill="1" applyBorder="1"/>
    <xf numFmtId="41" fontId="0" fillId="0" borderId="55" xfId="1" applyNumberFormat="1" applyFont="1" applyFill="1" applyBorder="1" applyAlignment="1"/>
    <xf numFmtId="41" fontId="0" fillId="0" borderId="56" xfId="1" applyNumberFormat="1" applyFont="1" applyFill="1" applyBorder="1" applyAlignment="1"/>
    <xf numFmtId="0" fontId="0" fillId="0" borderId="15" xfId="0" applyFill="1" applyBorder="1"/>
    <xf numFmtId="41" fontId="0" fillId="0" borderId="58"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29" fillId="0" borderId="0" xfId="0" applyNumberFormat="1" applyFont="1" applyBorder="1" applyAlignment="1">
      <alignment vertical="center"/>
    </xf>
    <xf numFmtId="49" fontId="18" fillId="12" borderId="34" xfId="0" applyNumberFormat="1" applyFont="1" applyFill="1" applyBorder="1"/>
    <xf numFmtId="49" fontId="18" fillId="12" borderId="28" xfId="0" applyNumberFormat="1" applyFont="1" applyFill="1" applyBorder="1"/>
    <xf numFmtId="6" fontId="18" fillId="12" borderId="39" xfId="1" applyNumberFormat="1" applyFont="1" applyFill="1" applyBorder="1" applyAlignment="1">
      <alignment horizontal="right"/>
    </xf>
    <xf numFmtId="49" fontId="18" fillId="12" borderId="16" xfId="0" applyNumberFormat="1" applyFont="1" applyFill="1" applyBorder="1"/>
    <xf numFmtId="49" fontId="18" fillId="12" borderId="24" xfId="0" applyNumberFormat="1" applyFont="1" applyFill="1" applyBorder="1"/>
    <xf numFmtId="6" fontId="18" fillId="12" borderId="40" xfId="1" applyNumberFormat="1" applyFont="1" applyFill="1" applyBorder="1" applyAlignment="1">
      <alignment horizontal="right"/>
    </xf>
    <xf numFmtId="49" fontId="19" fillId="12" borderId="0" xfId="0" applyNumberFormat="1" applyFont="1" applyFill="1" applyBorder="1"/>
    <xf numFmtId="49" fontId="19" fillId="12" borderId="2" xfId="0" applyNumberFormat="1" applyFont="1" applyFill="1" applyBorder="1"/>
    <xf numFmtId="0" fontId="28"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2" fillId="0" borderId="57" xfId="0" applyNumberFormat="1" applyFont="1" applyBorder="1" applyAlignment="1">
      <alignment vertical="center"/>
    </xf>
    <xf numFmtId="38" fontId="18" fillId="12" borderId="39" xfId="1" applyNumberFormat="1" applyFont="1" applyFill="1" applyBorder="1" applyAlignment="1">
      <alignment horizontal="right"/>
    </xf>
    <xf numFmtId="49" fontId="18"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0" fillId="0" borderId="0" xfId="0" applyNumberFormat="1" applyFont="1"/>
    <xf numFmtId="8" fontId="0" fillId="0" borderId="0" xfId="0" applyNumberFormat="1" applyBorder="1" applyAlignment="1">
      <alignment horizontal="center" vertical="center"/>
    </xf>
    <xf numFmtId="8" fontId="14"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2" fillId="0" borderId="0" xfId="0" applyNumberFormat="1" applyFont="1" applyBorder="1" applyAlignment="1">
      <alignment vertical="center"/>
    </xf>
    <xf numFmtId="8" fontId="8"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18" fillId="9" borderId="16" xfId="0" applyNumberFormat="1" applyFont="1" applyFill="1" applyBorder="1"/>
    <xf numFmtId="49" fontId="18" fillId="9" borderId="24" xfId="0" applyNumberFormat="1" applyFont="1" applyFill="1" applyBorder="1"/>
    <xf numFmtId="49" fontId="18" fillId="14" borderId="33" xfId="0" applyNumberFormat="1" applyFont="1" applyFill="1" applyBorder="1"/>
    <xf numFmtId="6" fontId="18" fillId="14" borderId="38" xfId="1" applyNumberFormat="1" applyFont="1" applyFill="1" applyBorder="1" applyAlignment="1">
      <alignment horizontal="right"/>
    </xf>
    <xf numFmtId="38" fontId="18" fillId="14" borderId="38" xfId="1" applyNumberFormat="1" applyFont="1" applyFill="1" applyBorder="1" applyAlignment="1">
      <alignment horizontal="right"/>
    </xf>
    <xf numFmtId="42" fontId="3" fillId="3" borderId="60" xfId="1" applyNumberFormat="1" applyFont="1" applyFill="1" applyBorder="1" applyAlignment="1"/>
    <xf numFmtId="42" fontId="3" fillId="3" borderId="38" xfId="1" applyNumberFormat="1" applyFont="1" applyFill="1" applyBorder="1" applyAlignment="1"/>
    <xf numFmtId="42" fontId="3" fillId="3" borderId="61" xfId="1" applyNumberFormat="1" applyFont="1" applyFill="1" applyBorder="1" applyAlignment="1"/>
    <xf numFmtId="42" fontId="3" fillId="3" borderId="62" xfId="1" applyNumberFormat="1" applyFont="1" applyFill="1" applyBorder="1" applyAlignment="1"/>
    <xf numFmtId="41" fontId="24" fillId="0" borderId="27" xfId="0" applyNumberFormat="1" applyFont="1" applyBorder="1" applyAlignment="1">
      <alignment vertical="center"/>
    </xf>
    <xf numFmtId="42" fontId="24" fillId="0" borderId="0" xfId="0" applyNumberFormat="1" applyFont="1" applyBorder="1" applyAlignment="1">
      <alignment vertical="center"/>
    </xf>
    <xf numFmtId="42" fontId="0" fillId="0" borderId="0" xfId="0" applyNumberFormat="1" applyFont="1" applyBorder="1" applyAlignment="1">
      <alignment vertical="center"/>
    </xf>
    <xf numFmtId="41" fontId="30"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7" xfId="0" applyNumberFormat="1" applyBorder="1" applyAlignment="1">
      <alignment horizontal="right"/>
    </xf>
    <xf numFmtId="41" fontId="11" fillId="0" borderId="0" xfId="0" applyNumberFormat="1" applyFont="1" applyFill="1" applyBorder="1" applyAlignment="1">
      <alignment vertical="center"/>
    </xf>
    <xf numFmtId="42" fontId="12"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5" fillId="0" borderId="0" xfId="0" applyNumberFormat="1" applyFont="1" applyAlignment="1">
      <alignment vertical="center"/>
    </xf>
    <xf numFmtId="49" fontId="15" fillId="0" borderId="0" xfId="0" applyNumberFormat="1" applyFont="1" applyFill="1" applyBorder="1" applyAlignment="1">
      <alignment vertical="center"/>
    </xf>
    <xf numFmtId="49" fontId="15" fillId="0" borderId="0" xfId="0" applyNumberFormat="1" applyFont="1" applyFill="1" applyAlignment="1">
      <alignment vertical="center"/>
    </xf>
    <xf numFmtId="49" fontId="11" fillId="0" borderId="0" xfId="0" applyNumberFormat="1" applyFont="1" applyFill="1" applyAlignment="1">
      <alignment vertical="center"/>
    </xf>
    <xf numFmtId="49" fontId="11" fillId="0" borderId="27" xfId="0" applyNumberFormat="1" applyFont="1" applyFill="1" applyBorder="1" applyAlignment="1">
      <alignment vertical="center"/>
    </xf>
    <xf numFmtId="49" fontId="11"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16" fillId="0" borderId="0" xfId="0" applyNumberFormat="1" applyFont="1" applyFill="1" applyBorder="1" applyAlignment="1">
      <alignment vertical="center"/>
    </xf>
    <xf numFmtId="0" fontId="8" fillId="0" borderId="0" xfId="0" applyNumberFormat="1" applyFont="1" applyFill="1"/>
    <xf numFmtId="41" fontId="15" fillId="0" borderId="2" xfId="0" applyNumberFormat="1" applyFont="1" applyFill="1" applyBorder="1" applyAlignment="1">
      <alignment vertical="center"/>
    </xf>
    <xf numFmtId="41" fontId="24" fillId="0" borderId="0" xfId="0" applyNumberFormat="1" applyFont="1" applyFill="1" applyBorder="1" applyAlignment="1">
      <alignment vertical="center"/>
    </xf>
    <xf numFmtId="41" fontId="15" fillId="0" borderId="0" xfId="0" applyNumberFormat="1" applyFont="1" applyFill="1" applyBorder="1" applyAlignment="1">
      <alignment horizontal="right" vertical="center"/>
    </xf>
    <xf numFmtId="0" fontId="3" fillId="3" borderId="47" xfId="0" applyFont="1" applyFill="1" applyBorder="1" applyAlignment="1">
      <alignment horizontal="center" vertical="center"/>
    </xf>
    <xf numFmtId="42" fontId="8" fillId="0" borderId="0" xfId="0" applyNumberFormat="1" applyFont="1" applyBorder="1" applyAlignment="1">
      <alignment vertical="center"/>
    </xf>
    <xf numFmtId="0" fontId="24" fillId="0" borderId="0" xfId="0" applyFont="1" applyBorder="1" applyAlignment="1">
      <alignment vertical="center"/>
    </xf>
    <xf numFmtId="0" fontId="11" fillId="0" borderId="0" xfId="0" applyFont="1" applyBorder="1" applyAlignment="1">
      <alignment vertical="center"/>
    </xf>
    <xf numFmtId="0" fontId="24" fillId="0" borderId="27" xfId="0" applyFont="1" applyBorder="1" applyAlignment="1">
      <alignment vertical="center"/>
    </xf>
    <xf numFmtId="41" fontId="13" fillId="0" borderId="30" xfId="0" applyNumberFormat="1" applyFont="1" applyBorder="1" applyAlignment="1">
      <alignment horizontal="center" vertical="center"/>
    </xf>
    <xf numFmtId="49" fontId="15" fillId="0" borderId="0" xfId="0" applyNumberFormat="1" applyFont="1" applyAlignment="1">
      <alignment vertical="center"/>
    </xf>
    <xf numFmtId="49" fontId="15" fillId="0" borderId="27" xfId="0" applyNumberFormat="1" applyFont="1" applyBorder="1" applyAlignment="1">
      <alignment vertical="center"/>
    </xf>
    <xf numFmtId="49" fontId="11" fillId="0" borderId="0" xfId="0" applyNumberFormat="1" applyFont="1" applyAlignment="1">
      <alignment wrapText="1"/>
    </xf>
    <xf numFmtId="166" fontId="26" fillId="0" borderId="27" xfId="0" applyNumberFormat="1" applyFont="1" applyBorder="1" applyAlignment="1">
      <alignment horizontal="center" vertical="center" wrapText="1"/>
    </xf>
    <xf numFmtId="41" fontId="8" fillId="0" borderId="0" xfId="0" applyNumberFormat="1" applyFont="1"/>
    <xf numFmtId="10" fontId="11" fillId="0" borderId="0" xfId="0" applyNumberFormat="1" applyFont="1" applyAlignment="1">
      <alignment vertical="center"/>
    </xf>
    <xf numFmtId="0" fontId="24" fillId="0" borderId="30" xfId="0" applyFont="1" applyBorder="1" applyAlignment="1">
      <alignment horizontal="center" vertical="center"/>
    </xf>
    <xf numFmtId="165" fontId="7" fillId="0" borderId="0" xfId="0" applyNumberFormat="1" applyFont="1" applyBorder="1" applyAlignment="1">
      <alignment horizontal="center" vertical="center"/>
    </xf>
    <xf numFmtId="165" fontId="7" fillId="0" borderId="27" xfId="0" applyNumberFormat="1" applyFont="1" applyBorder="1" applyAlignment="1">
      <alignment horizontal="center" vertical="center"/>
    </xf>
    <xf numFmtId="0" fontId="24" fillId="0" borderId="30" xfId="0" applyFont="1" applyBorder="1" applyAlignment="1">
      <alignment horizontal="right" vertical="center"/>
    </xf>
    <xf numFmtId="8" fontId="42" fillId="0" borderId="0" xfId="0" applyNumberFormat="1" applyFont="1" applyAlignment="1">
      <alignment vertical="center"/>
    </xf>
    <xf numFmtId="0" fontId="42" fillId="0" borderId="0" xfId="0" applyFont="1" applyAlignment="1">
      <alignment vertical="center"/>
    </xf>
    <xf numFmtId="0" fontId="42" fillId="0" borderId="0" xfId="0" applyFont="1"/>
    <xf numFmtId="8" fontId="42" fillId="0" borderId="0" xfId="0" applyNumberFormat="1" applyFont="1"/>
    <xf numFmtId="49" fontId="15"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6" fontId="18" fillId="9" borderId="40" xfId="1" applyNumberFormat="1" applyFont="1" applyFill="1" applyBorder="1" applyAlignment="1">
      <alignment horizontal="right"/>
    </xf>
    <xf numFmtId="165" fontId="43" fillId="0" borderId="0" xfId="0" applyNumberFormat="1" applyFont="1" applyBorder="1" applyAlignment="1">
      <alignment horizontal="center" vertical="center"/>
    </xf>
    <xf numFmtId="0" fontId="25" fillId="0" borderId="0" xfId="0" applyNumberFormat="1" applyFont="1" applyFill="1"/>
    <xf numFmtId="38" fontId="0" fillId="0" borderId="48" xfId="1" applyNumberFormat="1" applyFont="1" applyFill="1" applyBorder="1" applyAlignment="1">
      <alignment horizontal="right"/>
    </xf>
    <xf numFmtId="6" fontId="19" fillId="9" borderId="0" xfId="0" applyNumberFormat="1" applyFont="1" applyFill="1" applyBorder="1"/>
    <xf numFmtId="6" fontId="18" fillId="9" borderId="19" xfId="0" applyNumberFormat="1" applyFont="1" applyFill="1" applyBorder="1" applyAlignment="1">
      <alignment horizontal="center"/>
    </xf>
    <xf numFmtId="38" fontId="18" fillId="9" borderId="9" xfId="1" applyNumberFormat="1" applyFont="1" applyFill="1" applyBorder="1" applyAlignment="1">
      <alignment horizontal="right"/>
    </xf>
    <xf numFmtId="38" fontId="18" fillId="9" borderId="1" xfId="1" applyNumberFormat="1" applyFont="1" applyFill="1" applyBorder="1" applyAlignment="1">
      <alignment horizontal="right"/>
    </xf>
    <xf numFmtId="38" fontId="18" fillId="9" borderId="4" xfId="1" applyNumberFormat="1" applyFont="1" applyFill="1" applyBorder="1" applyAlignment="1">
      <alignment horizontal="right"/>
    </xf>
    <xf numFmtId="6" fontId="18" fillId="0" borderId="0" xfId="1" applyNumberFormat="1" applyFont="1" applyFill="1" applyBorder="1" applyAlignment="1">
      <alignment horizontal="right"/>
    </xf>
    <xf numFmtId="6" fontId="18" fillId="15" borderId="38" xfId="1" applyNumberFormat="1" applyFont="1" applyFill="1" applyBorder="1" applyAlignment="1">
      <alignment horizontal="right"/>
    </xf>
    <xf numFmtId="38" fontId="18" fillId="15" borderId="38" xfId="1" applyNumberFormat="1" applyFont="1" applyFill="1" applyBorder="1" applyAlignment="1">
      <alignment horizontal="right"/>
    </xf>
    <xf numFmtId="0" fontId="28" fillId="0" borderId="0" xfId="0" applyNumberFormat="1" applyFont="1" applyFill="1" applyBorder="1" applyAlignment="1">
      <alignment horizontal="center"/>
    </xf>
    <xf numFmtId="42" fontId="3" fillId="2" borderId="44" xfId="0" applyNumberFormat="1" applyFont="1" applyFill="1" applyBorder="1" applyAlignment="1"/>
    <xf numFmtId="40" fontId="45" fillId="0" borderId="0" xfId="0" applyNumberFormat="1" applyFont="1" applyAlignment="1">
      <alignment horizontal="center" vertical="center"/>
    </xf>
    <xf numFmtId="165" fontId="44" fillId="0" borderId="0" xfId="0" applyNumberFormat="1" applyFont="1" applyBorder="1" applyAlignment="1">
      <alignment horizontal="center" vertical="center"/>
    </xf>
    <xf numFmtId="167" fontId="35" fillId="0" borderId="0" xfId="0" applyNumberFormat="1" applyFont="1" applyFill="1" applyAlignment="1">
      <alignment horizontal="right" wrapText="1"/>
    </xf>
    <xf numFmtId="0" fontId="35" fillId="0" borderId="0" xfId="0" applyFont="1" applyFill="1" applyAlignment="1">
      <alignment horizontal="right" wrapText="1"/>
    </xf>
    <xf numFmtId="41" fontId="35" fillId="0" borderId="0" xfId="0" applyNumberFormat="1" applyFont="1" applyFill="1" applyAlignment="1">
      <alignment horizontal="center" wrapText="1"/>
    </xf>
    <xf numFmtId="0" fontId="34" fillId="0" borderId="0" xfId="0" applyFont="1" applyFill="1" applyAlignment="1">
      <alignment horizontal="left" vertical="center" wrapText="1"/>
    </xf>
    <xf numFmtId="0" fontId="38" fillId="0" borderId="0" xfId="0" quotePrefix="1" applyFont="1" applyFill="1" applyAlignment="1">
      <alignment horizontal="center" vertical="center" wrapText="1"/>
    </xf>
    <xf numFmtId="42" fontId="35" fillId="0" borderId="31" xfId="0" applyNumberFormat="1" applyFont="1" applyFill="1" applyBorder="1" applyAlignment="1">
      <alignment horizontal="center" vertical="center" wrapText="1"/>
    </xf>
    <xf numFmtId="167" fontId="35" fillId="0" borderId="0" xfId="0" applyNumberFormat="1" applyFont="1" applyFill="1" applyAlignment="1">
      <alignment horizontal="center" wrapText="1"/>
    </xf>
    <xf numFmtId="6" fontId="35" fillId="0" borderId="31" xfId="0" applyNumberFormat="1" applyFont="1" applyFill="1" applyBorder="1" applyAlignment="1">
      <alignment horizontal="right" wrapText="1"/>
    </xf>
    <xf numFmtId="42" fontId="35" fillId="0" borderId="31" xfId="0" applyNumberFormat="1" applyFont="1" applyFill="1" applyBorder="1" applyAlignment="1">
      <alignment horizontal="left" vertical="center" wrapText="1"/>
    </xf>
    <xf numFmtId="0" fontId="41" fillId="0" borderId="0" xfId="0" applyFont="1" applyFill="1" applyAlignment="1">
      <alignment horizontal="center" wrapText="1"/>
    </xf>
    <xf numFmtId="0" fontId="34" fillId="0" borderId="0" xfId="0" applyFont="1" applyFill="1" applyAlignment="1">
      <alignment horizontal="center" vertical="center"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center" vertical="center" wrapText="1"/>
    </xf>
    <xf numFmtId="38" fontId="19" fillId="9" borderId="9" xfId="1" applyNumberFormat="1" applyFont="1" applyFill="1" applyBorder="1" applyAlignment="1">
      <alignment horizontal="right"/>
    </xf>
    <xf numFmtId="38" fontId="19" fillId="9" borderId="10" xfId="1" applyNumberFormat="1" applyFont="1" applyFill="1" applyBorder="1" applyAlignment="1">
      <alignment horizontal="right"/>
    </xf>
    <xf numFmtId="38" fontId="19" fillId="12" borderId="9" xfId="1" applyNumberFormat="1" applyFont="1" applyFill="1" applyBorder="1" applyAlignment="1">
      <alignment horizontal="right"/>
    </xf>
    <xf numFmtId="38" fontId="19" fillId="12" borderId="10" xfId="1" applyNumberFormat="1" applyFont="1" applyFill="1" applyBorder="1" applyAlignment="1">
      <alignment horizontal="right"/>
    </xf>
    <xf numFmtId="6" fontId="18" fillId="13" borderId="33" xfId="0" applyNumberFormat="1" applyFont="1" applyFill="1" applyBorder="1" applyAlignment="1">
      <alignment horizontal="center" vertical="center"/>
    </xf>
    <xf numFmtId="49" fontId="18" fillId="15" borderId="33" xfId="0" applyNumberFormat="1" applyFont="1" applyFill="1" applyBorder="1" applyAlignment="1">
      <alignment vertical="center"/>
    </xf>
    <xf numFmtId="49" fontId="18" fillId="15" borderId="32" xfId="0" applyNumberFormat="1" applyFont="1" applyFill="1" applyBorder="1" applyAlignment="1">
      <alignment vertical="center"/>
    </xf>
    <xf numFmtId="49" fontId="18" fillId="16" borderId="33" xfId="0" applyNumberFormat="1" applyFont="1" applyFill="1" applyBorder="1"/>
    <xf numFmtId="6" fontId="18" fillId="16" borderId="38" xfId="1" applyNumberFormat="1" applyFont="1" applyFill="1" applyBorder="1" applyAlignment="1">
      <alignment horizontal="right"/>
    </xf>
    <xf numFmtId="38" fontId="18" fillId="16" borderId="38" xfId="1" applyNumberFormat="1" applyFont="1" applyFill="1" applyBorder="1" applyAlignment="1">
      <alignment horizontal="right"/>
    </xf>
    <xf numFmtId="49" fontId="18" fillId="16" borderId="32" xfId="0" applyNumberFormat="1" applyFont="1" applyFill="1" applyBorder="1" applyAlignment="1">
      <alignment vertical="center"/>
    </xf>
    <xf numFmtId="43" fontId="0" fillId="0" borderId="49" xfId="1" applyNumberFormat="1" applyFont="1" applyFill="1" applyBorder="1" applyAlignment="1"/>
    <xf numFmtId="0" fontId="10" fillId="0" borderId="0" xfId="0" applyFont="1" applyBorder="1"/>
    <xf numFmtId="165" fontId="44" fillId="0" borderId="27" xfId="0" applyNumberFormat="1" applyFont="1" applyBorder="1" applyAlignment="1">
      <alignment horizontal="center" vertical="center"/>
    </xf>
    <xf numFmtId="42" fontId="24" fillId="0" borderId="31" xfId="0" applyNumberFormat="1" applyFont="1" applyBorder="1" applyAlignment="1">
      <alignment vertical="center"/>
    </xf>
    <xf numFmtId="166" fontId="19" fillId="0" borderId="27" xfId="0" applyNumberFormat="1" applyFont="1" applyBorder="1" applyAlignment="1">
      <alignment horizontal="center"/>
    </xf>
    <xf numFmtId="41" fontId="15" fillId="0" borderId="19" xfId="0" applyNumberFormat="1" applyFont="1" applyFill="1" applyBorder="1" applyAlignment="1">
      <alignment vertical="center"/>
    </xf>
    <xf numFmtId="42" fontId="15" fillId="0" borderId="27" xfId="0" applyNumberFormat="1" applyFont="1" applyFill="1" applyBorder="1" applyAlignment="1">
      <alignment vertical="center"/>
    </xf>
    <xf numFmtId="42" fontId="15" fillId="0" borderId="31" xfId="0" applyNumberFormat="1" applyFont="1" applyFill="1" applyBorder="1" applyAlignment="1">
      <alignment vertical="center"/>
    </xf>
    <xf numFmtId="0" fontId="3" fillId="0" borderId="0" xfId="0" applyFont="1" applyBorder="1" applyAlignment="1">
      <alignment horizontal="center" vertical="center" wrapText="1"/>
    </xf>
    <xf numFmtId="41" fontId="3" fillId="0" borderId="0" xfId="0" applyNumberFormat="1" applyFont="1" applyBorder="1" applyAlignment="1">
      <alignment horizontal="center" vertical="center" wrapText="1"/>
    </xf>
    <xf numFmtId="3" fontId="0" fillId="0" borderId="0" xfId="0" applyNumberFormat="1" applyBorder="1" applyAlignment="1">
      <alignment vertical="center"/>
    </xf>
    <xf numFmtId="0" fontId="38" fillId="0" borderId="0" xfId="0" applyFont="1" applyFill="1" applyAlignment="1">
      <alignment horizontal="right" vertical="center" wrapText="1"/>
    </xf>
    <xf numFmtId="42" fontId="35"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4" fillId="0" borderId="0" xfId="0" applyFont="1" applyFill="1" applyAlignment="1">
      <alignment horizontal="left" vertical="top" wrapText="1"/>
    </xf>
    <xf numFmtId="38" fontId="0" fillId="0" borderId="0" xfId="0" applyNumberFormat="1" applyFill="1"/>
    <xf numFmtId="0" fontId="21" fillId="0" borderId="11" xfId="0" applyFont="1" applyFill="1" applyBorder="1" applyAlignment="1">
      <alignment horizontal="center" vertical="top" wrapText="1"/>
    </xf>
    <xf numFmtId="0" fontId="21"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4" fontId="0" fillId="0" borderId="11" xfId="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49"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4" fillId="0" borderId="0" xfId="0" applyFont="1" applyFill="1" applyAlignment="1">
      <alignment horizontal="left" vertical="top" wrapText="1"/>
    </xf>
    <xf numFmtId="0" fontId="34" fillId="0" borderId="0" xfId="0" applyFont="1" applyFill="1" applyAlignment="1">
      <alignment horizontal="left" vertical="top" wrapText="1"/>
    </xf>
    <xf numFmtId="41" fontId="35" fillId="0" borderId="0" xfId="0" applyNumberFormat="1" applyFont="1" applyFill="1" applyAlignment="1">
      <alignment horizontal="right" vertical="center" wrapText="1"/>
    </xf>
    <xf numFmtId="49" fontId="15" fillId="0" borderId="0" xfId="0" applyNumberFormat="1" applyFont="1" applyAlignment="1">
      <alignment horizontal="left" vertical="center"/>
    </xf>
    <xf numFmtId="42" fontId="6" fillId="2" borderId="44" xfId="0" applyNumberFormat="1" applyFont="1" applyFill="1" applyBorder="1" applyAlignment="1"/>
    <xf numFmtId="0" fontId="14" fillId="0" borderId="0" xfId="0" applyFont="1" applyFill="1" applyBorder="1" applyAlignment="1">
      <alignment vertical="center"/>
    </xf>
    <xf numFmtId="38" fontId="8" fillId="0" borderId="65" xfId="0" applyNumberFormat="1" applyFont="1" applyBorder="1" applyAlignment="1">
      <alignment horizontal="center"/>
    </xf>
    <xf numFmtId="38" fontId="8" fillId="0" borderId="0" xfId="0" applyNumberFormat="1" applyFont="1"/>
    <xf numFmtId="38" fontId="51" fillId="0" borderId="0" xfId="0" applyNumberFormat="1" applyFont="1"/>
    <xf numFmtId="38" fontId="51" fillId="0" borderId="0" xfId="0" applyNumberFormat="1" applyFont="1" applyBorder="1"/>
    <xf numFmtId="38" fontId="50" fillId="0" borderId="0" xfId="0" applyNumberFormat="1" applyFont="1"/>
    <xf numFmtId="168" fontId="52"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5" fillId="0" borderId="0" xfId="0" applyFont="1" applyFill="1" applyBorder="1" applyAlignment="1">
      <alignment horizontal="center" vertical="center" wrapText="1"/>
    </xf>
    <xf numFmtId="10" fontId="0" fillId="0" borderId="57" xfId="0" applyNumberFormat="1" applyFill="1" applyBorder="1" applyAlignment="1">
      <alignment horizontal="center"/>
    </xf>
    <xf numFmtId="41" fontId="13" fillId="0" borderId="30" xfId="0" applyNumberFormat="1" applyFont="1" applyBorder="1" applyAlignment="1">
      <alignment horizontal="center" vertical="center"/>
    </xf>
    <xf numFmtId="49" fontId="18" fillId="14" borderId="32" xfId="0" applyNumberFormat="1" applyFont="1" applyFill="1" applyBorder="1" applyAlignment="1">
      <alignment vertical="center"/>
    </xf>
    <xf numFmtId="6" fontId="0" fillId="0" borderId="0" xfId="0" applyNumberFormat="1" applyFill="1" applyBorder="1" applyAlignment="1"/>
    <xf numFmtId="165" fontId="44" fillId="0" borderId="31" xfId="0" applyNumberFormat="1" applyFont="1" applyBorder="1" applyAlignment="1">
      <alignment horizontal="center" vertical="center"/>
    </xf>
    <xf numFmtId="0" fontId="10"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2" fillId="0" borderId="0" xfId="0" applyFont="1" applyFill="1" applyBorder="1" applyAlignment="1">
      <alignment vertical="center"/>
    </xf>
    <xf numFmtId="41" fontId="13"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4" fillId="0" borderId="33" xfId="0" applyNumberFormat="1" applyFont="1" applyBorder="1" applyAlignment="1">
      <alignment horizontal="center" vertical="center"/>
    </xf>
    <xf numFmtId="41" fontId="54" fillId="0" borderId="0" xfId="0" applyNumberFormat="1" applyFont="1" applyBorder="1" applyAlignment="1">
      <alignment vertical="center"/>
    </xf>
    <xf numFmtId="41" fontId="53" fillId="0" borderId="27" xfId="0" applyNumberFormat="1" applyFont="1" applyBorder="1" applyAlignment="1">
      <alignment vertical="center"/>
    </xf>
    <xf numFmtId="165" fontId="44" fillId="0" borderId="2" xfId="0" applyNumberFormat="1" applyFont="1" applyBorder="1" applyAlignment="1">
      <alignment horizontal="center" vertical="center"/>
    </xf>
    <xf numFmtId="41" fontId="54" fillId="0" borderId="2" xfId="0" applyNumberFormat="1" applyFont="1" applyBorder="1" applyAlignment="1">
      <alignment vertical="center"/>
    </xf>
    <xf numFmtId="0" fontId="54" fillId="0" borderId="0" xfId="0" applyFont="1" applyBorder="1" applyAlignment="1">
      <alignment vertical="center"/>
    </xf>
    <xf numFmtId="0" fontId="54" fillId="0" borderId="27" xfId="0" applyFont="1" applyBorder="1" applyAlignment="1">
      <alignment vertical="center"/>
    </xf>
    <xf numFmtId="41" fontId="19" fillId="5" borderId="1" xfId="0" applyNumberFormat="1" applyFont="1" applyFill="1" applyBorder="1" applyAlignment="1"/>
    <xf numFmtId="38" fontId="19" fillId="9" borderId="1" xfId="1" applyNumberFormat="1" applyFont="1" applyFill="1" applyBorder="1" applyAlignment="1">
      <alignment horizontal="right"/>
    </xf>
    <xf numFmtId="168" fontId="55" fillId="0" borderId="0" xfId="0" applyNumberFormat="1" applyFont="1"/>
    <xf numFmtId="3" fontId="51" fillId="0" borderId="0" xfId="0" applyNumberFormat="1" applyFont="1"/>
    <xf numFmtId="168" fontId="8" fillId="0" borderId="65" xfId="0" applyNumberFormat="1" applyFont="1" applyBorder="1" applyAlignment="1">
      <alignment horizontal="center"/>
    </xf>
    <xf numFmtId="168" fontId="8" fillId="0" borderId="0" xfId="0" applyNumberFormat="1" applyFont="1"/>
    <xf numFmtId="168" fontId="51"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38" fontId="0" fillId="0" borderId="31" xfId="0" applyNumberFormat="1" applyBorder="1"/>
    <xf numFmtId="0" fontId="56" fillId="0" borderId="0" xfId="0" applyNumberFormat="1" applyFont="1" applyBorder="1" applyAlignment="1">
      <alignment horizontal="center"/>
    </xf>
    <xf numFmtId="0" fontId="57" fillId="0" borderId="0" xfId="0" applyFont="1"/>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xf numFmtId="41" fontId="5" fillId="0" borderId="0" xfId="0" applyNumberFormat="1" applyFont="1" applyBorder="1" applyAlignment="1">
      <alignment vertical="center"/>
    </xf>
    <xf numFmtId="41" fontId="19" fillId="0" borderId="0" xfId="0" applyNumberFormat="1" applyFont="1" applyFill="1" applyBorder="1" applyAlignment="1">
      <alignment vertical="center"/>
    </xf>
    <xf numFmtId="43" fontId="5" fillId="0" borderId="0" xfId="0" applyNumberFormat="1" applyFont="1" applyBorder="1" applyAlignment="1">
      <alignment vertical="center"/>
    </xf>
    <xf numFmtId="0" fontId="18" fillId="0" borderId="0" xfId="0" applyFont="1" applyBorder="1" applyAlignment="1">
      <alignment vertical="center"/>
    </xf>
    <xf numFmtId="0" fontId="5" fillId="0" borderId="0" xfId="0" applyFont="1" applyBorder="1"/>
    <xf numFmtId="0" fontId="34" fillId="0" borderId="0" xfId="0" applyFont="1" applyFill="1" applyAlignment="1">
      <alignment horizontal="left" vertical="top"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3" fillId="0" borderId="11"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44" fontId="3" fillId="0" borderId="11" xfId="1" applyFont="1" applyFill="1" applyBorder="1" applyAlignment="1">
      <alignment horizontal="center" vertical="center" wrapText="1"/>
    </xf>
    <xf numFmtId="41" fontId="3" fillId="0" borderId="11" xfId="0" applyNumberFormat="1" applyFont="1" applyFill="1" applyBorder="1" applyAlignment="1">
      <alignment horizontal="center" vertical="center" wrapText="1"/>
    </xf>
    <xf numFmtId="42" fontId="0" fillId="0" borderId="0" xfId="0" applyNumberFormat="1" applyFont="1" applyFill="1" applyBorder="1" applyAlignment="1">
      <alignment horizontal="left" vertical="top" wrapText="1"/>
    </xf>
    <xf numFmtId="44" fontId="58" fillId="0" borderId="11" xfId="1" applyFont="1" applyFill="1" applyBorder="1" applyAlignment="1">
      <alignment horizontal="center" vertical="center" wrapText="1"/>
    </xf>
    <xf numFmtId="42" fontId="0" fillId="0" borderId="11" xfId="0" applyNumberFormat="1" applyFont="1" applyFill="1" applyBorder="1" applyAlignment="1">
      <alignment horizontal="left" vertical="top" wrapText="1"/>
    </xf>
    <xf numFmtId="0" fontId="50" fillId="0" borderId="11" xfId="0" applyFont="1" applyBorder="1" applyAlignment="1">
      <alignment horizontal="center" vertical="center" wrapText="1"/>
    </xf>
    <xf numFmtId="42" fontId="35" fillId="0" borderId="0" xfId="0" applyNumberFormat="1" applyFont="1" applyFill="1" applyBorder="1" applyAlignment="1">
      <alignment horizontal="left" vertical="center" wrapText="1"/>
    </xf>
    <xf numFmtId="0" fontId="34" fillId="0" borderId="0" xfId="0" applyFont="1" applyFill="1" applyAlignment="1">
      <alignment horizontal="left" vertical="top" wrapText="1"/>
    </xf>
    <xf numFmtId="40" fontId="0" fillId="0" borderId="0" xfId="0" applyNumberFormat="1" applyFont="1" applyFill="1" applyBorder="1"/>
    <xf numFmtId="0" fontId="59" fillId="0" borderId="0" xfId="0" applyNumberFormat="1" applyFont="1" applyFill="1" applyBorder="1" applyAlignment="1">
      <alignment horizontal="left"/>
    </xf>
    <xf numFmtId="0" fontId="56" fillId="0" borderId="0" xfId="0" applyNumberFormat="1" applyFont="1" applyFill="1"/>
    <xf numFmtId="38" fontId="7" fillId="0" borderId="0" xfId="0" applyNumberFormat="1" applyFont="1" applyAlignment="1">
      <alignment horizontal="right"/>
    </xf>
    <xf numFmtId="3" fontId="51" fillId="2" borderId="0" xfId="0" applyNumberFormat="1" applyFont="1" applyFill="1"/>
    <xf numFmtId="38" fontId="50" fillId="2" borderId="0" xfId="0" applyNumberFormat="1" applyFont="1" applyFill="1"/>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0" applyNumberFormat="1"/>
    <xf numFmtId="40" fontId="0" fillId="0" borderId="0" xfId="0" applyNumberFormat="1"/>
    <xf numFmtId="0" fontId="32" fillId="0" borderId="45" xfId="0" applyFont="1" applyBorder="1" applyAlignment="1">
      <alignment horizontal="center"/>
    </xf>
    <xf numFmtId="38" fontId="32" fillId="0" borderId="45" xfId="0" applyNumberFormat="1" applyFont="1" applyBorder="1" applyAlignment="1">
      <alignment horizontal="center" vertical="center"/>
    </xf>
    <xf numFmtId="0" fontId="32" fillId="0" borderId="46" xfId="0" applyFont="1" applyBorder="1" applyAlignment="1">
      <alignment horizontal="center"/>
    </xf>
    <xf numFmtId="38" fontId="32" fillId="0" borderId="46" xfId="0" applyNumberFormat="1" applyFont="1" applyBorder="1" applyAlignment="1">
      <alignment horizontal="center" vertical="center"/>
    </xf>
    <xf numFmtId="0" fontId="62"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3" xfId="0" applyNumberFormat="1" applyBorder="1" applyAlignment="1">
      <alignment horizontal="center"/>
    </xf>
    <xf numFmtId="38" fontId="0" fillId="0" borderId="63" xfId="0" applyNumberFormat="1" applyBorder="1" applyAlignment="1">
      <alignment horizontal="center"/>
    </xf>
    <xf numFmtId="38" fontId="0" fillId="0" borderId="48" xfId="0" applyNumberFormat="1" applyFill="1" applyBorder="1" applyAlignment="1">
      <alignment horizontal="center"/>
    </xf>
    <xf numFmtId="38" fontId="0" fillId="0" borderId="63" xfId="0" applyNumberFormat="1" applyFill="1" applyBorder="1" applyAlignment="1">
      <alignment horizontal="center"/>
    </xf>
    <xf numFmtId="38" fontId="0" fillId="0" borderId="59" xfId="0" applyNumberFormat="1" applyBorder="1" applyAlignment="1">
      <alignment horizontal="center"/>
    </xf>
    <xf numFmtId="38" fontId="0" fillId="0" borderId="49" xfId="0" applyNumberFormat="1" applyBorder="1" applyAlignment="1">
      <alignment horizontal="center"/>
    </xf>
    <xf numFmtId="0" fontId="32" fillId="0" borderId="44" xfId="0" applyFont="1" applyBorder="1" applyAlignment="1">
      <alignment horizontal="center" vertical="center"/>
    </xf>
    <xf numFmtId="38" fontId="32"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6" xfId="0" applyNumberFormat="1" applyBorder="1" applyAlignment="1">
      <alignment horizontal="center"/>
    </xf>
    <xf numFmtId="38" fontId="0" fillId="0" borderId="66" xfId="0" applyNumberFormat="1" applyBorder="1" applyAlignment="1">
      <alignment horizontal="center"/>
    </xf>
    <xf numFmtId="38" fontId="0" fillId="0" borderId="46" xfId="0" applyNumberFormat="1" applyBorder="1" applyAlignment="1">
      <alignment horizontal="center"/>
    </xf>
    <xf numFmtId="0" fontId="32" fillId="0" borderId="0" xfId="0" applyFont="1" applyAlignment="1">
      <alignment horizontal="center"/>
    </xf>
    <xf numFmtId="38" fontId="32" fillId="0" borderId="28" xfId="0" applyNumberFormat="1" applyFont="1" applyBorder="1" applyAlignment="1">
      <alignment horizontal="center"/>
    </xf>
    <xf numFmtId="38" fontId="0" fillId="0" borderId="67"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8" xfId="0" applyNumberFormat="1" applyBorder="1" applyAlignment="1">
      <alignment horizontal="center" vertical="center"/>
    </xf>
    <xf numFmtId="38" fontId="0" fillId="0" borderId="10" xfId="0" applyNumberFormat="1" applyBorder="1" applyAlignment="1">
      <alignment horizontal="center"/>
    </xf>
    <xf numFmtId="0" fontId="3" fillId="3" borderId="14" xfId="0" applyFont="1" applyFill="1" applyBorder="1" applyAlignment="1">
      <alignment horizontal="center" vertical="center"/>
    </xf>
    <xf numFmtId="14" fontId="0" fillId="0" borderId="2" xfId="0" applyNumberFormat="1" applyFill="1" applyBorder="1" applyAlignment="1">
      <alignment horizontal="center"/>
    </xf>
    <xf numFmtId="14" fontId="0" fillId="0" borderId="27" xfId="0" applyNumberFormat="1" applyFill="1" applyBorder="1" applyAlignment="1">
      <alignment horizontal="center"/>
    </xf>
    <xf numFmtId="40" fontId="3" fillId="3" borderId="14" xfId="0" applyNumberFormat="1" applyFont="1" applyFill="1" applyBorder="1" applyAlignment="1">
      <alignment horizontal="center" vertical="center" wrapText="1"/>
    </xf>
    <xf numFmtId="41" fontId="0" fillId="0" borderId="2" xfId="1" applyNumberFormat="1" applyFont="1" applyFill="1" applyBorder="1" applyAlignment="1"/>
    <xf numFmtId="38" fontId="0" fillId="0" borderId="0" xfId="0" applyNumberFormat="1" applyFont="1" applyFill="1" applyBorder="1"/>
    <xf numFmtId="0" fontId="63" fillId="0" borderId="0" xfId="0" applyFont="1"/>
    <xf numFmtId="169" fontId="0" fillId="0" borderId="11" xfId="1" applyNumberFormat="1" applyFont="1" applyBorder="1"/>
    <xf numFmtId="9" fontId="0" fillId="0" borderId="11" xfId="4" applyFont="1" applyBorder="1"/>
    <xf numFmtId="38" fontId="21" fillId="0" borderId="11" xfId="0" applyNumberFormat="1" applyFont="1" applyBorder="1"/>
    <xf numFmtId="169" fontId="21" fillId="0" borderId="11" xfId="1" applyNumberFormat="1" applyFont="1" applyBorder="1"/>
    <xf numFmtId="169" fontId="21" fillId="0" borderId="11" xfId="0" applyNumberFormat="1" applyFont="1" applyBorder="1"/>
    <xf numFmtId="6" fontId="0" fillId="0" borderId="49" xfId="1" applyNumberFormat="1" applyFont="1" applyFill="1" applyBorder="1" applyAlignment="1">
      <alignment horizontal="right"/>
    </xf>
    <xf numFmtId="38" fontId="7" fillId="0" borderId="0" xfId="0" applyNumberFormat="1" applyFont="1" applyFill="1" applyBorder="1" applyAlignment="1">
      <alignment horizontal="right"/>
    </xf>
    <xf numFmtId="43" fontId="15" fillId="0" borderId="0" xfId="0" applyNumberFormat="1" applyFont="1" applyFill="1" applyBorder="1" applyAlignment="1">
      <alignment vertical="center"/>
    </xf>
    <xf numFmtId="0" fontId="21" fillId="0" borderId="0" xfId="0" applyFont="1" applyFill="1" applyBorder="1" applyAlignment="1">
      <alignment horizontal="center" wrapText="1"/>
    </xf>
    <xf numFmtId="0" fontId="21" fillId="0" borderId="0" xfId="0" applyFont="1" applyBorder="1" applyAlignment="1">
      <alignment horizontal="center" wrapText="1"/>
    </xf>
    <xf numFmtId="169" fontId="0" fillId="0" borderId="0" xfId="0" applyNumberFormat="1" applyFont="1" applyFill="1" applyBorder="1" applyAlignment="1">
      <alignment horizontal="center"/>
    </xf>
    <xf numFmtId="169" fontId="0" fillId="0" borderId="0" xfId="0" applyNumberFormat="1" applyBorder="1"/>
    <xf numFmtId="9" fontId="0" fillId="0" borderId="0" xfId="4" applyFont="1" applyBorder="1"/>
    <xf numFmtId="169" fontId="64" fillId="0" borderId="0" xfId="0" applyNumberFormat="1" applyFont="1" applyFill="1" applyBorder="1" applyAlignment="1">
      <alignment horizontal="center"/>
    </xf>
    <xf numFmtId="169" fontId="21" fillId="0" borderId="0" xfId="0" applyNumberFormat="1" applyFont="1" applyFill="1" applyBorder="1" applyAlignment="1">
      <alignment horizontal="center"/>
    </xf>
    <xf numFmtId="169" fontId="21" fillId="0" borderId="0" xfId="0" applyNumberFormat="1" applyFont="1" applyBorder="1"/>
    <xf numFmtId="9" fontId="21" fillId="0" borderId="0" xfId="0" applyNumberFormat="1" applyFont="1" applyBorder="1"/>
    <xf numFmtId="42" fontId="0" fillId="0" borderId="11" xfId="0" applyNumberFormat="1" applyBorder="1"/>
    <xf numFmtId="0" fontId="34" fillId="0" borderId="0" xfId="0" applyFont="1" applyFill="1" applyAlignment="1">
      <alignment horizontal="left" vertical="top" wrapText="1"/>
    </xf>
    <xf numFmtId="0" fontId="21" fillId="0" borderId="11" xfId="0" applyFont="1" applyFill="1" applyBorder="1" applyAlignment="1">
      <alignment horizontal="center" vertical="top" wrapText="1"/>
    </xf>
    <xf numFmtId="0" fontId="3" fillId="3" borderId="13" xfId="0" applyFont="1" applyFill="1" applyBorder="1" applyAlignment="1">
      <alignment horizontal="center" vertical="center"/>
    </xf>
    <xf numFmtId="0" fontId="0" fillId="0" borderId="35" xfId="0" applyFill="1" applyBorder="1" applyAlignment="1"/>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9" fontId="21" fillId="0" borderId="11" xfId="0" applyNumberFormat="1" applyFont="1" applyBorder="1"/>
    <xf numFmtId="44" fontId="50" fillId="0" borderId="11" xfId="1" applyFont="1" applyFill="1" applyBorder="1" applyAlignment="1">
      <alignment horizontal="center" vertical="center" wrapText="1"/>
    </xf>
    <xf numFmtId="41" fontId="0" fillId="0" borderId="11" xfId="1" applyNumberFormat="1" applyFont="1" applyBorder="1"/>
    <xf numFmtId="6" fontId="19" fillId="9" borderId="2" xfId="0" applyNumberFormat="1" applyFont="1" applyFill="1" applyBorder="1"/>
    <xf numFmtId="38" fontId="19" fillId="9" borderId="4" xfId="1" applyNumberFormat="1" applyFont="1" applyFill="1" applyBorder="1" applyAlignment="1">
      <alignment horizontal="right"/>
    </xf>
    <xf numFmtId="14" fontId="0" fillId="0" borderId="63" xfId="0" applyNumberFormat="1" applyFill="1" applyBorder="1" applyAlignment="1">
      <alignment horizontal="center"/>
    </xf>
    <xf numFmtId="14" fontId="0" fillId="0" borderId="6" xfId="0" applyNumberFormat="1" applyFill="1" applyBorder="1" applyAlignment="1">
      <alignment horizontal="center"/>
    </xf>
    <xf numFmtId="41" fontId="0" fillId="0" borderId="63" xfId="1" applyNumberFormat="1" applyFont="1" applyFill="1" applyBorder="1" applyAlignment="1"/>
    <xf numFmtId="38" fontId="0" fillId="0" borderId="63" xfId="1" applyNumberFormat="1" applyFont="1" applyFill="1" applyBorder="1" applyAlignment="1"/>
    <xf numFmtId="0" fontId="0" fillId="0" borderId="49" xfId="0" applyFill="1" applyBorder="1" applyAlignment="1"/>
    <xf numFmtId="0" fontId="0" fillId="0" borderId="16" xfId="0" applyFill="1" applyBorder="1" applyAlignment="1"/>
    <xf numFmtId="41" fontId="35" fillId="0" borderId="0" xfId="0" applyNumberFormat="1" applyFont="1" applyFill="1" applyAlignment="1">
      <alignment horizontal="center" vertical="center" wrapText="1"/>
    </xf>
    <xf numFmtId="0" fontId="5" fillId="0" borderId="30" xfId="0" applyFont="1" applyBorder="1" applyAlignment="1">
      <alignment vertical="center"/>
    </xf>
    <xf numFmtId="7" fontId="15" fillId="0" borderId="19" xfId="0" applyNumberFormat="1" applyFont="1" applyFill="1" applyBorder="1" applyAlignment="1">
      <alignment vertical="center"/>
    </xf>
    <xf numFmtId="7" fontId="15" fillId="0" borderId="0" xfId="0" applyNumberFormat="1" applyFont="1" applyFill="1" applyBorder="1" applyAlignment="1">
      <alignment vertical="center"/>
    </xf>
    <xf numFmtId="41" fontId="13" fillId="0" borderId="30" xfId="0" applyNumberFormat="1" applyFont="1" applyBorder="1" applyAlignment="1">
      <alignment horizontal="center" vertical="center"/>
    </xf>
    <xf numFmtId="170" fontId="0" fillId="0" borderId="0" xfId="0" applyNumberFormat="1" applyFont="1" applyFill="1" applyBorder="1"/>
    <xf numFmtId="38" fontId="0" fillId="0" borderId="31" xfId="0" applyNumberFormat="1" applyBorder="1" applyAlignment="1">
      <alignment horizontal="right"/>
    </xf>
    <xf numFmtId="0" fontId="34" fillId="0" borderId="0" xfId="0" applyFont="1" applyFill="1" applyAlignment="1">
      <alignment horizontal="left" vertical="top" wrapText="1"/>
    </xf>
    <xf numFmtId="0" fontId="21" fillId="0" borderId="11" xfId="0" applyFont="1" applyBorder="1" applyAlignment="1">
      <alignment horizontal="center" vertical="center"/>
    </xf>
    <xf numFmtId="40" fontId="21" fillId="0" borderId="11" xfId="0" applyNumberFormat="1" applyFont="1" applyBorder="1" applyAlignment="1">
      <alignment horizontal="center" vertical="center" wrapText="1"/>
    </xf>
    <xf numFmtId="0" fontId="21" fillId="0" borderId="11" xfId="0" applyFont="1" applyBorder="1" applyAlignment="1">
      <alignment horizontal="center" vertical="center" wrapText="1"/>
    </xf>
    <xf numFmtId="8" fontId="0" fillId="0" borderId="2" xfId="0" applyNumberFormat="1" applyFont="1" applyBorder="1" applyAlignment="1">
      <alignment vertical="center"/>
    </xf>
    <xf numFmtId="41" fontId="24" fillId="0" borderId="2" xfId="0" applyNumberFormat="1" applyFont="1" applyBorder="1" applyAlignment="1">
      <alignment vertical="center"/>
    </xf>
    <xf numFmtId="0" fontId="0" fillId="0" borderId="24" xfId="0" applyFill="1" applyBorder="1"/>
    <xf numFmtId="0" fontId="0" fillId="0" borderId="16" xfId="0" applyFill="1" applyBorder="1"/>
    <xf numFmtId="0" fontId="0" fillId="0" borderId="69" xfId="0" applyFill="1" applyBorder="1"/>
    <xf numFmtId="0" fontId="0" fillId="0" borderId="49" xfId="0" applyFill="1" applyBorder="1" applyAlignment="1">
      <alignment horizontal="left"/>
    </xf>
    <xf numFmtId="0" fontId="0" fillId="0" borderId="48" xfId="0" applyFill="1" applyBorder="1" applyAlignment="1">
      <alignment horizontal="left"/>
    </xf>
    <xf numFmtId="0" fontId="0" fillId="0" borderId="63" xfId="0" applyFill="1" applyBorder="1" applyAlignment="1">
      <alignment horizontal="left"/>
    </xf>
    <xf numFmtId="0" fontId="0" fillId="0" borderId="2" xfId="0" applyFill="1" applyBorder="1" applyAlignment="1">
      <alignment horizontal="center"/>
    </xf>
    <xf numFmtId="0" fontId="0" fillId="0" borderId="6" xfId="0" applyFill="1" applyBorder="1" applyAlignment="1">
      <alignment horizontal="center"/>
    </xf>
    <xf numFmtId="0" fontId="0" fillId="0" borderId="27" xfId="0" applyFill="1" applyBorder="1" applyAlignment="1">
      <alignment horizontal="center"/>
    </xf>
    <xf numFmtId="41" fontId="0" fillId="0" borderId="46" xfId="1" applyNumberFormat="1" applyFont="1" applyFill="1" applyBorder="1" applyAlignment="1">
      <alignment horizontal="center"/>
    </xf>
    <xf numFmtId="41" fontId="0" fillId="0" borderId="6" xfId="1" applyNumberFormat="1" applyFont="1" applyFill="1" applyBorder="1" applyAlignment="1"/>
    <xf numFmtId="41" fontId="0" fillId="0" borderId="27" xfId="1" applyNumberFormat="1" applyFont="1" applyFill="1" applyBorder="1" applyAlignment="1"/>
    <xf numFmtId="6" fontId="0" fillId="0" borderId="49" xfId="1" applyNumberFormat="1" applyFont="1" applyFill="1" applyBorder="1" applyAlignment="1"/>
    <xf numFmtId="44" fontId="12" fillId="0" borderId="0" xfId="0" applyNumberFormat="1" applyFont="1" applyBorder="1" applyAlignment="1">
      <alignment vertical="center"/>
    </xf>
    <xf numFmtId="8" fontId="0" fillId="0" borderId="0" xfId="0" applyNumberFormat="1"/>
    <xf numFmtId="42" fontId="34" fillId="0" borderId="0" xfId="0" applyNumberFormat="1" applyFont="1" applyFill="1" applyAlignment="1">
      <alignment horizontal="left" vertical="top" wrapText="1"/>
    </xf>
    <xf numFmtId="41" fontId="5" fillId="0" borderId="0" xfId="0" applyNumberFormat="1" applyFont="1" applyBorder="1" applyAlignment="1">
      <alignment horizontal="left" vertical="center"/>
    </xf>
    <xf numFmtId="49" fontId="56" fillId="0" borderId="0" xfId="0" applyNumberFormat="1" applyFont="1" applyBorder="1" applyAlignment="1">
      <alignment horizontal="center"/>
    </xf>
    <xf numFmtId="3" fontId="5" fillId="0" borderId="0" xfId="0" applyNumberFormat="1" applyFont="1" applyFill="1" applyBorder="1" applyAlignment="1"/>
    <xf numFmtId="3" fontId="0" fillId="0" borderId="0" xfId="0" applyNumberFormat="1" applyAlignment="1">
      <alignment horizontal="right"/>
    </xf>
    <xf numFmtId="3" fontId="17" fillId="0" borderId="0" xfId="0" applyNumberFormat="1" applyFont="1" applyBorder="1" applyAlignment="1">
      <alignment horizontal="center"/>
    </xf>
    <xf numFmtId="3" fontId="18" fillId="5" borderId="36" xfId="0" applyNumberFormat="1" applyFont="1" applyFill="1" applyBorder="1" applyAlignment="1"/>
    <xf numFmtId="3" fontId="19" fillId="5" borderId="17" xfId="1" applyNumberFormat="1" applyFont="1" applyFill="1" applyBorder="1" applyAlignment="1">
      <alignment horizontal="right"/>
    </xf>
    <xf numFmtId="3" fontId="18" fillId="5" borderId="21" xfId="1" applyNumberFormat="1" applyFont="1" applyFill="1" applyBorder="1" applyAlignment="1">
      <alignment horizontal="right"/>
    </xf>
    <xf numFmtId="3" fontId="18" fillId="0" borderId="0" xfId="0" applyNumberFormat="1" applyFont="1" applyBorder="1" applyAlignment="1">
      <alignment horizontal="right"/>
    </xf>
    <xf numFmtId="3" fontId="19" fillId="6" borderId="36" xfId="0" applyNumberFormat="1" applyFont="1" applyFill="1" applyBorder="1" applyAlignment="1">
      <alignment horizontal="right"/>
    </xf>
    <xf numFmtId="3" fontId="19" fillId="6" borderId="17" xfId="1" applyNumberFormat="1" applyFont="1" applyFill="1" applyBorder="1" applyAlignment="1">
      <alignment horizontal="right"/>
    </xf>
    <xf numFmtId="3" fontId="18" fillId="6" borderId="21" xfId="1" applyNumberFormat="1" applyFont="1" applyFill="1" applyBorder="1" applyAlignment="1">
      <alignment horizontal="right"/>
    </xf>
    <xf numFmtId="3" fontId="18" fillId="0" borderId="0" xfId="1" applyNumberFormat="1" applyFont="1" applyBorder="1" applyAlignment="1">
      <alignment horizontal="right"/>
    </xf>
    <xf numFmtId="3" fontId="19" fillId="7" borderId="36" xfId="1" applyNumberFormat="1" applyFont="1" applyFill="1" applyBorder="1" applyAlignment="1">
      <alignment horizontal="right"/>
    </xf>
    <xf numFmtId="3" fontId="19" fillId="7" borderId="17" xfId="1" applyNumberFormat="1" applyFont="1" applyFill="1" applyBorder="1" applyAlignment="1">
      <alignment horizontal="right"/>
    </xf>
    <xf numFmtId="3" fontId="18" fillId="7" borderId="21" xfId="1" applyNumberFormat="1" applyFont="1" applyFill="1" applyBorder="1" applyAlignment="1">
      <alignment horizontal="right"/>
    </xf>
    <xf numFmtId="3" fontId="18" fillId="0" borderId="0" xfId="1" applyNumberFormat="1" applyFont="1" applyFill="1" applyBorder="1" applyAlignment="1">
      <alignment horizontal="right"/>
    </xf>
    <xf numFmtId="3" fontId="19" fillId="10" borderId="36" xfId="1" applyNumberFormat="1" applyFont="1" applyFill="1" applyBorder="1" applyAlignment="1">
      <alignment horizontal="right"/>
    </xf>
    <xf numFmtId="3" fontId="19" fillId="10" borderId="17" xfId="1" applyNumberFormat="1" applyFont="1" applyFill="1" applyBorder="1" applyAlignment="1">
      <alignment horizontal="right"/>
    </xf>
    <xf numFmtId="3" fontId="18" fillId="10" borderId="21" xfId="1" applyNumberFormat="1" applyFont="1" applyFill="1" applyBorder="1" applyAlignment="1">
      <alignment horizontal="right"/>
    </xf>
    <xf numFmtId="3" fontId="19" fillId="8" borderId="36" xfId="1" applyNumberFormat="1" applyFont="1" applyFill="1" applyBorder="1" applyAlignment="1">
      <alignment horizontal="right"/>
    </xf>
    <xf numFmtId="3" fontId="19" fillId="8" borderId="17" xfId="1" applyNumberFormat="1" applyFont="1" applyFill="1" applyBorder="1" applyAlignment="1">
      <alignment horizontal="right"/>
    </xf>
    <xf numFmtId="3" fontId="18" fillId="8" borderId="21" xfId="1" applyNumberFormat="1" applyFont="1" applyFill="1" applyBorder="1" applyAlignment="1">
      <alignment horizontal="right"/>
    </xf>
    <xf numFmtId="3" fontId="18" fillId="8" borderId="36" xfId="1" applyNumberFormat="1" applyFont="1" applyFill="1" applyBorder="1" applyAlignment="1">
      <alignment horizontal="right"/>
    </xf>
    <xf numFmtId="3" fontId="18" fillId="11" borderId="36" xfId="1" applyNumberFormat="1" applyFont="1" applyFill="1" applyBorder="1" applyAlignment="1">
      <alignment horizontal="right"/>
    </xf>
    <xf numFmtId="3" fontId="19" fillId="11" borderId="17" xfId="1" applyNumberFormat="1" applyFont="1" applyFill="1" applyBorder="1" applyAlignment="1">
      <alignment horizontal="right"/>
    </xf>
    <xf numFmtId="3" fontId="18" fillId="11" borderId="21" xfId="1" applyNumberFormat="1" applyFont="1" applyFill="1" applyBorder="1" applyAlignment="1">
      <alignment horizontal="right"/>
    </xf>
    <xf numFmtId="3" fontId="5" fillId="0" borderId="0" xfId="1" applyNumberFormat="1" applyFont="1" applyBorder="1" applyAlignment="1">
      <alignment horizontal="right"/>
    </xf>
    <xf numFmtId="3" fontId="0" fillId="9" borderId="36" xfId="0" applyNumberFormat="1" applyFont="1" applyFill="1" applyBorder="1" applyAlignment="1">
      <alignment horizontal="center"/>
    </xf>
    <xf numFmtId="3" fontId="18" fillId="9" borderId="17" xfId="1" applyNumberFormat="1" applyFont="1" applyFill="1" applyBorder="1" applyAlignment="1">
      <alignment horizontal="right"/>
    </xf>
    <xf numFmtId="3" fontId="18" fillId="9" borderId="64" xfId="1" applyNumberFormat="1" applyFont="1" applyFill="1" applyBorder="1" applyAlignment="1">
      <alignment horizontal="right"/>
    </xf>
    <xf numFmtId="3" fontId="18" fillId="9" borderId="51" xfId="1" applyNumberFormat="1" applyFont="1" applyFill="1" applyBorder="1" applyAlignment="1">
      <alignment horizontal="right"/>
    </xf>
    <xf numFmtId="3" fontId="18" fillId="12" borderId="41" xfId="1" applyNumberFormat="1" applyFont="1" applyFill="1" applyBorder="1" applyAlignment="1">
      <alignment horizontal="right"/>
    </xf>
    <xf numFmtId="3" fontId="18" fillId="12" borderId="29" xfId="1" applyNumberFormat="1" applyFont="1" applyFill="1" applyBorder="1" applyAlignment="1">
      <alignment horizontal="right"/>
    </xf>
    <xf numFmtId="3" fontId="18" fillId="12" borderId="43" xfId="1" applyNumberFormat="1" applyFont="1" applyFill="1" applyBorder="1" applyAlignment="1">
      <alignment horizontal="right"/>
    </xf>
    <xf numFmtId="3" fontId="18" fillId="12" borderId="40" xfId="1" applyNumberFormat="1" applyFont="1" applyFill="1" applyBorder="1" applyAlignment="1">
      <alignment horizontal="right"/>
    </xf>
    <xf numFmtId="3" fontId="18" fillId="16" borderId="42" xfId="1" applyNumberFormat="1" applyFont="1" applyFill="1" applyBorder="1" applyAlignment="1">
      <alignment horizontal="right"/>
    </xf>
    <xf numFmtId="3" fontId="18" fillId="14" borderId="42" xfId="1" applyNumberFormat="1" applyFont="1" applyFill="1" applyBorder="1" applyAlignment="1">
      <alignment horizontal="right"/>
    </xf>
    <xf numFmtId="3" fontId="18"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1" fontId="4" fillId="13" borderId="38" xfId="1" applyNumberFormat="1" applyFont="1" applyFill="1" applyBorder="1" applyAlignment="1">
      <alignment horizontal="right"/>
    </xf>
    <xf numFmtId="49" fontId="18" fillId="0" borderId="0" xfId="0" applyNumberFormat="1" applyFont="1" applyFill="1" applyBorder="1" applyAlignment="1">
      <alignment vertical="center"/>
    </xf>
    <xf numFmtId="49" fontId="18" fillId="2" borderId="32" xfId="0" applyNumberFormat="1" applyFont="1" applyFill="1" applyBorder="1" applyAlignment="1">
      <alignment vertical="center"/>
    </xf>
    <xf numFmtId="49" fontId="18" fillId="2" borderId="33" xfId="0" applyNumberFormat="1" applyFont="1" applyFill="1" applyBorder="1" applyAlignment="1">
      <alignment vertical="center"/>
    </xf>
    <xf numFmtId="6" fontId="18" fillId="2" borderId="70" xfId="1" applyNumberFormat="1" applyFont="1" applyFill="1" applyBorder="1" applyAlignment="1">
      <alignment horizontal="right"/>
    </xf>
    <xf numFmtId="38" fontId="18" fillId="2" borderId="70" xfId="1" applyNumberFormat="1" applyFont="1" applyFill="1" applyBorder="1" applyAlignment="1">
      <alignment horizontal="right"/>
    </xf>
    <xf numFmtId="3" fontId="18" fillId="2" borderId="61" xfId="1" applyNumberFormat="1" applyFont="1" applyFill="1" applyBorder="1" applyAlignment="1">
      <alignment horizontal="right"/>
    </xf>
    <xf numFmtId="0" fontId="41" fillId="0" borderId="0" xfId="0" applyFont="1" applyFill="1" applyAlignment="1">
      <alignment horizont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center" vertical="center" wrapText="1"/>
    </xf>
    <xf numFmtId="0" fontId="58" fillId="0" borderId="16" xfId="0" applyFont="1" applyFill="1" applyBorder="1"/>
    <xf numFmtId="38" fontId="30" fillId="0" borderId="49" xfId="1" applyNumberFormat="1" applyFont="1" applyFill="1" applyBorder="1" applyAlignment="1"/>
    <xf numFmtId="44" fontId="6"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37" fontId="15" fillId="0" borderId="0" xfId="0" applyNumberFormat="1" applyFont="1" applyFill="1" applyBorder="1" applyAlignment="1">
      <alignment vertical="center"/>
    </xf>
    <xf numFmtId="6" fontId="35" fillId="0" borderId="0" xfId="0" applyNumberFormat="1" applyFont="1" applyFill="1" applyBorder="1" applyAlignment="1">
      <alignment horizontal="center" wrapText="1"/>
    </xf>
    <xf numFmtId="0" fontId="35" fillId="0" borderId="0" xfId="0" applyFont="1" applyFill="1" applyAlignment="1">
      <alignment horizontal="left" vertical="center" wrapText="1" indent="2"/>
    </xf>
    <xf numFmtId="0" fontId="34" fillId="0" borderId="0" xfId="0" applyFont="1" applyFill="1" applyAlignment="1">
      <alignment horizontal="left" vertical="top" wrapText="1"/>
    </xf>
    <xf numFmtId="0" fontId="33" fillId="0" borderId="0" xfId="0" applyFont="1" applyFill="1" applyAlignment="1">
      <alignment horizontal="center" vertical="center"/>
    </xf>
    <xf numFmtId="168" fontId="33" fillId="0" borderId="0" xfId="0" applyNumberFormat="1" applyFont="1" applyFill="1" applyAlignment="1">
      <alignment horizontal="center" vertical="center"/>
    </xf>
    <xf numFmtId="0" fontId="35" fillId="0" borderId="0" xfId="0" applyFont="1" applyFill="1" applyAlignment="1">
      <alignment horizontal="center" vertical="top" wrapText="1"/>
    </xf>
    <xf numFmtId="0" fontId="41" fillId="0" borderId="0" xfId="0" applyFont="1" applyFill="1" applyAlignment="1">
      <alignment horizontal="center" wrapText="1"/>
    </xf>
    <xf numFmtId="0" fontId="34" fillId="0" borderId="0" xfId="0" applyFont="1" applyFill="1" applyAlignment="1">
      <alignment horizontal="left" wrapText="1"/>
    </xf>
    <xf numFmtId="0" fontId="21" fillId="0" borderId="11" xfId="0" applyFont="1" applyFill="1" applyBorder="1" applyAlignment="1">
      <alignment horizontal="center" vertical="top" wrapText="1"/>
    </xf>
    <xf numFmtId="0" fontId="35" fillId="0" borderId="0" xfId="0" applyFont="1" applyFill="1" applyAlignment="1">
      <alignment horizontal="left" vertical="center" wrapText="1"/>
    </xf>
    <xf numFmtId="0" fontId="35" fillId="0" borderId="0" xfId="0" applyFont="1" applyFill="1" applyAlignment="1">
      <alignment horizontal="right" vertic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0" fontId="38" fillId="0" borderId="0" xfId="0" applyFont="1" applyFill="1" applyAlignment="1">
      <alignment horizontal="center" vertical="center" wrapText="1"/>
    </xf>
    <xf numFmtId="0" fontId="60" fillId="0" borderId="0" xfId="0" applyFont="1" applyFill="1" applyAlignment="1">
      <alignment horizontal="center" vertical="center"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35" fillId="0" borderId="0" xfId="0" applyFont="1" applyFill="1" applyAlignment="1">
      <alignment horizontal="center" vertical="center" wrapText="1"/>
    </xf>
    <xf numFmtId="0" fontId="0" fillId="0" borderId="0" xfId="0" applyFill="1" applyAlignment="1">
      <alignment horizontal="center"/>
    </xf>
    <xf numFmtId="0" fontId="0"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0" fillId="0" borderId="23" xfId="0" applyFont="1" applyFill="1" applyBorder="1" applyAlignment="1">
      <alignment horizontal="left"/>
    </xf>
    <xf numFmtId="0" fontId="0" fillId="0" borderId="17" xfId="0" applyFont="1" applyFill="1" applyBorder="1" applyAlignment="1">
      <alignment horizontal="left"/>
    </xf>
    <xf numFmtId="0" fontId="0" fillId="0" borderId="23" xfId="0" applyFill="1" applyBorder="1" applyAlignment="1">
      <alignment horizontal="left"/>
    </xf>
    <xf numFmtId="0" fontId="0" fillId="0" borderId="17" xfId="0"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5"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3" fillId="3" borderId="32"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33" xfId="0" applyFont="1" applyFill="1" applyBorder="1" applyAlignment="1">
      <alignment horizontal="center" vertical="center"/>
    </xf>
    <xf numFmtId="0" fontId="0" fillId="0" borderId="50" xfId="0" applyFill="1" applyBorder="1" applyAlignment="1">
      <alignment horizontal="left"/>
    </xf>
    <xf numFmtId="0" fontId="0" fillId="0" borderId="51" xfId="0" applyFill="1" applyBorder="1" applyAlignment="1">
      <alignment horizontal="left"/>
    </xf>
    <xf numFmtId="49" fontId="18" fillId="5" borderId="34" xfId="0" applyNumberFormat="1" applyFont="1" applyFill="1" applyBorder="1" applyAlignment="1">
      <alignment horizontal="left"/>
    </xf>
    <xf numFmtId="49" fontId="18" fillId="5" borderId="28" xfId="0" applyNumberFormat="1" applyFont="1" applyFill="1" applyBorder="1" applyAlignment="1">
      <alignment horizontal="left"/>
    </xf>
    <xf numFmtId="49" fontId="18" fillId="12" borderId="35" xfId="0" applyNumberFormat="1" applyFont="1" applyFill="1" applyBorder="1" applyAlignment="1">
      <alignment horizontal="center" vertical="center"/>
    </xf>
    <xf numFmtId="49" fontId="18" fillId="12" borderId="52" xfId="0" applyNumberFormat="1" applyFont="1" applyFill="1" applyBorder="1" applyAlignment="1">
      <alignment horizontal="center" vertical="center"/>
    </xf>
    <xf numFmtId="49" fontId="17" fillId="0" borderId="0" xfId="0" applyNumberFormat="1" applyFont="1" applyAlignment="1">
      <alignment horizontal="center" vertical="center"/>
    </xf>
    <xf numFmtId="0" fontId="0" fillId="0" borderId="27" xfId="0" applyBorder="1" applyAlignment="1">
      <alignment horizontal="center"/>
    </xf>
    <xf numFmtId="41" fontId="13" fillId="0" borderId="30" xfId="0" applyNumberFormat="1" applyFont="1" applyBorder="1" applyAlignment="1">
      <alignment horizontal="center" vertical="center"/>
    </xf>
    <xf numFmtId="49" fontId="15" fillId="0" borderId="0" xfId="0" applyNumberFormat="1" applyFont="1" applyBorder="1" applyAlignment="1">
      <alignment horizontal="left" vertical="center"/>
    </xf>
    <xf numFmtId="49" fontId="15" fillId="0" borderId="0" xfId="0" applyNumberFormat="1" applyFont="1" applyAlignment="1">
      <alignment horizontal="left" vertical="center"/>
    </xf>
    <xf numFmtId="49" fontId="11" fillId="0" borderId="0" xfId="0" applyNumberFormat="1" applyFont="1" applyBorder="1" applyAlignment="1">
      <alignment horizontal="center" vertical="center"/>
    </xf>
    <xf numFmtId="0" fontId="61" fillId="0" borderId="32" xfId="0" applyFont="1" applyBorder="1" applyAlignment="1">
      <alignment horizontal="center"/>
    </xf>
    <xf numFmtId="0" fontId="61" fillId="0" borderId="33" xfId="0" applyFont="1" applyBorder="1" applyAlignment="1">
      <alignment horizontal="center"/>
    </xf>
    <xf numFmtId="0" fontId="61" fillId="0" borderId="42" xfId="0" applyFont="1" applyBorder="1" applyAlignment="1">
      <alignment horizontal="center"/>
    </xf>
    <xf numFmtId="49" fontId="11" fillId="0" borderId="27" xfId="0" applyNumberFormat="1" applyFont="1" applyBorder="1" applyAlignment="1">
      <alignment horizontal="center" wrapText="1"/>
    </xf>
    <xf numFmtId="49" fontId="11" fillId="0" borderId="0" xfId="0" applyNumberFormat="1" applyFont="1" applyAlignment="1">
      <alignment horizontal="left" vertical="center"/>
    </xf>
  </cellXfs>
  <cellStyles count="5">
    <cellStyle name="Currency" xfId="1" builtinId="4"/>
    <cellStyle name="Currency 2" xfId="3"/>
    <cellStyle name="Normal" xfId="0" builtinId="0"/>
    <cellStyle name="Normal 2" xfId="2"/>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Data!$A$307:$A$828</c:f>
              <c:numCache>
                <c:formatCode>[$-F800]dddd\,\ mmmm\ dd\,\ yyyy</c:formatCode>
                <c:ptCount val="522"/>
                <c:pt idx="0">
                  <c:v>42795</c:v>
                </c:pt>
                <c:pt idx="1">
                  <c:v>42796</c:v>
                </c:pt>
                <c:pt idx="2">
                  <c:v>42797</c:v>
                </c:pt>
                <c:pt idx="3">
                  <c:v>42800</c:v>
                </c:pt>
                <c:pt idx="4">
                  <c:v>42801</c:v>
                </c:pt>
                <c:pt idx="5">
                  <c:v>42802</c:v>
                </c:pt>
                <c:pt idx="6">
                  <c:v>42803</c:v>
                </c:pt>
                <c:pt idx="7">
                  <c:v>42804</c:v>
                </c:pt>
                <c:pt idx="8">
                  <c:v>42807</c:v>
                </c:pt>
                <c:pt idx="9">
                  <c:v>42808</c:v>
                </c:pt>
                <c:pt idx="10">
                  <c:v>42809</c:v>
                </c:pt>
                <c:pt idx="11">
                  <c:v>42810</c:v>
                </c:pt>
                <c:pt idx="12">
                  <c:v>42811</c:v>
                </c:pt>
                <c:pt idx="13">
                  <c:v>42814</c:v>
                </c:pt>
                <c:pt idx="14">
                  <c:v>42815</c:v>
                </c:pt>
                <c:pt idx="15">
                  <c:v>42816</c:v>
                </c:pt>
                <c:pt idx="16">
                  <c:v>42817</c:v>
                </c:pt>
                <c:pt idx="17">
                  <c:v>42818</c:v>
                </c:pt>
                <c:pt idx="18">
                  <c:v>42821</c:v>
                </c:pt>
                <c:pt idx="19">
                  <c:v>42822</c:v>
                </c:pt>
                <c:pt idx="20">
                  <c:v>42823</c:v>
                </c:pt>
                <c:pt idx="21">
                  <c:v>42824</c:v>
                </c:pt>
                <c:pt idx="22">
                  <c:v>42825</c:v>
                </c:pt>
                <c:pt idx="23">
                  <c:v>42828</c:v>
                </c:pt>
                <c:pt idx="24">
                  <c:v>42829</c:v>
                </c:pt>
                <c:pt idx="25">
                  <c:v>42830</c:v>
                </c:pt>
                <c:pt idx="26">
                  <c:v>42831</c:v>
                </c:pt>
                <c:pt idx="27">
                  <c:v>42832</c:v>
                </c:pt>
                <c:pt idx="28">
                  <c:v>42835</c:v>
                </c:pt>
                <c:pt idx="29">
                  <c:v>42836</c:v>
                </c:pt>
                <c:pt idx="30">
                  <c:v>42837</c:v>
                </c:pt>
                <c:pt idx="31">
                  <c:v>42838</c:v>
                </c:pt>
                <c:pt idx="32">
                  <c:v>42839</c:v>
                </c:pt>
                <c:pt idx="33">
                  <c:v>42842</c:v>
                </c:pt>
                <c:pt idx="34">
                  <c:v>42843</c:v>
                </c:pt>
                <c:pt idx="35">
                  <c:v>42844</c:v>
                </c:pt>
                <c:pt idx="36">
                  <c:v>42845</c:v>
                </c:pt>
                <c:pt idx="37">
                  <c:v>42846</c:v>
                </c:pt>
                <c:pt idx="38">
                  <c:v>42849</c:v>
                </c:pt>
                <c:pt idx="39">
                  <c:v>42850</c:v>
                </c:pt>
                <c:pt idx="40">
                  <c:v>42851</c:v>
                </c:pt>
                <c:pt idx="41">
                  <c:v>42852</c:v>
                </c:pt>
                <c:pt idx="42">
                  <c:v>42853</c:v>
                </c:pt>
                <c:pt idx="43">
                  <c:v>42856</c:v>
                </c:pt>
                <c:pt idx="44">
                  <c:v>42857</c:v>
                </c:pt>
                <c:pt idx="45">
                  <c:v>42858</c:v>
                </c:pt>
                <c:pt idx="46">
                  <c:v>42859</c:v>
                </c:pt>
                <c:pt idx="47">
                  <c:v>42860</c:v>
                </c:pt>
                <c:pt idx="48">
                  <c:v>42863</c:v>
                </c:pt>
                <c:pt idx="49">
                  <c:v>42864</c:v>
                </c:pt>
                <c:pt idx="50">
                  <c:v>42865</c:v>
                </c:pt>
                <c:pt idx="51">
                  <c:v>42866</c:v>
                </c:pt>
                <c:pt idx="52">
                  <c:v>42867</c:v>
                </c:pt>
                <c:pt idx="53">
                  <c:v>42870</c:v>
                </c:pt>
                <c:pt idx="54">
                  <c:v>42871</c:v>
                </c:pt>
                <c:pt idx="55">
                  <c:v>42872</c:v>
                </c:pt>
                <c:pt idx="56">
                  <c:v>42873</c:v>
                </c:pt>
                <c:pt idx="57">
                  <c:v>42874</c:v>
                </c:pt>
                <c:pt idx="58">
                  <c:v>42877</c:v>
                </c:pt>
                <c:pt idx="59">
                  <c:v>42878</c:v>
                </c:pt>
                <c:pt idx="60">
                  <c:v>42879</c:v>
                </c:pt>
                <c:pt idx="61">
                  <c:v>42880</c:v>
                </c:pt>
                <c:pt idx="62">
                  <c:v>42881</c:v>
                </c:pt>
                <c:pt idx="63">
                  <c:v>42884</c:v>
                </c:pt>
                <c:pt idx="64">
                  <c:v>42885</c:v>
                </c:pt>
                <c:pt idx="65">
                  <c:v>42886</c:v>
                </c:pt>
                <c:pt idx="66">
                  <c:v>42887</c:v>
                </c:pt>
                <c:pt idx="67">
                  <c:v>42888</c:v>
                </c:pt>
                <c:pt idx="68">
                  <c:v>42891</c:v>
                </c:pt>
                <c:pt idx="69">
                  <c:v>42892</c:v>
                </c:pt>
                <c:pt idx="70">
                  <c:v>42893</c:v>
                </c:pt>
                <c:pt idx="71">
                  <c:v>42894</c:v>
                </c:pt>
                <c:pt idx="72">
                  <c:v>42895</c:v>
                </c:pt>
                <c:pt idx="73">
                  <c:v>42898</c:v>
                </c:pt>
                <c:pt idx="74">
                  <c:v>42899</c:v>
                </c:pt>
                <c:pt idx="75">
                  <c:v>42900</c:v>
                </c:pt>
                <c:pt idx="76">
                  <c:v>42901</c:v>
                </c:pt>
                <c:pt idx="77">
                  <c:v>42902</c:v>
                </c:pt>
                <c:pt idx="78">
                  <c:v>42905</c:v>
                </c:pt>
                <c:pt idx="79">
                  <c:v>42906</c:v>
                </c:pt>
                <c:pt idx="80">
                  <c:v>42907</c:v>
                </c:pt>
                <c:pt idx="81">
                  <c:v>42908</c:v>
                </c:pt>
                <c:pt idx="82">
                  <c:v>42909</c:v>
                </c:pt>
                <c:pt idx="83">
                  <c:v>42912</c:v>
                </c:pt>
                <c:pt idx="84">
                  <c:v>42913</c:v>
                </c:pt>
                <c:pt idx="85">
                  <c:v>42914</c:v>
                </c:pt>
                <c:pt idx="86">
                  <c:v>42915</c:v>
                </c:pt>
                <c:pt idx="87">
                  <c:v>42916</c:v>
                </c:pt>
                <c:pt idx="88">
                  <c:v>42919</c:v>
                </c:pt>
                <c:pt idx="89">
                  <c:v>42920</c:v>
                </c:pt>
                <c:pt idx="90">
                  <c:v>42921</c:v>
                </c:pt>
                <c:pt idx="91">
                  <c:v>42922</c:v>
                </c:pt>
                <c:pt idx="92">
                  <c:v>42923</c:v>
                </c:pt>
                <c:pt idx="93">
                  <c:v>42926</c:v>
                </c:pt>
                <c:pt idx="94">
                  <c:v>42927</c:v>
                </c:pt>
                <c:pt idx="95">
                  <c:v>42928</c:v>
                </c:pt>
                <c:pt idx="96">
                  <c:v>42929</c:v>
                </c:pt>
                <c:pt idx="97">
                  <c:v>42930</c:v>
                </c:pt>
                <c:pt idx="98">
                  <c:v>42933</c:v>
                </c:pt>
                <c:pt idx="99">
                  <c:v>42934</c:v>
                </c:pt>
                <c:pt idx="100">
                  <c:v>42935</c:v>
                </c:pt>
                <c:pt idx="101">
                  <c:v>42936</c:v>
                </c:pt>
                <c:pt idx="102">
                  <c:v>42937</c:v>
                </c:pt>
                <c:pt idx="103">
                  <c:v>42940</c:v>
                </c:pt>
                <c:pt idx="104">
                  <c:v>42941</c:v>
                </c:pt>
                <c:pt idx="105">
                  <c:v>42942</c:v>
                </c:pt>
                <c:pt idx="106">
                  <c:v>42943</c:v>
                </c:pt>
                <c:pt idx="107">
                  <c:v>42944</c:v>
                </c:pt>
                <c:pt idx="108">
                  <c:v>42947</c:v>
                </c:pt>
                <c:pt idx="109">
                  <c:v>42948</c:v>
                </c:pt>
                <c:pt idx="110">
                  <c:v>42949</c:v>
                </c:pt>
                <c:pt idx="111">
                  <c:v>42950</c:v>
                </c:pt>
                <c:pt idx="112">
                  <c:v>42951</c:v>
                </c:pt>
                <c:pt idx="113">
                  <c:v>42954</c:v>
                </c:pt>
                <c:pt idx="114">
                  <c:v>42955</c:v>
                </c:pt>
                <c:pt idx="115">
                  <c:v>42956</c:v>
                </c:pt>
                <c:pt idx="116">
                  <c:v>42957</c:v>
                </c:pt>
                <c:pt idx="117">
                  <c:v>42958</c:v>
                </c:pt>
                <c:pt idx="118">
                  <c:v>42961</c:v>
                </c:pt>
                <c:pt idx="119">
                  <c:v>42962</c:v>
                </c:pt>
                <c:pt idx="120">
                  <c:v>42963</c:v>
                </c:pt>
                <c:pt idx="121">
                  <c:v>42964</c:v>
                </c:pt>
                <c:pt idx="122">
                  <c:v>42965</c:v>
                </c:pt>
                <c:pt idx="123">
                  <c:v>42968</c:v>
                </c:pt>
                <c:pt idx="124">
                  <c:v>42969</c:v>
                </c:pt>
                <c:pt idx="125">
                  <c:v>42970</c:v>
                </c:pt>
                <c:pt idx="126">
                  <c:v>42971</c:v>
                </c:pt>
                <c:pt idx="127">
                  <c:v>42972</c:v>
                </c:pt>
                <c:pt idx="128">
                  <c:v>42975</c:v>
                </c:pt>
                <c:pt idx="129">
                  <c:v>42976</c:v>
                </c:pt>
                <c:pt idx="130">
                  <c:v>42977</c:v>
                </c:pt>
                <c:pt idx="131">
                  <c:v>42978</c:v>
                </c:pt>
                <c:pt idx="132">
                  <c:v>42979</c:v>
                </c:pt>
                <c:pt idx="133">
                  <c:v>42982</c:v>
                </c:pt>
                <c:pt idx="134">
                  <c:v>42983</c:v>
                </c:pt>
                <c:pt idx="135">
                  <c:v>42984</c:v>
                </c:pt>
                <c:pt idx="136">
                  <c:v>42985</c:v>
                </c:pt>
                <c:pt idx="137">
                  <c:v>42986</c:v>
                </c:pt>
                <c:pt idx="138">
                  <c:v>42989</c:v>
                </c:pt>
                <c:pt idx="139">
                  <c:v>42990</c:v>
                </c:pt>
                <c:pt idx="140">
                  <c:v>42991</c:v>
                </c:pt>
                <c:pt idx="141">
                  <c:v>42992</c:v>
                </c:pt>
                <c:pt idx="142">
                  <c:v>42993</c:v>
                </c:pt>
                <c:pt idx="143">
                  <c:v>42996</c:v>
                </c:pt>
                <c:pt idx="144">
                  <c:v>42997</c:v>
                </c:pt>
                <c:pt idx="145">
                  <c:v>42998</c:v>
                </c:pt>
                <c:pt idx="146">
                  <c:v>42999</c:v>
                </c:pt>
                <c:pt idx="147">
                  <c:v>43000</c:v>
                </c:pt>
                <c:pt idx="148">
                  <c:v>43003</c:v>
                </c:pt>
                <c:pt idx="149">
                  <c:v>43004</c:v>
                </c:pt>
                <c:pt idx="150">
                  <c:v>43005</c:v>
                </c:pt>
                <c:pt idx="151">
                  <c:v>43006</c:v>
                </c:pt>
                <c:pt idx="152">
                  <c:v>43007</c:v>
                </c:pt>
                <c:pt idx="153">
                  <c:v>43010</c:v>
                </c:pt>
                <c:pt idx="154">
                  <c:v>43011</c:v>
                </c:pt>
                <c:pt idx="155">
                  <c:v>43012</c:v>
                </c:pt>
                <c:pt idx="156">
                  <c:v>43013</c:v>
                </c:pt>
                <c:pt idx="157">
                  <c:v>43014</c:v>
                </c:pt>
                <c:pt idx="158">
                  <c:v>43017</c:v>
                </c:pt>
                <c:pt idx="159">
                  <c:v>43018</c:v>
                </c:pt>
                <c:pt idx="160">
                  <c:v>43019</c:v>
                </c:pt>
                <c:pt idx="161">
                  <c:v>43020</c:v>
                </c:pt>
                <c:pt idx="162">
                  <c:v>43021</c:v>
                </c:pt>
                <c:pt idx="163">
                  <c:v>43024</c:v>
                </c:pt>
                <c:pt idx="164">
                  <c:v>43025</c:v>
                </c:pt>
                <c:pt idx="165">
                  <c:v>43026</c:v>
                </c:pt>
                <c:pt idx="166">
                  <c:v>43027</c:v>
                </c:pt>
                <c:pt idx="167">
                  <c:v>43028</c:v>
                </c:pt>
                <c:pt idx="168">
                  <c:v>43031</c:v>
                </c:pt>
                <c:pt idx="169">
                  <c:v>43032</c:v>
                </c:pt>
                <c:pt idx="170">
                  <c:v>43033</c:v>
                </c:pt>
                <c:pt idx="171">
                  <c:v>43034</c:v>
                </c:pt>
                <c:pt idx="172">
                  <c:v>43035</c:v>
                </c:pt>
                <c:pt idx="173">
                  <c:v>43038</c:v>
                </c:pt>
                <c:pt idx="174">
                  <c:v>43039</c:v>
                </c:pt>
                <c:pt idx="175">
                  <c:v>43040</c:v>
                </c:pt>
                <c:pt idx="176">
                  <c:v>43041</c:v>
                </c:pt>
                <c:pt idx="177">
                  <c:v>43042</c:v>
                </c:pt>
                <c:pt idx="178">
                  <c:v>43045</c:v>
                </c:pt>
                <c:pt idx="179">
                  <c:v>43046</c:v>
                </c:pt>
                <c:pt idx="180">
                  <c:v>43047</c:v>
                </c:pt>
                <c:pt idx="181">
                  <c:v>43048</c:v>
                </c:pt>
                <c:pt idx="182">
                  <c:v>43049</c:v>
                </c:pt>
                <c:pt idx="183">
                  <c:v>43052</c:v>
                </c:pt>
                <c:pt idx="184">
                  <c:v>43053</c:v>
                </c:pt>
                <c:pt idx="185">
                  <c:v>43054</c:v>
                </c:pt>
                <c:pt idx="186">
                  <c:v>43055</c:v>
                </c:pt>
                <c:pt idx="187">
                  <c:v>43056</c:v>
                </c:pt>
                <c:pt idx="188">
                  <c:v>43059</c:v>
                </c:pt>
                <c:pt idx="189">
                  <c:v>43060</c:v>
                </c:pt>
                <c:pt idx="190">
                  <c:v>43061</c:v>
                </c:pt>
                <c:pt idx="191">
                  <c:v>43062</c:v>
                </c:pt>
                <c:pt idx="192">
                  <c:v>43063</c:v>
                </c:pt>
                <c:pt idx="193">
                  <c:v>43066</c:v>
                </c:pt>
                <c:pt idx="194">
                  <c:v>43067</c:v>
                </c:pt>
                <c:pt idx="195">
                  <c:v>43068</c:v>
                </c:pt>
                <c:pt idx="196">
                  <c:v>43069</c:v>
                </c:pt>
                <c:pt idx="197">
                  <c:v>43070</c:v>
                </c:pt>
                <c:pt idx="198">
                  <c:v>43073</c:v>
                </c:pt>
                <c:pt idx="199">
                  <c:v>43074</c:v>
                </c:pt>
                <c:pt idx="200">
                  <c:v>43075</c:v>
                </c:pt>
                <c:pt idx="201">
                  <c:v>43076</c:v>
                </c:pt>
                <c:pt idx="202">
                  <c:v>43077</c:v>
                </c:pt>
                <c:pt idx="203">
                  <c:v>43080</c:v>
                </c:pt>
                <c:pt idx="204">
                  <c:v>43081</c:v>
                </c:pt>
                <c:pt idx="205">
                  <c:v>43082</c:v>
                </c:pt>
                <c:pt idx="206">
                  <c:v>43083</c:v>
                </c:pt>
                <c:pt idx="207">
                  <c:v>43084</c:v>
                </c:pt>
                <c:pt idx="208">
                  <c:v>43087</c:v>
                </c:pt>
                <c:pt idx="209">
                  <c:v>43088</c:v>
                </c:pt>
                <c:pt idx="210">
                  <c:v>43089</c:v>
                </c:pt>
                <c:pt idx="211">
                  <c:v>43090</c:v>
                </c:pt>
                <c:pt idx="212">
                  <c:v>43091</c:v>
                </c:pt>
                <c:pt idx="213">
                  <c:v>43094</c:v>
                </c:pt>
                <c:pt idx="214">
                  <c:v>43095</c:v>
                </c:pt>
                <c:pt idx="215">
                  <c:v>43096</c:v>
                </c:pt>
                <c:pt idx="216">
                  <c:v>43097</c:v>
                </c:pt>
                <c:pt idx="217">
                  <c:v>43098</c:v>
                </c:pt>
                <c:pt idx="218">
                  <c:v>43101</c:v>
                </c:pt>
                <c:pt idx="219">
                  <c:v>43102</c:v>
                </c:pt>
                <c:pt idx="220">
                  <c:v>43103</c:v>
                </c:pt>
                <c:pt idx="221">
                  <c:v>43104</c:v>
                </c:pt>
                <c:pt idx="222">
                  <c:v>43105</c:v>
                </c:pt>
                <c:pt idx="223">
                  <c:v>43108</c:v>
                </c:pt>
                <c:pt idx="224">
                  <c:v>43109</c:v>
                </c:pt>
                <c:pt idx="225">
                  <c:v>43110</c:v>
                </c:pt>
                <c:pt idx="226">
                  <c:v>43111</c:v>
                </c:pt>
                <c:pt idx="227">
                  <c:v>43112</c:v>
                </c:pt>
                <c:pt idx="228">
                  <c:v>43115</c:v>
                </c:pt>
                <c:pt idx="229">
                  <c:v>43116</c:v>
                </c:pt>
                <c:pt idx="230">
                  <c:v>43117</c:v>
                </c:pt>
                <c:pt idx="231">
                  <c:v>43118</c:v>
                </c:pt>
                <c:pt idx="232">
                  <c:v>43119</c:v>
                </c:pt>
                <c:pt idx="233">
                  <c:v>43122</c:v>
                </c:pt>
                <c:pt idx="234">
                  <c:v>43123</c:v>
                </c:pt>
                <c:pt idx="235">
                  <c:v>43124</c:v>
                </c:pt>
                <c:pt idx="236">
                  <c:v>43125</c:v>
                </c:pt>
                <c:pt idx="237">
                  <c:v>43126</c:v>
                </c:pt>
                <c:pt idx="238">
                  <c:v>43129</c:v>
                </c:pt>
                <c:pt idx="239">
                  <c:v>43130</c:v>
                </c:pt>
                <c:pt idx="240">
                  <c:v>43131</c:v>
                </c:pt>
                <c:pt idx="241">
                  <c:v>43132</c:v>
                </c:pt>
                <c:pt idx="242">
                  <c:v>43133</c:v>
                </c:pt>
                <c:pt idx="243">
                  <c:v>43136</c:v>
                </c:pt>
                <c:pt idx="244">
                  <c:v>43137</c:v>
                </c:pt>
                <c:pt idx="245">
                  <c:v>43138</c:v>
                </c:pt>
                <c:pt idx="246">
                  <c:v>43139</c:v>
                </c:pt>
                <c:pt idx="247">
                  <c:v>43140</c:v>
                </c:pt>
                <c:pt idx="248">
                  <c:v>43143</c:v>
                </c:pt>
                <c:pt idx="249">
                  <c:v>43144</c:v>
                </c:pt>
                <c:pt idx="250">
                  <c:v>43145</c:v>
                </c:pt>
                <c:pt idx="251">
                  <c:v>43146</c:v>
                </c:pt>
                <c:pt idx="252">
                  <c:v>43147</c:v>
                </c:pt>
                <c:pt idx="253">
                  <c:v>43150</c:v>
                </c:pt>
                <c:pt idx="254">
                  <c:v>43151</c:v>
                </c:pt>
                <c:pt idx="255">
                  <c:v>43152</c:v>
                </c:pt>
                <c:pt idx="256">
                  <c:v>43153</c:v>
                </c:pt>
                <c:pt idx="257">
                  <c:v>43154</c:v>
                </c:pt>
                <c:pt idx="258">
                  <c:v>43157</c:v>
                </c:pt>
                <c:pt idx="259">
                  <c:v>43158</c:v>
                </c:pt>
                <c:pt idx="260">
                  <c:v>43159</c:v>
                </c:pt>
                <c:pt idx="261">
                  <c:v>43160</c:v>
                </c:pt>
                <c:pt idx="262">
                  <c:v>43161</c:v>
                </c:pt>
                <c:pt idx="263">
                  <c:v>43164</c:v>
                </c:pt>
                <c:pt idx="264">
                  <c:v>43165</c:v>
                </c:pt>
                <c:pt idx="265">
                  <c:v>43166</c:v>
                </c:pt>
                <c:pt idx="266">
                  <c:v>43167</c:v>
                </c:pt>
                <c:pt idx="267">
                  <c:v>43168</c:v>
                </c:pt>
                <c:pt idx="268">
                  <c:v>43171</c:v>
                </c:pt>
                <c:pt idx="269">
                  <c:v>43172</c:v>
                </c:pt>
                <c:pt idx="270">
                  <c:v>43173</c:v>
                </c:pt>
                <c:pt idx="271">
                  <c:v>43174</c:v>
                </c:pt>
                <c:pt idx="272">
                  <c:v>43175</c:v>
                </c:pt>
                <c:pt idx="273">
                  <c:v>43178</c:v>
                </c:pt>
                <c:pt idx="274">
                  <c:v>43179</c:v>
                </c:pt>
                <c:pt idx="275">
                  <c:v>43180</c:v>
                </c:pt>
                <c:pt idx="276">
                  <c:v>43181</c:v>
                </c:pt>
                <c:pt idx="277">
                  <c:v>43182</c:v>
                </c:pt>
                <c:pt idx="278">
                  <c:v>43185</c:v>
                </c:pt>
                <c:pt idx="279">
                  <c:v>43186</c:v>
                </c:pt>
                <c:pt idx="280">
                  <c:v>43187</c:v>
                </c:pt>
                <c:pt idx="281">
                  <c:v>43188</c:v>
                </c:pt>
                <c:pt idx="282">
                  <c:v>43189</c:v>
                </c:pt>
                <c:pt idx="283">
                  <c:v>43192</c:v>
                </c:pt>
                <c:pt idx="284">
                  <c:v>43193</c:v>
                </c:pt>
                <c:pt idx="285">
                  <c:v>43194</c:v>
                </c:pt>
                <c:pt idx="286">
                  <c:v>43195</c:v>
                </c:pt>
                <c:pt idx="287">
                  <c:v>43196</c:v>
                </c:pt>
                <c:pt idx="288">
                  <c:v>43199</c:v>
                </c:pt>
                <c:pt idx="289">
                  <c:v>43200</c:v>
                </c:pt>
                <c:pt idx="290">
                  <c:v>43201</c:v>
                </c:pt>
                <c:pt idx="291">
                  <c:v>43202</c:v>
                </c:pt>
                <c:pt idx="292">
                  <c:v>43203</c:v>
                </c:pt>
                <c:pt idx="293">
                  <c:v>43206</c:v>
                </c:pt>
                <c:pt idx="294">
                  <c:v>43207</c:v>
                </c:pt>
                <c:pt idx="295">
                  <c:v>43208</c:v>
                </c:pt>
                <c:pt idx="296">
                  <c:v>43209</c:v>
                </c:pt>
                <c:pt idx="297">
                  <c:v>43210</c:v>
                </c:pt>
                <c:pt idx="298">
                  <c:v>43213</c:v>
                </c:pt>
                <c:pt idx="299">
                  <c:v>43214</c:v>
                </c:pt>
                <c:pt idx="300">
                  <c:v>43215</c:v>
                </c:pt>
                <c:pt idx="301">
                  <c:v>43216</c:v>
                </c:pt>
                <c:pt idx="302">
                  <c:v>43217</c:v>
                </c:pt>
                <c:pt idx="303">
                  <c:v>43220</c:v>
                </c:pt>
                <c:pt idx="304">
                  <c:v>43221</c:v>
                </c:pt>
                <c:pt idx="305">
                  <c:v>43222</c:v>
                </c:pt>
                <c:pt idx="306">
                  <c:v>43223</c:v>
                </c:pt>
                <c:pt idx="307">
                  <c:v>43224</c:v>
                </c:pt>
                <c:pt idx="308">
                  <c:v>43227</c:v>
                </c:pt>
                <c:pt idx="309">
                  <c:v>43228</c:v>
                </c:pt>
                <c:pt idx="310">
                  <c:v>43229</c:v>
                </c:pt>
                <c:pt idx="311">
                  <c:v>43230</c:v>
                </c:pt>
                <c:pt idx="312">
                  <c:v>43231</c:v>
                </c:pt>
                <c:pt idx="313">
                  <c:v>43234</c:v>
                </c:pt>
                <c:pt idx="314">
                  <c:v>43235</c:v>
                </c:pt>
                <c:pt idx="315">
                  <c:v>43236</c:v>
                </c:pt>
                <c:pt idx="316">
                  <c:v>43237</c:v>
                </c:pt>
                <c:pt idx="317">
                  <c:v>43238</c:v>
                </c:pt>
                <c:pt idx="318">
                  <c:v>43241</c:v>
                </c:pt>
                <c:pt idx="319">
                  <c:v>43242</c:v>
                </c:pt>
                <c:pt idx="320">
                  <c:v>43243</c:v>
                </c:pt>
                <c:pt idx="321">
                  <c:v>43244</c:v>
                </c:pt>
                <c:pt idx="322">
                  <c:v>43245</c:v>
                </c:pt>
                <c:pt idx="323">
                  <c:v>43248</c:v>
                </c:pt>
                <c:pt idx="324">
                  <c:v>43249</c:v>
                </c:pt>
                <c:pt idx="325">
                  <c:v>43250</c:v>
                </c:pt>
                <c:pt idx="326">
                  <c:v>43251</c:v>
                </c:pt>
                <c:pt idx="327">
                  <c:v>43252</c:v>
                </c:pt>
                <c:pt idx="328">
                  <c:v>43255</c:v>
                </c:pt>
                <c:pt idx="329">
                  <c:v>43256</c:v>
                </c:pt>
                <c:pt idx="330">
                  <c:v>43257</c:v>
                </c:pt>
                <c:pt idx="331">
                  <c:v>43258</c:v>
                </c:pt>
                <c:pt idx="332">
                  <c:v>43259</c:v>
                </c:pt>
                <c:pt idx="333">
                  <c:v>43262</c:v>
                </c:pt>
                <c:pt idx="334">
                  <c:v>43263</c:v>
                </c:pt>
                <c:pt idx="335">
                  <c:v>43264</c:v>
                </c:pt>
                <c:pt idx="336">
                  <c:v>43265</c:v>
                </c:pt>
                <c:pt idx="337">
                  <c:v>43266</c:v>
                </c:pt>
                <c:pt idx="338">
                  <c:v>43269</c:v>
                </c:pt>
                <c:pt idx="339">
                  <c:v>43270</c:v>
                </c:pt>
                <c:pt idx="340">
                  <c:v>43271</c:v>
                </c:pt>
                <c:pt idx="341">
                  <c:v>43272</c:v>
                </c:pt>
                <c:pt idx="342">
                  <c:v>43273</c:v>
                </c:pt>
                <c:pt idx="343">
                  <c:v>43276</c:v>
                </c:pt>
                <c:pt idx="344">
                  <c:v>43277</c:v>
                </c:pt>
                <c:pt idx="345">
                  <c:v>43278</c:v>
                </c:pt>
                <c:pt idx="346">
                  <c:v>43279</c:v>
                </c:pt>
                <c:pt idx="347">
                  <c:v>43280</c:v>
                </c:pt>
                <c:pt idx="348">
                  <c:v>43283</c:v>
                </c:pt>
                <c:pt idx="349">
                  <c:v>43284</c:v>
                </c:pt>
                <c:pt idx="350">
                  <c:v>43285</c:v>
                </c:pt>
                <c:pt idx="351">
                  <c:v>43286</c:v>
                </c:pt>
                <c:pt idx="352">
                  <c:v>43287</c:v>
                </c:pt>
                <c:pt idx="353">
                  <c:v>43290</c:v>
                </c:pt>
                <c:pt idx="354">
                  <c:v>43291</c:v>
                </c:pt>
                <c:pt idx="355">
                  <c:v>43292</c:v>
                </c:pt>
                <c:pt idx="356">
                  <c:v>43293</c:v>
                </c:pt>
                <c:pt idx="357">
                  <c:v>43294</c:v>
                </c:pt>
                <c:pt idx="358">
                  <c:v>43297</c:v>
                </c:pt>
                <c:pt idx="359">
                  <c:v>43298</c:v>
                </c:pt>
                <c:pt idx="360">
                  <c:v>43299</c:v>
                </c:pt>
                <c:pt idx="361">
                  <c:v>43300</c:v>
                </c:pt>
                <c:pt idx="362">
                  <c:v>43301</c:v>
                </c:pt>
                <c:pt idx="363">
                  <c:v>43304</c:v>
                </c:pt>
                <c:pt idx="364">
                  <c:v>43305</c:v>
                </c:pt>
                <c:pt idx="365">
                  <c:v>43306</c:v>
                </c:pt>
                <c:pt idx="366">
                  <c:v>43307</c:v>
                </c:pt>
                <c:pt idx="367">
                  <c:v>43308</c:v>
                </c:pt>
                <c:pt idx="368">
                  <c:v>43311</c:v>
                </c:pt>
                <c:pt idx="369">
                  <c:v>43312</c:v>
                </c:pt>
                <c:pt idx="370">
                  <c:v>43313</c:v>
                </c:pt>
                <c:pt idx="371">
                  <c:v>43314</c:v>
                </c:pt>
                <c:pt idx="372">
                  <c:v>43315</c:v>
                </c:pt>
                <c:pt idx="373">
                  <c:v>43318</c:v>
                </c:pt>
                <c:pt idx="374">
                  <c:v>43319</c:v>
                </c:pt>
                <c:pt idx="375">
                  <c:v>43320</c:v>
                </c:pt>
                <c:pt idx="376">
                  <c:v>43321</c:v>
                </c:pt>
                <c:pt idx="377">
                  <c:v>43322</c:v>
                </c:pt>
                <c:pt idx="378">
                  <c:v>43325</c:v>
                </c:pt>
                <c:pt idx="379">
                  <c:v>43326</c:v>
                </c:pt>
                <c:pt idx="380">
                  <c:v>43327</c:v>
                </c:pt>
                <c:pt idx="381">
                  <c:v>43328</c:v>
                </c:pt>
                <c:pt idx="382">
                  <c:v>43329</c:v>
                </c:pt>
                <c:pt idx="383">
                  <c:v>43332</c:v>
                </c:pt>
                <c:pt idx="384">
                  <c:v>43333</c:v>
                </c:pt>
                <c:pt idx="385">
                  <c:v>43334</c:v>
                </c:pt>
                <c:pt idx="386">
                  <c:v>43335</c:v>
                </c:pt>
                <c:pt idx="387">
                  <c:v>43336</c:v>
                </c:pt>
                <c:pt idx="388">
                  <c:v>43339</c:v>
                </c:pt>
                <c:pt idx="389">
                  <c:v>43340</c:v>
                </c:pt>
                <c:pt idx="390">
                  <c:v>43341</c:v>
                </c:pt>
                <c:pt idx="391">
                  <c:v>43342</c:v>
                </c:pt>
                <c:pt idx="392">
                  <c:v>43343</c:v>
                </c:pt>
                <c:pt idx="393">
                  <c:v>43346</c:v>
                </c:pt>
                <c:pt idx="394">
                  <c:v>43347</c:v>
                </c:pt>
                <c:pt idx="395">
                  <c:v>43348</c:v>
                </c:pt>
                <c:pt idx="396">
                  <c:v>43349</c:v>
                </c:pt>
                <c:pt idx="397">
                  <c:v>43350</c:v>
                </c:pt>
                <c:pt idx="398">
                  <c:v>43353</c:v>
                </c:pt>
                <c:pt idx="399">
                  <c:v>43354</c:v>
                </c:pt>
                <c:pt idx="400">
                  <c:v>43355</c:v>
                </c:pt>
                <c:pt idx="401">
                  <c:v>43356</c:v>
                </c:pt>
                <c:pt idx="402">
                  <c:v>43357</c:v>
                </c:pt>
                <c:pt idx="403">
                  <c:v>43360</c:v>
                </c:pt>
                <c:pt idx="404">
                  <c:v>43361</c:v>
                </c:pt>
                <c:pt idx="405">
                  <c:v>43362</c:v>
                </c:pt>
                <c:pt idx="406">
                  <c:v>43363</c:v>
                </c:pt>
                <c:pt idx="407">
                  <c:v>43364</c:v>
                </c:pt>
                <c:pt idx="408">
                  <c:v>43367</c:v>
                </c:pt>
                <c:pt idx="409">
                  <c:v>43368</c:v>
                </c:pt>
                <c:pt idx="410">
                  <c:v>43369</c:v>
                </c:pt>
                <c:pt idx="411">
                  <c:v>43370</c:v>
                </c:pt>
                <c:pt idx="412">
                  <c:v>43371</c:v>
                </c:pt>
                <c:pt idx="413">
                  <c:v>43374</c:v>
                </c:pt>
                <c:pt idx="414">
                  <c:v>43375</c:v>
                </c:pt>
                <c:pt idx="415">
                  <c:v>43376</c:v>
                </c:pt>
                <c:pt idx="416">
                  <c:v>43377</c:v>
                </c:pt>
                <c:pt idx="417">
                  <c:v>43378</c:v>
                </c:pt>
                <c:pt idx="418">
                  <c:v>43381</c:v>
                </c:pt>
                <c:pt idx="419">
                  <c:v>43382</c:v>
                </c:pt>
                <c:pt idx="420">
                  <c:v>43383</c:v>
                </c:pt>
                <c:pt idx="421">
                  <c:v>43384</c:v>
                </c:pt>
                <c:pt idx="422">
                  <c:v>43385</c:v>
                </c:pt>
                <c:pt idx="423">
                  <c:v>43388</c:v>
                </c:pt>
                <c:pt idx="424">
                  <c:v>43389</c:v>
                </c:pt>
                <c:pt idx="425">
                  <c:v>43390</c:v>
                </c:pt>
                <c:pt idx="426">
                  <c:v>43391</c:v>
                </c:pt>
                <c:pt idx="427">
                  <c:v>43392</c:v>
                </c:pt>
                <c:pt idx="428">
                  <c:v>43395</c:v>
                </c:pt>
                <c:pt idx="429">
                  <c:v>43396</c:v>
                </c:pt>
                <c:pt idx="430">
                  <c:v>43397</c:v>
                </c:pt>
                <c:pt idx="431">
                  <c:v>43398</c:v>
                </c:pt>
                <c:pt idx="432">
                  <c:v>43399</c:v>
                </c:pt>
                <c:pt idx="433">
                  <c:v>43402</c:v>
                </c:pt>
                <c:pt idx="434">
                  <c:v>43403</c:v>
                </c:pt>
                <c:pt idx="435">
                  <c:v>43404</c:v>
                </c:pt>
                <c:pt idx="436">
                  <c:v>43405</c:v>
                </c:pt>
                <c:pt idx="437">
                  <c:v>43406</c:v>
                </c:pt>
                <c:pt idx="438">
                  <c:v>43409</c:v>
                </c:pt>
                <c:pt idx="439">
                  <c:v>43410</c:v>
                </c:pt>
                <c:pt idx="440">
                  <c:v>43411</c:v>
                </c:pt>
                <c:pt idx="441">
                  <c:v>43412</c:v>
                </c:pt>
                <c:pt idx="442">
                  <c:v>43413</c:v>
                </c:pt>
                <c:pt idx="443">
                  <c:v>43416</c:v>
                </c:pt>
                <c:pt idx="444">
                  <c:v>43417</c:v>
                </c:pt>
                <c:pt idx="445">
                  <c:v>43418</c:v>
                </c:pt>
                <c:pt idx="446">
                  <c:v>43419</c:v>
                </c:pt>
                <c:pt idx="447">
                  <c:v>43420</c:v>
                </c:pt>
                <c:pt idx="448">
                  <c:v>43423</c:v>
                </c:pt>
                <c:pt idx="449">
                  <c:v>43424</c:v>
                </c:pt>
                <c:pt idx="450">
                  <c:v>43425</c:v>
                </c:pt>
                <c:pt idx="451">
                  <c:v>43426</c:v>
                </c:pt>
                <c:pt idx="452">
                  <c:v>43427</c:v>
                </c:pt>
                <c:pt idx="453">
                  <c:v>43430</c:v>
                </c:pt>
                <c:pt idx="454">
                  <c:v>43431</c:v>
                </c:pt>
                <c:pt idx="455">
                  <c:v>43432</c:v>
                </c:pt>
                <c:pt idx="456">
                  <c:v>43433</c:v>
                </c:pt>
                <c:pt idx="457">
                  <c:v>43434</c:v>
                </c:pt>
                <c:pt idx="458">
                  <c:v>43437</c:v>
                </c:pt>
                <c:pt idx="459">
                  <c:v>43438</c:v>
                </c:pt>
                <c:pt idx="460">
                  <c:v>43439</c:v>
                </c:pt>
                <c:pt idx="461">
                  <c:v>43440</c:v>
                </c:pt>
                <c:pt idx="462">
                  <c:v>43441</c:v>
                </c:pt>
                <c:pt idx="463">
                  <c:v>43444</c:v>
                </c:pt>
                <c:pt idx="464">
                  <c:v>43445</c:v>
                </c:pt>
                <c:pt idx="465">
                  <c:v>43446</c:v>
                </c:pt>
                <c:pt idx="466">
                  <c:v>43447</c:v>
                </c:pt>
                <c:pt idx="467">
                  <c:v>43448</c:v>
                </c:pt>
                <c:pt idx="468">
                  <c:v>43451</c:v>
                </c:pt>
                <c:pt idx="469">
                  <c:v>43452</c:v>
                </c:pt>
                <c:pt idx="470">
                  <c:v>43453</c:v>
                </c:pt>
                <c:pt idx="471">
                  <c:v>43454</c:v>
                </c:pt>
                <c:pt idx="472">
                  <c:v>43455</c:v>
                </c:pt>
                <c:pt idx="473">
                  <c:v>43458</c:v>
                </c:pt>
                <c:pt idx="474">
                  <c:v>43459</c:v>
                </c:pt>
                <c:pt idx="475">
                  <c:v>43460</c:v>
                </c:pt>
                <c:pt idx="476">
                  <c:v>43461</c:v>
                </c:pt>
                <c:pt idx="477">
                  <c:v>43462</c:v>
                </c:pt>
                <c:pt idx="478">
                  <c:v>43465</c:v>
                </c:pt>
                <c:pt idx="479">
                  <c:v>43466</c:v>
                </c:pt>
                <c:pt idx="480">
                  <c:v>43467</c:v>
                </c:pt>
                <c:pt idx="481">
                  <c:v>43468</c:v>
                </c:pt>
                <c:pt idx="482">
                  <c:v>43469</c:v>
                </c:pt>
                <c:pt idx="483">
                  <c:v>43472</c:v>
                </c:pt>
                <c:pt idx="484">
                  <c:v>43473</c:v>
                </c:pt>
                <c:pt idx="485">
                  <c:v>43474</c:v>
                </c:pt>
                <c:pt idx="486">
                  <c:v>43475</c:v>
                </c:pt>
                <c:pt idx="487">
                  <c:v>43476</c:v>
                </c:pt>
                <c:pt idx="488">
                  <c:v>43479</c:v>
                </c:pt>
                <c:pt idx="489">
                  <c:v>43480</c:v>
                </c:pt>
                <c:pt idx="490">
                  <c:v>43481</c:v>
                </c:pt>
                <c:pt idx="491">
                  <c:v>43482</c:v>
                </c:pt>
                <c:pt idx="492">
                  <c:v>43483</c:v>
                </c:pt>
                <c:pt idx="493">
                  <c:v>43486</c:v>
                </c:pt>
                <c:pt idx="494">
                  <c:v>43487</c:v>
                </c:pt>
                <c:pt idx="495">
                  <c:v>43488</c:v>
                </c:pt>
                <c:pt idx="496">
                  <c:v>43489</c:v>
                </c:pt>
                <c:pt idx="497">
                  <c:v>43490</c:v>
                </c:pt>
                <c:pt idx="498">
                  <c:v>43493</c:v>
                </c:pt>
                <c:pt idx="499">
                  <c:v>43494</c:v>
                </c:pt>
                <c:pt idx="500">
                  <c:v>43495</c:v>
                </c:pt>
                <c:pt idx="501">
                  <c:v>43496</c:v>
                </c:pt>
                <c:pt idx="502">
                  <c:v>43497</c:v>
                </c:pt>
                <c:pt idx="503">
                  <c:v>43500</c:v>
                </c:pt>
                <c:pt idx="504">
                  <c:v>43501</c:v>
                </c:pt>
                <c:pt idx="505">
                  <c:v>43502</c:v>
                </c:pt>
                <c:pt idx="506">
                  <c:v>43503</c:v>
                </c:pt>
                <c:pt idx="507">
                  <c:v>43504</c:v>
                </c:pt>
                <c:pt idx="508">
                  <c:v>43507</c:v>
                </c:pt>
                <c:pt idx="509">
                  <c:v>43508</c:v>
                </c:pt>
                <c:pt idx="510">
                  <c:v>43509</c:v>
                </c:pt>
                <c:pt idx="511">
                  <c:v>43510</c:v>
                </c:pt>
                <c:pt idx="512">
                  <c:v>43511</c:v>
                </c:pt>
                <c:pt idx="513">
                  <c:v>43514</c:v>
                </c:pt>
                <c:pt idx="514">
                  <c:v>43515</c:v>
                </c:pt>
                <c:pt idx="515">
                  <c:v>43516</c:v>
                </c:pt>
                <c:pt idx="516">
                  <c:v>43517</c:v>
                </c:pt>
                <c:pt idx="517">
                  <c:v>43518</c:v>
                </c:pt>
                <c:pt idx="518">
                  <c:v>43521</c:v>
                </c:pt>
                <c:pt idx="519">
                  <c:v>43522</c:v>
                </c:pt>
                <c:pt idx="520">
                  <c:v>43523</c:v>
                </c:pt>
                <c:pt idx="521">
                  <c:v>43524</c:v>
                </c:pt>
              </c:numCache>
            </c:numRef>
          </c:cat>
          <c:val>
            <c:numRef>
              <c:f>Data!$B$307:$B$828</c:f>
              <c:numCache>
                <c:formatCode>#,##0</c:formatCode>
                <c:ptCount val="522"/>
                <c:pt idx="0">
                  <c:v>384176</c:v>
                </c:pt>
                <c:pt idx="1">
                  <c:v>395396.43</c:v>
                </c:pt>
                <c:pt idx="2">
                  <c:v>395396</c:v>
                </c:pt>
                <c:pt idx="3">
                  <c:v>395396</c:v>
                </c:pt>
                <c:pt idx="4">
                  <c:v>361856.47</c:v>
                </c:pt>
                <c:pt idx="5">
                  <c:v>361856</c:v>
                </c:pt>
                <c:pt idx="6">
                  <c:v>349877.16</c:v>
                </c:pt>
                <c:pt idx="7">
                  <c:v>359297.81</c:v>
                </c:pt>
                <c:pt idx="8">
                  <c:v>361678.91</c:v>
                </c:pt>
                <c:pt idx="9">
                  <c:v>361679</c:v>
                </c:pt>
                <c:pt idx="10">
                  <c:v>370843.37</c:v>
                </c:pt>
                <c:pt idx="11">
                  <c:v>377566.07</c:v>
                </c:pt>
                <c:pt idx="12">
                  <c:v>370373.97</c:v>
                </c:pt>
                <c:pt idx="13">
                  <c:v>338340.3</c:v>
                </c:pt>
                <c:pt idx="14">
                  <c:v>338340</c:v>
                </c:pt>
                <c:pt idx="15">
                  <c:v>338340</c:v>
                </c:pt>
                <c:pt idx="16">
                  <c:v>348438.37</c:v>
                </c:pt>
                <c:pt idx="17">
                  <c:v>348438</c:v>
                </c:pt>
                <c:pt idx="18">
                  <c:v>348360.51</c:v>
                </c:pt>
                <c:pt idx="19" formatCode="#,##0_);[Red]\(#,##0\)">
                  <c:v>348440.48</c:v>
                </c:pt>
                <c:pt idx="20" formatCode="#,##0_);[Red]\(#,##0\)">
                  <c:v>348440</c:v>
                </c:pt>
                <c:pt idx="21" formatCode="#,##0_);[Red]\(#,##0\)">
                  <c:v>350305.92</c:v>
                </c:pt>
                <c:pt idx="22" formatCode="#,##0_);[Red]\(#,##0\)">
                  <c:v>350306</c:v>
                </c:pt>
                <c:pt idx="23" formatCode="#,##0_);[Red]\(#,##0\)">
                  <c:v>350306</c:v>
                </c:pt>
                <c:pt idx="24" formatCode="#,##0_);[Red]\(#,##0\)">
                  <c:v>320389.65000000002</c:v>
                </c:pt>
                <c:pt idx="25" formatCode="#,##0_);[Red]\(#,##0\)">
                  <c:v>320390</c:v>
                </c:pt>
                <c:pt idx="26" formatCode="#,##0_);[Red]\(#,##0\)">
                  <c:v>313344</c:v>
                </c:pt>
                <c:pt idx="27" formatCode="#,##0_);[Red]\(#,##0\)">
                  <c:v>313344</c:v>
                </c:pt>
                <c:pt idx="28" formatCode="#,##0_);[Red]\(#,##0\)">
                  <c:v>306132.78000000003</c:v>
                </c:pt>
                <c:pt idx="29" formatCode="#,##0_);[Red]\(#,##0\)">
                  <c:v>286047.34999999998</c:v>
                </c:pt>
                <c:pt idx="30" formatCode="#,##0_);[Red]\(#,##0\)">
                  <c:v>286047</c:v>
                </c:pt>
                <c:pt idx="31" formatCode="#,##0_);[Red]\(#,##0\)">
                  <c:v>272128.99</c:v>
                </c:pt>
                <c:pt idx="32" formatCode="#,##0_);[Red]\(#,##0\)">
                  <c:v>272229.71000000002</c:v>
                </c:pt>
                <c:pt idx="33" formatCode="#,##0_);[Red]\(#,##0\)">
                  <c:v>236683.56</c:v>
                </c:pt>
                <c:pt idx="34" formatCode="#,##0_);[Red]\(#,##0\)">
                  <c:v>244114.64</c:v>
                </c:pt>
                <c:pt idx="35" formatCode="#,##0_);[Red]\(#,##0\)">
                  <c:v>244115</c:v>
                </c:pt>
                <c:pt idx="36" formatCode="#,##0_);[Red]\(#,##0\)">
                  <c:v>241798.76</c:v>
                </c:pt>
                <c:pt idx="37" formatCode="#,##0_);[Red]\(#,##0\)">
                  <c:v>241799</c:v>
                </c:pt>
                <c:pt idx="38" formatCode="#,##0_);[Red]\(#,##0\)">
                  <c:v>241973.76000000001</c:v>
                </c:pt>
                <c:pt idx="39" formatCode="#,##0_);[Red]\(#,##0\)">
                  <c:v>243364.2</c:v>
                </c:pt>
                <c:pt idx="40" formatCode="#,##0_);[Red]\(#,##0\)">
                  <c:v>243364</c:v>
                </c:pt>
                <c:pt idx="41" formatCode="#,##0_);[Red]\(#,##0\)">
                  <c:v>259265.45</c:v>
                </c:pt>
                <c:pt idx="42" formatCode="#,##0_);[Red]\(#,##0\)">
                  <c:v>290731.18</c:v>
                </c:pt>
                <c:pt idx="43" formatCode="#,##0_);[Red]\(#,##0\)">
                  <c:v>251486.17</c:v>
                </c:pt>
                <c:pt idx="44" formatCode="#,##0_);[Red]\(#,##0\)">
                  <c:v>253188.17</c:v>
                </c:pt>
                <c:pt idx="45" formatCode="#,##0_);[Red]\(#,##0\)">
                  <c:v>253188</c:v>
                </c:pt>
                <c:pt idx="46" formatCode="#,##0_);[Red]\(#,##0\)">
                  <c:v>232739.33</c:v>
                </c:pt>
                <c:pt idx="47" formatCode="#,##0_);[Red]\(#,##0\)">
                  <c:v>234049.33</c:v>
                </c:pt>
                <c:pt idx="48" formatCode="#,##0_);[Red]\(#,##0\)">
                  <c:v>314317.77</c:v>
                </c:pt>
                <c:pt idx="49" formatCode="#,##0_);[Red]\(#,##0\)">
                  <c:v>314318</c:v>
                </c:pt>
                <c:pt idx="50" formatCode="#,##0_);[Red]\(#,##0\)">
                  <c:v>314318</c:v>
                </c:pt>
                <c:pt idx="51" formatCode="#,##0_);[Red]\(#,##0\)">
                  <c:v>313971.28000000003</c:v>
                </c:pt>
                <c:pt idx="52" formatCode="#,##0_);[Red]\(#,##0\)">
                  <c:v>313971</c:v>
                </c:pt>
                <c:pt idx="53" formatCode="#,##0_);[Red]\(#,##0\)">
                  <c:v>271063.69</c:v>
                </c:pt>
                <c:pt idx="54" formatCode="#,##0_);[Red]\(#,##0\)">
                  <c:v>271064</c:v>
                </c:pt>
                <c:pt idx="55" formatCode="#,##0_);[Red]\(#,##0\)">
                  <c:v>271064</c:v>
                </c:pt>
                <c:pt idx="56" formatCode="#,##0_);[Red]\(#,##0\)">
                  <c:v>261497.73</c:v>
                </c:pt>
                <c:pt idx="57" formatCode="#,##0_);[Red]\(#,##0\)">
                  <c:v>311507.92</c:v>
                </c:pt>
                <c:pt idx="58" formatCode="#,##0_);[Red]\(#,##0\)">
                  <c:v>290080.52</c:v>
                </c:pt>
                <c:pt idx="59" formatCode="#,##0_);[Red]\(#,##0\)">
                  <c:v>290081</c:v>
                </c:pt>
                <c:pt idx="60" formatCode="#,##0_);[Red]\(#,##0\)">
                  <c:v>327080.46000000002</c:v>
                </c:pt>
                <c:pt idx="61" formatCode="#,##0_);[Red]\(#,##0\)">
                  <c:v>327080</c:v>
                </c:pt>
                <c:pt idx="62" formatCode="#,##0_);[Red]\(#,##0\)">
                  <c:v>336844.12</c:v>
                </c:pt>
                <c:pt idx="63" formatCode="#,##0_);[Red]\(#,##0\)">
                  <c:v>336844</c:v>
                </c:pt>
                <c:pt idx="64" formatCode="#,##0_);[Red]\(#,##0\)">
                  <c:v>300553.48</c:v>
                </c:pt>
                <c:pt idx="65" formatCode="#,##0_);[Red]\(#,##0\)">
                  <c:v>296887.5</c:v>
                </c:pt>
                <c:pt idx="66" formatCode="#,##0_);[Red]\(#,##0\)">
                  <c:v>297355.68</c:v>
                </c:pt>
                <c:pt idx="67" formatCode="#,##0_);[Red]\(#,##0\)">
                  <c:v>298760.68</c:v>
                </c:pt>
                <c:pt idx="68" formatCode="#,##0_);[Red]\(#,##0\)">
                  <c:v>279006.82</c:v>
                </c:pt>
                <c:pt idx="69" formatCode="#,##0_);[Red]\(#,##0\)">
                  <c:v>279007</c:v>
                </c:pt>
                <c:pt idx="70" formatCode="#,##0_);[Red]\(#,##0\)">
                  <c:v>279007</c:v>
                </c:pt>
                <c:pt idx="71" formatCode="#,##0_);[Red]\(#,##0\)">
                  <c:v>279112.07</c:v>
                </c:pt>
                <c:pt idx="72" formatCode="#,##0_);[Red]\(#,##0\)">
                  <c:v>279112</c:v>
                </c:pt>
                <c:pt idx="73" formatCode="#,##0_);[Red]\(#,##0\)">
                  <c:v>244072.02</c:v>
                </c:pt>
                <c:pt idx="74" formatCode="#,##0_);[Red]\(#,##0\)">
                  <c:v>249325.41</c:v>
                </c:pt>
                <c:pt idx="75" formatCode="#,##0_);[Red]\(#,##0\)">
                  <c:v>249325</c:v>
                </c:pt>
                <c:pt idx="76" formatCode="#,##0_);[Red]\(#,##0\)">
                  <c:v>252874.48</c:v>
                </c:pt>
                <c:pt idx="77" formatCode="#,##0_);[Red]\(#,##0\)">
                  <c:v>253128.65</c:v>
                </c:pt>
                <c:pt idx="78" formatCode="#,##0_);[Red]\(#,##0\)">
                  <c:v>255098.96</c:v>
                </c:pt>
                <c:pt idx="79" formatCode="#,##0_);[Red]\(#,##0\)">
                  <c:v>253521.42</c:v>
                </c:pt>
                <c:pt idx="80" formatCode="#,##0_);[Red]\(#,##0\)">
                  <c:v>253521</c:v>
                </c:pt>
                <c:pt idx="81" formatCode="#,##0_);[Red]\(#,##0\)">
                  <c:v>235912.36</c:v>
                </c:pt>
                <c:pt idx="82" formatCode="#,##0_);[Red]\(#,##0\)">
                  <c:v>235912</c:v>
                </c:pt>
                <c:pt idx="83" formatCode="#,##0_);[Red]\(#,##0\)">
                  <c:v>198879.76</c:v>
                </c:pt>
                <c:pt idx="84" formatCode="#,##0_);[Red]\(#,##0\)">
                  <c:v>199009.76</c:v>
                </c:pt>
                <c:pt idx="85" formatCode="#,##0_);[Red]\(#,##0\)">
                  <c:v>199010</c:v>
                </c:pt>
                <c:pt idx="86" formatCode="#,##0_);[Red]\(#,##0\)">
                  <c:v>210354</c:v>
                </c:pt>
                <c:pt idx="87" formatCode="#,##0_);[Red]\(#,##0\)">
                  <c:v>260779.62</c:v>
                </c:pt>
                <c:pt idx="88" formatCode="#,##0_);[Red]\(#,##0\)">
                  <c:v>260780</c:v>
                </c:pt>
                <c:pt idx="89" formatCode="#,##0_);[Red]\(#,##0\)">
                  <c:v>260780</c:v>
                </c:pt>
                <c:pt idx="90" formatCode="#,##0_);[Red]\(#,##0\)">
                  <c:v>260780</c:v>
                </c:pt>
                <c:pt idx="91" formatCode="#,##0_);[Red]\(#,##0\)">
                  <c:v>261774.11</c:v>
                </c:pt>
                <c:pt idx="92" formatCode="#,##0_);[Red]\(#,##0\)">
                  <c:v>261774</c:v>
                </c:pt>
                <c:pt idx="93" formatCode="#,##0_);[Red]\(#,##0\)">
                  <c:v>226950.89</c:v>
                </c:pt>
                <c:pt idx="94" formatCode="#,##0_);[Red]\(#,##0\)">
                  <c:v>226951</c:v>
                </c:pt>
                <c:pt idx="95" formatCode="#,##0_);[Red]\(#,##0\)">
                  <c:v>248711.94</c:v>
                </c:pt>
                <c:pt idx="96" formatCode="#,##0_);[Red]\(#,##0\)">
                  <c:v>256201.58</c:v>
                </c:pt>
                <c:pt idx="97" formatCode="#,##0_);[Red]\(#,##0\)">
                  <c:v>256272.97</c:v>
                </c:pt>
                <c:pt idx="98" formatCode="#,##0_);[Red]\(#,##0\)">
                  <c:v>256056.42</c:v>
                </c:pt>
                <c:pt idx="99" formatCode="#,##0_);[Red]\(#,##0\)">
                  <c:v>257213.96</c:v>
                </c:pt>
                <c:pt idx="100" formatCode="#,##0_);[Red]\(#,##0\)">
                  <c:v>257214</c:v>
                </c:pt>
                <c:pt idx="101" formatCode="#,##0_);[Red]\(#,##0\)">
                  <c:v>260075.5</c:v>
                </c:pt>
                <c:pt idx="102" formatCode="#,##0_);[Red]\(#,##0\)">
                  <c:v>339825.5</c:v>
                </c:pt>
                <c:pt idx="103" formatCode="#,##0_);[Red]\(#,##0\)">
                  <c:v>303182.65000000002</c:v>
                </c:pt>
                <c:pt idx="104" formatCode="#,##0_);[Red]\(#,##0\)">
                  <c:v>322340.12</c:v>
                </c:pt>
                <c:pt idx="105" formatCode="#,##0_);[Red]\(#,##0\)">
                  <c:v>322340</c:v>
                </c:pt>
                <c:pt idx="106" formatCode="#,##0_);[Red]\(#,##0\)">
                  <c:v>308772.78999999998</c:v>
                </c:pt>
                <c:pt idx="107" formatCode="#,##0_);[Red]\(#,##0\)">
                  <c:v>317343.40999999997</c:v>
                </c:pt>
                <c:pt idx="108" formatCode="#,##0_);[Red]\(#,##0\)">
                  <c:v>317343</c:v>
                </c:pt>
                <c:pt idx="109" formatCode="#,##0_);[Red]\(#,##0\)">
                  <c:v>369152.35</c:v>
                </c:pt>
                <c:pt idx="110" formatCode="#,##0_);[Red]\(#,##0\)">
                  <c:v>371061.94</c:v>
                </c:pt>
                <c:pt idx="111" formatCode="#,##0_);[Red]\(#,##0\)">
                  <c:v>372080.87</c:v>
                </c:pt>
                <c:pt idx="112" formatCode="#,##0_);[Red]\(#,##0\)">
                  <c:v>372080.87</c:v>
                </c:pt>
                <c:pt idx="113" formatCode="#,##0_);[Red]\(#,##0\)">
                  <c:v>336189.47</c:v>
                </c:pt>
                <c:pt idx="114" formatCode="#,##0_);[Red]\(#,##0\)">
                  <c:v>340998.07</c:v>
                </c:pt>
                <c:pt idx="115" formatCode="#,##0_);[Red]\(#,##0\)">
                  <c:v>332763.65000000002</c:v>
                </c:pt>
                <c:pt idx="116" formatCode="#,##0_);[Red]\(#,##0\)">
                  <c:v>375651.45</c:v>
                </c:pt>
                <c:pt idx="117" formatCode="#,##0_);[Red]\(#,##0\)">
                  <c:v>378293.21</c:v>
                </c:pt>
                <c:pt idx="118" formatCode="#,##0_);[Red]\(#,##0\)">
                  <c:v>378293</c:v>
                </c:pt>
                <c:pt idx="119" formatCode="#,##0_);[Red]\(#,##0\)">
                  <c:v>401190.06</c:v>
                </c:pt>
                <c:pt idx="120" formatCode="#,##0_);[Red]\(#,##0\)">
                  <c:v>401190</c:v>
                </c:pt>
                <c:pt idx="121" formatCode="#,##0_);[Red]\(#,##0\)">
                  <c:v>401569.72</c:v>
                </c:pt>
                <c:pt idx="122" formatCode="#,##0_);[Red]\(#,##0\)">
                  <c:v>403837.72</c:v>
                </c:pt>
                <c:pt idx="123" formatCode="#,##0_);[Red]\(#,##0\)">
                  <c:v>369495.17</c:v>
                </c:pt>
                <c:pt idx="124" formatCode="#,##0_);[Red]\(#,##0\)">
                  <c:v>379169.06</c:v>
                </c:pt>
                <c:pt idx="125" formatCode="#,##0_);[Red]\(#,##0\)">
                  <c:v>379169</c:v>
                </c:pt>
                <c:pt idx="126" formatCode="#,##0_);[Red]\(#,##0\)">
                  <c:v>372540.41</c:v>
                </c:pt>
                <c:pt idx="127" formatCode="#,##0_);[Red]\(#,##0\)">
                  <c:v>372540</c:v>
                </c:pt>
                <c:pt idx="128" formatCode="#,##0_);[Red]\(#,##0\)">
                  <c:v>372540</c:v>
                </c:pt>
                <c:pt idx="129" formatCode="#,##0_);[Red]\(#,##0\)">
                  <c:v>374625.25</c:v>
                </c:pt>
                <c:pt idx="130" formatCode="#,##0_);[Red]\(#,##0\)">
                  <c:v>382658.46</c:v>
                </c:pt>
                <c:pt idx="131" formatCode="#,##0_);[Red]\(#,##0\)">
                  <c:v>389160.26</c:v>
                </c:pt>
                <c:pt idx="132" formatCode="#,##0_);[Red]\(#,##0\)">
                  <c:v>389160</c:v>
                </c:pt>
                <c:pt idx="133" formatCode="#,##0_);[Red]\(#,##0\)">
                  <c:v>389160</c:v>
                </c:pt>
                <c:pt idx="134" formatCode="#,##0_);[Red]\(#,##0\)">
                  <c:v>352908.42</c:v>
                </c:pt>
                <c:pt idx="135" formatCode="#,##0_);[Red]\(#,##0\)">
                  <c:v>383959.41</c:v>
                </c:pt>
                <c:pt idx="136" formatCode="#,##0_);[Red]\(#,##0\)">
                  <c:v>403148.81</c:v>
                </c:pt>
                <c:pt idx="137" formatCode="#,##0_);[Red]\(#,##0\)">
                  <c:v>403344.11</c:v>
                </c:pt>
                <c:pt idx="138" formatCode="#,##0_);[Red]\(#,##0\)">
                  <c:v>403344</c:v>
                </c:pt>
                <c:pt idx="139" formatCode="#,##0_);[Red]\(#,##0\)">
                  <c:v>403344</c:v>
                </c:pt>
                <c:pt idx="140" formatCode="#,##0_);[Red]\(#,##0\)">
                  <c:v>403344</c:v>
                </c:pt>
                <c:pt idx="141" formatCode="#,##0_);[Red]\(#,##0\)">
                  <c:v>400016.8</c:v>
                </c:pt>
                <c:pt idx="142" formatCode="#,##0_);[Red]\(#,##0\)">
                  <c:v>400134.96</c:v>
                </c:pt>
                <c:pt idx="143" formatCode="#,##0_);[Red]\(#,##0\)">
                  <c:v>364805.11</c:v>
                </c:pt>
                <c:pt idx="144" formatCode="#,##0_);[Red]\(#,##0\)">
                  <c:v>364805</c:v>
                </c:pt>
                <c:pt idx="145" formatCode="#,##0_);[Red]\(#,##0\)">
                  <c:v>371804.33</c:v>
                </c:pt>
                <c:pt idx="146" formatCode="#,##0_);[Red]\(#,##0\)">
                  <c:v>370759.85</c:v>
                </c:pt>
                <c:pt idx="147" formatCode="#,##0_);[Red]\(#,##0\)">
                  <c:v>389878.66</c:v>
                </c:pt>
                <c:pt idx="148" formatCode="#,##0_);[Red]\(#,##0\)">
                  <c:v>393013.02</c:v>
                </c:pt>
                <c:pt idx="149" formatCode="#,##0_);[Red]\(#,##0\)">
                  <c:v>393593.22</c:v>
                </c:pt>
                <c:pt idx="150" formatCode="#,##0_);[Red]\(#,##0\)">
                  <c:v>393593</c:v>
                </c:pt>
                <c:pt idx="151" formatCode="#,##0_);[Red]\(#,##0\)">
                  <c:v>385433.95</c:v>
                </c:pt>
                <c:pt idx="152" formatCode="#,##0_);[Red]\(#,##0\)">
                  <c:v>385678.15</c:v>
                </c:pt>
                <c:pt idx="153" formatCode="#,##0_);[Red]\(#,##0\)">
                  <c:v>350949.28</c:v>
                </c:pt>
                <c:pt idx="154" formatCode="#,##0_);[Red]\(#,##0\)">
                  <c:v>352010.98</c:v>
                </c:pt>
                <c:pt idx="155" formatCode="#,##0_);[Red]\(#,##0\)">
                  <c:v>352011</c:v>
                </c:pt>
                <c:pt idx="156" formatCode="#,##0_);[Red]\(#,##0\)">
                  <c:v>348679</c:v>
                </c:pt>
                <c:pt idx="157" formatCode="#,##0_);[Red]\(#,##0\)">
                  <c:v>348679</c:v>
                </c:pt>
                <c:pt idx="158" formatCode="#,##0_);[Red]\(#,##0\)">
                  <c:v>348679</c:v>
                </c:pt>
                <c:pt idx="159" formatCode="#,##0_);[Red]\(#,##0\)">
                  <c:v>348679</c:v>
                </c:pt>
                <c:pt idx="160" formatCode="#,##0_);[Red]\(#,##0\)">
                  <c:v>348761.24</c:v>
                </c:pt>
                <c:pt idx="161" formatCode="#,##0_);[Red]\(#,##0\)">
                  <c:v>349998.26</c:v>
                </c:pt>
                <c:pt idx="162" formatCode="#,##0_);[Red]\(#,##0\)">
                  <c:v>370561.14</c:v>
                </c:pt>
                <c:pt idx="163" formatCode="#,##0_);[Red]\(#,##0\)">
                  <c:v>336220.14</c:v>
                </c:pt>
                <c:pt idx="164" formatCode="#,##0_);[Red]\(#,##0\)">
                  <c:v>336332.14</c:v>
                </c:pt>
                <c:pt idx="165" formatCode="#,##0_);[Red]\(#,##0\)">
                  <c:v>336332</c:v>
                </c:pt>
                <c:pt idx="166" formatCode="#,##0_);[Red]\(#,##0\)">
                  <c:v>339185.02</c:v>
                </c:pt>
                <c:pt idx="167" formatCode="#,##0_);[Red]\(#,##0\)">
                  <c:v>344936.35</c:v>
                </c:pt>
                <c:pt idx="168" formatCode="#,##0_);[Red]\(#,##0\)">
                  <c:v>344564.68</c:v>
                </c:pt>
                <c:pt idx="169" formatCode="#,##0_);[Red]\(#,##0\)">
                  <c:v>344565</c:v>
                </c:pt>
                <c:pt idx="170" formatCode="#,##0_);[Red]\(#,##0\)">
                  <c:v>344829.18</c:v>
                </c:pt>
                <c:pt idx="171" formatCode="#,##0_);[Red]\(#,##0\)">
                  <c:v>339942.05</c:v>
                </c:pt>
                <c:pt idx="172" formatCode="#,##0_);[Red]\(#,##0\)">
                  <c:v>360185.72</c:v>
                </c:pt>
                <c:pt idx="173" formatCode="#,##0_);[Red]\(#,##0\)">
                  <c:v>323067.73</c:v>
                </c:pt>
                <c:pt idx="174" formatCode="#,##0_);[Red]\(#,##0\)">
                  <c:v>323197.73</c:v>
                </c:pt>
                <c:pt idx="175" formatCode="#,##0_);[Red]\(#,##0\)">
                  <c:v>323198</c:v>
                </c:pt>
                <c:pt idx="176" formatCode="#,##0_);[Red]\(#,##0\)">
                  <c:v>341044.7</c:v>
                </c:pt>
                <c:pt idx="177" formatCode="#,##0_);[Red]\(#,##0\)">
                  <c:v>341676.17</c:v>
                </c:pt>
                <c:pt idx="178" formatCode="#,##0_);[Red]\(#,##0\)">
                  <c:v>341676</c:v>
                </c:pt>
                <c:pt idx="179" formatCode="#,##0_);[Red]\(#,##0\)">
                  <c:v>341676</c:v>
                </c:pt>
                <c:pt idx="180" formatCode="#,##0_);[Red]\(#,##0\)">
                  <c:v>379863.97</c:v>
                </c:pt>
                <c:pt idx="181" formatCode="#,##0_);[Red]\(#,##0\)">
                  <c:v>378842.06</c:v>
                </c:pt>
                <c:pt idx="182" formatCode="#,##0_);[Red]\(#,##0\)">
                  <c:v>378842</c:v>
                </c:pt>
                <c:pt idx="183" formatCode="#,##0_);[Red]\(#,##0\)">
                  <c:v>340784.14</c:v>
                </c:pt>
                <c:pt idx="184" formatCode="#,##0_);[Red]\(#,##0\)">
                  <c:v>340784</c:v>
                </c:pt>
                <c:pt idx="185" formatCode="#,##0_);[Red]\(#,##0\)">
                  <c:v>340895.76</c:v>
                </c:pt>
                <c:pt idx="186" formatCode="#,##0_);[Red]\(#,##0\)">
                  <c:v>354246.44</c:v>
                </c:pt>
                <c:pt idx="187" formatCode="#,##0_);[Red]\(#,##0\)">
                  <c:v>354246.44</c:v>
                </c:pt>
                <c:pt idx="188" formatCode="#,##0_);[Red]\(#,##0\)">
                  <c:v>354264.44</c:v>
                </c:pt>
                <c:pt idx="189" formatCode="#,##0_);[Red]\(#,##0\)">
                  <c:v>354264</c:v>
                </c:pt>
                <c:pt idx="190" formatCode="#,##0_);[Red]\(#,##0\)">
                  <c:v>357804.55</c:v>
                </c:pt>
                <c:pt idx="191" formatCode="#,##0_);[Red]\(#,##0\)">
                  <c:v>357805</c:v>
                </c:pt>
                <c:pt idx="192" formatCode="#,##0_);[Red]\(#,##0\)">
                  <c:v>361119.05</c:v>
                </c:pt>
                <c:pt idx="193" formatCode="#,##0_);[Red]\(#,##0\)">
                  <c:v>318415.71000000002</c:v>
                </c:pt>
                <c:pt idx="194" formatCode="#,##0_);[Red]\(#,##0\)">
                  <c:v>320237.53999999998</c:v>
                </c:pt>
                <c:pt idx="195" formatCode="#,##0_);[Red]\(#,##0\)">
                  <c:v>320237.53999999998</c:v>
                </c:pt>
                <c:pt idx="196" formatCode="#,##0_);[Red]\(#,##0\)">
                  <c:v>325286.46999999997</c:v>
                </c:pt>
                <c:pt idx="197" formatCode="#,##0_);[Red]\(#,##0\)">
                  <c:v>334247.03000000003</c:v>
                </c:pt>
                <c:pt idx="198" formatCode="#,##0_);[Red]\(#,##0\)">
                  <c:v>334247</c:v>
                </c:pt>
                <c:pt idx="199" formatCode="#,##0_);[Red]\(#,##0\)">
                  <c:v>334247.03000000003</c:v>
                </c:pt>
                <c:pt idx="200" formatCode="#,##0_);[Red]\(#,##0\)">
                  <c:v>334247</c:v>
                </c:pt>
                <c:pt idx="201" formatCode="#,##0_);[Red]\(#,##0\)">
                  <c:v>323171.46000000002</c:v>
                </c:pt>
                <c:pt idx="202" formatCode="#,##0_);[Red]\(#,##0\)">
                  <c:v>324229.90999999997</c:v>
                </c:pt>
                <c:pt idx="203" formatCode="#,##0_);[Red]\(#,##0\)">
                  <c:v>324230</c:v>
                </c:pt>
                <c:pt idx="204" formatCode="#,##0_);[Red]\(#,##0\)">
                  <c:v>286030.39</c:v>
                </c:pt>
                <c:pt idx="205" formatCode="#,##0_);[Red]\(#,##0\)">
                  <c:v>286197.44</c:v>
                </c:pt>
                <c:pt idx="206" formatCode="#,##0_);[Red]\(#,##0\)">
                  <c:v>280065.2</c:v>
                </c:pt>
                <c:pt idx="207" formatCode="#,##0_);[Red]\(#,##0\)">
                  <c:v>284409.09999999998</c:v>
                </c:pt>
                <c:pt idx="208" formatCode="#,##0_);[Red]\(#,##0\)">
                  <c:v>285119.09999999998</c:v>
                </c:pt>
                <c:pt idx="209" formatCode="#,##0_);[Red]\(#,##0\)">
                  <c:v>285395.49</c:v>
                </c:pt>
                <c:pt idx="210" formatCode="#,##0_);[Red]\(#,##0\)">
                  <c:v>285395</c:v>
                </c:pt>
                <c:pt idx="211" formatCode="#,##0_);[Red]\(#,##0\)">
                  <c:v>285542.49</c:v>
                </c:pt>
                <c:pt idx="212" formatCode="#,##0_);[Red]\(#,##0\)">
                  <c:v>285542</c:v>
                </c:pt>
                <c:pt idx="213" formatCode="#,##0_);[Red]\(#,##0\)">
                  <c:v>285542</c:v>
                </c:pt>
                <c:pt idx="214" formatCode="#,##0_);[Red]\(#,##0\)">
                  <c:v>248584.72</c:v>
                </c:pt>
                <c:pt idx="215" formatCode="#,##0_);[Red]\(#,##0\)">
                  <c:v>248585</c:v>
                </c:pt>
                <c:pt idx="216" formatCode="#,##0_);[Red]\(#,##0\)">
                  <c:v>270685.83</c:v>
                </c:pt>
                <c:pt idx="217" formatCode="#,##0_);[Red]\(#,##0\)">
                  <c:v>282558.58</c:v>
                </c:pt>
                <c:pt idx="218" formatCode="#,##0_);[Red]\(#,##0\)">
                  <c:v>282559</c:v>
                </c:pt>
                <c:pt idx="219" formatCode="#,##0_);[Red]\(#,##0\)">
                  <c:v>282508.58</c:v>
                </c:pt>
                <c:pt idx="220" formatCode="#,##0_);[Red]\(#,##0\)">
                  <c:v>282509</c:v>
                </c:pt>
                <c:pt idx="221" formatCode="#,##0_);[Red]\(#,##0\)">
                  <c:v>283213.14</c:v>
                </c:pt>
                <c:pt idx="222" formatCode="#,##0_);[Red]\(#,##0\)">
                  <c:v>297779.06</c:v>
                </c:pt>
                <c:pt idx="223" formatCode="#,##0_);[Red]\(#,##0\)">
                  <c:v>263886.2</c:v>
                </c:pt>
                <c:pt idx="224" formatCode="#,##0_);[Red]\(#,##0\)">
                  <c:v>277030.96999999997</c:v>
                </c:pt>
                <c:pt idx="225" formatCode="#,##0_);[Red]\(#,##0\)">
                  <c:v>277031</c:v>
                </c:pt>
                <c:pt idx="226" formatCode="#,##0_);[Red]\(#,##0\)">
                  <c:v>281394.14</c:v>
                </c:pt>
                <c:pt idx="227" formatCode="#,##0_);[Red]\(#,##0\)">
                  <c:v>281470.18</c:v>
                </c:pt>
                <c:pt idx="228" formatCode="#,##0_);[Red]\(#,##0\)">
                  <c:v>281470</c:v>
                </c:pt>
                <c:pt idx="229" formatCode="#,##0_);[Red]\(#,##0\)">
                  <c:v>284325.94</c:v>
                </c:pt>
                <c:pt idx="230" formatCode="#,##0_);[Red]\(#,##0\)">
                  <c:v>305911.78000000003</c:v>
                </c:pt>
                <c:pt idx="231" formatCode="#,##0_);[Red]\(#,##0\)">
                  <c:v>305752.93</c:v>
                </c:pt>
                <c:pt idx="232" formatCode="#,##0_);[Red]\(#,##0\)">
                  <c:v>332730.14</c:v>
                </c:pt>
                <c:pt idx="233" formatCode="#,##0_);[Red]\(#,##0\)">
                  <c:v>291419.49</c:v>
                </c:pt>
                <c:pt idx="234" formatCode="#,##0_);[Red]\(#,##0\)">
                  <c:v>293419.65000000002</c:v>
                </c:pt>
                <c:pt idx="235" formatCode="#,##0_);[Red]\(#,##0\)">
                  <c:v>293420</c:v>
                </c:pt>
                <c:pt idx="236" formatCode="#,##0_);[Red]\(#,##0\)">
                  <c:v>301331.82</c:v>
                </c:pt>
                <c:pt idx="237" formatCode="#,##0_);[Red]\(#,##0\)">
                  <c:v>327084.28999999998</c:v>
                </c:pt>
                <c:pt idx="238" formatCode="#,##0_);[Red]\(#,##0\)">
                  <c:v>327084</c:v>
                </c:pt>
                <c:pt idx="239" formatCode="#,##0_);[Red]\(#,##0\)">
                  <c:v>327084</c:v>
                </c:pt>
                <c:pt idx="240" formatCode="#,##0_);[Red]\(#,##0\)">
                  <c:v>337130.63</c:v>
                </c:pt>
                <c:pt idx="241" formatCode="#,##0_);[Red]\(#,##0\)">
                  <c:v>334292.59999999998</c:v>
                </c:pt>
                <c:pt idx="242" formatCode="#,##0_);[Red]\(#,##0\)">
                  <c:v>335977.23</c:v>
                </c:pt>
                <c:pt idx="243" formatCode="#,##0_);[Red]\(#,##0\)">
                  <c:v>300614.99</c:v>
                </c:pt>
                <c:pt idx="244" formatCode="#,##0_);[Red]\(#,##0\)">
                  <c:v>295509.53999999998</c:v>
                </c:pt>
                <c:pt idx="245" formatCode="#,##0_);[Red]\(#,##0\)">
                  <c:v>295510</c:v>
                </c:pt>
                <c:pt idx="246" formatCode="#,##0_);[Red]\(#,##0\)">
                  <c:v>295623.09999999998</c:v>
                </c:pt>
                <c:pt idx="247" formatCode="#,##0_);[Red]\(#,##0\)">
                  <c:v>295623</c:v>
                </c:pt>
                <c:pt idx="248" formatCode="#,##0_);[Red]\(#,##0\)">
                  <c:v>299232.09999999998</c:v>
                </c:pt>
                <c:pt idx="249" formatCode="#,##0_);[Red]\(#,##0\)">
                  <c:v>304422.01</c:v>
                </c:pt>
                <c:pt idx="250" formatCode="#,##0_);[Red]\(#,##0\)">
                  <c:v>330191.24</c:v>
                </c:pt>
                <c:pt idx="251" formatCode="#,##0_);[Red]\(#,##0\)">
                  <c:v>313471.64</c:v>
                </c:pt>
                <c:pt idx="252" formatCode="#,##0_);[Red]\(#,##0\)">
                  <c:v>313472</c:v>
                </c:pt>
                <c:pt idx="253" formatCode="#,##0_);[Red]\(#,##0\)">
                  <c:v>313472</c:v>
                </c:pt>
                <c:pt idx="254" formatCode="#,##0_);[Red]\(#,##0\)">
                  <c:v>277471.58</c:v>
                </c:pt>
                <c:pt idx="255" formatCode="#,##0_);[Red]\(#,##0\)">
                  <c:v>287526.92</c:v>
                </c:pt>
                <c:pt idx="256" formatCode="#,##0_);[Red]\(#,##0\)">
                  <c:v>296486.64</c:v>
                </c:pt>
                <c:pt idx="257" formatCode="#,##0_);[Red]\(#,##0\)">
                  <c:v>296487</c:v>
                </c:pt>
                <c:pt idx="258" formatCode="#,##0_);[Red]\(#,##0\)">
                  <c:v>296487</c:v>
                </c:pt>
                <c:pt idx="259" formatCode="#,##0_);[Red]\(#,##0\)">
                  <c:v>335911.5</c:v>
                </c:pt>
                <c:pt idx="260" formatCode="#,##0_);[Red]\(#,##0\)">
                  <c:v>335912</c:v>
                </c:pt>
                <c:pt idx="261" formatCode="#,##0_);[Red]\(#,##0\)">
                  <c:v>330042.21999999997</c:v>
                </c:pt>
                <c:pt idx="262" formatCode="#,##0_);[Red]\(#,##0\)">
                  <c:v>367034.5</c:v>
                </c:pt>
                <c:pt idx="263" formatCode="#,##0_);[Red]\(#,##0\)">
                  <c:v>330990.42</c:v>
                </c:pt>
                <c:pt idx="264" formatCode="#,##0_);[Red]\(#,##0\)">
                  <c:v>333065.89</c:v>
                </c:pt>
                <c:pt idx="265" formatCode="#,##0_);[Red]\(#,##0\)">
                  <c:v>331065.89</c:v>
                </c:pt>
                <c:pt idx="266" formatCode="#,##0_);[Red]\(#,##0\)">
                  <c:v>331092.17</c:v>
                </c:pt>
                <c:pt idx="267" formatCode="#,##0_);[Red]\(#,##0\)">
                  <c:v>311733.17</c:v>
                </c:pt>
                <c:pt idx="268" formatCode="#,##0_);[Red]\(#,##0\)">
                  <c:v>317116.19</c:v>
                </c:pt>
                <c:pt idx="269" formatCode="#,##0_);[Red]\(#,##0\)">
                  <c:v>317116</c:v>
                </c:pt>
                <c:pt idx="270" formatCode="#,##0_);[Red]\(#,##0\)">
                  <c:v>317496.19</c:v>
                </c:pt>
                <c:pt idx="271" formatCode="#,##0_);[Red]\(#,##0\)">
                  <c:v>317772.45</c:v>
                </c:pt>
                <c:pt idx="272" formatCode="#,##0_);[Red]\(#,##0\)">
                  <c:v>317772</c:v>
                </c:pt>
                <c:pt idx="273" formatCode="#,##0_);[Red]\(#,##0\)">
                  <c:v>279446.55</c:v>
                </c:pt>
                <c:pt idx="274" formatCode="#,##0_);[Red]\(#,##0\)">
                  <c:v>272785.62</c:v>
                </c:pt>
                <c:pt idx="275" formatCode="#,##0_);[Red]\(#,##0\)">
                  <c:v>288240.15999999997</c:v>
                </c:pt>
                <c:pt idx="276" formatCode="#,##0_);[Red]\(#,##0\)">
                  <c:v>278742.74</c:v>
                </c:pt>
                <c:pt idx="277" formatCode="#,##0_);[Red]\(#,##0\)">
                  <c:v>278840.24</c:v>
                </c:pt>
                <c:pt idx="278" formatCode="#,##0_);[Red]\(#,##0\)">
                  <c:v>278942.24</c:v>
                </c:pt>
                <c:pt idx="279" formatCode="#,##0_);[Red]\(#,##0\)">
                  <c:v>257048.49</c:v>
                </c:pt>
                <c:pt idx="280" formatCode="#,##0_);[Red]\(#,##0\)">
                  <c:v>252662.47</c:v>
                </c:pt>
                <c:pt idx="281" formatCode="#,##0_);[Red]\(#,##0\)">
                  <c:v>254708.73</c:v>
                </c:pt>
                <c:pt idx="282" formatCode="#,##0_);[Red]\(#,##0\)">
                  <c:v>281702.86</c:v>
                </c:pt>
                <c:pt idx="283" formatCode="#,##0_);[Red]\(#,##0\)">
                  <c:v>244220.77</c:v>
                </c:pt>
                <c:pt idx="284" formatCode="#,##0_);[Red]\(#,##0\)">
                  <c:v>244221</c:v>
                </c:pt>
                <c:pt idx="285" formatCode="#,##0_);[Red]\(#,##0\)">
                  <c:v>244221</c:v>
                </c:pt>
                <c:pt idx="286" formatCode="#,##0_);[Red]\(#,##0\)">
                  <c:v>225503.87</c:v>
                </c:pt>
                <c:pt idx="287" formatCode="#,##0_);[Red]\(#,##0\)">
                  <c:v>225504</c:v>
                </c:pt>
                <c:pt idx="288" formatCode="#,##0_);[Red]\(#,##0\)">
                  <c:v>225503.8</c:v>
                </c:pt>
                <c:pt idx="289" formatCode="#,##0_);[Red]\(#,##0\)">
                  <c:v>227389.96</c:v>
                </c:pt>
                <c:pt idx="290" formatCode="#,##0_);[Red]\(#,##0\)">
                  <c:v>235472.53</c:v>
                </c:pt>
                <c:pt idx="291" formatCode="#,##0_);[Red]\(#,##0\)">
                  <c:v>222207.84</c:v>
                </c:pt>
                <c:pt idx="292" formatCode="#,##0_);[Red]\(#,##0\)">
                  <c:v>222287.93</c:v>
                </c:pt>
                <c:pt idx="293" formatCode="#,##0_);[Red]\(#,##0\)">
                  <c:v>186664.28</c:v>
                </c:pt>
                <c:pt idx="294" formatCode="#,##0_);[Red]\(#,##0\)">
                  <c:v>188484.95</c:v>
                </c:pt>
                <c:pt idx="295" formatCode="#,##0_);[Red]\(#,##0\)">
                  <c:v>188485</c:v>
                </c:pt>
                <c:pt idx="296" formatCode="#,##0_);[Red]\(#,##0\)">
                  <c:v>180474.73</c:v>
                </c:pt>
                <c:pt idx="297" formatCode="#,##0_);[Red]\(#,##0\)">
                  <c:v>188207.38</c:v>
                </c:pt>
                <c:pt idx="298" formatCode="#,##0_);[Red]\(#,##0\)">
                  <c:v>198618.83</c:v>
                </c:pt>
                <c:pt idx="299" formatCode="#,##0_);[Red]\(#,##0\)">
                  <c:v>198619</c:v>
                </c:pt>
                <c:pt idx="300" formatCode="#,##0_);[Red]\(#,##0\)">
                  <c:v>198619</c:v>
                </c:pt>
                <c:pt idx="301" formatCode="#,##0_);[Red]\(#,##0\)">
                  <c:v>189089.55</c:v>
                </c:pt>
                <c:pt idx="302" formatCode="#,##0_);[Red]\(#,##0\)">
                  <c:v>216053.77</c:v>
                </c:pt>
                <c:pt idx="303" formatCode="#,##0_);[Red]\(#,##0\)">
                  <c:v>179849.52</c:v>
                </c:pt>
                <c:pt idx="304" formatCode="#,##0_);[Red]\(#,##0\)">
                  <c:v>179850</c:v>
                </c:pt>
                <c:pt idx="305" formatCode="#,##0_);[Red]\(#,##0\)">
                  <c:v>173749.01</c:v>
                </c:pt>
                <c:pt idx="306" formatCode="#,##0_);[Red]\(#,##0\)">
                  <c:v>200792.85</c:v>
                </c:pt>
                <c:pt idx="307" formatCode="#,##0_);[Red]\(#,##0\)">
                  <c:v>202331.91</c:v>
                </c:pt>
                <c:pt idx="308" formatCode="#,##0_);[Red]\(#,##0\)">
                  <c:v>203517.87</c:v>
                </c:pt>
                <c:pt idx="309" formatCode="#,##0_);[Red]\(#,##0\)">
                  <c:v>203518</c:v>
                </c:pt>
                <c:pt idx="310" formatCode="#,##0_);[Red]\(#,##0\)">
                  <c:v>203518</c:v>
                </c:pt>
                <c:pt idx="311" formatCode="#,##0_);[Red]\(#,##0\)">
                  <c:v>191114.58</c:v>
                </c:pt>
                <c:pt idx="312" formatCode="#,##0_);[Red]\(#,##0\)">
                  <c:v>153114.57999999999</c:v>
                </c:pt>
                <c:pt idx="313" formatCode="#,##0_);[Red]\(#,##0\)">
                  <c:v>153115</c:v>
                </c:pt>
                <c:pt idx="314" formatCode="#,##0_);[Red]\(#,##0\)">
                  <c:v>182792.08</c:v>
                </c:pt>
                <c:pt idx="315" formatCode="#,##0_);[Red]\(#,##0\)">
                  <c:v>182792</c:v>
                </c:pt>
                <c:pt idx="316" formatCode="#,##0_);[Red]\(#,##0\)">
                  <c:v>222152.66</c:v>
                </c:pt>
                <c:pt idx="317" formatCode="#,##0_);[Red]\(#,##0\)">
                  <c:v>222153</c:v>
                </c:pt>
                <c:pt idx="318" formatCode="#,##0_);[Red]\(#,##0\)">
                  <c:v>222153</c:v>
                </c:pt>
                <c:pt idx="319" formatCode="#,##0_);[Red]\(#,##0\)">
                  <c:v>222153</c:v>
                </c:pt>
                <c:pt idx="320" formatCode="#,##0_);[Red]\(#,##0\)">
                  <c:v>222152</c:v>
                </c:pt>
                <c:pt idx="321" formatCode="#,##0_);[Red]\(#,##0\)">
                  <c:v>211720.43</c:v>
                </c:pt>
                <c:pt idx="322" formatCode="#,##0_);[Red]\(#,##0\)">
                  <c:v>211720</c:v>
                </c:pt>
                <c:pt idx="323" formatCode="#,##0_);[Red]\(#,##0\)">
                  <c:v>211720</c:v>
                </c:pt>
                <c:pt idx="324" formatCode="#,##0_);[Red]\(#,##0\)">
                  <c:v>176327.95</c:v>
                </c:pt>
                <c:pt idx="325" formatCode="#,##0_);[Red]\(#,##0\)">
                  <c:v>176328</c:v>
                </c:pt>
                <c:pt idx="326" formatCode="#,##0_);[Red]\(#,##0\)">
                  <c:v>169004.5</c:v>
                </c:pt>
                <c:pt idx="327" formatCode="#,##0_);[Red]\(#,##0\)">
                  <c:v>261992.26</c:v>
                </c:pt>
                <c:pt idx="328" formatCode="#,##0_);[Red]\(#,##0\)">
                  <c:v>270521.09000000003</c:v>
                </c:pt>
                <c:pt idx="329" formatCode="#,##0_);[Red]\(#,##0\)">
                  <c:v>285365.09000000003</c:v>
                </c:pt>
                <c:pt idx="330" formatCode="#,##0_);[Red]\(#,##0\)">
                  <c:v>285365</c:v>
                </c:pt>
                <c:pt idx="331" formatCode="#,##0_);[Red]\(#,##0\)">
                  <c:v>287246.65999999997</c:v>
                </c:pt>
                <c:pt idx="332" formatCode="#,##0_);[Red]\(#,##0\)">
                  <c:v>287247</c:v>
                </c:pt>
                <c:pt idx="333" formatCode="#,##0_);[Red]\(#,##0\)">
                  <c:v>287247</c:v>
                </c:pt>
                <c:pt idx="334" formatCode="#,##0_);[Red]\(#,##0\)">
                  <c:v>253042.79</c:v>
                </c:pt>
                <c:pt idx="335" formatCode="#,##0_);[Red]\(#,##0\)">
                  <c:v>253043</c:v>
                </c:pt>
                <c:pt idx="336" formatCode="#,##0_);[Red]\(#,##0\)">
                  <c:v>246521.36</c:v>
                </c:pt>
                <c:pt idx="337" formatCode="#,##0_);[Red]\(#,##0\)">
                  <c:v>246593.56</c:v>
                </c:pt>
                <c:pt idx="338" formatCode="#,##0_);[Red]\(#,##0\)">
                  <c:v>246594</c:v>
                </c:pt>
                <c:pt idx="339" formatCode="#,##0_);[Red]\(#,##0\)">
                  <c:v>246594</c:v>
                </c:pt>
                <c:pt idx="340" formatCode="#,##0_);[Red]\(#,##0\)">
                  <c:v>246594</c:v>
                </c:pt>
                <c:pt idx="341" formatCode="#,##0_);[Red]\(#,##0\)">
                  <c:v>228395.48</c:v>
                </c:pt>
                <c:pt idx="342" formatCode="#,##0_);[Red]\(#,##0\)">
                  <c:v>228395</c:v>
                </c:pt>
                <c:pt idx="343" formatCode="#,##0_);[Red]\(#,##0\)">
                  <c:v>192627.9</c:v>
                </c:pt>
                <c:pt idx="344" formatCode="#,##0_);[Red]\(#,##0\)">
                  <c:v>192628</c:v>
                </c:pt>
                <c:pt idx="345" formatCode="#,##0_);[Red]\(#,##0\)">
                  <c:v>192628</c:v>
                </c:pt>
                <c:pt idx="346" formatCode="#,##0_);[Red]\(#,##0\)">
                  <c:v>193904.61</c:v>
                </c:pt>
                <c:pt idx="347" formatCode="#,##0_);[Red]\(#,##0\)">
                  <c:v>195328.48</c:v>
                </c:pt>
                <c:pt idx="348" formatCode="#,##0_);[Red]\(#,##0\)">
                  <c:v>199304.09</c:v>
                </c:pt>
                <c:pt idx="349" formatCode="#,##0_);[Red]\(#,##0\)">
                  <c:v>201071.11</c:v>
                </c:pt>
                <c:pt idx="350" formatCode="#,##0_);[Red]\(#,##0\)">
                  <c:v>201071</c:v>
                </c:pt>
                <c:pt idx="351" formatCode="#,##0_);[Red]\(#,##0\)">
                  <c:v>223298.16</c:v>
                </c:pt>
                <c:pt idx="352" formatCode="#,##0_);[Red]\(#,##0\)">
                  <c:v>238962.66</c:v>
                </c:pt>
                <c:pt idx="353" formatCode="#,##0_);[Red]\(#,##0\)">
                  <c:v>203086.22</c:v>
                </c:pt>
                <c:pt idx="354" formatCode="#,##0_);[Red]\(#,##0\)">
                  <c:v>226930.31</c:v>
                </c:pt>
                <c:pt idx="355" formatCode="#,##0_);[Red]\(#,##0\)">
                  <c:v>226930</c:v>
                </c:pt>
                <c:pt idx="356" formatCode="#,##0_);[Red]\(#,##0\)">
                  <c:v>220822.05</c:v>
                </c:pt>
                <c:pt idx="357" formatCode="#,##0_);[Red]\(#,##0\)">
                  <c:v>220986.35</c:v>
                </c:pt>
                <c:pt idx="358" formatCode="#,##0_);[Red]\(#,##0\)">
                  <c:v>220986</c:v>
                </c:pt>
                <c:pt idx="359" formatCode="#,##0_);[Red]\(#,##0\)">
                  <c:v>220986</c:v>
                </c:pt>
                <c:pt idx="360" formatCode="#,##0_);[Red]\(#,##0\)">
                  <c:v>197995.27</c:v>
                </c:pt>
                <c:pt idx="361" formatCode="#,##0_);[Red]\(#,##0\)">
                  <c:v>202931.61</c:v>
                </c:pt>
                <c:pt idx="362" formatCode="#,##0_);[Red]\(#,##0\)">
                  <c:v>202932</c:v>
                </c:pt>
                <c:pt idx="363" formatCode="#,##0_);[Red]\(#,##0\)">
                  <c:v>167839.6</c:v>
                </c:pt>
                <c:pt idx="364" formatCode="#,##0_);[Red]\(#,##0\)">
                  <c:v>167840</c:v>
                </c:pt>
                <c:pt idx="365" formatCode="#,##0_);[Red]\(#,##0\)">
                  <c:v>167840</c:v>
                </c:pt>
                <c:pt idx="366" formatCode="#,##0_);[Red]\(#,##0\)">
                  <c:v>180485.58</c:v>
                </c:pt>
                <c:pt idx="367" formatCode="#,##0_);[Red]\(#,##0\)">
                  <c:v>205676.09</c:v>
                </c:pt>
                <c:pt idx="368" formatCode="#,##0_);[Red]\(#,##0\)">
                  <c:v>199229.46</c:v>
                </c:pt>
                <c:pt idx="369" formatCode="#,##0_);[Red]\(#,##0\)">
                  <c:v>199612.46</c:v>
                </c:pt>
                <c:pt idx="370" formatCode="#,##0_);[Red]\(#,##0\)">
                  <c:v>327321.84000000003</c:v>
                </c:pt>
                <c:pt idx="371" formatCode="#,##0_);[Red]\(#,##0\)">
                  <c:v>328551.67</c:v>
                </c:pt>
                <c:pt idx="372" formatCode="#,##0_);[Red]\(#,##0\)">
                  <c:v>328552</c:v>
                </c:pt>
                <c:pt idx="373" formatCode="#,##0_);[Red]\(#,##0\)">
                  <c:v>293600.95</c:v>
                </c:pt>
                <c:pt idx="374" formatCode="#,##0_);[Red]\(#,##0\)">
                  <c:v>298153.56</c:v>
                </c:pt>
                <c:pt idx="375" formatCode="#,##0_);[Red]\(#,##0\)">
                  <c:v>298154</c:v>
                </c:pt>
                <c:pt idx="376" formatCode="#,##0_);[Red]\(#,##0\)">
                  <c:v>294180.65999999997</c:v>
                </c:pt>
                <c:pt idx="377" formatCode="#,##0_);[Red]\(#,##0\)">
                  <c:v>294181</c:v>
                </c:pt>
                <c:pt idx="378" formatCode="#,##0_);[Red]\(#,##0\)">
                  <c:v>294679.65999999997</c:v>
                </c:pt>
                <c:pt idx="379" formatCode="#,##0_);[Red]\(#,##0\)">
                  <c:v>294680</c:v>
                </c:pt>
                <c:pt idx="380" formatCode="#,##0_);[Red]\(#,##0\)">
                  <c:v>294761.65000000002</c:v>
                </c:pt>
                <c:pt idx="381" formatCode="#,##0_);[Red]\(#,##0\)">
                  <c:v>290632.52</c:v>
                </c:pt>
                <c:pt idx="382" formatCode="#,##0_);[Red]\(#,##0\)">
                  <c:v>290633</c:v>
                </c:pt>
                <c:pt idx="383" formatCode="#,##0_);[Red]\(#,##0\)">
                  <c:v>254427.11</c:v>
                </c:pt>
                <c:pt idx="384" formatCode="#,##0_);[Red]\(#,##0\)">
                  <c:v>255823.93</c:v>
                </c:pt>
                <c:pt idx="385" formatCode="#,##0_);[Red]\(#,##0\)">
                  <c:v>255419.13</c:v>
                </c:pt>
                <c:pt idx="386" formatCode="#,##0_);[Red]\(#,##0\)">
                  <c:v>272759.37</c:v>
                </c:pt>
                <c:pt idx="387" formatCode="#,##0_);[Red]\(#,##0\)">
                  <c:v>272846.37</c:v>
                </c:pt>
                <c:pt idx="388" formatCode="#,##0_);[Red]\(#,##0\)">
                  <c:v>272846</c:v>
                </c:pt>
                <c:pt idx="389" formatCode="#,##0_);[Red]\(#,##0\)">
                  <c:v>272846</c:v>
                </c:pt>
                <c:pt idx="390" formatCode="#,##0_);[Red]\(#,##0\)">
                  <c:v>276622.58</c:v>
                </c:pt>
                <c:pt idx="391" formatCode="#,##0_);[Red]\(#,##0\)">
                  <c:v>276623</c:v>
                </c:pt>
                <c:pt idx="392" formatCode="#,##0_);[Red]\(#,##0\)">
                  <c:v>276773.33</c:v>
                </c:pt>
                <c:pt idx="393" formatCode="#,##0_);[Red]\(#,##0\)">
                  <c:v>276773</c:v>
                </c:pt>
                <c:pt idx="394" formatCode="#,##0_);[Red]\(#,##0\)">
                  <c:v>240090.56</c:v>
                </c:pt>
                <c:pt idx="395" formatCode="#,##0_);[Red]\(#,##0\)">
                  <c:v>240091</c:v>
                </c:pt>
                <c:pt idx="396" formatCode="#,##0_);[Red]\(#,##0\)">
                  <c:v>237779.31</c:v>
                </c:pt>
                <c:pt idx="397" formatCode="#,##0_);[Red]\(#,##0\)">
                  <c:v>237779</c:v>
                </c:pt>
                <c:pt idx="398" formatCode="#,##0_);[Red]\(#,##0\)">
                  <c:v>243552.34</c:v>
                </c:pt>
                <c:pt idx="399" formatCode="#,##0_);[Red]\(#,##0\)">
                  <c:v>243552</c:v>
                </c:pt>
                <c:pt idx="400" formatCode="#,##0_);[Red]\(#,##0\)">
                  <c:v>243552</c:v>
                </c:pt>
                <c:pt idx="401" formatCode="#,##0_);[Red]\(#,##0\)">
                  <c:v>266009.96000000002</c:v>
                </c:pt>
                <c:pt idx="402" formatCode="#,##0_);[Red]\(#,##0\)">
                  <c:v>266087.59999999998</c:v>
                </c:pt>
                <c:pt idx="403" formatCode="#,##0_);[Red]\(#,##0\)">
                  <c:v>229939.6</c:v>
                </c:pt>
                <c:pt idx="404" formatCode="#,##0_);[Red]\(#,##0\)">
                  <c:v>229940</c:v>
                </c:pt>
                <c:pt idx="405" formatCode="#,##0_);[Red]\(#,##0\)">
                  <c:v>229940</c:v>
                </c:pt>
                <c:pt idx="406" formatCode="#,##0_);[Red]\(#,##0\)">
                  <c:v>226983.82</c:v>
                </c:pt>
                <c:pt idx="407" formatCode="#,##0_);[Red]\(#,##0\)">
                  <c:v>226983.82</c:v>
                </c:pt>
                <c:pt idx="408" formatCode="#,##0_);[Red]\(#,##0\)">
                  <c:v>231167.41</c:v>
                </c:pt>
                <c:pt idx="409" formatCode="#,##0_);[Red]\(#,##0\)">
                  <c:v>231298.26</c:v>
                </c:pt>
                <c:pt idx="410" formatCode="#,##0_);[Red]\(#,##0\)">
                  <c:v>231298</c:v>
                </c:pt>
                <c:pt idx="411" formatCode="#,##0_);[Red]\(#,##0\)">
                  <c:v>218195.44</c:v>
                </c:pt>
                <c:pt idx="412" formatCode="#,##0_);[Red]\(#,##0\)">
                  <c:v>218195</c:v>
                </c:pt>
                <c:pt idx="413" formatCode="#,##0_);[Red]\(#,##0\)">
                  <c:v>181738.47</c:v>
                </c:pt>
                <c:pt idx="414" formatCode="#,##0_);[Red]\(#,##0\)">
                  <c:v>175674.86</c:v>
                </c:pt>
                <c:pt idx="415" formatCode="#,##0_);[Red]\(#,##0\)">
                  <c:v>175890.11</c:v>
                </c:pt>
                <c:pt idx="416" formatCode="#,##0_);[Red]\(#,##0\)">
                  <c:v>176908.84</c:v>
                </c:pt>
                <c:pt idx="417" formatCode="#,##0_);[Red]\(#,##0\)">
                  <c:v>176909</c:v>
                </c:pt>
                <c:pt idx="418" formatCode="#,##0_);[Red]\(#,##0\)">
                  <c:v>176909</c:v>
                </c:pt>
                <c:pt idx="419" formatCode="#,##0_);[Red]\(#,##0\)">
                  <c:v>226038.22</c:v>
                </c:pt>
                <c:pt idx="420" formatCode="#,##0_);[Red]\(#,##0\)">
                  <c:v>226038</c:v>
                </c:pt>
                <c:pt idx="421" formatCode="#,##0_);[Red]\(#,##0\)">
                  <c:v>223293.31</c:v>
                </c:pt>
                <c:pt idx="422" formatCode="#,##0_);[Red]\(#,##0\)">
                  <c:v>272327.27</c:v>
                </c:pt>
                <c:pt idx="423" formatCode="#,##0_);[Red]\(#,##0\)">
                  <c:v>236397.34</c:v>
                </c:pt>
                <c:pt idx="424" formatCode="#,##0_);[Red]\(#,##0\)">
                  <c:v>236553.84</c:v>
                </c:pt>
                <c:pt idx="425" formatCode="#,##0_);[Red]\(#,##0\)">
                  <c:v>249133.92</c:v>
                </c:pt>
                <c:pt idx="426" formatCode="#,##0_);[Red]\(#,##0\)">
                  <c:v>254043.68</c:v>
                </c:pt>
                <c:pt idx="427" formatCode="#,##0_);[Red]\(#,##0\)">
                  <c:v>254064.5</c:v>
                </c:pt>
                <c:pt idx="428" formatCode="#,##0_);[Red]\(#,##0\)">
                  <c:v>290142.09999999998</c:v>
                </c:pt>
                <c:pt idx="429" formatCode="#,##0_);[Red]\(#,##0\)">
                  <c:v>290142</c:v>
                </c:pt>
                <c:pt idx="430" formatCode="#,##0_);[Red]\(#,##0\)">
                  <c:v>290034.38</c:v>
                </c:pt>
                <c:pt idx="431" formatCode="#,##0_);[Red]\(#,##0\)">
                  <c:v>291747.36</c:v>
                </c:pt>
                <c:pt idx="432" formatCode="#,##0_);[Red]\(#,##0\)">
                  <c:v>306637.48</c:v>
                </c:pt>
                <c:pt idx="433" formatCode="#,##0_);[Red]\(#,##0\)">
                  <c:v>270401.28999999998</c:v>
                </c:pt>
                <c:pt idx="434" formatCode="#,##0_);[Red]\(#,##0\)">
                  <c:v>278028.58</c:v>
                </c:pt>
                <c:pt idx="435" formatCode="#,##0_);[Red]\(#,##0\)">
                  <c:v>278029</c:v>
                </c:pt>
                <c:pt idx="436" formatCode="#,##0_);[Red]\(#,##0\)">
                  <c:v>279523.53000000003</c:v>
                </c:pt>
                <c:pt idx="437" formatCode="#,##0_);[Red]\(#,##0\)">
                  <c:v>303100.06</c:v>
                </c:pt>
                <c:pt idx="438" formatCode="#,##0_);[Red]\(#,##0\)">
                  <c:v>303100.06</c:v>
                </c:pt>
                <c:pt idx="439" formatCode="#,##0_);[Red]\(#,##0\)">
                  <c:v>303100.06</c:v>
                </c:pt>
                <c:pt idx="440" formatCode="#,##0_);[Red]\(#,##0\)">
                  <c:v>303954.14</c:v>
                </c:pt>
                <c:pt idx="441" formatCode="#,##0_);[Red]\(#,##0\)">
                  <c:v>294843.14</c:v>
                </c:pt>
                <c:pt idx="442" formatCode="#,##0_);[Red]\(#,##0\)">
                  <c:v>294843</c:v>
                </c:pt>
                <c:pt idx="443" formatCode="#,##0_);[Red]\(#,##0\)">
                  <c:v>294843</c:v>
                </c:pt>
                <c:pt idx="444" formatCode="#,##0_);[Red]\(#,##0\)">
                  <c:v>294843</c:v>
                </c:pt>
                <c:pt idx="445" formatCode="#,##0_);[Red]\(#,##0\)">
                  <c:v>259514.47</c:v>
                </c:pt>
                <c:pt idx="446" formatCode="#,##0_);[Red]\(#,##0\)">
                  <c:v>255987.45</c:v>
                </c:pt>
                <c:pt idx="447" formatCode="#,##0_);[Red]\(#,##0\)">
                  <c:v>255987.45</c:v>
                </c:pt>
                <c:pt idx="448" formatCode="#,##0_);[Red]\(#,##0\)">
                  <c:v>255987.45</c:v>
                </c:pt>
                <c:pt idx="449" formatCode="#,##0_);[Red]\(#,##0\)">
                  <c:v>254650.75</c:v>
                </c:pt>
                <c:pt idx="450" formatCode="#,##0_);[Red]\(#,##0\)">
                  <c:v>298403.21000000002</c:v>
                </c:pt>
                <c:pt idx="451" formatCode="#,##0_);[Red]\(#,##0\)">
                  <c:v>300529.64</c:v>
                </c:pt>
                <c:pt idx="452" formatCode="#,##0_);[Red]\(#,##0\)">
                  <c:v>300229.64</c:v>
                </c:pt>
                <c:pt idx="453" formatCode="#,##0_);[Red]\(#,##0\)">
                  <c:v>300230</c:v>
                </c:pt>
                <c:pt idx="454" formatCode="#,##0_);[Red]\(#,##0\)">
                  <c:v>267674.82</c:v>
                </c:pt>
                <c:pt idx="455" formatCode="#,##0_);[Red]\(#,##0\)">
                  <c:v>273448.82</c:v>
                </c:pt>
                <c:pt idx="456" formatCode="#,##0_);[Red]\(#,##0\)">
                  <c:v>252527.09</c:v>
                </c:pt>
                <c:pt idx="457" formatCode="#,##0_);[Red]\(#,##0\)">
                  <c:v>321968.59000000003</c:v>
                </c:pt>
                <c:pt idx="458" formatCode="#,##0_);[Red]\(#,##0\)">
                  <c:v>321969</c:v>
                </c:pt>
                <c:pt idx="459" formatCode="#,##0_);[Red]\(#,##0\)">
                  <c:v>321969</c:v>
                </c:pt>
                <c:pt idx="460" formatCode="#,##0_);[Red]\(#,##0\)">
                  <c:v>321969</c:v>
                </c:pt>
                <c:pt idx="461" formatCode="#,##0_);[Red]\(#,##0\)">
                  <c:v>314251.55</c:v>
                </c:pt>
                <c:pt idx="462" formatCode="#,##0_);[Red]\(#,##0\)">
                  <c:v>315739.42</c:v>
                </c:pt>
                <c:pt idx="463" formatCode="#,##0_);[Red]\(#,##0\)">
                  <c:v>315739</c:v>
                </c:pt>
                <c:pt idx="464" formatCode="#,##0_);[Red]\(#,##0\)">
                  <c:v>275506.94</c:v>
                </c:pt>
                <c:pt idx="465" formatCode="#,##0_);[Red]\(#,##0\)">
                  <c:v>275507</c:v>
                </c:pt>
                <c:pt idx="466" formatCode="#,##0_);[Red]\(#,##0\)">
                  <c:v>289896.89</c:v>
                </c:pt>
                <c:pt idx="467" formatCode="#,##0_);[Red]\(#,##0\)">
                  <c:v>313281.34999999998</c:v>
                </c:pt>
                <c:pt idx="468" formatCode="#,##0_);[Red]\(#,##0\)">
                  <c:v>313281</c:v>
                </c:pt>
                <c:pt idx="469" formatCode="#,##0_);[Red]\(#,##0\)">
                  <c:v>317556.84999999998</c:v>
                </c:pt>
                <c:pt idx="470" formatCode="#,##0_);[Red]\(#,##0\)">
                  <c:v>317557</c:v>
                </c:pt>
                <c:pt idx="471" formatCode="#,##0_);[Red]\(#,##0\)">
                  <c:v>297159.33</c:v>
                </c:pt>
                <c:pt idx="472" formatCode="#,##0_);[Red]\(#,##0\)">
                  <c:v>297159</c:v>
                </c:pt>
                <c:pt idx="473" formatCode="#,##0_);[Red]\(#,##0\)">
                  <c:v>260233.37</c:v>
                </c:pt>
                <c:pt idx="474" formatCode="#,##0_);[Red]\(#,##0\)">
                  <c:v>260233</c:v>
                </c:pt>
                <c:pt idx="475" formatCode="#,##0_);[Red]\(#,##0\)">
                  <c:v>261845.78</c:v>
                </c:pt>
                <c:pt idx="476" formatCode="#,##0_);[Red]\(#,##0\)">
                  <c:v>261846</c:v>
                </c:pt>
                <c:pt idx="477" formatCode="#,##0_);[Red]\(#,##0\)">
                  <c:v>273805.40000000002</c:v>
                </c:pt>
                <c:pt idx="478" formatCode="#,##0_);[Red]\(#,##0\)">
                  <c:v>274101.40000000002</c:v>
                </c:pt>
                <c:pt idx="479" formatCode="#,##0_);[Red]\(#,##0\)">
                  <c:v>274101</c:v>
                </c:pt>
                <c:pt idx="480" formatCode="#,##0_);[Red]\(#,##0\)">
                  <c:v>299108.40000000002</c:v>
                </c:pt>
                <c:pt idx="481" formatCode="#,##0_);[Red]\(#,##0\)">
                  <c:v>298070.78000000003</c:v>
                </c:pt>
                <c:pt idx="482" formatCode="#,##0_);[Red]\(#,##0\)">
                  <c:v>298071</c:v>
                </c:pt>
                <c:pt idx="483" formatCode="#,##0_);[Red]\(#,##0\)">
                  <c:v>298430.78000000003</c:v>
                </c:pt>
                <c:pt idx="484" formatCode="#,##0_);[Red]\(#,##0\)">
                  <c:v>264835.63</c:v>
                </c:pt>
                <c:pt idx="485" formatCode="#,##0_);[Red]\(#,##0\)">
                  <c:v>303664.65999999997</c:v>
                </c:pt>
                <c:pt idx="486" formatCode="#,##0_);[Red]\(#,##0\)">
                  <c:v>299790.71999999997</c:v>
                </c:pt>
                <c:pt idx="487" formatCode="#,##0_);[Red]\(#,##0\)">
                  <c:v>309881.71999999997</c:v>
                </c:pt>
                <c:pt idx="488" formatCode="#,##0_);[Red]\(#,##0\)">
                  <c:v>284374.78999999998</c:v>
                </c:pt>
                <c:pt idx="489" formatCode="#,##0_);[Red]\(#,##0\)">
                  <c:v>284494.75</c:v>
                </c:pt>
                <c:pt idx="490" formatCode="#,##0_);[Red]\(#,##0\)">
                  <c:v>277370.03000000003</c:v>
                </c:pt>
                <c:pt idx="491" formatCode="#,##0_);[Red]\(#,##0\)">
                  <c:v>266103.65999999997</c:v>
                </c:pt>
                <c:pt idx="492" formatCode="#,##0_);[Red]\(#,##0\)">
                  <c:v>266189.65999999997</c:v>
                </c:pt>
                <c:pt idx="493" formatCode="#,##0_);[Red]\(#,##0\)">
                  <c:v>266190</c:v>
                </c:pt>
                <c:pt idx="494" formatCode="#,##0_);[Red]\(#,##0\)">
                  <c:v>228832.05</c:v>
                </c:pt>
                <c:pt idx="495" formatCode="#,##0_);[Red]\(#,##0\)">
                  <c:v>229285.41</c:v>
                </c:pt>
                <c:pt idx="496" formatCode="#,##0_);[Red]\(#,##0\)">
                  <c:v>236709.42</c:v>
                </c:pt>
                <c:pt idx="497" formatCode="#,##0_);[Red]\(#,##0\)">
                  <c:v>236709</c:v>
                </c:pt>
                <c:pt idx="498" formatCode="#,##0_);[Red]\(#,##0\)">
                  <c:v>236400.88</c:v>
                </c:pt>
                <c:pt idx="499" formatCode="#,##0_);[Red]\(#,##0\)">
                  <c:v>236401</c:v>
                </c:pt>
                <c:pt idx="500" formatCode="#,##0_);[Red]\(#,##0\)">
                  <c:v>236401</c:v>
                </c:pt>
                <c:pt idx="501" formatCode="#,##0_);[Red]\(#,##0\)">
                  <c:v>237605.71</c:v>
                </c:pt>
                <c:pt idx="502" formatCode="#,##0_);[Red]\(#,##0\)">
                  <c:v>237728.71</c:v>
                </c:pt>
                <c:pt idx="503" formatCode="#,##0_);[Red]\(#,##0\)">
                  <c:v>201980</c:v>
                </c:pt>
                <c:pt idx="504" formatCode="#,##0_);[Red]\(#,##0\)">
                  <c:v>225615.34</c:v>
                </c:pt>
                <c:pt idx="505" formatCode="#,##0_);[Red]\(#,##0\)">
                  <c:v>225615</c:v>
                </c:pt>
                <c:pt idx="506" formatCode="#,##0_);[Red]\(#,##0\)">
                  <c:v>219151.3</c:v>
                </c:pt>
                <c:pt idx="507" formatCode="#,##0_);[Red]\(#,##0\)">
                  <c:v>219351.3</c:v>
                </c:pt>
                <c:pt idx="508" formatCode="#,##0_);[Red]\(#,##0\)">
                  <c:v>219351</c:v>
                </c:pt>
                <c:pt idx="509" formatCode="#,##0_);[Red]\(#,##0\)">
                  <c:v>219351</c:v>
                </c:pt>
                <c:pt idx="510" formatCode="#,##0_);[Red]\(#,##0\)">
                  <c:v>219351</c:v>
                </c:pt>
                <c:pt idx="511" formatCode="#,##0_);[Red]\(#,##0\)">
                  <c:v>206758.66</c:v>
                </c:pt>
                <c:pt idx="512" formatCode="#,##0_);[Red]\(#,##0\)">
                  <c:v>234837.55</c:v>
                </c:pt>
                <c:pt idx="513" formatCode="#,##0_);[Red]\(#,##0\)">
                  <c:v>234838</c:v>
                </c:pt>
                <c:pt idx="514" formatCode="#,##0_);[Red]\(#,##0\)">
                  <c:v>199113.26</c:v>
                </c:pt>
                <c:pt idx="515" formatCode="#,##0_);[Red]\(#,##0\)">
                  <c:v>199113</c:v>
                </c:pt>
                <c:pt idx="516" formatCode="#,##0_);[Red]\(#,##0\)">
                  <c:v>205400.17</c:v>
                </c:pt>
                <c:pt idx="517" formatCode="#,##0_);[Red]\(#,##0\)">
                  <c:v>220161.91</c:v>
                </c:pt>
                <c:pt idx="518" formatCode="#,##0_);[Red]\(#,##0\)">
                  <c:v>220161.91</c:v>
                </c:pt>
                <c:pt idx="519" formatCode="#,##0_);[Red]\(#,##0\)">
                  <c:v>220161.91</c:v>
                </c:pt>
                <c:pt idx="520" formatCode="#,##0_);[Red]\(#,##0\)">
                  <c:v>220161.91</c:v>
                </c:pt>
                <c:pt idx="521" formatCode="#,##0_);[Red]\(#,##0\)">
                  <c:v>224635.26</c:v>
                </c:pt>
              </c:numCache>
            </c:numRef>
          </c:val>
          <c:smooth val="0"/>
        </c:ser>
        <c:dLbls>
          <c:showLegendKey val="0"/>
          <c:showVal val="0"/>
          <c:showCatName val="0"/>
          <c:showSerName val="0"/>
          <c:showPercent val="0"/>
          <c:showBubbleSize val="0"/>
        </c:dLbls>
        <c:smooth val="0"/>
        <c:axId val="214653608"/>
        <c:axId val="214654000"/>
      </c:lineChart>
      <c:dateAx>
        <c:axId val="214653608"/>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654000"/>
        <c:crosses val="autoZero"/>
        <c:auto val="1"/>
        <c:lblOffset val="100"/>
        <c:baseTimeUnit val="days"/>
        <c:majorUnit val="30"/>
        <c:majorTimeUnit val="days"/>
        <c:minorUnit val="4"/>
        <c:minorTimeUnit val="months"/>
      </c:dateAx>
      <c:valAx>
        <c:axId val="214654000"/>
        <c:scaling>
          <c:orientation val="minMax"/>
          <c:min val="150000"/>
        </c:scaling>
        <c:delete val="0"/>
        <c:axPos val="l"/>
        <c:majorGridlines>
          <c:spPr>
            <a:ln w="9525" cap="flat" cmpd="sng" algn="ctr">
              <a:solidFill>
                <a:schemeClr val="accent1"/>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653608"/>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Data!$F$540:$F$563</c:f>
              <c:numCache>
                <c:formatCode>mmm\-yy</c:formatCode>
                <c:ptCount val="24"/>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numCache>
            </c:numRef>
          </c:cat>
          <c:val>
            <c:numRef>
              <c:f>Data!$G$540:$G$563</c:f>
              <c:numCache>
                <c:formatCode>"$"#,##0_);[Red]\("$"#,##0\)</c:formatCode>
                <c:ptCount val="24"/>
                <c:pt idx="0">
                  <c:v>280744</c:v>
                </c:pt>
                <c:pt idx="1">
                  <c:v>319478.15999999997</c:v>
                </c:pt>
                <c:pt idx="2">
                  <c:v>241828.1</c:v>
                </c:pt>
                <c:pt idx="3">
                  <c:v>248981.18</c:v>
                </c:pt>
                <c:pt idx="4">
                  <c:v>268937.63</c:v>
                </c:pt>
                <c:pt idx="5">
                  <c:v>198251.6</c:v>
                </c:pt>
                <c:pt idx="6">
                  <c:v>178964.63</c:v>
                </c:pt>
                <c:pt idx="7">
                  <c:v>199171.39</c:v>
                </c:pt>
                <c:pt idx="8">
                  <c:v>180584.58</c:v>
                </c:pt>
                <c:pt idx="9">
                  <c:v>258260.86</c:v>
                </c:pt>
                <c:pt idx="10">
                  <c:v>297556.56</c:v>
                </c:pt>
                <c:pt idx="11">
                  <c:v>287550</c:v>
                </c:pt>
                <c:pt idx="12">
                  <c:v>277699.34999999998</c:v>
                </c:pt>
                <c:pt idx="13">
                  <c:v>310068.02</c:v>
                </c:pt>
                <c:pt idx="14">
                  <c:v>338828.68</c:v>
                </c:pt>
                <c:pt idx="15">
                  <c:v>316601.96000000002</c:v>
                </c:pt>
                <c:pt idx="16">
                  <c:v>282196.90999999997</c:v>
                </c:pt>
                <c:pt idx="17">
                  <c:v>287391.71999999997</c:v>
                </c:pt>
                <c:pt idx="18">
                  <c:v>327095.84000000003</c:v>
                </c:pt>
                <c:pt idx="19">
                  <c:v>233504.28</c:v>
                </c:pt>
                <c:pt idx="20">
                  <c:v>166530.44</c:v>
                </c:pt>
                <c:pt idx="21">
                  <c:v>245292.72</c:v>
                </c:pt>
                <c:pt idx="22">
                  <c:v>320446.43</c:v>
                </c:pt>
                <c:pt idx="23">
                  <c:v>385887.41</c:v>
                </c:pt>
              </c:numCache>
            </c:numRef>
          </c:val>
        </c:ser>
        <c:dLbls>
          <c:showLegendKey val="0"/>
          <c:showVal val="0"/>
          <c:showCatName val="0"/>
          <c:showSerName val="0"/>
          <c:showPercent val="0"/>
          <c:showBubbleSize val="0"/>
        </c:dLbls>
        <c:gapWidth val="243"/>
        <c:overlap val="-83"/>
        <c:axId val="214655568"/>
        <c:axId val="214655960"/>
      </c:barChart>
      <c:dateAx>
        <c:axId val="2146555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655960"/>
        <c:crosses val="autoZero"/>
        <c:auto val="1"/>
        <c:lblOffset val="100"/>
        <c:baseTimeUnit val="months"/>
      </c:dateAx>
      <c:valAx>
        <c:axId val="21465596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655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'Feb''19 AR Aging '!$B$182</c:f>
              <c:strCache>
                <c:ptCount val="1"/>
                <c:pt idx="0">
                  <c:v>Current Month</c:v>
                </c:pt>
              </c:strCache>
            </c:strRef>
          </c:tx>
          <c:spPr>
            <a:solidFill>
              <a:srgbClr val="0070C0"/>
            </a:solidFill>
          </c:spPr>
          <c:invertIfNegative val="0"/>
          <c:val>
            <c:numRef>
              <c:f>'Feb''19 AR Aging '!$C$182:$N$182</c:f>
            </c:numRef>
          </c:val>
          <c:extLst>
            <c:ext xmlns:c15="http://schemas.microsoft.com/office/drawing/2012/chart" uri="{02D57815-91ED-43cb-92C2-25804820EDAC}">
              <c15:filteredCategoryTitle>
                <c15:cat>
                  <c:multiLvlStrRef>
                    <c:extLst>
                      <c:ext uri="{02D57815-91ED-43cb-92C2-25804820EDAC}">
                        <c15:formulaRef>
                          <c15:sqref>'Feb''19 AR Aging '!$C$181:$N$181</c15:sqref>
                        </c15:formulaRef>
                      </c:ext>
                    </c:extLst>
                  </c:multiLvlStrRef>
                </c15:cat>
              </c15:filteredCategoryTitle>
            </c:ext>
          </c:extLst>
        </c:ser>
        <c:ser>
          <c:idx val="1"/>
          <c:order val="1"/>
          <c:tx>
            <c:strRef>
              <c:f>'Feb''19 AR Aging '!$B$183</c:f>
              <c:strCache>
                <c:ptCount val="1"/>
                <c:pt idx="0">
                  <c:v>Previous Month</c:v>
                </c:pt>
              </c:strCache>
            </c:strRef>
          </c:tx>
          <c:spPr>
            <a:solidFill>
              <a:schemeClr val="accent6">
                <a:lumMod val="40000"/>
                <a:lumOff val="60000"/>
              </a:schemeClr>
            </a:solidFill>
          </c:spPr>
          <c:invertIfNegative val="0"/>
          <c:val>
            <c:numRef>
              <c:f>'Feb''19 AR Aging '!$C$183:$N$183</c:f>
            </c:numRef>
          </c:val>
          <c:extLst>
            <c:ext xmlns:c15="http://schemas.microsoft.com/office/drawing/2012/chart" uri="{02D57815-91ED-43cb-92C2-25804820EDAC}">
              <c15:filteredCategoryTitle>
                <c15:cat>
                  <c:multiLvlStrRef>
                    <c:extLst>
                      <c:ext uri="{02D57815-91ED-43cb-92C2-25804820EDAC}">
                        <c15:formulaRef>
                          <c15:sqref>'Feb''19 AR Aging '!$C$181:$N$181</c15:sqref>
                        </c15:formulaRef>
                      </c:ext>
                    </c:extLst>
                  </c:multiLvlStrRef>
                </c15:cat>
              </c15:filteredCategoryTitle>
            </c:ext>
          </c:extLst>
        </c:ser>
        <c:ser>
          <c:idx val="2"/>
          <c:order val="2"/>
          <c:tx>
            <c:strRef>
              <c:f>'Feb''19 AR Aging '!$B$184</c:f>
              <c:strCache>
                <c:ptCount val="1"/>
                <c:pt idx="0">
                  <c:v>Three Months Ago</c:v>
                </c:pt>
              </c:strCache>
            </c:strRef>
          </c:tx>
          <c:spPr>
            <a:solidFill>
              <a:schemeClr val="accent3">
                <a:lumMod val="75000"/>
              </a:schemeClr>
            </a:solidFill>
          </c:spPr>
          <c:invertIfNegative val="0"/>
          <c:val>
            <c:numRef>
              <c:f>'Feb''19 AR Aging '!$C$184:$N$184</c:f>
            </c:numRef>
          </c:val>
          <c:extLst>
            <c:ext xmlns:c15="http://schemas.microsoft.com/office/drawing/2012/chart" uri="{02D57815-91ED-43cb-92C2-25804820EDAC}">
              <c15:filteredCategoryTitle>
                <c15:cat>
                  <c:multiLvlStrRef>
                    <c:extLst>
                      <c:ext uri="{02D57815-91ED-43cb-92C2-25804820EDAC}">
                        <c15:formulaRef>
                          <c15:sqref>'Feb''19 AR Aging '!$C$181:$N$181</c15:sqref>
                        </c15:formulaRef>
                      </c:ext>
                    </c:extLst>
                  </c:multiLvlStrRef>
                </c15:cat>
              </c15:filteredCategoryTitle>
            </c:ext>
          </c:extLst>
        </c:ser>
        <c:ser>
          <c:idx val="3"/>
          <c:order val="3"/>
          <c:tx>
            <c:strRef>
              <c:f>'Feb''19 AR Aging '!$B$185</c:f>
              <c:strCache>
                <c:ptCount val="1"/>
                <c:pt idx="0">
                  <c:v>Older than Three Months</c:v>
                </c:pt>
              </c:strCache>
            </c:strRef>
          </c:tx>
          <c:spPr>
            <a:solidFill>
              <a:schemeClr val="accent4">
                <a:lumMod val="40000"/>
                <a:lumOff val="60000"/>
              </a:schemeClr>
            </a:solidFill>
          </c:spPr>
          <c:invertIfNegative val="0"/>
          <c:val>
            <c:numRef>
              <c:f>'Feb''19 AR Aging '!$C$185:$N$185</c:f>
            </c:numRef>
          </c:val>
          <c:extLst>
            <c:ext xmlns:c15="http://schemas.microsoft.com/office/drawing/2012/chart" uri="{02D57815-91ED-43cb-92C2-25804820EDAC}">
              <c15:filteredCategoryTitle>
                <c15:cat>
                  <c:multiLvlStrRef>
                    <c:extLst>
                      <c:ext uri="{02D57815-91ED-43cb-92C2-25804820EDAC}">
                        <c15:formulaRef>
                          <c15:sqref>'Feb''19 AR Aging '!$C$181:$N$181</c15:sqref>
                        </c15:formulaRef>
                      </c:ext>
                    </c:extLst>
                  </c:multiLvlStrRef>
                </c15:cat>
              </c15:filteredCategoryTitle>
            </c:ext>
          </c:extLst>
        </c:ser>
        <c:dLbls>
          <c:showLegendKey val="0"/>
          <c:showVal val="0"/>
          <c:showCatName val="0"/>
          <c:showSerName val="0"/>
          <c:showPercent val="0"/>
          <c:showBubbleSize val="0"/>
        </c:dLbls>
        <c:gapWidth val="56"/>
        <c:overlap val="100"/>
        <c:axId val="214656352"/>
        <c:axId val="214656744"/>
      </c:barChart>
      <c:catAx>
        <c:axId val="214656352"/>
        <c:scaling>
          <c:orientation val="minMax"/>
        </c:scaling>
        <c:delete val="0"/>
        <c:axPos val="b"/>
        <c:numFmt formatCode="[$-409]mmmm\-yy;@" sourceLinked="1"/>
        <c:majorTickMark val="none"/>
        <c:minorTickMark val="none"/>
        <c:tickLblPos val="nextTo"/>
        <c:spPr>
          <a:noFill/>
          <a:ln w="22225"/>
        </c:spPr>
        <c:crossAx val="214656744"/>
        <c:crosses val="autoZero"/>
        <c:auto val="0"/>
        <c:lblAlgn val="ctr"/>
        <c:lblOffset val="100"/>
        <c:tickLblSkip val="1"/>
        <c:noMultiLvlLbl val="0"/>
      </c:catAx>
      <c:valAx>
        <c:axId val="214656744"/>
        <c:scaling>
          <c:orientation val="minMax"/>
        </c:scaling>
        <c:delete val="0"/>
        <c:axPos val="l"/>
        <c:majorGridlines/>
        <c:numFmt formatCode="&quot;$&quot;#,##0_);[Red]\(&quot;$&quot;#,##0\)" sourceLinked="1"/>
        <c:majorTickMark val="none"/>
        <c:minorTickMark val="none"/>
        <c:tickLblPos val="nextTo"/>
        <c:crossAx val="214656352"/>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990600</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561975</xdr:colOff>
      <xdr:row>18</xdr:row>
      <xdr:rowOff>180976</xdr:rowOff>
    </xdr:from>
    <xdr:to>
      <xdr:col>7</xdr:col>
      <xdr:colOff>571500</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106</xdr:row>
          <xdr:rowOff>76200</xdr:rowOff>
        </xdr:from>
        <xdr:to>
          <xdr:col>6</xdr:col>
          <xdr:colOff>180975</xdr:colOff>
          <xdr:row>150</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3695700</xdr:colOff>
      <xdr:row>175</xdr:row>
      <xdr:rowOff>47625</xdr:rowOff>
    </xdr:from>
    <xdr:to>
      <xdr:col>8</xdr:col>
      <xdr:colOff>523875</xdr:colOff>
      <xdr:row>212</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6"/>
  <sheetViews>
    <sheetView tabSelected="1" zoomScaleNormal="100" workbookViewId="0">
      <selection sqref="A1:H1"/>
    </sheetView>
  </sheetViews>
  <sheetFormatPr defaultRowHeight="14.25" x14ac:dyDescent="0.2"/>
  <cols>
    <col min="1" max="1" width="5" style="4" customWidth="1"/>
    <col min="2" max="6" width="14.875" style="4" customWidth="1"/>
    <col min="7" max="7" width="16.125" style="4" customWidth="1"/>
    <col min="8" max="8" width="16.625" style="4" customWidth="1"/>
    <col min="9" max="9" width="9.5" style="4" bestFit="1" customWidth="1"/>
    <col min="10" max="10" width="9" style="4"/>
    <col min="11" max="11" width="10.5" style="4" bestFit="1" customWidth="1"/>
    <col min="12" max="16384" width="9" style="4"/>
  </cols>
  <sheetData>
    <row r="1" spans="1:8" ht="23.25" x14ac:dyDescent="0.2">
      <c r="A1" s="759" t="s">
        <v>184</v>
      </c>
      <c r="B1" s="759"/>
      <c r="C1" s="759"/>
      <c r="D1" s="759"/>
      <c r="E1" s="759"/>
      <c r="F1" s="759"/>
      <c r="G1" s="759"/>
      <c r="H1" s="759"/>
    </row>
    <row r="2" spans="1:8" ht="23.25" x14ac:dyDescent="0.2">
      <c r="A2" s="759" t="s">
        <v>185</v>
      </c>
      <c r="B2" s="759"/>
      <c r="C2" s="759"/>
      <c r="D2" s="759"/>
      <c r="E2" s="759"/>
      <c r="F2" s="759"/>
      <c r="G2" s="759"/>
      <c r="H2" s="759"/>
    </row>
    <row r="3" spans="1:8" ht="23.25" x14ac:dyDescent="0.2">
      <c r="A3" s="760">
        <v>43550</v>
      </c>
      <c r="B3" s="760"/>
      <c r="C3" s="760"/>
      <c r="D3" s="760"/>
      <c r="E3" s="760"/>
      <c r="F3" s="760"/>
      <c r="G3" s="760"/>
      <c r="H3" s="760"/>
    </row>
    <row r="4" spans="1:8" ht="21.75" customHeight="1" x14ac:dyDescent="0.25">
      <c r="A4" s="762" t="s">
        <v>197</v>
      </c>
      <c r="B4" s="762"/>
      <c r="C4" s="762"/>
      <c r="D4" s="762"/>
      <c r="E4" s="762"/>
      <c r="F4" s="762"/>
      <c r="G4" s="762"/>
      <c r="H4" s="762"/>
    </row>
    <row r="5" spans="1:8" ht="51" customHeight="1" x14ac:dyDescent="0.2">
      <c r="A5" s="758" t="s">
        <v>457</v>
      </c>
      <c r="B5" s="758"/>
      <c r="C5" s="758"/>
      <c r="D5" s="758"/>
      <c r="E5" s="758"/>
      <c r="F5" s="758"/>
      <c r="G5" s="758"/>
      <c r="H5" s="758"/>
    </row>
    <row r="6" spans="1:8" ht="81" customHeight="1" x14ac:dyDescent="0.2">
      <c r="A6" s="500"/>
      <c r="B6" s="500"/>
      <c r="C6" s="500"/>
      <c r="D6" s="500"/>
      <c r="E6" s="500"/>
      <c r="F6" s="500"/>
      <c r="G6" s="500"/>
      <c r="H6" s="500"/>
    </row>
    <row r="7" spans="1:8" ht="81" customHeight="1" x14ac:dyDescent="0.2">
      <c r="A7" s="500"/>
      <c r="B7" s="500"/>
      <c r="C7" s="500"/>
      <c r="D7" s="500"/>
      <c r="E7" s="500"/>
      <c r="F7" s="500"/>
      <c r="G7" s="500"/>
      <c r="H7" s="500"/>
    </row>
    <row r="8" spans="1:8" ht="81" customHeight="1" x14ac:dyDescent="0.2">
      <c r="A8" s="500"/>
      <c r="B8" s="500"/>
      <c r="C8" s="500"/>
      <c r="D8" s="500"/>
      <c r="E8" s="500"/>
      <c r="F8" s="500"/>
      <c r="G8" s="500"/>
      <c r="H8" s="500"/>
    </row>
    <row r="9" spans="1:8" ht="38.25" customHeight="1" x14ac:dyDescent="0.2">
      <c r="A9" s="758" t="s">
        <v>459</v>
      </c>
      <c r="B9" s="758"/>
      <c r="C9" s="758"/>
      <c r="D9" s="758"/>
      <c r="E9" s="758"/>
      <c r="F9" s="758"/>
      <c r="G9" s="758"/>
      <c r="H9" s="758"/>
    </row>
    <row r="10" spans="1:8" ht="15.75" x14ac:dyDescent="0.25">
      <c r="A10" s="469"/>
      <c r="B10" s="761"/>
      <c r="C10" s="761"/>
      <c r="D10" s="460"/>
      <c r="E10" s="466" t="s">
        <v>55</v>
      </c>
      <c r="F10" s="460"/>
      <c r="G10" s="461"/>
      <c r="H10" s="469"/>
    </row>
    <row r="11" spans="1:8" ht="15.75" customHeight="1" x14ac:dyDescent="0.25">
      <c r="A11" s="469"/>
      <c r="C11" s="761" t="s">
        <v>190</v>
      </c>
      <c r="D11" s="761"/>
      <c r="E11" s="501">
        <f>'Feb''19 AR Aging '!G8</f>
        <v>112291.7</v>
      </c>
      <c r="F11" s="462"/>
      <c r="G11" s="462"/>
      <c r="H11" s="469"/>
    </row>
    <row r="12" spans="1:8" ht="15.75" customHeight="1" x14ac:dyDescent="0.25">
      <c r="A12" s="469"/>
      <c r="C12" s="761" t="s">
        <v>218</v>
      </c>
      <c r="D12" s="761"/>
      <c r="E12" s="501">
        <f>'Feb''19 AR Aging '!G32</f>
        <v>55219.74</v>
      </c>
      <c r="F12" s="462"/>
      <c r="G12" s="462"/>
      <c r="H12" s="469"/>
    </row>
    <row r="13" spans="1:8" ht="15.75" customHeight="1" x14ac:dyDescent="0.25">
      <c r="A13" s="469"/>
      <c r="C13" s="761" t="s">
        <v>219</v>
      </c>
      <c r="D13" s="761"/>
      <c r="E13" s="501">
        <f>'Feb''19 AR Aging '!G14</f>
        <v>42440.93</v>
      </c>
      <c r="F13" s="462"/>
      <c r="G13" s="462"/>
      <c r="H13" s="469"/>
    </row>
    <row r="14" spans="1:8" ht="15.75" customHeight="1" x14ac:dyDescent="0.25">
      <c r="A14" s="469"/>
      <c r="C14" s="761" t="s">
        <v>220</v>
      </c>
      <c r="D14" s="761"/>
      <c r="E14" s="501">
        <f>'Feb''19 AR Aging '!G42</f>
        <v>35695.68</v>
      </c>
      <c r="F14" s="462"/>
      <c r="G14" s="462"/>
      <c r="H14" s="469"/>
    </row>
    <row r="15" spans="1:8" ht="15.75" customHeight="1" x14ac:dyDescent="0.25">
      <c r="A15" s="469"/>
      <c r="C15" s="761" t="s">
        <v>221</v>
      </c>
      <c r="D15" s="761"/>
      <c r="E15" s="501">
        <f>'Feb''19 AR Aging '!G50+'Feb''19 AR Aging '!G55+'Feb''19 AR Aging '!G57+'Feb''19 AR Aging '!G39+'Feb''19 AR Aging '!G61+'Feb''19 AR Aging '!G40</f>
        <v>88452.946670000005</v>
      </c>
      <c r="F15" s="462"/>
      <c r="G15" s="462"/>
      <c r="H15" s="469"/>
    </row>
    <row r="16" spans="1:8" ht="15.75" customHeight="1" x14ac:dyDescent="0.25">
      <c r="A16" s="747"/>
      <c r="C16" s="761" t="s">
        <v>18</v>
      </c>
      <c r="D16" s="761"/>
      <c r="E16" s="501">
        <f>'Feb''19 AR Aging '!G63</f>
        <v>50000</v>
      </c>
      <c r="F16" s="462"/>
      <c r="G16" s="462"/>
      <c r="H16" s="747"/>
    </row>
    <row r="17" spans="1:12" ht="15.75" customHeight="1" x14ac:dyDescent="0.25">
      <c r="A17" s="469"/>
      <c r="C17" s="761" t="s">
        <v>458</v>
      </c>
      <c r="D17" s="761"/>
      <c r="E17" s="501">
        <f>'Feb''19 AR Aging '!G59+'Feb''19 AR Aging '!G41</f>
        <v>1786.42</v>
      </c>
      <c r="F17" s="462"/>
      <c r="G17" s="462"/>
      <c r="H17" s="469"/>
    </row>
    <row r="18" spans="1:12" ht="16.5" customHeight="1" thickBot="1" x14ac:dyDescent="0.3">
      <c r="A18" s="469"/>
      <c r="B18" s="761" t="s">
        <v>222</v>
      </c>
      <c r="C18" s="761"/>
      <c r="D18" s="761"/>
      <c r="E18" s="467">
        <f>SUM(E11:E17)</f>
        <v>385887.41667000001</v>
      </c>
      <c r="F18" s="756"/>
      <c r="G18" s="756"/>
      <c r="H18" s="469"/>
    </row>
    <row r="19" spans="1:12" ht="38.25" customHeight="1" thickTop="1" x14ac:dyDescent="0.2">
      <c r="A19" s="583"/>
      <c r="B19" s="583"/>
      <c r="C19" s="583"/>
      <c r="D19" s="583"/>
      <c r="E19" s="583"/>
      <c r="F19" s="583"/>
      <c r="G19" s="583"/>
      <c r="H19" s="583"/>
    </row>
    <row r="20" spans="1:12" ht="88.5" customHeight="1" x14ac:dyDescent="0.2">
      <c r="A20" s="583"/>
      <c r="B20" s="583"/>
      <c r="C20" s="583"/>
      <c r="D20" s="583"/>
      <c r="E20" s="583"/>
      <c r="F20" s="583"/>
      <c r="G20" s="583"/>
      <c r="H20" s="583"/>
    </row>
    <row r="21" spans="1:12" ht="88.5" customHeight="1" x14ac:dyDescent="0.2">
      <c r="A21" s="583"/>
      <c r="B21" s="583"/>
      <c r="C21" s="583"/>
      <c r="D21" s="583"/>
      <c r="E21" s="583"/>
      <c r="F21" s="583"/>
      <c r="G21" s="583"/>
      <c r="H21" s="583"/>
    </row>
    <row r="22" spans="1:12" ht="88.5" customHeight="1" x14ac:dyDescent="0.2">
      <c r="A22" s="583"/>
      <c r="B22" s="583"/>
      <c r="C22" s="583"/>
      <c r="D22" s="583"/>
      <c r="E22" s="583"/>
      <c r="F22" s="583"/>
      <c r="G22" s="583"/>
      <c r="H22" s="583"/>
    </row>
    <row r="23" spans="1:12" ht="35.25" hidden="1" customHeight="1" x14ac:dyDescent="0.2">
      <c r="A23" s="758" t="s">
        <v>312</v>
      </c>
      <c r="B23" s="758"/>
      <c r="C23" s="758"/>
      <c r="D23" s="758"/>
      <c r="E23" s="758"/>
      <c r="F23" s="758"/>
      <c r="G23" s="758"/>
      <c r="H23" s="758"/>
    </row>
    <row r="24" spans="1:12" ht="15" customHeight="1" x14ac:dyDescent="0.2">
      <c r="A24" s="583"/>
      <c r="B24" s="583"/>
      <c r="C24" s="583"/>
      <c r="D24" s="583"/>
      <c r="E24" s="583"/>
      <c r="F24" s="583"/>
      <c r="G24" s="583"/>
      <c r="H24" s="583"/>
    </row>
    <row r="25" spans="1:12" ht="38.25" customHeight="1" x14ac:dyDescent="0.2">
      <c r="A25" s="758" t="s">
        <v>462</v>
      </c>
      <c r="B25" s="758"/>
      <c r="C25" s="758"/>
      <c r="D25" s="758"/>
      <c r="E25" s="758"/>
      <c r="F25" s="758"/>
      <c r="G25" s="758"/>
      <c r="H25" s="758"/>
    </row>
    <row r="26" spans="1:12" ht="30" customHeight="1" x14ac:dyDescent="0.25">
      <c r="A26" s="500"/>
      <c r="B26" s="678" t="s">
        <v>338</v>
      </c>
      <c r="C26" s="679" t="s">
        <v>460</v>
      </c>
      <c r="D26" s="678" t="s">
        <v>265</v>
      </c>
      <c r="E26" s="680" t="s">
        <v>266</v>
      </c>
      <c r="F26" s="680" t="s">
        <v>461</v>
      </c>
      <c r="G26" s="680" t="s">
        <v>339</v>
      </c>
      <c r="I26" s="642"/>
      <c r="J26" s="643"/>
      <c r="K26" s="642"/>
    </row>
    <row r="27" spans="1:12" ht="15" x14ac:dyDescent="0.2">
      <c r="A27" s="500"/>
      <c r="B27" s="43"/>
      <c r="C27" s="634">
        <v>-20</v>
      </c>
      <c r="D27" s="634"/>
      <c r="E27" s="634"/>
      <c r="F27" s="651">
        <v>-19.97</v>
      </c>
      <c r="G27" s="554"/>
      <c r="I27" s="94"/>
      <c r="J27" s="18"/>
      <c r="K27" s="18"/>
    </row>
    <row r="28" spans="1:12" ht="15" x14ac:dyDescent="0.2">
      <c r="A28" s="500"/>
      <c r="B28" s="43" t="s">
        <v>267</v>
      </c>
      <c r="C28" s="661">
        <v>38489.56</v>
      </c>
      <c r="D28" s="661">
        <v>319.93</v>
      </c>
      <c r="E28" s="661">
        <v>3032.92</v>
      </c>
      <c r="F28" s="661">
        <f>C28+D28+E28</f>
        <v>41842.409999999996</v>
      </c>
      <c r="G28" s="635">
        <f t="shared" ref="G28:G33" si="0">F28/F$35</f>
        <v>0.24542977886548992</v>
      </c>
      <c r="I28" s="644"/>
      <c r="J28" s="645"/>
      <c r="K28" s="646"/>
    </row>
    <row r="29" spans="1:12" ht="15" x14ac:dyDescent="0.25">
      <c r="A29" s="500"/>
      <c r="B29" s="43" t="s">
        <v>268</v>
      </c>
      <c r="C29" s="661">
        <v>14903.11</v>
      </c>
      <c r="D29" s="661">
        <v>32.86</v>
      </c>
      <c r="E29" s="661">
        <v>25.37</v>
      </c>
      <c r="F29" s="661">
        <f t="shared" ref="F29:F33" si="1">C29+D29+E29</f>
        <v>14961.340000000002</v>
      </c>
      <c r="G29" s="635">
        <f t="shared" si="0"/>
        <v>8.7756856446160963E-2</v>
      </c>
      <c r="I29" s="647"/>
      <c r="J29" s="645"/>
      <c r="K29" s="646"/>
      <c r="L29" s="526"/>
    </row>
    <row r="30" spans="1:12" ht="15" x14ac:dyDescent="0.2">
      <c r="A30" s="500"/>
      <c r="B30" s="43" t="s">
        <v>269</v>
      </c>
      <c r="C30" s="661">
        <v>44091.09</v>
      </c>
      <c r="D30" s="661"/>
      <c r="E30" s="661">
        <v>6073.22</v>
      </c>
      <c r="F30" s="661">
        <f t="shared" si="1"/>
        <v>50164.31</v>
      </c>
      <c r="G30" s="635">
        <f t="shared" si="0"/>
        <v>0.29424250444082656</v>
      </c>
      <c r="I30" s="644"/>
      <c r="J30" s="645"/>
      <c r="K30" s="646"/>
      <c r="L30" s="526"/>
    </row>
    <row r="31" spans="1:12" ht="15" x14ac:dyDescent="0.25">
      <c r="A31" s="500"/>
      <c r="B31" s="43" t="s">
        <v>270</v>
      </c>
      <c r="C31" s="661">
        <v>21132.04</v>
      </c>
      <c r="D31" s="661">
        <v>86.84</v>
      </c>
      <c r="E31" s="661">
        <v>-52.53</v>
      </c>
      <c r="F31" s="661">
        <f t="shared" si="1"/>
        <v>21166.350000000002</v>
      </c>
      <c r="G31" s="635">
        <f t="shared" si="0"/>
        <v>0.12415280572724094</v>
      </c>
      <c r="I31" s="647"/>
      <c r="J31" s="645"/>
      <c r="K31" s="646"/>
      <c r="L31" s="526"/>
    </row>
    <row r="32" spans="1:12" ht="15" x14ac:dyDescent="0.25">
      <c r="A32" s="500"/>
      <c r="B32" s="43" t="s">
        <v>271</v>
      </c>
      <c r="C32" s="661">
        <v>21091.57</v>
      </c>
      <c r="D32" s="661">
        <v>72.89</v>
      </c>
      <c r="E32" s="661">
        <v>592.59</v>
      </c>
      <c r="F32" s="661">
        <f t="shared" si="1"/>
        <v>21757.05</v>
      </c>
      <c r="G32" s="635">
        <f t="shared" si="0"/>
        <v>0.12761760066557848</v>
      </c>
      <c r="I32" s="647"/>
      <c r="J32" s="645"/>
      <c r="K32" s="646"/>
      <c r="L32" s="526"/>
    </row>
    <row r="33" spans="1:12" ht="15" x14ac:dyDescent="0.25">
      <c r="A33" s="500"/>
      <c r="B33" s="43" t="s">
        <v>272</v>
      </c>
      <c r="C33" s="661">
        <v>19933.830000000002</v>
      </c>
      <c r="D33" s="661">
        <v>186.92</v>
      </c>
      <c r="E33" s="661">
        <v>494.04</v>
      </c>
      <c r="F33" s="661">
        <f t="shared" si="1"/>
        <v>20614.79</v>
      </c>
      <c r="G33" s="635">
        <f t="shared" si="0"/>
        <v>0.12091758938021289</v>
      </c>
      <c r="I33" s="647"/>
      <c r="J33" s="645"/>
      <c r="K33" s="646"/>
      <c r="L33" s="526"/>
    </row>
    <row r="34" spans="1:12" ht="9.75" customHeight="1" x14ac:dyDescent="0.2">
      <c r="A34" s="500"/>
      <c r="B34" s="43"/>
      <c r="C34" s="634"/>
      <c r="D34" s="554"/>
      <c r="E34" s="634"/>
      <c r="F34" s="634"/>
      <c r="G34" s="554"/>
      <c r="I34" s="644"/>
      <c r="J34" s="645"/>
      <c r="K34" s="18"/>
      <c r="L34" s="526"/>
    </row>
    <row r="35" spans="1:12" ht="15" x14ac:dyDescent="0.25">
      <c r="A35" s="500"/>
      <c r="B35" s="636" t="s">
        <v>286</v>
      </c>
      <c r="C35" s="637">
        <f>SUM(C27:C34)</f>
        <v>159621.20000000001</v>
      </c>
      <c r="D35" s="638">
        <f>SUM(D28:D34)</f>
        <v>699.43999999999994</v>
      </c>
      <c r="E35" s="637">
        <f>SUM(E28:E34)</f>
        <v>10165.61</v>
      </c>
      <c r="F35" s="637">
        <f>SUM(F27:F34)</f>
        <v>170486.28</v>
      </c>
      <c r="G35" s="659">
        <f>SUM(G28:G34)</f>
        <v>1.0001171355255096</v>
      </c>
      <c r="I35" s="648"/>
      <c r="J35" s="649"/>
      <c r="K35" s="650"/>
    </row>
    <row r="36" spans="1:12" ht="15.75" thickBot="1" x14ac:dyDescent="0.25">
      <c r="A36" s="513"/>
      <c r="B36" s="18"/>
      <c r="C36" s="556"/>
      <c r="D36" s="555"/>
      <c r="E36" s="556"/>
      <c r="F36" s="556"/>
      <c r="G36" s="528"/>
      <c r="I36" s="1"/>
      <c r="J36" s="1"/>
      <c r="K36" s="1"/>
    </row>
    <row r="37" spans="1:12" ht="15.75" thickTop="1" x14ac:dyDescent="0.2">
      <c r="A37" s="500"/>
      <c r="B37" s="500"/>
      <c r="C37" s="500"/>
      <c r="D37" s="500"/>
      <c r="E37" s="500"/>
      <c r="F37" s="500"/>
      <c r="G37" s="500"/>
      <c r="H37" s="500"/>
    </row>
    <row r="38" spans="1:12" ht="47.25" customHeight="1" x14ac:dyDescent="0.2">
      <c r="A38" s="500"/>
      <c r="B38" s="772" t="s">
        <v>278</v>
      </c>
      <c r="C38" s="773"/>
      <c r="D38" s="773"/>
      <c r="E38" s="773"/>
      <c r="F38" s="773"/>
      <c r="G38" s="773"/>
      <c r="H38" s="527"/>
    </row>
    <row r="39" spans="1:12" ht="47.25" customHeight="1" x14ac:dyDescent="0.2">
      <c r="A39" s="500"/>
      <c r="B39" s="772" t="s">
        <v>279</v>
      </c>
      <c r="C39" s="773"/>
      <c r="D39" s="773"/>
      <c r="E39" s="773"/>
      <c r="F39" s="773"/>
      <c r="G39" s="773"/>
      <c r="H39" s="527"/>
    </row>
    <row r="40" spans="1:12" ht="47.25" customHeight="1" x14ac:dyDescent="0.2">
      <c r="A40" s="500"/>
      <c r="B40" s="772" t="s">
        <v>280</v>
      </c>
      <c r="C40" s="773"/>
      <c r="D40" s="773"/>
      <c r="E40" s="773"/>
      <c r="F40" s="773"/>
      <c r="G40" s="773"/>
      <c r="H40" s="527"/>
    </row>
    <row r="41" spans="1:12" ht="47.25" customHeight="1" x14ac:dyDescent="0.2">
      <c r="A41" s="500"/>
      <c r="B41" s="774" t="s">
        <v>281</v>
      </c>
      <c r="C41" s="775"/>
      <c r="D41" s="775"/>
      <c r="E41" s="775"/>
      <c r="F41" s="775"/>
      <c r="G41" s="775"/>
      <c r="H41" s="527"/>
    </row>
    <row r="42" spans="1:12" ht="47.25" customHeight="1" x14ac:dyDescent="0.2">
      <c r="A42" s="500"/>
      <c r="B42" s="772" t="s">
        <v>284</v>
      </c>
      <c r="C42" s="773"/>
      <c r="D42" s="773"/>
      <c r="E42" s="773"/>
      <c r="F42" s="773"/>
      <c r="G42" s="773"/>
      <c r="H42" s="527"/>
    </row>
    <row r="43" spans="1:12" ht="47.25" customHeight="1" x14ac:dyDescent="0.2">
      <c r="A43" s="500"/>
      <c r="B43" s="772" t="s">
        <v>282</v>
      </c>
      <c r="C43" s="773"/>
      <c r="D43" s="773"/>
      <c r="E43" s="773"/>
      <c r="F43" s="773"/>
      <c r="G43" s="773"/>
      <c r="H43" s="527"/>
    </row>
    <row r="44" spans="1:12" ht="7.5" customHeight="1" x14ac:dyDescent="0.2">
      <c r="A44" s="500"/>
      <c r="B44" s="500"/>
      <c r="C44" s="500"/>
      <c r="D44" s="500"/>
      <c r="E44" s="500"/>
      <c r="F44" s="500"/>
      <c r="G44" s="500"/>
      <c r="H44" s="500"/>
    </row>
    <row r="45" spans="1:12" ht="32.25" customHeight="1" x14ac:dyDescent="0.25">
      <c r="A45" s="763" t="s">
        <v>468</v>
      </c>
      <c r="B45" s="763"/>
      <c r="C45" s="763"/>
      <c r="D45" s="763"/>
      <c r="E45" s="763"/>
      <c r="F45" s="763"/>
      <c r="G45" s="763"/>
      <c r="H45" s="763"/>
    </row>
    <row r="46" spans="1:12" ht="15" hidden="1" x14ac:dyDescent="0.25">
      <c r="A46" s="500"/>
      <c r="B46" s="502" t="s">
        <v>273</v>
      </c>
      <c r="C46" s="503" t="s">
        <v>274</v>
      </c>
      <c r="D46" s="502" t="s">
        <v>275</v>
      </c>
      <c r="E46" s="764" t="s">
        <v>25</v>
      </c>
      <c r="F46" s="764"/>
      <c r="G46" s="502" t="s">
        <v>276</v>
      </c>
      <c r="H46" s="500"/>
    </row>
    <row r="47" spans="1:12" ht="15" hidden="1" x14ac:dyDescent="0.2">
      <c r="A47" s="500"/>
      <c r="B47" s="504"/>
      <c r="C47" s="511"/>
      <c r="D47" s="579"/>
      <c r="E47" s="778"/>
      <c r="F47" s="778"/>
      <c r="G47" s="506"/>
      <c r="H47" s="500"/>
    </row>
    <row r="48" spans="1:12" ht="15" hidden="1" x14ac:dyDescent="0.2">
      <c r="A48" s="500"/>
      <c r="B48" s="504"/>
      <c r="C48" s="511"/>
      <c r="D48" s="505"/>
      <c r="E48" s="778"/>
      <c r="F48" s="778"/>
      <c r="G48" s="507"/>
      <c r="H48" s="500"/>
    </row>
    <row r="49" spans="1:8" ht="15" hidden="1" x14ac:dyDescent="0.2">
      <c r="A49" s="512"/>
      <c r="B49" s="504"/>
      <c r="C49" s="511"/>
      <c r="D49" s="505"/>
      <c r="E49" s="778"/>
      <c r="F49" s="778"/>
      <c r="G49" s="507"/>
      <c r="H49" s="512"/>
    </row>
    <row r="50" spans="1:8" ht="15" hidden="1" x14ac:dyDescent="0.2">
      <c r="A50" s="567"/>
      <c r="B50" s="570"/>
      <c r="C50" s="571"/>
      <c r="D50" s="572"/>
      <c r="E50" s="573"/>
      <c r="F50" s="509" t="s">
        <v>277</v>
      </c>
      <c r="G50" s="580">
        <f>SUM(G47:G49)</f>
        <v>0</v>
      </c>
      <c r="H50" s="567"/>
    </row>
    <row r="51" spans="1:8" ht="15" hidden="1" x14ac:dyDescent="0.2">
      <c r="A51" s="567"/>
      <c r="B51" s="570"/>
      <c r="C51" s="571"/>
      <c r="D51" s="572"/>
      <c r="E51" s="573"/>
      <c r="F51" s="509"/>
      <c r="G51" s="578"/>
      <c r="H51" s="567"/>
    </row>
    <row r="52" spans="1:8" ht="15" hidden="1" x14ac:dyDescent="0.2">
      <c r="A52" s="567"/>
      <c r="B52" s="574" t="s">
        <v>303</v>
      </c>
      <c r="C52" s="575" t="s">
        <v>306</v>
      </c>
      <c r="D52" s="576" t="s">
        <v>305</v>
      </c>
      <c r="E52" s="779" t="s">
        <v>25</v>
      </c>
      <c r="F52" s="780"/>
      <c r="G52" s="577" t="s">
        <v>304</v>
      </c>
      <c r="H52" s="567"/>
    </row>
    <row r="53" spans="1:8" ht="15" hidden="1" x14ac:dyDescent="0.2">
      <c r="A53" s="567"/>
      <c r="B53" s="504"/>
      <c r="C53" s="581"/>
      <c r="D53" s="505"/>
      <c r="E53" s="778"/>
      <c r="F53" s="778"/>
      <c r="G53" s="507"/>
      <c r="H53" s="567"/>
    </row>
    <row r="54" spans="1:8" ht="15" hidden="1" x14ac:dyDescent="0.2">
      <c r="A54" s="567"/>
      <c r="B54" s="504"/>
      <c r="C54" s="581"/>
      <c r="D54" s="505"/>
      <c r="E54" s="778"/>
      <c r="F54" s="778"/>
      <c r="G54" s="507"/>
      <c r="H54" s="567"/>
    </row>
    <row r="55" spans="1:8" ht="15" hidden="1" x14ac:dyDescent="0.2">
      <c r="A55" s="500"/>
      <c r="B55" s="508"/>
      <c r="C55" s="508"/>
      <c r="D55" s="508"/>
      <c r="E55" s="508"/>
      <c r="F55" s="509" t="s">
        <v>277</v>
      </c>
      <c r="G55" s="510">
        <f>G53+G54</f>
        <v>0</v>
      </c>
      <c r="H55" s="500"/>
    </row>
    <row r="56" spans="1:8" ht="15" hidden="1" x14ac:dyDescent="0.25">
      <c r="A56" s="652"/>
      <c r="B56" s="653" t="s">
        <v>273</v>
      </c>
      <c r="C56" s="503" t="s">
        <v>274</v>
      </c>
      <c r="D56" s="653" t="s">
        <v>275</v>
      </c>
      <c r="E56" s="764" t="s">
        <v>25</v>
      </c>
      <c r="F56" s="764"/>
      <c r="G56" s="653" t="s">
        <v>276</v>
      </c>
      <c r="H56" s="652"/>
    </row>
    <row r="57" spans="1:8" ht="30" hidden="1" customHeight="1" x14ac:dyDescent="0.2">
      <c r="A57" s="652"/>
      <c r="B57" s="504"/>
      <c r="C57" s="511"/>
      <c r="D57" s="660"/>
      <c r="E57" s="778"/>
      <c r="F57" s="778"/>
      <c r="G57" s="506"/>
      <c r="H57" s="652"/>
    </row>
    <row r="58" spans="1:8" ht="30" hidden="1" customHeight="1" x14ac:dyDescent="0.2">
      <c r="A58" s="652"/>
      <c r="B58" s="504"/>
      <c r="C58" s="511"/>
      <c r="D58" s="660"/>
      <c r="E58" s="778"/>
      <c r="F58" s="778"/>
      <c r="G58" s="506"/>
      <c r="H58" s="652"/>
    </row>
    <row r="59" spans="1:8" ht="30" hidden="1" customHeight="1" x14ac:dyDescent="0.2">
      <c r="A59" s="652"/>
      <c r="B59" s="504"/>
      <c r="C59" s="511"/>
      <c r="D59" s="660"/>
      <c r="E59" s="778"/>
      <c r="F59" s="778"/>
      <c r="G59" s="506"/>
      <c r="H59" s="652"/>
    </row>
    <row r="60" spans="1:8" ht="30" hidden="1" customHeight="1" x14ac:dyDescent="0.2">
      <c r="A60" s="677"/>
      <c r="B60" s="504"/>
      <c r="C60" s="511"/>
      <c r="D60" s="579"/>
      <c r="E60" s="778"/>
      <c r="F60" s="778"/>
      <c r="G60" s="506"/>
      <c r="H60" s="698"/>
    </row>
    <row r="61" spans="1:8" ht="30" hidden="1" customHeight="1" x14ac:dyDescent="0.2">
      <c r="A61" s="677"/>
      <c r="B61" s="504"/>
      <c r="C61" s="511"/>
      <c r="D61" s="579"/>
      <c r="E61" s="778"/>
      <c r="F61" s="778"/>
      <c r="G61" s="506"/>
      <c r="H61" s="677"/>
    </row>
    <row r="62" spans="1:8" ht="30" hidden="1" customHeight="1" x14ac:dyDescent="0.2">
      <c r="A62" s="677"/>
      <c r="B62" s="504"/>
      <c r="C62" s="511"/>
      <c r="D62" s="660"/>
      <c r="E62" s="778"/>
      <c r="F62" s="778"/>
      <c r="G62" s="506"/>
      <c r="H62" s="677"/>
    </row>
    <row r="63" spans="1:8" ht="30" hidden="1" customHeight="1" x14ac:dyDescent="0.2">
      <c r="A63" s="652"/>
      <c r="B63" s="504"/>
      <c r="C63" s="511"/>
      <c r="D63" s="579"/>
      <c r="E63" s="778"/>
      <c r="F63" s="778"/>
      <c r="G63" s="506"/>
      <c r="H63" s="652"/>
    </row>
    <row r="64" spans="1:8" ht="15" hidden="1" x14ac:dyDescent="0.2">
      <c r="A64" s="652"/>
      <c r="B64" s="570"/>
      <c r="C64" s="571"/>
      <c r="D64" s="572"/>
      <c r="E64" s="573"/>
      <c r="F64" s="509" t="s">
        <v>277</v>
      </c>
      <c r="G64" s="580">
        <f>SUM(G57:G63)</f>
        <v>0</v>
      </c>
      <c r="H64" s="652"/>
    </row>
    <row r="65" spans="1:23" ht="15" hidden="1" x14ac:dyDescent="0.2">
      <c r="A65" s="652"/>
      <c r="B65" s="570"/>
      <c r="C65" s="571"/>
      <c r="D65" s="572"/>
      <c r="E65" s="573"/>
      <c r="F65" s="509"/>
      <c r="G65" s="578"/>
      <c r="H65" s="652"/>
    </row>
    <row r="66" spans="1:23" ht="15" hidden="1" x14ac:dyDescent="0.2">
      <c r="A66" s="652"/>
      <c r="B66" s="574" t="s">
        <v>303</v>
      </c>
      <c r="C66" s="575" t="s">
        <v>306</v>
      </c>
      <c r="D66" s="576" t="s">
        <v>305</v>
      </c>
      <c r="E66" s="779" t="s">
        <v>25</v>
      </c>
      <c r="F66" s="780"/>
      <c r="G66" s="577" t="s">
        <v>304</v>
      </c>
      <c r="H66" s="652"/>
    </row>
    <row r="67" spans="1:23" ht="15" hidden="1" x14ac:dyDescent="0.2">
      <c r="A67" s="652"/>
      <c r="B67" s="504"/>
      <c r="C67" s="581"/>
      <c r="D67" s="505"/>
      <c r="E67" s="778"/>
      <c r="F67" s="778"/>
      <c r="G67" s="507"/>
      <c r="H67" s="652"/>
    </row>
    <row r="68" spans="1:23" ht="15" hidden="1" x14ac:dyDescent="0.2">
      <c r="A68" s="652"/>
      <c r="B68" s="504"/>
      <c r="C68" s="581"/>
      <c r="D68" s="505"/>
      <c r="E68" s="778"/>
      <c r="F68" s="778"/>
      <c r="G68" s="507"/>
      <c r="H68" s="652"/>
    </row>
    <row r="69" spans="1:23" ht="15" hidden="1" x14ac:dyDescent="0.2">
      <c r="A69" s="652"/>
      <c r="B69" s="508"/>
      <c r="C69" s="508"/>
      <c r="D69" s="508"/>
      <c r="E69" s="508"/>
      <c r="F69" s="509" t="s">
        <v>277</v>
      </c>
      <c r="G69" s="510">
        <f>G67+G68</f>
        <v>0</v>
      </c>
      <c r="H69" s="652"/>
    </row>
    <row r="70" spans="1:23" ht="11.25" customHeight="1" x14ac:dyDescent="0.2">
      <c r="A70" s="500"/>
      <c r="B70" s="500"/>
      <c r="C70" s="500"/>
      <c r="D70" s="500"/>
      <c r="E70" s="500"/>
      <c r="F70" s="500"/>
      <c r="G70" s="500"/>
      <c r="H70" s="500"/>
    </row>
    <row r="71" spans="1:23" ht="52.5" customHeight="1" x14ac:dyDescent="0.2">
      <c r="A71" s="758" t="s">
        <v>463</v>
      </c>
      <c r="B71" s="758"/>
      <c r="C71" s="758"/>
      <c r="D71" s="758"/>
      <c r="E71" s="758"/>
      <c r="F71" s="758"/>
      <c r="G71" s="758"/>
      <c r="H71" s="758"/>
    </row>
    <row r="72" spans="1:23" ht="15.75" hidden="1" customHeight="1" x14ac:dyDescent="0.2">
      <c r="A72" s="463"/>
      <c r="C72" s="776" t="s">
        <v>301</v>
      </c>
      <c r="D72" s="776"/>
      <c r="E72" s="514">
        <v>1823.85</v>
      </c>
      <c r="F72" s="777" t="s">
        <v>307</v>
      </c>
      <c r="G72" s="777"/>
      <c r="H72" s="463"/>
    </row>
    <row r="73" spans="1:23" ht="15.75" hidden="1" customHeight="1" x14ac:dyDescent="0.2">
      <c r="A73" s="463"/>
      <c r="C73" s="776"/>
      <c r="D73" s="776"/>
      <c r="E73" s="514"/>
      <c r="F73" s="777"/>
      <c r="G73" s="777"/>
      <c r="H73" s="463"/>
    </row>
    <row r="74" spans="1:23" ht="15.75" hidden="1" customHeight="1" x14ac:dyDescent="0.2">
      <c r="A74" s="463"/>
      <c r="C74" s="776"/>
      <c r="D74" s="776"/>
      <c r="E74" s="514"/>
      <c r="F74" s="777"/>
      <c r="G74" s="777"/>
      <c r="H74" s="463"/>
    </row>
    <row r="75" spans="1:23" ht="15.75" hidden="1" customHeight="1" x14ac:dyDescent="0.2">
      <c r="A75" s="463"/>
      <c r="C75" s="776" t="s">
        <v>257</v>
      </c>
      <c r="D75" s="776"/>
      <c r="E75" s="514">
        <f>1689.92+2978.07</f>
        <v>4667.99</v>
      </c>
      <c r="F75" s="777" t="s">
        <v>308</v>
      </c>
      <c r="G75" s="777"/>
      <c r="H75" s="463"/>
    </row>
    <row r="76" spans="1:23" ht="16.5" hidden="1" thickBot="1" x14ac:dyDescent="0.25">
      <c r="A76" s="463"/>
      <c r="B76" s="471"/>
      <c r="C76" s="767" t="s">
        <v>232</v>
      </c>
      <c r="D76" s="767"/>
      <c r="E76" s="468">
        <f>SUM(E72:E75)</f>
        <v>6491.84</v>
      </c>
      <c r="F76" s="471"/>
      <c r="G76" s="471"/>
      <c r="H76" s="463"/>
    </row>
    <row r="77" spans="1:23" ht="9.75" customHeight="1" x14ac:dyDescent="0.2">
      <c r="A77" s="463"/>
      <c r="B77" s="568"/>
      <c r="C77" s="569"/>
      <c r="D77" s="569"/>
      <c r="E77" s="582"/>
      <c r="F77" s="568"/>
      <c r="G77" s="568"/>
      <c r="H77" s="463"/>
    </row>
    <row r="78" spans="1:23" ht="33" customHeight="1" x14ac:dyDescent="0.25">
      <c r="A78" s="763" t="s">
        <v>365</v>
      </c>
      <c r="B78" s="763"/>
      <c r="C78" s="763"/>
      <c r="D78" s="763"/>
      <c r="E78" s="763"/>
      <c r="F78" s="763"/>
      <c r="G78" s="763"/>
      <c r="H78" s="763"/>
    </row>
    <row r="79" spans="1:23" ht="15.75" x14ac:dyDescent="0.2">
      <c r="A79" s="463"/>
      <c r="B79" s="568"/>
      <c r="C79" s="569"/>
      <c r="D79" s="569"/>
      <c r="E79" s="582"/>
      <c r="F79" s="568"/>
      <c r="G79" s="568"/>
      <c r="H79" s="463"/>
    </row>
    <row r="80" spans="1:23" ht="97.5" customHeight="1" x14ac:dyDescent="0.2">
      <c r="A80" s="758" t="s">
        <v>464</v>
      </c>
      <c r="B80" s="758"/>
      <c r="C80" s="758"/>
      <c r="D80" s="758"/>
      <c r="E80" s="758"/>
      <c r="F80" s="758"/>
      <c r="G80" s="758"/>
      <c r="H80" s="758"/>
      <c r="V80" s="499"/>
      <c r="W80" s="498"/>
    </row>
    <row r="81" spans="1:23" ht="47.25" x14ac:dyDescent="0.2">
      <c r="A81" s="470"/>
      <c r="B81" s="770" t="s">
        <v>223</v>
      </c>
      <c r="C81" s="770"/>
      <c r="D81" s="473" t="s">
        <v>224</v>
      </c>
      <c r="E81" s="464" t="s">
        <v>225</v>
      </c>
      <c r="F81" s="473" t="s">
        <v>226</v>
      </c>
      <c r="G81" s="473" t="s">
        <v>465</v>
      </c>
      <c r="H81" s="470"/>
      <c r="V81" s="499"/>
      <c r="W81" s="498"/>
    </row>
    <row r="82" spans="1:23" ht="15.75" customHeight="1" x14ac:dyDescent="0.2">
      <c r="A82" s="470"/>
      <c r="B82" s="769" t="s">
        <v>12</v>
      </c>
      <c r="C82" s="769"/>
      <c r="D82" s="769"/>
      <c r="E82" s="472"/>
      <c r="F82" s="472"/>
      <c r="G82" s="472"/>
      <c r="H82" s="470"/>
      <c r="V82" s="499"/>
      <c r="W82" s="498"/>
    </row>
    <row r="83" spans="1:23" ht="15.75" customHeight="1" x14ac:dyDescent="0.2">
      <c r="A83" s="470"/>
      <c r="B83" s="757" t="s">
        <v>258</v>
      </c>
      <c r="C83" s="757"/>
      <c r="D83" s="472">
        <v>4818.43</v>
      </c>
      <c r="E83" s="472"/>
      <c r="F83" s="472">
        <f>-'Feb''19 Revenues &amp; Expenses'!H33</f>
        <v>0</v>
      </c>
      <c r="G83" s="472">
        <f>'Feb''19 Revenues &amp; Expenses'!K33+'Feb''19 Revenues &amp; Expenses'!K34</f>
        <v>3811.6600000000003</v>
      </c>
      <c r="H83" s="470"/>
      <c r="V83" s="499"/>
      <c r="W83" s="498"/>
    </row>
    <row r="84" spans="1:23" ht="15.75" customHeight="1" x14ac:dyDescent="0.2">
      <c r="A84" s="470"/>
      <c r="B84" s="757" t="s">
        <v>259</v>
      </c>
      <c r="C84" s="757"/>
      <c r="D84" s="472">
        <v>0</v>
      </c>
      <c r="E84" s="472">
        <v>25000</v>
      </c>
      <c r="F84" s="472">
        <f>G84-E84-D84</f>
        <v>-4189.0299999999988</v>
      </c>
      <c r="G84" s="472">
        <f>'Feb''19 Revenues &amp; Expenses'!K32</f>
        <v>20810.97</v>
      </c>
      <c r="H84" s="470"/>
      <c r="V84" s="499"/>
      <c r="W84" s="498"/>
    </row>
    <row r="85" spans="1:23" ht="15.75" customHeight="1" x14ac:dyDescent="0.2">
      <c r="A85" s="470"/>
      <c r="B85" s="769" t="s">
        <v>18</v>
      </c>
      <c r="C85" s="769"/>
      <c r="D85" s="472"/>
      <c r="E85" s="472"/>
      <c r="F85" s="472"/>
      <c r="G85" s="472"/>
      <c r="H85" s="470"/>
      <c r="V85" s="499"/>
    </row>
    <row r="86" spans="1:23" ht="15.75" customHeight="1" x14ac:dyDescent="0.2">
      <c r="A86" s="470"/>
      <c r="B86" s="757" t="s">
        <v>258</v>
      </c>
      <c r="C86" s="757"/>
      <c r="D86" s="472">
        <f>'Feb''19 Revenues &amp; Expenses'!G35</f>
        <v>5772.78</v>
      </c>
      <c r="E86" s="472"/>
      <c r="F86" s="472">
        <f>-D86-E86+G86</f>
        <v>-3533.93</v>
      </c>
      <c r="G86" s="472">
        <f>'Feb''19 Revenues &amp; Expenses'!K35</f>
        <v>2238.85</v>
      </c>
      <c r="H86" s="470"/>
      <c r="V86" s="499"/>
    </row>
    <row r="87" spans="1:23" ht="15.75" customHeight="1" x14ac:dyDescent="0.2">
      <c r="A87" s="470"/>
      <c r="B87" s="757" t="s">
        <v>466</v>
      </c>
      <c r="C87" s="757"/>
      <c r="D87" s="748">
        <v>0</v>
      </c>
      <c r="E87" s="748">
        <v>50000</v>
      </c>
      <c r="F87" s="748"/>
      <c r="G87" s="748">
        <f>'Feb''19 Revenues &amp; Expenses'!K36</f>
        <v>50000</v>
      </c>
      <c r="H87" s="470"/>
      <c r="V87" s="499"/>
    </row>
    <row r="88" spans="1:23" ht="15.75" customHeight="1" x14ac:dyDescent="0.2">
      <c r="A88" s="470"/>
      <c r="B88" s="769" t="s">
        <v>260</v>
      </c>
      <c r="C88" s="769"/>
      <c r="D88" s="472"/>
      <c r="E88" s="472"/>
      <c r="F88" s="472"/>
      <c r="G88" s="472"/>
      <c r="H88" s="470"/>
      <c r="V88" s="499"/>
    </row>
    <row r="89" spans="1:23" ht="15.75" customHeight="1" x14ac:dyDescent="0.2">
      <c r="A89" s="470"/>
      <c r="B89" s="757" t="s">
        <v>261</v>
      </c>
      <c r="C89" s="757"/>
      <c r="D89" s="472">
        <v>35174.620000000003</v>
      </c>
      <c r="E89" s="670"/>
      <c r="F89" s="670">
        <f>-D89-E89+G89</f>
        <v>-22852.79</v>
      </c>
      <c r="G89" s="472">
        <f>'Feb''19 Revenues &amp; Expenses'!K11</f>
        <v>12321.83</v>
      </c>
      <c r="H89" s="470"/>
      <c r="V89" s="499"/>
    </row>
    <row r="90" spans="1:23" ht="7.5" customHeight="1" x14ac:dyDescent="0.2">
      <c r="A90" s="470"/>
      <c r="B90" s="771"/>
      <c r="C90" s="771"/>
      <c r="D90" s="472"/>
      <c r="E90" s="472"/>
      <c r="F90" s="472"/>
      <c r="G90" s="472"/>
      <c r="H90" s="470"/>
      <c r="V90" s="499"/>
    </row>
    <row r="91" spans="1:23" ht="15.75" customHeight="1" thickBot="1" x14ac:dyDescent="0.25">
      <c r="A91" s="470"/>
      <c r="B91" s="768" t="s">
        <v>262</v>
      </c>
      <c r="C91" s="768"/>
      <c r="D91" s="465">
        <f>SUM(D82:D90)</f>
        <v>45765.83</v>
      </c>
      <c r="E91" s="465">
        <f>SUM(E82:E90)</f>
        <v>75000</v>
      </c>
      <c r="F91" s="465">
        <f>SUM(F82:F90)</f>
        <v>-30575.75</v>
      </c>
      <c r="G91" s="465">
        <f>SUM(G82:G90)</f>
        <v>89183.31</v>
      </c>
      <c r="H91" s="470"/>
      <c r="V91" s="499"/>
    </row>
    <row r="92" spans="1:23" ht="11.25" customHeight="1" thickTop="1" x14ac:dyDescent="0.2">
      <c r="A92" s="470"/>
      <c r="B92" s="496"/>
      <c r="C92" s="496"/>
      <c r="D92" s="497"/>
      <c r="E92" s="497"/>
      <c r="F92" s="497"/>
      <c r="G92" s="497"/>
      <c r="H92" s="470"/>
      <c r="V92" s="499"/>
    </row>
    <row r="93" spans="1:23" ht="67.5" customHeight="1" x14ac:dyDescent="0.2">
      <c r="A93" s="758" t="s">
        <v>467</v>
      </c>
      <c r="B93" s="758"/>
      <c r="C93" s="758"/>
      <c r="D93" s="758"/>
      <c r="E93" s="758"/>
      <c r="F93" s="758"/>
      <c r="G93" s="758"/>
      <c r="H93" s="758"/>
    </row>
    <row r="94" spans="1:23" ht="47.25" x14ac:dyDescent="0.2">
      <c r="A94" s="470"/>
      <c r="B94" s="770" t="s">
        <v>223</v>
      </c>
      <c r="C94" s="770"/>
      <c r="D94" s="473" t="s">
        <v>224</v>
      </c>
      <c r="E94" s="464" t="s">
        <v>225</v>
      </c>
      <c r="F94" s="473" t="s">
        <v>226</v>
      </c>
      <c r="G94" s="749" t="s">
        <v>465</v>
      </c>
      <c r="H94" s="470"/>
    </row>
    <row r="95" spans="1:23" ht="15.75" customHeight="1" x14ac:dyDescent="0.2">
      <c r="A95" s="470"/>
      <c r="B95" s="765" t="s">
        <v>227</v>
      </c>
      <c r="C95" s="765"/>
      <c r="D95" s="472">
        <v>0</v>
      </c>
      <c r="E95" s="472">
        <v>51000</v>
      </c>
      <c r="F95" s="472">
        <f>-'Feb''19 Revenues &amp; Expenses'!J47</f>
        <v>-8500</v>
      </c>
      <c r="G95" s="472">
        <f t="shared" ref="G95:G101" si="2">D95+E95+F95</f>
        <v>42500</v>
      </c>
      <c r="H95" s="470"/>
    </row>
    <row r="96" spans="1:23" ht="15.75" customHeight="1" x14ac:dyDescent="0.2">
      <c r="A96" s="470"/>
      <c r="B96" s="765" t="s">
        <v>283</v>
      </c>
      <c r="C96" s="765"/>
      <c r="D96" s="472">
        <v>0</v>
      </c>
      <c r="E96" s="472">
        <v>19000</v>
      </c>
      <c r="F96" s="472">
        <f>-'Feb''19 Revenues &amp; Expenses'!J48</f>
        <v>-3166.6666666666665</v>
      </c>
      <c r="G96" s="472">
        <f t="shared" si="2"/>
        <v>15833.333333333334</v>
      </c>
      <c r="H96" s="470"/>
    </row>
    <row r="97" spans="1:8" ht="15.75" customHeight="1" x14ac:dyDescent="0.2">
      <c r="A97" s="470"/>
      <c r="B97" s="765" t="s">
        <v>228</v>
      </c>
      <c r="C97" s="765"/>
      <c r="D97" s="472">
        <v>19828.46</v>
      </c>
      <c r="E97" s="472">
        <f>'Feb''19 Revenues &amp; Expenses'!H51</f>
        <v>0</v>
      </c>
      <c r="F97" s="472">
        <f>-'Feb''19 Revenues &amp; Expenses'!J51</f>
        <v>-1953.71</v>
      </c>
      <c r="G97" s="472">
        <f t="shared" si="2"/>
        <v>17874.75</v>
      </c>
      <c r="H97" s="470"/>
    </row>
    <row r="98" spans="1:8" ht="15.75" customHeight="1" x14ac:dyDescent="0.2">
      <c r="A98" s="470"/>
      <c r="B98" s="765" t="s">
        <v>229</v>
      </c>
      <c r="C98" s="765"/>
      <c r="D98" s="472">
        <v>6830.65</v>
      </c>
      <c r="E98" s="472">
        <f>'Feb''19 Revenues &amp; Expenses'!H52</f>
        <v>0</v>
      </c>
      <c r="F98" s="472">
        <f>-'Feb''19 Revenues &amp; Expenses'!J52</f>
        <v>-0.03</v>
      </c>
      <c r="G98" s="472">
        <f t="shared" si="2"/>
        <v>6830.62</v>
      </c>
      <c r="H98" s="470"/>
    </row>
    <row r="99" spans="1:8" ht="15.75" customHeight="1" x14ac:dyDescent="0.2">
      <c r="A99" s="470"/>
      <c r="B99" s="765" t="s">
        <v>342</v>
      </c>
      <c r="C99" s="765"/>
      <c r="D99" s="472">
        <v>4223.7</v>
      </c>
      <c r="E99" s="472"/>
      <c r="F99" s="472">
        <f>-'Feb''19 Revenues &amp; Expenses'!H37</f>
        <v>-1075</v>
      </c>
      <c r="G99" s="472">
        <f t="shared" si="2"/>
        <v>3148.7</v>
      </c>
      <c r="H99" s="470"/>
    </row>
    <row r="100" spans="1:8" ht="15.75" x14ac:dyDescent="0.2">
      <c r="A100" s="470"/>
      <c r="B100" s="765" t="s">
        <v>230</v>
      </c>
      <c r="C100" s="765"/>
      <c r="D100" s="472">
        <v>1100.82</v>
      </c>
      <c r="E100" s="472"/>
      <c r="F100" s="472">
        <f>-'Feb''19 Revenues &amp; Expenses'!J50</f>
        <v>0</v>
      </c>
      <c r="G100" s="472">
        <f t="shared" si="2"/>
        <v>1100.82</v>
      </c>
      <c r="H100" s="470"/>
    </row>
    <row r="101" spans="1:8" ht="15.75" x14ac:dyDescent="0.2">
      <c r="A101" s="470"/>
      <c r="B101" s="765"/>
      <c r="C101" s="765"/>
      <c r="D101" s="472">
        <v>0</v>
      </c>
      <c r="E101" s="472"/>
      <c r="F101" s="472">
        <v>0</v>
      </c>
      <c r="G101" s="472">
        <f t="shared" si="2"/>
        <v>0</v>
      </c>
      <c r="H101" s="470"/>
    </row>
    <row r="102" spans="1:8" ht="15.75" customHeight="1" thickBot="1" x14ac:dyDescent="0.25">
      <c r="A102" s="470"/>
      <c r="B102" s="766" t="s">
        <v>231</v>
      </c>
      <c r="C102" s="766"/>
      <c r="D102" s="465">
        <f>SUM(D95:D101)</f>
        <v>31983.63</v>
      </c>
      <c r="E102" s="465">
        <f>SUM(E95:E101)</f>
        <v>70000</v>
      </c>
      <c r="F102" s="465">
        <f>SUM(F95:F101)</f>
        <v>-14695.406666666668</v>
      </c>
      <c r="G102" s="465">
        <f>SUM(G95:G101)</f>
        <v>87288.223333333342</v>
      </c>
      <c r="H102" s="470"/>
    </row>
    <row r="103" spans="1:8" ht="16.5" thickTop="1" x14ac:dyDescent="0.2">
      <c r="A103" s="463"/>
      <c r="B103" s="471"/>
      <c r="C103" s="471"/>
      <c r="D103" s="471"/>
      <c r="E103" s="471"/>
      <c r="F103" s="471"/>
      <c r="G103" s="471"/>
      <c r="H103" s="463"/>
    </row>
    <row r="104" spans="1:8" ht="15.75" customHeight="1" x14ac:dyDescent="0.2"/>
    <row r="105" spans="1:8" ht="6.75" customHeight="1" x14ac:dyDescent="0.2"/>
    <row r="106" spans="1:8" ht="77.25" customHeight="1" x14ac:dyDescent="0.2">
      <c r="A106" s="758" t="s">
        <v>469</v>
      </c>
      <c r="B106" s="758"/>
      <c r="C106" s="758"/>
      <c r="D106" s="758"/>
      <c r="E106" s="758"/>
      <c r="F106" s="758"/>
      <c r="G106" s="758"/>
      <c r="H106" s="758"/>
    </row>
  </sheetData>
  <mergeCells count="76">
    <mergeCell ref="E52:F52"/>
    <mergeCell ref="A71:H71"/>
    <mergeCell ref="C72:D72"/>
    <mergeCell ref="F72:G72"/>
    <mergeCell ref="E67:F67"/>
    <mergeCell ref="E68:F68"/>
    <mergeCell ref="E53:F53"/>
    <mergeCell ref="E54:F54"/>
    <mergeCell ref="E66:F66"/>
    <mergeCell ref="E63:F63"/>
    <mergeCell ref="E59:F59"/>
    <mergeCell ref="E57:F57"/>
    <mergeCell ref="E56:F56"/>
    <mergeCell ref="E58:F58"/>
    <mergeCell ref="E60:F60"/>
    <mergeCell ref="E61:F61"/>
    <mergeCell ref="E62:F62"/>
    <mergeCell ref="C13:D13"/>
    <mergeCell ref="C14:D14"/>
    <mergeCell ref="C15:D15"/>
    <mergeCell ref="C17:D17"/>
    <mergeCell ref="B18:D18"/>
    <mergeCell ref="C16:D16"/>
    <mergeCell ref="B86:C86"/>
    <mergeCell ref="B38:G38"/>
    <mergeCell ref="B39:G39"/>
    <mergeCell ref="B40:G40"/>
    <mergeCell ref="B41:G41"/>
    <mergeCell ref="C75:D75"/>
    <mergeCell ref="F75:G75"/>
    <mergeCell ref="C73:D73"/>
    <mergeCell ref="F73:G73"/>
    <mergeCell ref="C74:D74"/>
    <mergeCell ref="F74:G74"/>
    <mergeCell ref="B42:G42"/>
    <mergeCell ref="B43:G43"/>
    <mergeCell ref="E48:F48"/>
    <mergeCell ref="E47:F47"/>
    <mergeCell ref="E49:F49"/>
    <mergeCell ref="B95:C95"/>
    <mergeCell ref="B96:C96"/>
    <mergeCell ref="C76:D76"/>
    <mergeCell ref="B97:C97"/>
    <mergeCell ref="B89:C89"/>
    <mergeCell ref="B91:C91"/>
    <mergeCell ref="B88:C88"/>
    <mergeCell ref="A80:H80"/>
    <mergeCell ref="B81:C81"/>
    <mergeCell ref="B83:C83"/>
    <mergeCell ref="B84:C84"/>
    <mergeCell ref="B94:C94"/>
    <mergeCell ref="B82:D82"/>
    <mergeCell ref="A93:H93"/>
    <mergeCell ref="B90:C90"/>
    <mergeCell ref="B85:C85"/>
    <mergeCell ref="B98:C98"/>
    <mergeCell ref="B99:C99"/>
    <mergeCell ref="B101:C101"/>
    <mergeCell ref="B102:C102"/>
    <mergeCell ref="B100:C100"/>
    <mergeCell ref="B87:C87"/>
    <mergeCell ref="A106:H106"/>
    <mergeCell ref="A1:H1"/>
    <mergeCell ref="A2:H2"/>
    <mergeCell ref="A3:H3"/>
    <mergeCell ref="C11:D11"/>
    <mergeCell ref="C12:D12"/>
    <mergeCell ref="B10:C10"/>
    <mergeCell ref="A4:H4"/>
    <mergeCell ref="A5:H5"/>
    <mergeCell ref="A9:H9"/>
    <mergeCell ref="A78:H78"/>
    <mergeCell ref="A23:H23"/>
    <mergeCell ref="A25:H25"/>
    <mergeCell ref="E46:F46"/>
    <mergeCell ref="A45:H45"/>
  </mergeCells>
  <pageMargins left="0.75" right="0.25" top="0.75" bottom="0.75" header="0.3" footer="0.3"/>
  <pageSetup scale="77" fitToHeight="4" orientation="portrait" r:id="rId1"/>
  <headerFooter>
    <oddFooter>&amp;CPage #&amp;P of &amp;N</oddFooter>
  </headerFooter>
  <rowBreaks count="2" manualBreakCount="2">
    <brk id="23" max="7" man="1"/>
    <brk id="70" max="7" man="1"/>
  </rowBreaks>
  <drawing r:id="rId2"/>
  <legacyDrawing r:id="rId3"/>
  <oleObjects>
    <mc:AlternateContent xmlns:mc="http://schemas.openxmlformats.org/markup-compatibility/2006">
      <mc:Choice Requires="x14">
        <oleObject progId="Acrobat Document" shapeId="1025" r:id="rId4">
          <objectPr defaultSize="0" autoPict="0" r:id="rId5">
            <anchor moveWithCells="1">
              <from>
                <xdr:col>1</xdr:col>
                <xdr:colOff>19050</xdr:colOff>
                <xdr:row>106</xdr:row>
                <xdr:rowOff>76200</xdr:rowOff>
              </from>
              <to>
                <xdr:col>6</xdr:col>
                <xdr:colOff>180975</xdr:colOff>
                <xdr:row>150</xdr:row>
                <xdr:rowOff>123825</xdr:rowOff>
              </to>
            </anchor>
          </objectPr>
        </oleObject>
      </mc:Choice>
      <mc:Fallback>
        <oleObject progId="Acrobat Documen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837"/>
  <sheetViews>
    <sheetView topLeftCell="A529" workbookViewId="0">
      <selection activeCell="G564" sqref="G564"/>
    </sheetView>
  </sheetViews>
  <sheetFormatPr defaultRowHeight="14.25" x14ac:dyDescent="0.2"/>
  <cols>
    <col min="1" max="1" width="22.875" style="553" customWidth="1"/>
    <col min="2" max="2" width="9" style="522"/>
    <col min="7" max="7" width="15" bestFit="1" customWidth="1"/>
    <col min="8" max="8" width="9.75" bestFit="1" customWidth="1"/>
    <col min="13" max="13" width="15.125" bestFit="1" customWidth="1"/>
  </cols>
  <sheetData>
    <row r="3" spans="1:2" ht="15" thickBot="1" x14ac:dyDescent="0.25">
      <c r="A3" s="550" t="s">
        <v>290</v>
      </c>
      <c r="B3" s="518" t="s">
        <v>291</v>
      </c>
    </row>
    <row r="4" spans="1:2" ht="15" thickTop="1" x14ac:dyDescent="0.2">
      <c r="A4" s="551">
        <v>42370</v>
      </c>
      <c r="B4" s="519">
        <v>316020.78000000003</v>
      </c>
    </row>
    <row r="5" spans="1:2" x14ac:dyDescent="0.2">
      <c r="A5" s="552">
        <v>42373</v>
      </c>
      <c r="B5" s="520">
        <v>315970.78000000003</v>
      </c>
    </row>
    <row r="6" spans="1:2" x14ac:dyDescent="0.2">
      <c r="A6" s="552">
        <v>42374</v>
      </c>
      <c r="B6" s="520">
        <v>320557.63</v>
      </c>
    </row>
    <row r="7" spans="1:2" x14ac:dyDescent="0.2">
      <c r="A7" s="552">
        <v>42375</v>
      </c>
      <c r="B7" s="520">
        <f>B6</f>
        <v>320557.63</v>
      </c>
    </row>
    <row r="8" spans="1:2" x14ac:dyDescent="0.2">
      <c r="A8" s="552">
        <v>42376</v>
      </c>
      <c r="B8" s="520">
        <v>323108.86</v>
      </c>
    </row>
    <row r="9" spans="1:2" x14ac:dyDescent="0.2">
      <c r="A9" s="552">
        <v>42377</v>
      </c>
      <c r="B9" s="520">
        <f>B8</f>
        <v>323108.86</v>
      </c>
    </row>
    <row r="10" spans="1:2" x14ac:dyDescent="0.2">
      <c r="A10" s="552">
        <v>42380</v>
      </c>
      <c r="B10" s="520">
        <v>323239.86</v>
      </c>
    </row>
    <row r="11" spans="1:2" x14ac:dyDescent="0.2">
      <c r="A11" s="552">
        <v>42381</v>
      </c>
      <c r="B11" s="520">
        <v>288792.71999999997</v>
      </c>
    </row>
    <row r="12" spans="1:2" x14ac:dyDescent="0.2">
      <c r="A12" s="552">
        <v>42382</v>
      </c>
      <c r="B12" s="520">
        <f>B11</f>
        <v>288792.71999999997</v>
      </c>
    </row>
    <row r="13" spans="1:2" x14ac:dyDescent="0.2">
      <c r="A13" s="552">
        <v>42383</v>
      </c>
      <c r="B13" s="520">
        <v>277881.3</v>
      </c>
    </row>
    <row r="14" spans="1:2" x14ac:dyDescent="0.2">
      <c r="A14" s="552">
        <v>42384</v>
      </c>
      <c r="B14" s="520">
        <v>293922.15000000002</v>
      </c>
    </row>
    <row r="15" spans="1:2" x14ac:dyDescent="0.2">
      <c r="A15" s="552">
        <v>42387</v>
      </c>
      <c r="B15" s="520">
        <f>B14</f>
        <v>293922.15000000002</v>
      </c>
    </row>
    <row r="16" spans="1:2" x14ac:dyDescent="0.2">
      <c r="A16" s="552">
        <v>42388</v>
      </c>
      <c r="B16" s="520">
        <f>B14</f>
        <v>293922.15000000002</v>
      </c>
    </row>
    <row r="17" spans="1:2" x14ac:dyDescent="0.2">
      <c r="A17" s="552">
        <v>42389</v>
      </c>
      <c r="B17" s="520">
        <v>294002.2</v>
      </c>
    </row>
    <row r="18" spans="1:2" x14ac:dyDescent="0.2">
      <c r="A18" s="552">
        <v>42390</v>
      </c>
      <c r="B18" s="520">
        <v>285645.33</v>
      </c>
    </row>
    <row r="19" spans="1:2" x14ac:dyDescent="0.2">
      <c r="A19" s="552">
        <v>42391</v>
      </c>
      <c r="B19" s="520">
        <f>B18</f>
        <v>285645.33</v>
      </c>
    </row>
    <row r="20" spans="1:2" x14ac:dyDescent="0.2">
      <c r="A20" s="552">
        <v>42394</v>
      </c>
      <c r="B20" s="520">
        <v>310939.57</v>
      </c>
    </row>
    <row r="21" spans="1:2" x14ac:dyDescent="0.2">
      <c r="A21" s="552">
        <v>42395</v>
      </c>
      <c r="B21" s="520">
        <v>285520.28000000003</v>
      </c>
    </row>
    <row r="22" spans="1:2" x14ac:dyDescent="0.2">
      <c r="A22" s="552">
        <v>42396</v>
      </c>
      <c r="B22" s="520">
        <f>B21</f>
        <v>285520.28000000003</v>
      </c>
    </row>
    <row r="23" spans="1:2" x14ac:dyDescent="0.2">
      <c r="A23" s="552">
        <v>42397</v>
      </c>
      <c r="B23" s="520">
        <v>282022.58</v>
      </c>
    </row>
    <row r="24" spans="1:2" x14ac:dyDescent="0.2">
      <c r="A24" s="552">
        <v>42398</v>
      </c>
      <c r="B24" s="520">
        <v>294848.15999999997</v>
      </c>
    </row>
    <row r="25" spans="1:2" x14ac:dyDescent="0.2">
      <c r="A25" s="552">
        <v>42401</v>
      </c>
      <c r="B25" s="520">
        <v>295971.7</v>
      </c>
    </row>
    <row r="26" spans="1:2" x14ac:dyDescent="0.2">
      <c r="A26" s="552">
        <v>42402</v>
      </c>
      <c r="B26" s="520">
        <v>342700.41</v>
      </c>
    </row>
    <row r="27" spans="1:2" x14ac:dyDescent="0.2">
      <c r="A27" s="552">
        <v>42403</v>
      </c>
      <c r="B27" s="520">
        <f>B26</f>
        <v>342700.41</v>
      </c>
    </row>
    <row r="28" spans="1:2" x14ac:dyDescent="0.2">
      <c r="A28" s="552">
        <v>42404</v>
      </c>
      <c r="B28" s="520">
        <v>337638.63</v>
      </c>
    </row>
    <row r="29" spans="1:2" x14ac:dyDescent="0.2">
      <c r="A29" s="552">
        <v>42405</v>
      </c>
      <c r="B29" s="520">
        <v>367843.39</v>
      </c>
    </row>
    <row r="30" spans="1:2" x14ac:dyDescent="0.2">
      <c r="A30" s="552">
        <v>42408</v>
      </c>
      <c r="B30" s="520">
        <v>367773.39</v>
      </c>
    </row>
    <row r="31" spans="1:2" x14ac:dyDescent="0.2">
      <c r="A31" s="552">
        <v>42409</v>
      </c>
      <c r="B31" s="520">
        <v>339527.33</v>
      </c>
    </row>
    <row r="32" spans="1:2" x14ac:dyDescent="0.2">
      <c r="A32" s="552">
        <v>42410</v>
      </c>
      <c r="B32" s="520">
        <f>B31</f>
        <v>339527.33</v>
      </c>
    </row>
    <row r="33" spans="1:2" x14ac:dyDescent="0.2">
      <c r="A33" s="552">
        <v>42411</v>
      </c>
      <c r="B33" s="520">
        <v>336968.79</v>
      </c>
    </row>
    <row r="34" spans="1:2" x14ac:dyDescent="0.2">
      <c r="A34" s="552">
        <v>42412</v>
      </c>
      <c r="B34" s="520">
        <v>337055.76</v>
      </c>
    </row>
    <row r="35" spans="1:2" x14ac:dyDescent="0.2">
      <c r="A35" s="552">
        <v>42415</v>
      </c>
      <c r="B35" s="520">
        <f>B34</f>
        <v>337055.76</v>
      </c>
    </row>
    <row r="36" spans="1:2" x14ac:dyDescent="0.2">
      <c r="A36" s="552">
        <v>42416</v>
      </c>
      <c r="B36" s="520">
        <f>B35</f>
        <v>337055.76</v>
      </c>
    </row>
    <row r="37" spans="1:2" x14ac:dyDescent="0.2">
      <c r="A37" s="552">
        <v>42417</v>
      </c>
      <c r="B37" s="520">
        <v>365266.06</v>
      </c>
    </row>
    <row r="38" spans="1:2" x14ac:dyDescent="0.2">
      <c r="A38" s="552">
        <v>42418</v>
      </c>
      <c r="B38" s="520">
        <v>360871.98</v>
      </c>
    </row>
    <row r="39" spans="1:2" x14ac:dyDescent="0.2">
      <c r="A39" s="552">
        <v>42419</v>
      </c>
      <c r="B39" s="520">
        <f>B38</f>
        <v>360871.98</v>
      </c>
    </row>
    <row r="40" spans="1:2" x14ac:dyDescent="0.2">
      <c r="A40" s="552">
        <v>42421</v>
      </c>
      <c r="B40" s="520">
        <f>B39</f>
        <v>360871.98</v>
      </c>
    </row>
    <row r="41" spans="1:2" x14ac:dyDescent="0.2">
      <c r="A41" s="552">
        <v>42423</v>
      </c>
      <c r="B41" s="520">
        <v>355845.62</v>
      </c>
    </row>
    <row r="42" spans="1:2" x14ac:dyDescent="0.2">
      <c r="A42" s="552">
        <v>42424</v>
      </c>
      <c r="B42" s="520">
        <f>B41</f>
        <v>355845.62</v>
      </c>
    </row>
    <row r="43" spans="1:2" x14ac:dyDescent="0.2">
      <c r="A43" s="552">
        <v>42425</v>
      </c>
      <c r="B43" s="520">
        <v>345399.7</v>
      </c>
    </row>
    <row r="44" spans="1:2" x14ac:dyDescent="0.2">
      <c r="A44" s="552">
        <v>42426</v>
      </c>
      <c r="B44" s="520">
        <v>370500.69</v>
      </c>
    </row>
    <row r="45" spans="1:2" x14ac:dyDescent="0.2">
      <c r="A45" s="552">
        <v>42429</v>
      </c>
      <c r="B45" s="520">
        <v>389846.49</v>
      </c>
    </row>
    <row r="46" spans="1:2" x14ac:dyDescent="0.2">
      <c r="A46" s="552">
        <v>42430</v>
      </c>
      <c r="B46" s="520">
        <f>B45</f>
        <v>389846.49</v>
      </c>
    </row>
    <row r="47" spans="1:2" x14ac:dyDescent="0.2">
      <c r="A47" s="552">
        <v>42431</v>
      </c>
      <c r="B47" s="520">
        <f>B46</f>
        <v>389846.49</v>
      </c>
    </row>
    <row r="48" spans="1:2" x14ac:dyDescent="0.2">
      <c r="A48" s="552">
        <v>42432</v>
      </c>
      <c r="B48" s="520">
        <v>378391.97</v>
      </c>
    </row>
    <row r="49" spans="1:2" x14ac:dyDescent="0.2">
      <c r="A49" s="552">
        <v>42433</v>
      </c>
      <c r="B49" s="520">
        <v>424034.23</v>
      </c>
    </row>
    <row r="50" spans="1:2" x14ac:dyDescent="0.2">
      <c r="A50" s="552">
        <v>42436</v>
      </c>
      <c r="B50" s="520">
        <f>B49</f>
        <v>424034.23</v>
      </c>
    </row>
    <row r="51" spans="1:2" x14ac:dyDescent="0.2">
      <c r="A51" s="552">
        <v>42437</v>
      </c>
      <c r="B51" s="520">
        <v>386665.73</v>
      </c>
    </row>
    <row r="52" spans="1:2" x14ac:dyDescent="0.2">
      <c r="A52" s="552">
        <v>42438</v>
      </c>
      <c r="B52" s="520">
        <f>B51</f>
        <v>386665.73</v>
      </c>
    </row>
    <row r="53" spans="1:2" x14ac:dyDescent="0.2">
      <c r="A53" s="552">
        <v>42439</v>
      </c>
      <c r="B53" s="520">
        <v>389219.85</v>
      </c>
    </row>
    <row r="54" spans="1:2" x14ac:dyDescent="0.2">
      <c r="A54" s="552">
        <v>42440</v>
      </c>
      <c r="B54" s="520">
        <v>406100.98</v>
      </c>
    </row>
    <row r="55" spans="1:2" x14ac:dyDescent="0.2">
      <c r="A55" s="552">
        <v>42443</v>
      </c>
      <c r="B55" s="520">
        <v>407873.33</v>
      </c>
    </row>
    <row r="56" spans="1:2" x14ac:dyDescent="0.2">
      <c r="A56" s="552">
        <v>42444</v>
      </c>
      <c r="B56" s="520">
        <v>407992.23</v>
      </c>
    </row>
    <row r="57" spans="1:2" x14ac:dyDescent="0.2">
      <c r="A57" s="552">
        <v>42445</v>
      </c>
      <c r="B57" s="520">
        <v>433808.81</v>
      </c>
    </row>
    <row r="58" spans="1:2" x14ac:dyDescent="0.2">
      <c r="A58" s="552">
        <v>42446</v>
      </c>
      <c r="B58" s="520">
        <v>422290.94</v>
      </c>
    </row>
    <row r="59" spans="1:2" x14ac:dyDescent="0.2">
      <c r="A59" s="552">
        <v>42447</v>
      </c>
      <c r="B59" s="520">
        <v>468026.54</v>
      </c>
    </row>
    <row r="60" spans="1:2" x14ac:dyDescent="0.2">
      <c r="A60" s="552">
        <v>42450</v>
      </c>
      <c r="B60" s="520">
        <v>348026.54</v>
      </c>
    </row>
    <row r="61" spans="1:2" x14ac:dyDescent="0.2">
      <c r="A61" s="552">
        <v>42451</v>
      </c>
      <c r="B61" s="520">
        <v>312876.71000000002</v>
      </c>
    </row>
    <row r="62" spans="1:2" x14ac:dyDescent="0.2">
      <c r="A62" s="552">
        <v>42452</v>
      </c>
      <c r="B62" s="520">
        <v>314939.26</v>
      </c>
    </row>
    <row r="63" spans="1:2" x14ac:dyDescent="0.2">
      <c r="A63" s="552">
        <v>42453</v>
      </c>
      <c r="B63" s="520">
        <v>309254.23</v>
      </c>
    </row>
    <row r="64" spans="1:2" x14ac:dyDescent="0.2">
      <c r="A64" s="552">
        <v>42454</v>
      </c>
      <c r="B64" s="520">
        <v>308314.94</v>
      </c>
    </row>
    <row r="65" spans="1:2" x14ac:dyDescent="0.2">
      <c r="A65" s="552">
        <v>42457</v>
      </c>
      <c r="B65" s="520">
        <f>B64</f>
        <v>308314.94</v>
      </c>
    </row>
    <row r="66" spans="1:2" x14ac:dyDescent="0.2">
      <c r="A66" s="552">
        <v>42458</v>
      </c>
      <c r="B66" s="520">
        <v>308501.75</v>
      </c>
    </row>
    <row r="67" spans="1:2" x14ac:dyDescent="0.2">
      <c r="A67" s="552">
        <v>42459</v>
      </c>
      <c r="B67" s="520">
        <f>B66</f>
        <v>308501.75</v>
      </c>
    </row>
    <row r="68" spans="1:2" x14ac:dyDescent="0.2">
      <c r="A68" s="552">
        <v>42460</v>
      </c>
      <c r="B68" s="520">
        <v>309191.53000000003</v>
      </c>
    </row>
    <row r="69" spans="1:2" x14ac:dyDescent="0.2">
      <c r="A69" s="552">
        <v>42461</v>
      </c>
      <c r="B69" s="520">
        <f>B68</f>
        <v>309191.53000000003</v>
      </c>
    </row>
    <row r="70" spans="1:2" x14ac:dyDescent="0.2">
      <c r="A70" s="552">
        <v>42464</v>
      </c>
      <c r="B70" s="520">
        <v>273521.59999999998</v>
      </c>
    </row>
    <row r="71" spans="1:2" x14ac:dyDescent="0.2">
      <c r="A71" s="552">
        <v>42465</v>
      </c>
      <c r="B71" s="520">
        <f>B70</f>
        <v>273521.59999999998</v>
      </c>
    </row>
    <row r="72" spans="1:2" x14ac:dyDescent="0.2">
      <c r="A72" s="552">
        <v>42466</v>
      </c>
      <c r="B72" s="520">
        <v>272690.59999999998</v>
      </c>
    </row>
    <row r="73" spans="1:2" x14ac:dyDescent="0.2">
      <c r="A73" s="552">
        <v>42467</v>
      </c>
      <c r="B73" s="520">
        <v>269582.73</v>
      </c>
    </row>
    <row r="74" spans="1:2" x14ac:dyDescent="0.2">
      <c r="A74" s="552">
        <v>42468</v>
      </c>
      <c r="B74" s="520">
        <f>B73</f>
        <v>269582.73</v>
      </c>
    </row>
    <row r="75" spans="1:2" x14ac:dyDescent="0.2">
      <c r="A75" s="552">
        <v>42471</v>
      </c>
      <c r="B75" s="520">
        <v>269763.98</v>
      </c>
    </row>
    <row r="76" spans="1:2" x14ac:dyDescent="0.2">
      <c r="A76" s="552">
        <v>42472</v>
      </c>
      <c r="B76" s="520">
        <f>B75</f>
        <v>269763.98</v>
      </c>
    </row>
    <row r="77" spans="1:2" x14ac:dyDescent="0.2">
      <c r="A77" s="552">
        <v>42473</v>
      </c>
      <c r="B77" s="520">
        <v>269925.98</v>
      </c>
    </row>
    <row r="78" spans="1:2" x14ac:dyDescent="0.2">
      <c r="A78" s="552">
        <v>42474</v>
      </c>
      <c r="B78" s="520">
        <v>262853.87</v>
      </c>
    </row>
    <row r="79" spans="1:2" x14ac:dyDescent="0.2">
      <c r="A79" s="552">
        <v>42475</v>
      </c>
      <c r="B79" s="520">
        <v>285492.90999999997</v>
      </c>
    </row>
    <row r="80" spans="1:2" x14ac:dyDescent="0.2">
      <c r="A80" s="552">
        <v>42478</v>
      </c>
      <c r="B80" s="520">
        <v>248936.49</v>
      </c>
    </row>
    <row r="81" spans="1:2" x14ac:dyDescent="0.2">
      <c r="A81" s="552">
        <v>42479</v>
      </c>
      <c r="B81" s="520">
        <v>299276.93</v>
      </c>
    </row>
    <row r="82" spans="1:2" x14ac:dyDescent="0.2">
      <c r="A82" s="552">
        <v>42480</v>
      </c>
      <c r="B82" s="520">
        <v>298671.93</v>
      </c>
    </row>
    <row r="83" spans="1:2" x14ac:dyDescent="0.2">
      <c r="A83" s="552">
        <v>42481</v>
      </c>
      <c r="B83" s="520">
        <v>300188.76</v>
      </c>
    </row>
    <row r="84" spans="1:2" x14ac:dyDescent="0.2">
      <c r="A84" s="552">
        <v>42482</v>
      </c>
      <c r="B84" s="520">
        <v>320014.86</v>
      </c>
    </row>
    <row r="85" spans="1:2" x14ac:dyDescent="0.2">
      <c r="A85" s="552">
        <v>42485</v>
      </c>
      <c r="B85" s="520">
        <v>316702.44</v>
      </c>
    </row>
    <row r="86" spans="1:2" x14ac:dyDescent="0.2">
      <c r="A86" s="552">
        <v>42486</v>
      </c>
      <c r="B86" s="520">
        <f>B85</f>
        <v>316702.44</v>
      </c>
    </row>
    <row r="87" spans="1:2" x14ac:dyDescent="0.2">
      <c r="A87" s="552">
        <v>42487</v>
      </c>
      <c r="B87" s="520">
        <v>316945.44</v>
      </c>
    </row>
    <row r="88" spans="1:2" x14ac:dyDescent="0.2">
      <c r="A88" s="552">
        <v>42488</v>
      </c>
      <c r="B88" s="520">
        <v>320979.96999999997</v>
      </c>
    </row>
    <row r="89" spans="1:2" x14ac:dyDescent="0.2">
      <c r="A89" s="552">
        <v>42489</v>
      </c>
      <c r="B89" s="520">
        <f>B88</f>
        <v>320979.96999999997</v>
      </c>
    </row>
    <row r="90" spans="1:2" x14ac:dyDescent="0.2">
      <c r="A90" s="552">
        <v>42492</v>
      </c>
      <c r="B90" s="520">
        <v>285992.84000000003</v>
      </c>
    </row>
    <row r="91" spans="1:2" x14ac:dyDescent="0.2">
      <c r="A91" s="552">
        <v>42493</v>
      </c>
      <c r="B91" s="520">
        <v>286063.08</v>
      </c>
    </row>
    <row r="92" spans="1:2" x14ac:dyDescent="0.2">
      <c r="A92" s="552">
        <v>42494</v>
      </c>
      <c r="B92" s="520">
        <v>314586.46000000002</v>
      </c>
    </row>
    <row r="93" spans="1:2" x14ac:dyDescent="0.2">
      <c r="A93" s="552">
        <v>42495</v>
      </c>
      <c r="B93" s="520">
        <v>317747.52</v>
      </c>
    </row>
    <row r="94" spans="1:2" x14ac:dyDescent="0.2">
      <c r="A94" s="552">
        <v>42496</v>
      </c>
      <c r="B94" s="520">
        <f>B93</f>
        <v>317747.52</v>
      </c>
    </row>
    <row r="95" spans="1:2" x14ac:dyDescent="0.2">
      <c r="A95" s="552">
        <v>42499</v>
      </c>
      <c r="B95" s="520">
        <v>317647.52</v>
      </c>
    </row>
    <row r="96" spans="1:2" x14ac:dyDescent="0.2">
      <c r="A96" s="552">
        <v>42500</v>
      </c>
      <c r="B96" s="520">
        <v>354645.16</v>
      </c>
    </row>
    <row r="97" spans="1:2" x14ac:dyDescent="0.2">
      <c r="A97" s="552">
        <v>42501</v>
      </c>
      <c r="B97" s="520">
        <f>B96</f>
        <v>354645.16</v>
      </c>
    </row>
    <row r="98" spans="1:2" x14ac:dyDescent="0.2">
      <c r="A98" s="552">
        <v>42502</v>
      </c>
      <c r="B98" s="520">
        <v>334676.08</v>
      </c>
    </row>
    <row r="99" spans="1:2" x14ac:dyDescent="0.2">
      <c r="A99" s="552">
        <v>42503</v>
      </c>
      <c r="B99" s="520">
        <v>335053.34999999998</v>
      </c>
    </row>
    <row r="100" spans="1:2" x14ac:dyDescent="0.2">
      <c r="A100" s="552">
        <v>42506</v>
      </c>
      <c r="B100" s="520">
        <v>299641.7</v>
      </c>
    </row>
    <row r="101" spans="1:2" x14ac:dyDescent="0.2">
      <c r="A101" s="552">
        <v>42507</v>
      </c>
      <c r="B101" s="520">
        <f>B100</f>
        <v>299641.7</v>
      </c>
    </row>
    <row r="102" spans="1:2" x14ac:dyDescent="0.2">
      <c r="A102" s="552">
        <v>42508</v>
      </c>
      <c r="B102" s="520">
        <v>316034.81</v>
      </c>
    </row>
    <row r="103" spans="1:2" x14ac:dyDescent="0.2">
      <c r="A103" s="552">
        <v>42509</v>
      </c>
      <c r="B103" s="520">
        <v>320069.11</v>
      </c>
    </row>
    <row r="104" spans="1:2" x14ac:dyDescent="0.2">
      <c r="A104" s="552">
        <v>42510</v>
      </c>
      <c r="B104" s="520">
        <v>328514.03000000003</v>
      </c>
    </row>
    <row r="105" spans="1:2" x14ac:dyDescent="0.2">
      <c r="A105" s="552">
        <v>42513</v>
      </c>
      <c r="B105" s="520">
        <f>B104</f>
        <v>328514.03000000003</v>
      </c>
    </row>
    <row r="106" spans="1:2" x14ac:dyDescent="0.2">
      <c r="A106" s="552">
        <v>42514</v>
      </c>
      <c r="B106" s="520">
        <v>334541.26</v>
      </c>
    </row>
    <row r="107" spans="1:2" x14ac:dyDescent="0.2">
      <c r="A107" s="552">
        <v>42515</v>
      </c>
      <c r="B107" s="521">
        <v>329880.45</v>
      </c>
    </row>
    <row r="108" spans="1:2" x14ac:dyDescent="0.2">
      <c r="A108" s="552">
        <v>42516</v>
      </c>
      <c r="B108" s="522">
        <v>337992.17</v>
      </c>
    </row>
    <row r="109" spans="1:2" x14ac:dyDescent="0.2">
      <c r="A109" s="552">
        <v>42517</v>
      </c>
      <c r="B109" s="522">
        <v>347755.4</v>
      </c>
    </row>
    <row r="110" spans="1:2" x14ac:dyDescent="0.2">
      <c r="A110" s="552">
        <v>42520</v>
      </c>
      <c r="B110" s="522">
        <v>347755.4</v>
      </c>
    </row>
    <row r="111" spans="1:2" x14ac:dyDescent="0.2">
      <c r="A111" s="552">
        <v>42521</v>
      </c>
      <c r="B111" s="522">
        <v>312817.88</v>
      </c>
    </row>
    <row r="112" spans="1:2" x14ac:dyDescent="0.2">
      <c r="A112" s="552">
        <v>42522</v>
      </c>
      <c r="B112" s="522">
        <v>314571.3</v>
      </c>
    </row>
    <row r="113" spans="1:2" x14ac:dyDescent="0.2">
      <c r="A113" s="552">
        <v>42523</v>
      </c>
      <c r="B113" s="522">
        <v>302515.78000000003</v>
      </c>
    </row>
    <row r="114" spans="1:2" x14ac:dyDescent="0.2">
      <c r="A114" s="552">
        <v>42524</v>
      </c>
      <c r="B114" s="522">
        <v>302516</v>
      </c>
    </row>
    <row r="115" spans="1:2" x14ac:dyDescent="0.2">
      <c r="A115" s="552">
        <v>42527</v>
      </c>
      <c r="B115" s="522">
        <v>302516</v>
      </c>
    </row>
    <row r="116" spans="1:2" x14ac:dyDescent="0.2">
      <c r="A116" s="552">
        <v>42528</v>
      </c>
      <c r="B116" s="522">
        <v>302516</v>
      </c>
    </row>
    <row r="117" spans="1:2" x14ac:dyDescent="0.2">
      <c r="A117" s="552">
        <v>42529</v>
      </c>
      <c r="B117" s="522">
        <v>279865.95</v>
      </c>
    </row>
    <row r="118" spans="1:2" x14ac:dyDescent="0.2">
      <c r="A118" s="552">
        <v>42530</v>
      </c>
      <c r="B118" s="522">
        <v>279866</v>
      </c>
    </row>
    <row r="119" spans="1:2" x14ac:dyDescent="0.2">
      <c r="A119" s="552">
        <v>42531</v>
      </c>
      <c r="B119" s="522">
        <v>279866</v>
      </c>
    </row>
    <row r="120" spans="1:2" x14ac:dyDescent="0.2">
      <c r="A120" s="552">
        <v>42534</v>
      </c>
      <c r="B120" s="522">
        <v>279866</v>
      </c>
    </row>
    <row r="121" spans="1:2" x14ac:dyDescent="0.2">
      <c r="A121" s="552">
        <v>42535</v>
      </c>
      <c r="B121" s="522">
        <v>279866</v>
      </c>
    </row>
    <row r="122" spans="1:2" x14ac:dyDescent="0.2">
      <c r="A122" s="552">
        <v>42536</v>
      </c>
      <c r="B122" s="522">
        <v>290096.01</v>
      </c>
    </row>
    <row r="123" spans="1:2" x14ac:dyDescent="0.2">
      <c r="A123" s="552">
        <v>42537</v>
      </c>
      <c r="B123" s="522">
        <v>247423.5</v>
      </c>
    </row>
    <row r="124" spans="1:2" x14ac:dyDescent="0.2">
      <c r="A124" s="552">
        <v>42538</v>
      </c>
      <c r="B124" s="522">
        <v>247424</v>
      </c>
    </row>
    <row r="125" spans="1:2" x14ac:dyDescent="0.2">
      <c r="A125" s="552">
        <v>42541</v>
      </c>
      <c r="B125" s="522">
        <v>247424</v>
      </c>
    </row>
    <row r="126" spans="1:2" x14ac:dyDescent="0.2">
      <c r="A126" s="552">
        <v>42542</v>
      </c>
      <c r="B126" s="522">
        <v>255459.85</v>
      </c>
    </row>
    <row r="127" spans="1:2" x14ac:dyDescent="0.2">
      <c r="A127" s="552">
        <v>42543</v>
      </c>
      <c r="B127" s="522">
        <v>255460</v>
      </c>
    </row>
    <row r="128" spans="1:2" x14ac:dyDescent="0.2">
      <c r="A128" s="523">
        <f>A127+1</f>
        <v>42544</v>
      </c>
      <c r="B128" s="522">
        <v>240780.4</v>
      </c>
    </row>
    <row r="129" spans="1:2" x14ac:dyDescent="0.2">
      <c r="A129" s="523">
        <f>A128+1</f>
        <v>42545</v>
      </c>
      <c r="B129" s="522">
        <v>240780</v>
      </c>
    </row>
    <row r="130" spans="1:2" x14ac:dyDescent="0.2">
      <c r="A130" s="523">
        <f>A125+7</f>
        <v>42548</v>
      </c>
      <c r="B130" s="522">
        <v>205735.12</v>
      </c>
    </row>
    <row r="131" spans="1:2" x14ac:dyDescent="0.2">
      <c r="A131" s="523">
        <f>A126+7</f>
        <v>42549</v>
      </c>
      <c r="B131" s="522">
        <v>207489.37</v>
      </c>
    </row>
    <row r="132" spans="1:2" x14ac:dyDescent="0.2">
      <c r="A132" s="523">
        <f t="shared" ref="A132:A195" si="0">A127+7</f>
        <v>42550</v>
      </c>
      <c r="B132" s="522">
        <v>213757.9</v>
      </c>
    </row>
    <row r="133" spans="1:2" x14ac:dyDescent="0.2">
      <c r="A133" s="523">
        <f t="shared" si="0"/>
        <v>42551</v>
      </c>
      <c r="B133" s="522">
        <v>220332.56</v>
      </c>
    </row>
    <row r="134" spans="1:2" x14ac:dyDescent="0.2">
      <c r="A134" s="523">
        <f t="shared" si="0"/>
        <v>42552</v>
      </c>
      <c r="B134" s="522">
        <v>212813.84</v>
      </c>
    </row>
    <row r="135" spans="1:2" x14ac:dyDescent="0.2">
      <c r="A135" s="523">
        <f t="shared" si="0"/>
        <v>42555</v>
      </c>
      <c r="B135" s="522">
        <v>212814</v>
      </c>
    </row>
    <row r="136" spans="1:2" x14ac:dyDescent="0.2">
      <c r="A136" s="523">
        <f t="shared" si="0"/>
        <v>42556</v>
      </c>
      <c r="B136" s="522">
        <v>236539.45</v>
      </c>
    </row>
    <row r="137" spans="1:2" x14ac:dyDescent="0.2">
      <c r="A137" s="523">
        <f t="shared" si="0"/>
        <v>42557</v>
      </c>
      <c r="B137" s="522">
        <v>234224.42</v>
      </c>
    </row>
    <row r="138" spans="1:2" x14ac:dyDescent="0.2">
      <c r="A138" s="523">
        <f t="shared" si="0"/>
        <v>42558</v>
      </c>
      <c r="B138" s="522">
        <v>234132.08</v>
      </c>
    </row>
    <row r="139" spans="1:2" x14ac:dyDescent="0.2">
      <c r="A139" s="523">
        <f t="shared" si="0"/>
        <v>42559</v>
      </c>
      <c r="B139" s="522">
        <v>234132.08</v>
      </c>
    </row>
    <row r="140" spans="1:2" x14ac:dyDescent="0.2">
      <c r="A140" s="523">
        <f t="shared" si="0"/>
        <v>42562</v>
      </c>
      <c r="B140" s="522">
        <v>199890.85</v>
      </c>
    </row>
    <row r="141" spans="1:2" x14ac:dyDescent="0.2">
      <c r="A141" s="523">
        <f t="shared" si="0"/>
        <v>42563</v>
      </c>
      <c r="B141" s="522">
        <v>221114.27</v>
      </c>
    </row>
    <row r="142" spans="1:2" x14ac:dyDescent="0.2">
      <c r="A142" s="523">
        <f t="shared" si="0"/>
        <v>42564</v>
      </c>
      <c r="B142" s="522">
        <v>221114</v>
      </c>
    </row>
    <row r="143" spans="1:2" x14ac:dyDescent="0.2">
      <c r="A143" s="523">
        <f t="shared" si="0"/>
        <v>42565</v>
      </c>
      <c r="B143" s="522">
        <v>214752.25</v>
      </c>
    </row>
    <row r="144" spans="1:2" x14ac:dyDescent="0.2">
      <c r="A144" s="523">
        <f t="shared" si="0"/>
        <v>42566</v>
      </c>
      <c r="B144" s="522">
        <v>294578.96999999997</v>
      </c>
    </row>
    <row r="145" spans="1:2" x14ac:dyDescent="0.2">
      <c r="A145" s="523">
        <f t="shared" si="0"/>
        <v>42569</v>
      </c>
      <c r="B145" s="522">
        <v>294579</v>
      </c>
    </row>
    <row r="146" spans="1:2" x14ac:dyDescent="0.2">
      <c r="A146" s="523">
        <f t="shared" si="0"/>
        <v>42570</v>
      </c>
      <c r="B146" s="522">
        <v>294579</v>
      </c>
    </row>
    <row r="147" spans="1:2" x14ac:dyDescent="0.2">
      <c r="A147" s="523">
        <f t="shared" si="0"/>
        <v>42571</v>
      </c>
      <c r="B147" s="522">
        <v>328195.42</v>
      </c>
    </row>
    <row r="148" spans="1:2" x14ac:dyDescent="0.2">
      <c r="A148" s="523">
        <f t="shared" si="0"/>
        <v>42572</v>
      </c>
      <c r="B148" s="522">
        <v>407865.86</v>
      </c>
    </row>
    <row r="149" spans="1:2" x14ac:dyDescent="0.2">
      <c r="A149" s="523">
        <f t="shared" si="0"/>
        <v>42573</v>
      </c>
      <c r="B149" s="522">
        <v>409053.93</v>
      </c>
    </row>
    <row r="150" spans="1:2" x14ac:dyDescent="0.2">
      <c r="A150" s="523">
        <f t="shared" si="0"/>
        <v>42576</v>
      </c>
      <c r="B150" s="522">
        <v>372421.56</v>
      </c>
    </row>
    <row r="151" spans="1:2" x14ac:dyDescent="0.2">
      <c r="A151" s="523">
        <f t="shared" si="0"/>
        <v>42577</v>
      </c>
      <c r="B151" s="522">
        <v>375562.78</v>
      </c>
    </row>
    <row r="152" spans="1:2" x14ac:dyDescent="0.2">
      <c r="A152" s="523">
        <f t="shared" si="0"/>
        <v>42578</v>
      </c>
      <c r="B152" s="522">
        <v>375563</v>
      </c>
    </row>
    <row r="153" spans="1:2" x14ac:dyDescent="0.2">
      <c r="A153" s="523">
        <f t="shared" si="0"/>
        <v>42579</v>
      </c>
      <c r="B153" s="522">
        <v>366510.98</v>
      </c>
    </row>
    <row r="154" spans="1:2" x14ac:dyDescent="0.2">
      <c r="A154" s="523">
        <f t="shared" si="0"/>
        <v>42580</v>
      </c>
      <c r="B154" s="522">
        <v>366609.48</v>
      </c>
    </row>
    <row r="155" spans="1:2" x14ac:dyDescent="0.2">
      <c r="A155" s="523">
        <f t="shared" si="0"/>
        <v>42583</v>
      </c>
      <c r="B155" s="522">
        <v>382689.69</v>
      </c>
    </row>
    <row r="156" spans="1:2" x14ac:dyDescent="0.2">
      <c r="A156" s="523">
        <f t="shared" si="0"/>
        <v>42584</v>
      </c>
      <c r="B156" s="522">
        <v>382690</v>
      </c>
    </row>
    <row r="157" spans="1:2" x14ac:dyDescent="0.2">
      <c r="A157" s="523">
        <f t="shared" si="0"/>
        <v>42585</v>
      </c>
      <c r="B157" s="522">
        <v>387013.59</v>
      </c>
    </row>
    <row r="158" spans="1:2" x14ac:dyDescent="0.2">
      <c r="A158" s="523">
        <f t="shared" si="0"/>
        <v>42586</v>
      </c>
      <c r="B158" s="522">
        <v>382543.7</v>
      </c>
    </row>
    <row r="159" spans="1:2" x14ac:dyDescent="0.2">
      <c r="A159" s="523">
        <f t="shared" si="0"/>
        <v>42587</v>
      </c>
      <c r="B159" s="522">
        <v>382544</v>
      </c>
    </row>
    <row r="160" spans="1:2" x14ac:dyDescent="0.2">
      <c r="A160" s="523">
        <f t="shared" si="0"/>
        <v>42590</v>
      </c>
      <c r="B160" s="522">
        <v>344510.17</v>
      </c>
    </row>
    <row r="161" spans="1:2" x14ac:dyDescent="0.2">
      <c r="A161" s="523">
        <f t="shared" si="0"/>
        <v>42591</v>
      </c>
      <c r="B161" s="522">
        <v>350095.94</v>
      </c>
    </row>
    <row r="162" spans="1:2" x14ac:dyDescent="0.2">
      <c r="A162" s="523">
        <f t="shared" si="0"/>
        <v>42592</v>
      </c>
      <c r="B162" s="522">
        <v>350096</v>
      </c>
    </row>
    <row r="163" spans="1:2" x14ac:dyDescent="0.2">
      <c r="A163" s="523">
        <f t="shared" si="0"/>
        <v>42593</v>
      </c>
      <c r="B163" s="522">
        <v>355079.15</v>
      </c>
    </row>
    <row r="164" spans="1:2" x14ac:dyDescent="0.2">
      <c r="A164" s="523">
        <f t="shared" si="0"/>
        <v>42594</v>
      </c>
      <c r="B164" s="522">
        <v>356502.11</v>
      </c>
    </row>
    <row r="165" spans="1:2" x14ac:dyDescent="0.2">
      <c r="A165" s="523">
        <f t="shared" si="0"/>
        <v>42597</v>
      </c>
      <c r="B165" s="522">
        <v>408622.46</v>
      </c>
    </row>
    <row r="166" spans="1:2" x14ac:dyDescent="0.2">
      <c r="A166" s="523">
        <f t="shared" si="0"/>
        <v>42598</v>
      </c>
      <c r="B166" s="522">
        <v>408622</v>
      </c>
    </row>
    <row r="167" spans="1:2" x14ac:dyDescent="0.2">
      <c r="A167" s="523">
        <f t="shared" si="0"/>
        <v>42599</v>
      </c>
      <c r="B167" s="522">
        <v>408622</v>
      </c>
    </row>
    <row r="168" spans="1:2" x14ac:dyDescent="0.2">
      <c r="A168" s="523">
        <f t="shared" si="0"/>
        <v>42600</v>
      </c>
      <c r="B168" s="522">
        <v>409931.67</v>
      </c>
    </row>
    <row r="169" spans="1:2" x14ac:dyDescent="0.2">
      <c r="A169" s="523">
        <f t="shared" si="0"/>
        <v>42601</v>
      </c>
      <c r="B169" s="522">
        <v>410189.3</v>
      </c>
    </row>
    <row r="170" spans="1:2" x14ac:dyDescent="0.2">
      <c r="A170" s="523">
        <f t="shared" si="0"/>
        <v>42604</v>
      </c>
      <c r="B170" s="522">
        <v>370399.56</v>
      </c>
    </row>
    <row r="171" spans="1:2" x14ac:dyDescent="0.2">
      <c r="A171" s="523">
        <f t="shared" si="0"/>
        <v>42605</v>
      </c>
      <c r="B171" s="522">
        <v>370399.56</v>
      </c>
    </row>
    <row r="172" spans="1:2" x14ac:dyDescent="0.2">
      <c r="A172" s="523">
        <f t="shared" si="0"/>
        <v>42606</v>
      </c>
      <c r="B172" s="522">
        <v>370400</v>
      </c>
    </row>
    <row r="173" spans="1:2" x14ac:dyDescent="0.2">
      <c r="A173" s="523">
        <f t="shared" si="0"/>
        <v>42607</v>
      </c>
      <c r="B173" s="522">
        <v>359591.19</v>
      </c>
    </row>
    <row r="174" spans="1:2" x14ac:dyDescent="0.2">
      <c r="A174" s="523">
        <f t="shared" si="0"/>
        <v>42608</v>
      </c>
      <c r="B174" s="522">
        <v>399163.14</v>
      </c>
    </row>
    <row r="175" spans="1:2" x14ac:dyDescent="0.2">
      <c r="A175" s="523">
        <f t="shared" si="0"/>
        <v>42611</v>
      </c>
      <c r="B175" s="522">
        <v>407196.62</v>
      </c>
    </row>
    <row r="176" spans="1:2" x14ac:dyDescent="0.2">
      <c r="A176" s="523">
        <f t="shared" si="0"/>
        <v>42612</v>
      </c>
      <c r="B176" s="522">
        <v>422526.97</v>
      </c>
    </row>
    <row r="177" spans="1:5" x14ac:dyDescent="0.2">
      <c r="A177" s="523">
        <f t="shared" si="0"/>
        <v>42613</v>
      </c>
      <c r="B177" s="522">
        <v>479216.05</v>
      </c>
    </row>
    <row r="178" spans="1:5" x14ac:dyDescent="0.2">
      <c r="A178" s="523">
        <f t="shared" si="0"/>
        <v>42614</v>
      </c>
      <c r="B178" s="522">
        <v>479216</v>
      </c>
    </row>
    <row r="179" spans="1:5" x14ac:dyDescent="0.2">
      <c r="A179" s="523">
        <f t="shared" si="0"/>
        <v>42615</v>
      </c>
      <c r="B179" s="522">
        <v>479216</v>
      </c>
    </row>
    <row r="180" spans="1:5" x14ac:dyDescent="0.2">
      <c r="A180" s="523">
        <f t="shared" si="0"/>
        <v>42618</v>
      </c>
      <c r="B180" s="522">
        <v>479216</v>
      </c>
    </row>
    <row r="181" spans="1:5" x14ac:dyDescent="0.2">
      <c r="A181" s="523">
        <f t="shared" si="0"/>
        <v>42619</v>
      </c>
      <c r="B181" s="522">
        <v>440784.82</v>
      </c>
    </row>
    <row r="182" spans="1:5" x14ac:dyDescent="0.2">
      <c r="A182" s="523">
        <f t="shared" si="0"/>
        <v>42620</v>
      </c>
      <c r="B182" s="522">
        <v>440785</v>
      </c>
      <c r="D182" s="524"/>
      <c r="E182" s="525"/>
    </row>
    <row r="183" spans="1:5" x14ac:dyDescent="0.2">
      <c r="A183" s="523">
        <f t="shared" si="0"/>
        <v>42621</v>
      </c>
      <c r="B183" s="522">
        <v>445373.31</v>
      </c>
    </row>
    <row r="184" spans="1:5" x14ac:dyDescent="0.2">
      <c r="A184" s="523">
        <f t="shared" si="0"/>
        <v>42622</v>
      </c>
      <c r="B184" s="522">
        <v>463896.46</v>
      </c>
      <c r="D184" s="524"/>
      <c r="E184" s="525"/>
    </row>
    <row r="185" spans="1:5" x14ac:dyDescent="0.2">
      <c r="A185" s="523">
        <f t="shared" si="0"/>
        <v>42625</v>
      </c>
      <c r="B185" s="522">
        <v>463296.46</v>
      </c>
      <c r="D185" s="524"/>
      <c r="E185" s="525"/>
    </row>
    <row r="186" spans="1:5" x14ac:dyDescent="0.2">
      <c r="A186" s="523">
        <f t="shared" si="0"/>
        <v>42626</v>
      </c>
      <c r="B186" s="522">
        <v>465024.54</v>
      </c>
      <c r="D186" s="524"/>
      <c r="E186" s="525"/>
    </row>
    <row r="187" spans="1:5" x14ac:dyDescent="0.2">
      <c r="A187" s="523">
        <f t="shared" si="0"/>
        <v>42627</v>
      </c>
      <c r="B187" s="522">
        <v>465025</v>
      </c>
      <c r="D187" s="524"/>
      <c r="E187" s="525"/>
    </row>
    <row r="188" spans="1:5" x14ac:dyDescent="0.2">
      <c r="A188" s="523">
        <f t="shared" si="0"/>
        <v>42628</v>
      </c>
      <c r="B188" s="522">
        <v>447444.34</v>
      </c>
      <c r="D188" s="524"/>
      <c r="E188" s="525"/>
    </row>
    <row r="189" spans="1:5" x14ac:dyDescent="0.2">
      <c r="A189" s="523">
        <f t="shared" si="0"/>
        <v>42629</v>
      </c>
      <c r="B189" s="522">
        <v>451135.42</v>
      </c>
      <c r="D189" s="524"/>
      <c r="E189" s="525"/>
    </row>
    <row r="190" spans="1:5" x14ac:dyDescent="0.2">
      <c r="A190" s="523">
        <f t="shared" si="0"/>
        <v>42632</v>
      </c>
      <c r="B190" s="522">
        <v>413924.51</v>
      </c>
      <c r="D190" s="524"/>
      <c r="E190" s="525"/>
    </row>
    <row r="191" spans="1:5" x14ac:dyDescent="0.2">
      <c r="A191" s="523">
        <f t="shared" si="0"/>
        <v>42633</v>
      </c>
      <c r="B191" s="522">
        <v>395080.96000000002</v>
      </c>
      <c r="D191" s="524"/>
      <c r="E191" s="525"/>
    </row>
    <row r="192" spans="1:5" x14ac:dyDescent="0.2">
      <c r="A192" s="523">
        <f t="shared" si="0"/>
        <v>42634</v>
      </c>
      <c r="B192" s="522">
        <v>393852.1</v>
      </c>
      <c r="D192" s="524"/>
      <c r="E192" s="525"/>
    </row>
    <row r="193" spans="1:5" x14ac:dyDescent="0.2">
      <c r="A193" s="523">
        <f t="shared" si="0"/>
        <v>42635</v>
      </c>
      <c r="B193" s="522">
        <v>397757.18</v>
      </c>
      <c r="D193" s="524"/>
      <c r="E193" s="525"/>
    </row>
    <row r="194" spans="1:5" x14ac:dyDescent="0.2">
      <c r="A194" s="523">
        <f t="shared" si="0"/>
        <v>42636</v>
      </c>
      <c r="B194" s="522">
        <v>397757</v>
      </c>
      <c r="D194" s="524"/>
      <c r="E194" s="525"/>
    </row>
    <row r="195" spans="1:5" x14ac:dyDescent="0.2">
      <c r="A195" s="523">
        <f t="shared" si="0"/>
        <v>42639</v>
      </c>
      <c r="B195" s="522">
        <v>397757</v>
      </c>
      <c r="D195" s="524"/>
      <c r="E195" s="525"/>
    </row>
    <row r="196" spans="1:5" x14ac:dyDescent="0.2">
      <c r="A196" s="523">
        <f t="shared" ref="A196:A259" si="1">A191+7</f>
        <v>42640</v>
      </c>
      <c r="B196" s="522">
        <v>403105.59</v>
      </c>
      <c r="D196" s="524"/>
      <c r="E196" s="525"/>
    </row>
    <row r="197" spans="1:5" x14ac:dyDescent="0.2">
      <c r="A197" s="523">
        <f t="shared" si="1"/>
        <v>42641</v>
      </c>
      <c r="B197" s="522">
        <v>394170.51</v>
      </c>
      <c r="D197" s="524"/>
      <c r="E197" s="525"/>
    </row>
    <row r="198" spans="1:5" x14ac:dyDescent="0.2">
      <c r="A198" s="523">
        <f t="shared" si="1"/>
        <v>42642</v>
      </c>
      <c r="B198" s="522">
        <v>397917.56</v>
      </c>
      <c r="D198" s="524"/>
      <c r="E198" s="525"/>
    </row>
    <row r="199" spans="1:5" x14ac:dyDescent="0.2">
      <c r="A199" s="523">
        <f t="shared" si="1"/>
        <v>42643</v>
      </c>
      <c r="B199" s="522">
        <v>397918</v>
      </c>
      <c r="D199" s="524"/>
      <c r="E199" s="525"/>
    </row>
    <row r="200" spans="1:5" x14ac:dyDescent="0.2">
      <c r="A200" s="523">
        <f t="shared" si="1"/>
        <v>42646</v>
      </c>
      <c r="B200" s="522">
        <v>361701.8</v>
      </c>
      <c r="D200" s="524"/>
      <c r="E200" s="525"/>
    </row>
    <row r="201" spans="1:5" x14ac:dyDescent="0.2">
      <c r="A201" s="523">
        <f t="shared" si="1"/>
        <v>42647</v>
      </c>
      <c r="B201" s="522">
        <v>362031.95</v>
      </c>
      <c r="D201" s="524"/>
      <c r="E201" s="525"/>
    </row>
    <row r="202" spans="1:5" x14ac:dyDescent="0.2">
      <c r="A202" s="523">
        <f t="shared" si="1"/>
        <v>42648</v>
      </c>
      <c r="B202" s="522">
        <v>362032</v>
      </c>
    </row>
    <row r="203" spans="1:5" x14ac:dyDescent="0.2">
      <c r="A203" s="523">
        <f t="shared" si="1"/>
        <v>42649</v>
      </c>
      <c r="B203" s="522">
        <v>360433.13</v>
      </c>
    </row>
    <row r="204" spans="1:5" x14ac:dyDescent="0.2">
      <c r="A204" s="523">
        <f t="shared" si="1"/>
        <v>42650</v>
      </c>
      <c r="B204" s="522">
        <v>361754.66</v>
      </c>
    </row>
    <row r="205" spans="1:5" x14ac:dyDescent="0.2">
      <c r="A205" s="523">
        <f t="shared" si="1"/>
        <v>42653</v>
      </c>
      <c r="B205" s="522">
        <v>361755</v>
      </c>
    </row>
    <row r="206" spans="1:5" x14ac:dyDescent="0.2">
      <c r="A206" s="523">
        <f t="shared" si="1"/>
        <v>42654</v>
      </c>
      <c r="B206" s="522">
        <v>361755</v>
      </c>
    </row>
    <row r="207" spans="1:5" x14ac:dyDescent="0.2">
      <c r="A207" s="523">
        <f t="shared" si="1"/>
        <v>42655</v>
      </c>
      <c r="B207" s="522">
        <v>365429.62</v>
      </c>
    </row>
    <row r="208" spans="1:5" x14ac:dyDescent="0.2">
      <c r="A208" s="523">
        <f t="shared" si="1"/>
        <v>42656</v>
      </c>
      <c r="B208" s="522">
        <v>375400.83</v>
      </c>
    </row>
    <row r="209" spans="1:2" x14ac:dyDescent="0.2">
      <c r="A209" s="523">
        <f t="shared" si="1"/>
        <v>42657</v>
      </c>
      <c r="B209" s="522">
        <v>375484.03</v>
      </c>
    </row>
    <row r="210" spans="1:2" x14ac:dyDescent="0.2">
      <c r="A210" s="523">
        <f t="shared" si="1"/>
        <v>42660</v>
      </c>
      <c r="B210" s="522">
        <v>339702.96</v>
      </c>
    </row>
    <row r="211" spans="1:2" x14ac:dyDescent="0.2">
      <c r="A211" s="523">
        <f t="shared" si="1"/>
        <v>42661</v>
      </c>
      <c r="B211" s="522">
        <v>343741.39</v>
      </c>
    </row>
    <row r="212" spans="1:2" x14ac:dyDescent="0.2">
      <c r="A212" s="523">
        <f t="shared" si="1"/>
        <v>42662</v>
      </c>
      <c r="B212" s="522">
        <v>343741</v>
      </c>
    </row>
    <row r="213" spans="1:2" x14ac:dyDescent="0.2">
      <c r="A213" s="523">
        <f t="shared" si="1"/>
        <v>42663</v>
      </c>
      <c r="B213" s="522">
        <v>332267.31</v>
      </c>
    </row>
    <row r="214" spans="1:2" x14ac:dyDescent="0.2">
      <c r="A214" s="523">
        <f t="shared" si="1"/>
        <v>42664</v>
      </c>
      <c r="B214" s="522">
        <v>332482.06</v>
      </c>
    </row>
    <row r="215" spans="1:2" x14ac:dyDescent="0.2">
      <c r="A215" s="523">
        <f t="shared" si="1"/>
        <v>42667</v>
      </c>
      <c r="B215" s="522">
        <v>332482</v>
      </c>
    </row>
    <row r="216" spans="1:2" x14ac:dyDescent="0.2">
      <c r="A216" s="523">
        <f t="shared" si="1"/>
        <v>42668</v>
      </c>
      <c r="B216" s="522">
        <v>337085.39</v>
      </c>
    </row>
    <row r="217" spans="1:2" x14ac:dyDescent="0.2">
      <c r="A217" s="523">
        <f t="shared" si="1"/>
        <v>42669</v>
      </c>
      <c r="B217" s="522">
        <v>337085</v>
      </c>
    </row>
    <row r="218" spans="1:2" x14ac:dyDescent="0.2">
      <c r="A218" s="523">
        <f t="shared" si="1"/>
        <v>42670</v>
      </c>
      <c r="B218" s="522">
        <v>333113.26</v>
      </c>
    </row>
    <row r="219" spans="1:2" x14ac:dyDescent="0.2">
      <c r="A219" s="523">
        <f t="shared" si="1"/>
        <v>42671</v>
      </c>
      <c r="B219" s="522">
        <v>360993.03</v>
      </c>
    </row>
    <row r="220" spans="1:2" x14ac:dyDescent="0.2">
      <c r="A220" s="523">
        <f t="shared" si="1"/>
        <v>42674</v>
      </c>
      <c r="B220" s="522">
        <v>350567.25</v>
      </c>
    </row>
    <row r="221" spans="1:2" x14ac:dyDescent="0.2">
      <c r="A221" s="523">
        <f t="shared" si="1"/>
        <v>42675</v>
      </c>
      <c r="B221" s="522">
        <v>350939.21</v>
      </c>
    </row>
    <row r="222" spans="1:2" x14ac:dyDescent="0.2">
      <c r="A222" s="523">
        <f t="shared" si="1"/>
        <v>42676</v>
      </c>
      <c r="B222" s="522">
        <v>350939</v>
      </c>
    </row>
    <row r="223" spans="1:2" x14ac:dyDescent="0.2">
      <c r="A223" s="523">
        <f t="shared" si="1"/>
        <v>42677</v>
      </c>
      <c r="B223" s="522">
        <v>344148.64</v>
      </c>
    </row>
    <row r="224" spans="1:2" x14ac:dyDescent="0.2">
      <c r="A224" s="523">
        <f t="shared" si="1"/>
        <v>42678</v>
      </c>
      <c r="B224" s="522">
        <v>399084.27</v>
      </c>
    </row>
    <row r="225" spans="1:2" x14ac:dyDescent="0.2">
      <c r="A225" s="523">
        <f t="shared" si="1"/>
        <v>42681</v>
      </c>
      <c r="B225" s="522">
        <v>399084</v>
      </c>
    </row>
    <row r="226" spans="1:2" x14ac:dyDescent="0.2">
      <c r="A226" s="523">
        <f t="shared" si="1"/>
        <v>42682</v>
      </c>
      <c r="B226" s="522">
        <v>403667.29</v>
      </c>
    </row>
    <row r="227" spans="1:2" x14ac:dyDescent="0.2">
      <c r="A227" s="523">
        <f t="shared" si="1"/>
        <v>42683</v>
      </c>
      <c r="B227" s="522">
        <v>403667</v>
      </c>
    </row>
    <row r="228" spans="1:2" x14ac:dyDescent="0.2">
      <c r="A228" s="523">
        <f t="shared" si="1"/>
        <v>42684</v>
      </c>
      <c r="B228" s="522">
        <v>383477.25</v>
      </c>
    </row>
    <row r="229" spans="1:2" x14ac:dyDescent="0.2">
      <c r="A229" s="523">
        <f t="shared" si="1"/>
        <v>42685</v>
      </c>
      <c r="B229" s="522">
        <v>383477</v>
      </c>
    </row>
    <row r="230" spans="1:2" x14ac:dyDescent="0.2">
      <c r="A230" s="523">
        <f t="shared" si="1"/>
        <v>42688</v>
      </c>
      <c r="B230" s="522">
        <v>347717.6</v>
      </c>
    </row>
    <row r="231" spans="1:2" x14ac:dyDescent="0.2">
      <c r="A231" s="523">
        <f t="shared" si="1"/>
        <v>42689</v>
      </c>
      <c r="B231" s="522">
        <v>347836.75</v>
      </c>
    </row>
    <row r="232" spans="1:2" x14ac:dyDescent="0.2">
      <c r="A232" s="523">
        <f t="shared" si="1"/>
        <v>42690</v>
      </c>
      <c r="B232" s="522">
        <v>347836.75</v>
      </c>
    </row>
    <row r="233" spans="1:2" x14ac:dyDescent="0.2">
      <c r="A233" s="523">
        <f t="shared" si="1"/>
        <v>42691</v>
      </c>
      <c r="B233" s="522">
        <v>350935.56</v>
      </c>
    </row>
    <row r="234" spans="1:2" x14ac:dyDescent="0.2">
      <c r="A234" s="523">
        <f t="shared" si="1"/>
        <v>42692</v>
      </c>
      <c r="B234" s="522">
        <v>350936</v>
      </c>
    </row>
    <row r="235" spans="1:2" x14ac:dyDescent="0.2">
      <c r="A235" s="523">
        <f t="shared" si="1"/>
        <v>42695</v>
      </c>
      <c r="B235" s="522">
        <v>350936</v>
      </c>
    </row>
    <row r="236" spans="1:2" x14ac:dyDescent="0.2">
      <c r="A236" s="523">
        <f t="shared" si="1"/>
        <v>42696</v>
      </c>
      <c r="B236" s="522">
        <v>351588.06</v>
      </c>
    </row>
    <row r="237" spans="1:2" x14ac:dyDescent="0.2">
      <c r="A237" s="523">
        <f t="shared" si="1"/>
        <v>42697</v>
      </c>
      <c r="B237" s="522">
        <v>349477.96</v>
      </c>
    </row>
    <row r="238" spans="1:2" x14ac:dyDescent="0.2">
      <c r="A238" s="523">
        <f t="shared" si="1"/>
        <v>42698</v>
      </c>
      <c r="B238" s="522">
        <v>349478</v>
      </c>
    </row>
    <row r="239" spans="1:2" x14ac:dyDescent="0.2">
      <c r="A239" s="523">
        <f t="shared" si="1"/>
        <v>42699</v>
      </c>
      <c r="B239" s="522">
        <v>368170.66</v>
      </c>
    </row>
    <row r="240" spans="1:2" x14ac:dyDescent="0.2">
      <c r="A240" s="523">
        <f t="shared" si="1"/>
        <v>42702</v>
      </c>
      <c r="B240" s="522">
        <v>368170.66</v>
      </c>
    </row>
    <row r="241" spans="1:2" x14ac:dyDescent="0.2">
      <c r="A241" s="523">
        <f t="shared" si="1"/>
        <v>42703</v>
      </c>
      <c r="B241" s="522">
        <v>328902.64</v>
      </c>
    </row>
    <row r="242" spans="1:2" x14ac:dyDescent="0.2">
      <c r="A242" s="523">
        <f t="shared" si="1"/>
        <v>42704</v>
      </c>
      <c r="B242" s="522">
        <v>338455.85</v>
      </c>
    </row>
    <row r="243" spans="1:2" x14ac:dyDescent="0.2">
      <c r="A243" s="523">
        <f t="shared" si="1"/>
        <v>42705</v>
      </c>
      <c r="B243" s="522">
        <v>336997.18</v>
      </c>
    </row>
    <row r="244" spans="1:2" x14ac:dyDescent="0.2">
      <c r="A244" s="523">
        <f t="shared" si="1"/>
        <v>42706</v>
      </c>
      <c r="B244" s="522">
        <v>342825.59</v>
      </c>
    </row>
    <row r="245" spans="1:2" x14ac:dyDescent="0.2">
      <c r="A245" s="523">
        <f t="shared" si="1"/>
        <v>42709</v>
      </c>
      <c r="B245" s="522">
        <v>342826</v>
      </c>
    </row>
    <row r="246" spans="1:2" x14ac:dyDescent="0.2">
      <c r="A246" s="523">
        <f t="shared" si="1"/>
        <v>42710</v>
      </c>
      <c r="B246" s="522">
        <v>344457.81</v>
      </c>
    </row>
    <row r="247" spans="1:2" x14ac:dyDescent="0.2">
      <c r="A247" s="523">
        <f t="shared" si="1"/>
        <v>42711</v>
      </c>
      <c r="B247" s="522">
        <v>366772.64</v>
      </c>
    </row>
    <row r="248" spans="1:2" x14ac:dyDescent="0.2">
      <c r="A248" s="523">
        <f t="shared" si="1"/>
        <v>42712</v>
      </c>
      <c r="B248" s="522">
        <v>366772.6</v>
      </c>
    </row>
    <row r="249" spans="1:2" x14ac:dyDescent="0.2">
      <c r="A249" s="523">
        <f t="shared" si="1"/>
        <v>42713</v>
      </c>
      <c r="B249" s="522">
        <v>366773</v>
      </c>
    </row>
    <row r="250" spans="1:2" x14ac:dyDescent="0.2">
      <c r="A250" s="523">
        <f t="shared" si="1"/>
        <v>42716</v>
      </c>
      <c r="B250" s="522">
        <v>366773</v>
      </c>
    </row>
    <row r="251" spans="1:2" x14ac:dyDescent="0.2">
      <c r="A251" s="523">
        <f t="shared" si="1"/>
        <v>42717</v>
      </c>
      <c r="B251" s="522">
        <v>346535.44</v>
      </c>
    </row>
    <row r="252" spans="1:2" x14ac:dyDescent="0.2">
      <c r="A252" s="523">
        <f t="shared" si="1"/>
        <v>42718</v>
      </c>
      <c r="B252" s="522">
        <v>346535</v>
      </c>
    </row>
    <row r="253" spans="1:2" x14ac:dyDescent="0.2">
      <c r="A253" s="523">
        <f t="shared" si="1"/>
        <v>42719</v>
      </c>
      <c r="B253" s="522">
        <v>335522.11</v>
      </c>
    </row>
    <row r="254" spans="1:2" x14ac:dyDescent="0.2">
      <c r="A254" s="523">
        <f t="shared" si="1"/>
        <v>42720</v>
      </c>
      <c r="B254" s="522">
        <v>335675.99</v>
      </c>
    </row>
    <row r="255" spans="1:2" x14ac:dyDescent="0.2">
      <c r="A255" s="523">
        <f t="shared" si="1"/>
        <v>42723</v>
      </c>
      <c r="B255" s="522">
        <v>357268.43</v>
      </c>
    </row>
    <row r="256" spans="1:2" x14ac:dyDescent="0.2">
      <c r="A256" s="523">
        <f t="shared" si="1"/>
        <v>42724</v>
      </c>
      <c r="B256" s="522">
        <v>357268</v>
      </c>
    </row>
    <row r="257" spans="1:2" x14ac:dyDescent="0.2">
      <c r="A257" s="523">
        <f t="shared" si="1"/>
        <v>42725</v>
      </c>
      <c r="B257" s="522">
        <v>366192.91</v>
      </c>
    </row>
    <row r="258" spans="1:2" x14ac:dyDescent="0.2">
      <c r="A258" s="523">
        <f t="shared" si="1"/>
        <v>42726</v>
      </c>
      <c r="B258" s="522">
        <v>377001.67</v>
      </c>
    </row>
    <row r="259" spans="1:2" x14ac:dyDescent="0.2">
      <c r="A259" s="523">
        <f t="shared" si="1"/>
        <v>42727</v>
      </c>
      <c r="B259" s="522">
        <v>377329.67</v>
      </c>
    </row>
    <row r="260" spans="1:2" x14ac:dyDescent="0.2">
      <c r="A260" s="523">
        <f t="shared" ref="A260:A264" si="2">A255+7</f>
        <v>42730</v>
      </c>
      <c r="B260" s="522">
        <v>377330</v>
      </c>
    </row>
    <row r="261" spans="1:2" x14ac:dyDescent="0.2">
      <c r="A261" s="523">
        <f t="shared" si="2"/>
        <v>42731</v>
      </c>
      <c r="B261" s="522">
        <v>339782.53</v>
      </c>
    </row>
    <row r="262" spans="1:2" x14ac:dyDescent="0.2">
      <c r="A262" s="523">
        <f t="shared" si="2"/>
        <v>42732</v>
      </c>
      <c r="B262" s="522">
        <v>339783</v>
      </c>
    </row>
    <row r="263" spans="1:2" x14ac:dyDescent="0.2">
      <c r="A263" s="523">
        <f t="shared" si="2"/>
        <v>42733</v>
      </c>
      <c r="B263" s="522">
        <v>337987.77</v>
      </c>
    </row>
    <row r="264" spans="1:2" x14ac:dyDescent="0.2">
      <c r="A264" s="523">
        <f t="shared" si="2"/>
        <v>42734</v>
      </c>
      <c r="B264" s="522">
        <v>354814.33</v>
      </c>
    </row>
    <row r="265" spans="1:2" x14ac:dyDescent="0.2">
      <c r="A265" s="548">
        <v>42737</v>
      </c>
      <c r="B265" s="549">
        <v>354814</v>
      </c>
    </row>
    <row r="266" spans="1:2" x14ac:dyDescent="0.2">
      <c r="A266" s="548">
        <v>42738</v>
      </c>
      <c r="B266" s="549">
        <v>361866.86</v>
      </c>
    </row>
    <row r="267" spans="1:2" x14ac:dyDescent="0.2">
      <c r="A267" s="548">
        <v>42739</v>
      </c>
      <c r="B267" s="549">
        <v>363519.32</v>
      </c>
    </row>
    <row r="268" spans="1:2" x14ac:dyDescent="0.2">
      <c r="A268" s="548">
        <v>42740</v>
      </c>
      <c r="B268" s="549">
        <v>361866.66</v>
      </c>
    </row>
    <row r="269" spans="1:2" x14ac:dyDescent="0.2">
      <c r="A269" s="548">
        <v>42741</v>
      </c>
      <c r="B269" s="549">
        <v>363519</v>
      </c>
    </row>
    <row r="270" spans="1:2" x14ac:dyDescent="0.2">
      <c r="A270" s="548">
        <v>42744</v>
      </c>
      <c r="B270" s="549">
        <v>363543.47</v>
      </c>
    </row>
    <row r="271" spans="1:2" x14ac:dyDescent="0.2">
      <c r="A271" s="548">
        <v>42745</v>
      </c>
      <c r="B271" s="549">
        <v>328707.83</v>
      </c>
    </row>
    <row r="272" spans="1:2" x14ac:dyDescent="0.2">
      <c r="A272" s="548">
        <v>42746</v>
      </c>
      <c r="B272" s="549">
        <v>328708</v>
      </c>
    </row>
    <row r="273" spans="1:2" x14ac:dyDescent="0.2">
      <c r="A273" s="548">
        <v>42747</v>
      </c>
      <c r="B273" s="549">
        <v>321086.01</v>
      </c>
    </row>
    <row r="274" spans="1:2" x14ac:dyDescent="0.2">
      <c r="A274" s="548">
        <v>42748</v>
      </c>
      <c r="B274" s="549">
        <v>334097.28000000003</v>
      </c>
    </row>
    <row r="275" spans="1:2" x14ac:dyDescent="0.2">
      <c r="A275" s="548">
        <v>42751</v>
      </c>
      <c r="B275" s="549">
        <v>334097</v>
      </c>
    </row>
    <row r="276" spans="1:2" x14ac:dyDescent="0.2">
      <c r="A276" s="548">
        <v>42752</v>
      </c>
      <c r="B276" s="549">
        <v>268850.96000000002</v>
      </c>
    </row>
    <row r="277" spans="1:2" x14ac:dyDescent="0.2">
      <c r="A277" s="548">
        <v>42753</v>
      </c>
      <c r="B277" s="549">
        <v>268851</v>
      </c>
    </row>
    <row r="278" spans="1:2" x14ac:dyDescent="0.2">
      <c r="A278" s="548">
        <v>42754</v>
      </c>
      <c r="B278" s="549">
        <v>269075.21000000002</v>
      </c>
    </row>
    <row r="279" spans="1:2" x14ac:dyDescent="0.2">
      <c r="A279" s="548">
        <v>42755</v>
      </c>
      <c r="B279" s="549">
        <v>270983.21000000002</v>
      </c>
    </row>
    <row r="280" spans="1:2" x14ac:dyDescent="0.2">
      <c r="A280" s="548">
        <v>42758</v>
      </c>
      <c r="B280" s="549">
        <v>270983</v>
      </c>
    </row>
    <row r="281" spans="1:2" x14ac:dyDescent="0.2">
      <c r="A281" s="548">
        <v>42759</v>
      </c>
      <c r="B281" s="549">
        <v>270723.98</v>
      </c>
    </row>
    <row r="282" spans="1:2" x14ac:dyDescent="0.2">
      <c r="A282" s="548">
        <v>42760</v>
      </c>
      <c r="B282" s="549">
        <v>281353.09999999998</v>
      </c>
    </row>
    <row r="283" spans="1:2" x14ac:dyDescent="0.2">
      <c r="A283" s="548">
        <v>42761</v>
      </c>
      <c r="B283" s="549">
        <v>274313.84999999998</v>
      </c>
    </row>
    <row r="284" spans="1:2" x14ac:dyDescent="0.2">
      <c r="A284" s="548">
        <v>42762</v>
      </c>
      <c r="B284" s="549">
        <v>296447.59999999998</v>
      </c>
    </row>
    <row r="285" spans="1:2" x14ac:dyDescent="0.2">
      <c r="A285" s="548">
        <v>42765</v>
      </c>
      <c r="B285" s="549">
        <v>295107.96000000002</v>
      </c>
    </row>
    <row r="286" spans="1:2" x14ac:dyDescent="0.2">
      <c r="A286" s="548">
        <v>42766</v>
      </c>
      <c r="B286" s="549">
        <v>314030.53000000003</v>
      </c>
    </row>
    <row r="287" spans="1:2" x14ac:dyDescent="0.2">
      <c r="A287" s="548">
        <v>42767</v>
      </c>
      <c r="B287" s="549">
        <v>314031</v>
      </c>
    </row>
    <row r="288" spans="1:2" x14ac:dyDescent="0.2">
      <c r="A288" s="548">
        <v>42768</v>
      </c>
      <c r="B288" s="549">
        <v>312808.53999999998</v>
      </c>
    </row>
    <row r="289" spans="1:2" x14ac:dyDescent="0.2">
      <c r="A289" s="548">
        <v>42769</v>
      </c>
      <c r="B289" s="549">
        <v>316461.53999999998</v>
      </c>
    </row>
    <row r="290" spans="1:2" x14ac:dyDescent="0.2">
      <c r="A290" s="548">
        <v>42772</v>
      </c>
      <c r="B290" s="549">
        <v>316462</v>
      </c>
    </row>
    <row r="291" spans="1:2" x14ac:dyDescent="0.2">
      <c r="A291" s="548">
        <v>42773</v>
      </c>
      <c r="B291" s="549">
        <v>289560.21999999997</v>
      </c>
    </row>
    <row r="292" spans="1:2" x14ac:dyDescent="0.2">
      <c r="A292" s="548">
        <v>42774</v>
      </c>
      <c r="B292" s="549">
        <v>297310.21999999997</v>
      </c>
    </row>
    <row r="293" spans="1:2" x14ac:dyDescent="0.2">
      <c r="A293" s="548">
        <v>42775</v>
      </c>
      <c r="B293" s="549">
        <v>352433.91</v>
      </c>
    </row>
    <row r="294" spans="1:2" x14ac:dyDescent="0.2">
      <c r="A294" s="548">
        <v>42776</v>
      </c>
      <c r="B294" s="549">
        <v>352434</v>
      </c>
    </row>
    <row r="295" spans="1:2" x14ac:dyDescent="0.2">
      <c r="A295" s="548">
        <v>42779</v>
      </c>
      <c r="B295" s="549">
        <v>352434</v>
      </c>
    </row>
    <row r="296" spans="1:2" x14ac:dyDescent="0.2">
      <c r="A296" s="548">
        <v>42780</v>
      </c>
      <c r="B296" s="549">
        <v>352434</v>
      </c>
    </row>
    <row r="297" spans="1:2" x14ac:dyDescent="0.2">
      <c r="A297" s="548">
        <v>42781</v>
      </c>
      <c r="B297" s="549">
        <v>352542.46</v>
      </c>
    </row>
    <row r="298" spans="1:2" x14ac:dyDescent="0.2">
      <c r="A298" s="548">
        <v>42782</v>
      </c>
      <c r="B298" s="549">
        <v>383231.99</v>
      </c>
    </row>
    <row r="299" spans="1:2" x14ac:dyDescent="0.2">
      <c r="A299" s="548">
        <v>42783</v>
      </c>
      <c r="B299" s="588">
        <v>404679.36</v>
      </c>
    </row>
    <row r="300" spans="1:2" x14ac:dyDescent="0.2">
      <c r="A300" s="548">
        <v>42785</v>
      </c>
      <c r="B300" s="549">
        <v>404679</v>
      </c>
    </row>
    <row r="301" spans="1:2" x14ac:dyDescent="0.2">
      <c r="A301" s="548">
        <v>42787</v>
      </c>
      <c r="B301" s="549">
        <v>368703.72</v>
      </c>
    </row>
    <row r="302" spans="1:2" x14ac:dyDescent="0.2">
      <c r="A302" s="548">
        <v>42788</v>
      </c>
      <c r="B302" s="549">
        <v>368203.72</v>
      </c>
    </row>
    <row r="303" spans="1:2" x14ac:dyDescent="0.2">
      <c r="A303" s="548">
        <v>42789</v>
      </c>
      <c r="B303" s="549">
        <v>349211.92</v>
      </c>
    </row>
    <row r="304" spans="1:2" x14ac:dyDescent="0.2">
      <c r="A304" s="548">
        <v>42790</v>
      </c>
      <c r="B304" s="549">
        <v>384176.45</v>
      </c>
    </row>
    <row r="305" spans="1:2" x14ac:dyDescent="0.2">
      <c r="A305" s="548">
        <v>42793</v>
      </c>
      <c r="B305" s="549">
        <v>384176</v>
      </c>
    </row>
    <row r="306" spans="1:2" x14ac:dyDescent="0.2">
      <c r="A306" s="548">
        <v>42794</v>
      </c>
      <c r="B306" s="549">
        <v>384176</v>
      </c>
    </row>
    <row r="307" spans="1:2" x14ac:dyDescent="0.2">
      <c r="A307" s="548">
        <v>42795</v>
      </c>
      <c r="B307" s="549">
        <v>384176</v>
      </c>
    </row>
    <row r="308" spans="1:2" x14ac:dyDescent="0.2">
      <c r="A308" s="548">
        <v>42796</v>
      </c>
      <c r="B308" s="549">
        <v>395396.43</v>
      </c>
    </row>
    <row r="309" spans="1:2" x14ac:dyDescent="0.2">
      <c r="A309" s="548">
        <v>42797</v>
      </c>
      <c r="B309" s="549">
        <v>395396</v>
      </c>
    </row>
    <row r="310" spans="1:2" x14ac:dyDescent="0.2">
      <c r="A310" s="548">
        <v>42800</v>
      </c>
      <c r="B310" s="549">
        <v>395396</v>
      </c>
    </row>
    <row r="311" spans="1:2" x14ac:dyDescent="0.2">
      <c r="A311" s="548">
        <v>42801</v>
      </c>
      <c r="B311" s="549">
        <v>361856.47</v>
      </c>
    </row>
    <row r="312" spans="1:2" x14ac:dyDescent="0.2">
      <c r="A312" s="548">
        <v>42802</v>
      </c>
      <c r="B312" s="549">
        <v>361856</v>
      </c>
    </row>
    <row r="313" spans="1:2" x14ac:dyDescent="0.2">
      <c r="A313" s="548">
        <v>42803</v>
      </c>
      <c r="B313" s="549">
        <v>349877.16</v>
      </c>
    </row>
    <row r="314" spans="1:2" x14ac:dyDescent="0.2">
      <c r="A314" s="548">
        <v>42804</v>
      </c>
      <c r="B314" s="549">
        <v>359297.81</v>
      </c>
    </row>
    <row r="315" spans="1:2" x14ac:dyDescent="0.2">
      <c r="A315" s="548">
        <v>42807</v>
      </c>
      <c r="B315" s="549">
        <v>361678.91</v>
      </c>
    </row>
    <row r="316" spans="1:2" x14ac:dyDescent="0.2">
      <c r="A316" s="548">
        <v>42808</v>
      </c>
      <c r="B316" s="549">
        <v>361679</v>
      </c>
    </row>
    <row r="317" spans="1:2" x14ac:dyDescent="0.2">
      <c r="A317" s="548">
        <v>42809</v>
      </c>
      <c r="B317" s="549">
        <v>370843.37</v>
      </c>
    </row>
    <row r="318" spans="1:2" x14ac:dyDescent="0.2">
      <c r="A318" s="548">
        <v>42810</v>
      </c>
      <c r="B318" s="549">
        <v>377566.07</v>
      </c>
    </row>
    <row r="319" spans="1:2" x14ac:dyDescent="0.2">
      <c r="A319" s="548">
        <v>42811</v>
      </c>
      <c r="B319" s="549">
        <v>370373.97</v>
      </c>
    </row>
    <row r="320" spans="1:2" x14ac:dyDescent="0.2">
      <c r="A320" s="548">
        <v>42814</v>
      </c>
      <c r="B320" s="549">
        <v>338340.3</v>
      </c>
    </row>
    <row r="321" spans="1:2" x14ac:dyDescent="0.2">
      <c r="A321" s="548">
        <v>42815</v>
      </c>
      <c r="B321" s="549">
        <v>338340</v>
      </c>
    </row>
    <row r="322" spans="1:2" x14ac:dyDescent="0.2">
      <c r="A322" s="548">
        <v>42816</v>
      </c>
      <c r="B322" s="549">
        <v>338340</v>
      </c>
    </row>
    <row r="323" spans="1:2" x14ac:dyDescent="0.2">
      <c r="A323" s="548">
        <v>42817</v>
      </c>
      <c r="B323" s="549">
        <f>25944.71+322493.66</f>
        <v>348438.37</v>
      </c>
    </row>
    <row r="324" spans="1:2" x14ac:dyDescent="0.2">
      <c r="A324" s="548">
        <v>42818</v>
      </c>
      <c r="B324" s="549">
        <v>348438</v>
      </c>
    </row>
    <row r="325" spans="1:2" x14ac:dyDescent="0.2">
      <c r="A325" s="548">
        <v>42821</v>
      </c>
      <c r="B325" s="549">
        <v>348360.51</v>
      </c>
    </row>
    <row r="326" spans="1:2" x14ac:dyDescent="0.2">
      <c r="A326" s="548">
        <v>42822</v>
      </c>
      <c r="B326" s="522">
        <v>348440.48</v>
      </c>
    </row>
    <row r="327" spans="1:2" x14ac:dyDescent="0.2">
      <c r="A327" s="548">
        <v>42823</v>
      </c>
      <c r="B327" s="522">
        <v>348440</v>
      </c>
    </row>
    <row r="328" spans="1:2" x14ac:dyDescent="0.2">
      <c r="A328" s="548">
        <v>42824</v>
      </c>
      <c r="B328" s="522">
        <v>350305.92</v>
      </c>
    </row>
    <row r="329" spans="1:2" x14ac:dyDescent="0.2">
      <c r="A329" s="548">
        <v>42825</v>
      </c>
      <c r="B329" s="522">
        <v>350306</v>
      </c>
    </row>
    <row r="330" spans="1:2" x14ac:dyDescent="0.2">
      <c r="A330" s="548">
        <v>42828</v>
      </c>
      <c r="B330" s="522">
        <v>350306</v>
      </c>
    </row>
    <row r="331" spans="1:2" x14ac:dyDescent="0.2">
      <c r="A331" s="548">
        <v>42829</v>
      </c>
      <c r="B331" s="522">
        <v>320389.65000000002</v>
      </c>
    </row>
    <row r="332" spans="1:2" x14ac:dyDescent="0.2">
      <c r="A332" s="548">
        <v>42830</v>
      </c>
      <c r="B332" s="522">
        <v>320390</v>
      </c>
    </row>
    <row r="333" spans="1:2" x14ac:dyDescent="0.2">
      <c r="A333" s="548">
        <v>42831</v>
      </c>
      <c r="B333" s="522">
        <v>313344</v>
      </c>
    </row>
    <row r="334" spans="1:2" x14ac:dyDescent="0.2">
      <c r="A334" s="548">
        <v>42832</v>
      </c>
      <c r="B334" s="522">
        <v>313344</v>
      </c>
    </row>
    <row r="335" spans="1:2" x14ac:dyDescent="0.2">
      <c r="A335" s="548">
        <v>42835</v>
      </c>
      <c r="B335" s="522">
        <v>306132.78000000003</v>
      </c>
    </row>
    <row r="336" spans="1:2" x14ac:dyDescent="0.2">
      <c r="A336" s="548">
        <v>42836</v>
      </c>
      <c r="B336" s="522">
        <v>286047.34999999998</v>
      </c>
    </row>
    <row r="337" spans="1:2" x14ac:dyDescent="0.2">
      <c r="A337" s="548">
        <v>42837</v>
      </c>
      <c r="B337" s="522">
        <v>286047</v>
      </c>
    </row>
    <row r="338" spans="1:2" x14ac:dyDescent="0.2">
      <c r="A338" s="548">
        <v>42838</v>
      </c>
      <c r="B338" s="522">
        <v>272128.99</v>
      </c>
    </row>
    <row r="339" spans="1:2" x14ac:dyDescent="0.2">
      <c r="A339" s="548">
        <v>42839</v>
      </c>
      <c r="B339" s="522">
        <v>272229.71000000002</v>
      </c>
    </row>
    <row r="340" spans="1:2" x14ac:dyDescent="0.2">
      <c r="A340" s="548">
        <v>42842</v>
      </c>
      <c r="B340" s="522">
        <v>236683.56</v>
      </c>
    </row>
    <row r="341" spans="1:2" x14ac:dyDescent="0.2">
      <c r="A341" s="548">
        <v>42843</v>
      </c>
      <c r="B341" s="522">
        <v>244114.64</v>
      </c>
    </row>
    <row r="342" spans="1:2" x14ac:dyDescent="0.2">
      <c r="A342" s="548">
        <v>42844</v>
      </c>
      <c r="B342" s="522">
        <v>244115</v>
      </c>
    </row>
    <row r="343" spans="1:2" x14ac:dyDescent="0.2">
      <c r="A343" s="548">
        <v>42845</v>
      </c>
      <c r="B343" s="522">
        <v>241798.76</v>
      </c>
    </row>
    <row r="344" spans="1:2" x14ac:dyDescent="0.2">
      <c r="A344" s="548">
        <v>42846</v>
      </c>
      <c r="B344" s="522">
        <v>241799</v>
      </c>
    </row>
    <row r="345" spans="1:2" x14ac:dyDescent="0.2">
      <c r="A345" s="548">
        <v>42849</v>
      </c>
      <c r="B345" s="522">
        <v>241973.76000000001</v>
      </c>
    </row>
    <row r="346" spans="1:2" x14ac:dyDescent="0.2">
      <c r="A346" s="548">
        <v>42850</v>
      </c>
      <c r="B346" s="522">
        <v>243364.2</v>
      </c>
    </row>
    <row r="347" spans="1:2" x14ac:dyDescent="0.2">
      <c r="A347" s="548">
        <v>42851</v>
      </c>
      <c r="B347" s="522">
        <v>243364</v>
      </c>
    </row>
    <row r="348" spans="1:2" x14ac:dyDescent="0.2">
      <c r="A348" s="548">
        <v>42852</v>
      </c>
      <c r="B348" s="522">
        <v>259265.45</v>
      </c>
    </row>
    <row r="349" spans="1:2" x14ac:dyDescent="0.2">
      <c r="A349" s="548">
        <v>42853</v>
      </c>
      <c r="B349" s="522">
        <v>290731.18</v>
      </c>
    </row>
    <row r="350" spans="1:2" x14ac:dyDescent="0.2">
      <c r="A350" s="548">
        <v>42856</v>
      </c>
      <c r="B350" s="522">
        <v>251486.17</v>
      </c>
    </row>
    <row r="351" spans="1:2" x14ac:dyDescent="0.2">
      <c r="A351" s="548">
        <v>42857</v>
      </c>
      <c r="B351" s="522">
        <v>253188.17</v>
      </c>
    </row>
    <row r="352" spans="1:2" x14ac:dyDescent="0.2">
      <c r="A352" s="548">
        <v>42858</v>
      </c>
      <c r="B352" s="522">
        <v>253188</v>
      </c>
    </row>
    <row r="353" spans="1:2" x14ac:dyDescent="0.2">
      <c r="A353" s="548">
        <v>42859</v>
      </c>
      <c r="B353" s="522">
        <v>232739.33</v>
      </c>
    </row>
    <row r="354" spans="1:2" x14ac:dyDescent="0.2">
      <c r="A354" s="548">
        <v>42860</v>
      </c>
      <c r="B354" s="522">
        <v>234049.33</v>
      </c>
    </row>
    <row r="355" spans="1:2" x14ac:dyDescent="0.2">
      <c r="A355" s="548">
        <v>42863</v>
      </c>
      <c r="B355" s="522">
        <v>314317.77</v>
      </c>
    </row>
    <row r="356" spans="1:2" x14ac:dyDescent="0.2">
      <c r="A356" s="548">
        <v>42864</v>
      </c>
      <c r="B356" s="522">
        <v>314318</v>
      </c>
    </row>
    <row r="357" spans="1:2" x14ac:dyDescent="0.2">
      <c r="A357" s="548">
        <v>42865</v>
      </c>
      <c r="B357" s="522">
        <v>314318</v>
      </c>
    </row>
    <row r="358" spans="1:2" x14ac:dyDescent="0.2">
      <c r="A358" s="548">
        <v>42866</v>
      </c>
      <c r="B358" s="522">
        <v>313971.28000000003</v>
      </c>
    </row>
    <row r="359" spans="1:2" x14ac:dyDescent="0.2">
      <c r="A359" s="548">
        <v>42867</v>
      </c>
      <c r="B359" s="522">
        <v>313971</v>
      </c>
    </row>
    <row r="360" spans="1:2" x14ac:dyDescent="0.2">
      <c r="A360" s="548">
        <v>42870</v>
      </c>
      <c r="B360" s="522">
        <v>271063.69</v>
      </c>
    </row>
    <row r="361" spans="1:2" x14ac:dyDescent="0.2">
      <c r="A361" s="548">
        <v>42871</v>
      </c>
      <c r="B361" s="522">
        <v>271064</v>
      </c>
    </row>
    <row r="362" spans="1:2" x14ac:dyDescent="0.2">
      <c r="A362" s="548">
        <v>42872</v>
      </c>
      <c r="B362" s="522">
        <v>271064</v>
      </c>
    </row>
    <row r="363" spans="1:2" x14ac:dyDescent="0.2">
      <c r="A363" s="548">
        <v>42873</v>
      </c>
      <c r="B363" s="522">
        <v>261497.73</v>
      </c>
    </row>
    <row r="364" spans="1:2" x14ac:dyDescent="0.2">
      <c r="A364" s="548">
        <v>42874</v>
      </c>
      <c r="B364" s="522">
        <v>311507.92</v>
      </c>
    </row>
    <row r="365" spans="1:2" x14ac:dyDescent="0.2">
      <c r="A365" s="548">
        <v>42877</v>
      </c>
      <c r="B365" s="522">
        <v>290080.52</v>
      </c>
    </row>
    <row r="366" spans="1:2" x14ac:dyDescent="0.2">
      <c r="A366" s="548">
        <v>42878</v>
      </c>
      <c r="B366" s="522">
        <v>290081</v>
      </c>
    </row>
    <row r="367" spans="1:2" x14ac:dyDescent="0.2">
      <c r="A367" s="548">
        <v>42879</v>
      </c>
      <c r="B367" s="522">
        <v>327080.46000000002</v>
      </c>
    </row>
    <row r="368" spans="1:2" x14ac:dyDescent="0.2">
      <c r="A368" s="548">
        <v>42880</v>
      </c>
      <c r="B368" s="522">
        <v>327080</v>
      </c>
    </row>
    <row r="369" spans="1:2" x14ac:dyDescent="0.2">
      <c r="A369" s="548">
        <v>42881</v>
      </c>
      <c r="B369" s="522">
        <v>336844.12</v>
      </c>
    </row>
    <row r="370" spans="1:2" x14ac:dyDescent="0.2">
      <c r="A370" s="548">
        <v>42884</v>
      </c>
      <c r="B370" s="522">
        <v>336844</v>
      </c>
    </row>
    <row r="371" spans="1:2" x14ac:dyDescent="0.2">
      <c r="A371" s="548">
        <v>42885</v>
      </c>
      <c r="B371" s="522">
        <v>300553.48</v>
      </c>
    </row>
    <row r="372" spans="1:2" x14ac:dyDescent="0.2">
      <c r="A372" s="548">
        <v>42886</v>
      </c>
      <c r="B372" s="522">
        <v>296887.5</v>
      </c>
    </row>
    <row r="373" spans="1:2" x14ac:dyDescent="0.2">
      <c r="A373" s="548">
        <v>42887</v>
      </c>
      <c r="B373" s="522">
        <v>297355.68</v>
      </c>
    </row>
    <row r="374" spans="1:2" x14ac:dyDescent="0.2">
      <c r="A374" s="548">
        <v>42888</v>
      </c>
      <c r="B374" s="522">
        <v>298760.68</v>
      </c>
    </row>
    <row r="375" spans="1:2" x14ac:dyDescent="0.2">
      <c r="A375" s="548">
        <v>42891</v>
      </c>
      <c r="B375" s="522">
        <v>279006.82</v>
      </c>
    </row>
    <row r="376" spans="1:2" x14ac:dyDescent="0.2">
      <c r="A376" s="548">
        <v>42892</v>
      </c>
      <c r="B376" s="522">
        <v>279007</v>
      </c>
    </row>
    <row r="377" spans="1:2" x14ac:dyDescent="0.2">
      <c r="A377" s="548">
        <v>42893</v>
      </c>
      <c r="B377" s="522">
        <v>279007</v>
      </c>
    </row>
    <row r="378" spans="1:2" x14ac:dyDescent="0.2">
      <c r="A378" s="548">
        <v>42894</v>
      </c>
      <c r="B378" s="522">
        <v>279112.07</v>
      </c>
    </row>
    <row r="379" spans="1:2" x14ac:dyDescent="0.2">
      <c r="A379" s="548">
        <v>42895</v>
      </c>
      <c r="B379" s="522">
        <v>279112</v>
      </c>
    </row>
    <row r="380" spans="1:2" x14ac:dyDescent="0.2">
      <c r="A380" s="548">
        <v>42898</v>
      </c>
      <c r="B380" s="522">
        <v>244072.02</v>
      </c>
    </row>
    <row r="381" spans="1:2" x14ac:dyDescent="0.2">
      <c r="A381" s="548">
        <v>42899</v>
      </c>
      <c r="B381" s="522">
        <v>249325.41</v>
      </c>
    </row>
    <row r="382" spans="1:2" x14ac:dyDescent="0.2">
      <c r="A382" s="548">
        <v>42900</v>
      </c>
      <c r="B382" s="522">
        <v>249325</v>
      </c>
    </row>
    <row r="383" spans="1:2" x14ac:dyDescent="0.2">
      <c r="A383" s="548">
        <v>42901</v>
      </c>
      <c r="B383" s="522">
        <v>252874.48</v>
      </c>
    </row>
    <row r="384" spans="1:2" x14ac:dyDescent="0.2">
      <c r="A384" s="548">
        <v>42902</v>
      </c>
      <c r="B384" s="522">
        <v>253128.65</v>
      </c>
    </row>
    <row r="385" spans="1:2" x14ac:dyDescent="0.2">
      <c r="A385" s="548">
        <v>42905</v>
      </c>
      <c r="B385" s="522">
        <v>255098.96</v>
      </c>
    </row>
    <row r="386" spans="1:2" x14ac:dyDescent="0.2">
      <c r="A386" s="548">
        <v>42906</v>
      </c>
      <c r="B386" s="522">
        <v>253521.42</v>
      </c>
    </row>
    <row r="387" spans="1:2" x14ac:dyDescent="0.2">
      <c r="A387" s="548">
        <v>42907</v>
      </c>
      <c r="B387" s="522">
        <v>253521</v>
      </c>
    </row>
    <row r="388" spans="1:2" x14ac:dyDescent="0.2">
      <c r="A388" s="548">
        <v>42908</v>
      </c>
      <c r="B388" s="522">
        <v>235912.36</v>
      </c>
    </row>
    <row r="389" spans="1:2" x14ac:dyDescent="0.2">
      <c r="A389" s="548">
        <v>42909</v>
      </c>
      <c r="B389" s="522">
        <v>235912</v>
      </c>
    </row>
    <row r="390" spans="1:2" x14ac:dyDescent="0.2">
      <c r="A390" s="548">
        <v>42912</v>
      </c>
      <c r="B390" s="589">
        <v>198879.76</v>
      </c>
    </row>
    <row r="391" spans="1:2" x14ac:dyDescent="0.2">
      <c r="A391" s="548">
        <v>42913</v>
      </c>
      <c r="B391" s="522">
        <v>199009.76</v>
      </c>
    </row>
    <row r="392" spans="1:2" x14ac:dyDescent="0.2">
      <c r="A392" s="548">
        <v>42914</v>
      </c>
      <c r="B392" s="522">
        <v>199010</v>
      </c>
    </row>
    <row r="393" spans="1:2" x14ac:dyDescent="0.2">
      <c r="A393" s="548">
        <v>42915</v>
      </c>
      <c r="B393" s="522">
        <v>210354</v>
      </c>
    </row>
    <row r="394" spans="1:2" x14ac:dyDescent="0.2">
      <c r="A394" s="548">
        <v>42916</v>
      </c>
      <c r="B394" s="522">
        <v>260779.62</v>
      </c>
    </row>
    <row r="395" spans="1:2" x14ac:dyDescent="0.2">
      <c r="A395" s="548">
        <v>42919</v>
      </c>
      <c r="B395" s="522">
        <v>260780</v>
      </c>
    </row>
    <row r="396" spans="1:2" x14ac:dyDescent="0.2">
      <c r="A396" s="548">
        <v>42920</v>
      </c>
      <c r="B396" s="522">
        <v>260780</v>
      </c>
    </row>
    <row r="397" spans="1:2" x14ac:dyDescent="0.2">
      <c r="A397" s="548">
        <v>42921</v>
      </c>
      <c r="B397" s="522">
        <v>260780</v>
      </c>
    </row>
    <row r="398" spans="1:2" x14ac:dyDescent="0.2">
      <c r="A398" s="548">
        <v>42922</v>
      </c>
      <c r="B398" s="522">
        <v>261774.11</v>
      </c>
    </row>
    <row r="399" spans="1:2" x14ac:dyDescent="0.2">
      <c r="A399" s="548">
        <v>42923</v>
      </c>
      <c r="B399" s="522">
        <v>261774</v>
      </c>
    </row>
    <row r="400" spans="1:2" x14ac:dyDescent="0.2">
      <c r="A400" s="548">
        <v>42926</v>
      </c>
      <c r="B400" s="522">
        <v>226950.89</v>
      </c>
    </row>
    <row r="401" spans="1:2" x14ac:dyDescent="0.2">
      <c r="A401" s="548">
        <v>42927</v>
      </c>
      <c r="B401" s="522">
        <v>226951</v>
      </c>
    </row>
    <row r="402" spans="1:2" x14ac:dyDescent="0.2">
      <c r="A402" s="548">
        <v>42928</v>
      </c>
      <c r="B402" s="522">
        <v>248711.94</v>
      </c>
    </row>
    <row r="403" spans="1:2" x14ac:dyDescent="0.2">
      <c r="A403" s="548">
        <v>42929</v>
      </c>
      <c r="B403" s="522">
        <v>256201.58</v>
      </c>
    </row>
    <row r="404" spans="1:2" x14ac:dyDescent="0.2">
      <c r="A404" s="548">
        <v>42930</v>
      </c>
      <c r="B404" s="522">
        <v>256272.97</v>
      </c>
    </row>
    <row r="405" spans="1:2" x14ac:dyDescent="0.2">
      <c r="A405" s="548">
        <v>42933</v>
      </c>
      <c r="B405" s="522">
        <v>256056.42</v>
      </c>
    </row>
    <row r="406" spans="1:2" x14ac:dyDescent="0.2">
      <c r="A406" s="548">
        <v>42934</v>
      </c>
      <c r="B406" s="522">
        <v>257213.96</v>
      </c>
    </row>
    <row r="407" spans="1:2" x14ac:dyDescent="0.2">
      <c r="A407" s="548">
        <v>42935</v>
      </c>
      <c r="B407" s="522">
        <v>257214</v>
      </c>
    </row>
    <row r="408" spans="1:2" x14ac:dyDescent="0.2">
      <c r="A408" s="548">
        <v>42936</v>
      </c>
      <c r="B408" s="522">
        <v>260075.5</v>
      </c>
    </row>
    <row r="409" spans="1:2" x14ac:dyDescent="0.2">
      <c r="A409" s="548">
        <v>42937</v>
      </c>
      <c r="B409" s="522">
        <v>339825.5</v>
      </c>
    </row>
    <row r="410" spans="1:2" x14ac:dyDescent="0.2">
      <c r="A410" s="548">
        <v>42940</v>
      </c>
      <c r="B410" s="522">
        <v>303182.65000000002</v>
      </c>
    </row>
    <row r="411" spans="1:2" x14ac:dyDescent="0.2">
      <c r="A411" s="548">
        <v>42941</v>
      </c>
      <c r="B411" s="522">
        <v>322340.12</v>
      </c>
    </row>
    <row r="412" spans="1:2" x14ac:dyDescent="0.2">
      <c r="A412" s="548">
        <v>42942</v>
      </c>
      <c r="B412" s="522">
        <v>322340</v>
      </c>
    </row>
    <row r="413" spans="1:2" x14ac:dyDescent="0.2">
      <c r="A413" s="548">
        <v>42943</v>
      </c>
      <c r="B413" s="522">
        <v>308772.78999999998</v>
      </c>
    </row>
    <row r="414" spans="1:2" x14ac:dyDescent="0.2">
      <c r="A414" s="548">
        <v>42944</v>
      </c>
      <c r="B414" s="522">
        <v>317343.40999999997</v>
      </c>
    </row>
    <row r="415" spans="1:2" x14ac:dyDescent="0.2">
      <c r="A415" s="548">
        <v>42947</v>
      </c>
      <c r="B415" s="522">
        <v>317343</v>
      </c>
    </row>
    <row r="416" spans="1:2" x14ac:dyDescent="0.2">
      <c r="A416" s="548">
        <v>42948</v>
      </c>
      <c r="B416" s="522">
        <v>369152.35</v>
      </c>
    </row>
    <row r="417" spans="1:2" x14ac:dyDescent="0.2">
      <c r="A417" s="548">
        <v>42949</v>
      </c>
      <c r="B417" s="522">
        <v>371061.94</v>
      </c>
    </row>
    <row r="418" spans="1:2" x14ac:dyDescent="0.2">
      <c r="A418" s="548">
        <v>42950</v>
      </c>
      <c r="B418" s="522">
        <v>372080.87</v>
      </c>
    </row>
    <row r="419" spans="1:2" x14ac:dyDescent="0.2">
      <c r="A419" s="548">
        <v>42951</v>
      </c>
      <c r="B419" s="522">
        <v>372080.87</v>
      </c>
    </row>
    <row r="420" spans="1:2" x14ac:dyDescent="0.2">
      <c r="A420" s="548">
        <v>42954</v>
      </c>
      <c r="B420" s="522">
        <v>336189.47</v>
      </c>
    </row>
    <row r="421" spans="1:2" x14ac:dyDescent="0.2">
      <c r="A421" s="548">
        <v>42955</v>
      </c>
      <c r="B421" s="522">
        <v>340998.07</v>
      </c>
    </row>
    <row r="422" spans="1:2" x14ac:dyDescent="0.2">
      <c r="A422" s="548">
        <v>42956</v>
      </c>
      <c r="B422" s="522">
        <v>332763.65000000002</v>
      </c>
    </row>
    <row r="423" spans="1:2" x14ac:dyDescent="0.2">
      <c r="A423" s="548">
        <v>42957</v>
      </c>
      <c r="B423" s="522">
        <v>375651.45</v>
      </c>
    </row>
    <row r="424" spans="1:2" x14ac:dyDescent="0.2">
      <c r="A424" s="548">
        <v>42958</v>
      </c>
      <c r="B424" s="522">
        <v>378293.21</v>
      </c>
    </row>
    <row r="425" spans="1:2" x14ac:dyDescent="0.2">
      <c r="A425" s="548">
        <v>42961</v>
      </c>
      <c r="B425" s="522">
        <v>378293</v>
      </c>
    </row>
    <row r="426" spans="1:2" x14ac:dyDescent="0.2">
      <c r="A426" s="548">
        <v>42962</v>
      </c>
      <c r="B426" s="522">
        <v>401190.06</v>
      </c>
    </row>
    <row r="427" spans="1:2" x14ac:dyDescent="0.2">
      <c r="A427" s="548">
        <v>42963</v>
      </c>
      <c r="B427" s="522">
        <v>401190</v>
      </c>
    </row>
    <row r="428" spans="1:2" x14ac:dyDescent="0.2">
      <c r="A428" s="548">
        <v>42964</v>
      </c>
      <c r="B428" s="522">
        <v>401569.72</v>
      </c>
    </row>
    <row r="429" spans="1:2" x14ac:dyDescent="0.2">
      <c r="A429" s="548">
        <v>42965</v>
      </c>
      <c r="B429" s="522">
        <v>403837.72</v>
      </c>
    </row>
    <row r="430" spans="1:2" x14ac:dyDescent="0.2">
      <c r="A430" s="548">
        <v>42968</v>
      </c>
      <c r="B430" s="522">
        <v>369495.17</v>
      </c>
    </row>
    <row r="431" spans="1:2" x14ac:dyDescent="0.2">
      <c r="A431" s="548">
        <v>42969</v>
      </c>
      <c r="B431" s="522">
        <v>379169.06</v>
      </c>
    </row>
    <row r="432" spans="1:2" x14ac:dyDescent="0.2">
      <c r="A432" s="548">
        <v>42970</v>
      </c>
      <c r="B432" s="522">
        <v>379169</v>
      </c>
    </row>
    <row r="433" spans="1:2" x14ac:dyDescent="0.2">
      <c r="A433" s="548">
        <v>42971</v>
      </c>
      <c r="B433" s="522">
        <v>372540.41</v>
      </c>
    </row>
    <row r="434" spans="1:2" x14ac:dyDescent="0.2">
      <c r="A434" s="548">
        <v>42972</v>
      </c>
      <c r="B434" s="522">
        <v>372540</v>
      </c>
    </row>
    <row r="435" spans="1:2" x14ac:dyDescent="0.2">
      <c r="A435" s="548">
        <v>42975</v>
      </c>
      <c r="B435" s="522">
        <v>372540</v>
      </c>
    </row>
    <row r="436" spans="1:2" x14ac:dyDescent="0.2">
      <c r="A436" s="548">
        <v>42976</v>
      </c>
      <c r="B436" s="522">
        <v>374625.25</v>
      </c>
    </row>
    <row r="437" spans="1:2" x14ac:dyDescent="0.2">
      <c r="A437" s="548">
        <v>42977</v>
      </c>
      <c r="B437" s="522">
        <v>382658.46</v>
      </c>
    </row>
    <row r="438" spans="1:2" x14ac:dyDescent="0.2">
      <c r="A438" s="548">
        <v>42978</v>
      </c>
      <c r="B438" s="522">
        <v>389160.26</v>
      </c>
    </row>
    <row r="439" spans="1:2" x14ac:dyDescent="0.2">
      <c r="A439" s="548">
        <v>42979</v>
      </c>
      <c r="B439" s="522">
        <v>389160</v>
      </c>
    </row>
    <row r="440" spans="1:2" x14ac:dyDescent="0.2">
      <c r="A440" s="548">
        <v>42982</v>
      </c>
      <c r="B440" s="522">
        <v>389160</v>
      </c>
    </row>
    <row r="441" spans="1:2" x14ac:dyDescent="0.2">
      <c r="A441" s="548">
        <v>42983</v>
      </c>
      <c r="B441" s="522">
        <v>352908.42</v>
      </c>
    </row>
    <row r="442" spans="1:2" x14ac:dyDescent="0.2">
      <c r="A442" s="548">
        <v>42984</v>
      </c>
      <c r="B442" s="522">
        <v>383959.41</v>
      </c>
    </row>
    <row r="443" spans="1:2" x14ac:dyDescent="0.2">
      <c r="A443" s="548">
        <v>42985</v>
      </c>
      <c r="B443" s="522">
        <v>403148.81</v>
      </c>
    </row>
    <row r="444" spans="1:2" x14ac:dyDescent="0.2">
      <c r="A444" s="548">
        <v>42986</v>
      </c>
      <c r="B444" s="522">
        <v>403344.11</v>
      </c>
    </row>
    <row r="445" spans="1:2" x14ac:dyDescent="0.2">
      <c r="A445" s="548">
        <v>42989</v>
      </c>
      <c r="B445" s="522">
        <v>403344</v>
      </c>
    </row>
    <row r="446" spans="1:2" x14ac:dyDescent="0.2">
      <c r="A446" s="548">
        <v>42990</v>
      </c>
      <c r="B446" s="522">
        <v>403344</v>
      </c>
    </row>
    <row r="447" spans="1:2" x14ac:dyDescent="0.2">
      <c r="A447" s="548">
        <v>42991</v>
      </c>
      <c r="B447" s="522">
        <v>403344</v>
      </c>
    </row>
    <row r="448" spans="1:2" x14ac:dyDescent="0.2">
      <c r="A448" s="548">
        <v>42992</v>
      </c>
      <c r="B448" s="522">
        <v>400016.8</v>
      </c>
    </row>
    <row r="449" spans="1:2" x14ac:dyDescent="0.2">
      <c r="A449" s="548">
        <v>42993</v>
      </c>
      <c r="B449" s="522">
        <v>400134.96</v>
      </c>
    </row>
    <row r="450" spans="1:2" x14ac:dyDescent="0.2">
      <c r="A450" s="548">
        <v>42996</v>
      </c>
      <c r="B450" s="522">
        <v>364805.11</v>
      </c>
    </row>
    <row r="451" spans="1:2" x14ac:dyDescent="0.2">
      <c r="A451" s="548">
        <v>42997</v>
      </c>
      <c r="B451" s="522">
        <v>364805</v>
      </c>
    </row>
    <row r="452" spans="1:2" x14ac:dyDescent="0.2">
      <c r="A452" s="548">
        <v>42998</v>
      </c>
      <c r="B452" s="522">
        <v>371804.33</v>
      </c>
    </row>
    <row r="453" spans="1:2" x14ac:dyDescent="0.2">
      <c r="A453" s="548">
        <v>42999</v>
      </c>
      <c r="B453" s="522">
        <v>370759.85</v>
      </c>
    </row>
    <row r="454" spans="1:2" x14ac:dyDescent="0.2">
      <c r="A454" s="548">
        <v>43000</v>
      </c>
      <c r="B454" s="522">
        <v>389878.66</v>
      </c>
    </row>
    <row r="455" spans="1:2" x14ac:dyDescent="0.2">
      <c r="A455" s="548">
        <v>43003</v>
      </c>
      <c r="B455" s="522">
        <v>393013.02</v>
      </c>
    </row>
    <row r="456" spans="1:2" x14ac:dyDescent="0.2">
      <c r="A456" s="548">
        <v>43004</v>
      </c>
      <c r="B456" s="522">
        <v>393593.22</v>
      </c>
    </row>
    <row r="457" spans="1:2" x14ac:dyDescent="0.2">
      <c r="A457" s="548">
        <v>43005</v>
      </c>
      <c r="B457" s="522">
        <v>393593</v>
      </c>
    </row>
    <row r="458" spans="1:2" x14ac:dyDescent="0.2">
      <c r="A458" s="548">
        <v>43006</v>
      </c>
      <c r="B458" s="522">
        <v>385433.95</v>
      </c>
    </row>
    <row r="459" spans="1:2" x14ac:dyDescent="0.2">
      <c r="A459" s="548">
        <v>43007</v>
      </c>
      <c r="B459" s="522">
        <v>385678.15</v>
      </c>
    </row>
    <row r="460" spans="1:2" x14ac:dyDescent="0.2">
      <c r="A460" s="548">
        <v>43010</v>
      </c>
      <c r="B460" s="522">
        <v>350949.28</v>
      </c>
    </row>
    <row r="461" spans="1:2" x14ac:dyDescent="0.2">
      <c r="A461" s="548">
        <v>43011</v>
      </c>
      <c r="B461" s="522">
        <v>352010.98</v>
      </c>
    </row>
    <row r="462" spans="1:2" x14ac:dyDescent="0.2">
      <c r="A462" s="548">
        <v>43012</v>
      </c>
      <c r="B462" s="522">
        <v>352011</v>
      </c>
    </row>
    <row r="463" spans="1:2" x14ac:dyDescent="0.2">
      <c r="A463" s="548">
        <v>43013</v>
      </c>
      <c r="B463" s="522">
        <v>348679</v>
      </c>
    </row>
    <row r="464" spans="1:2" x14ac:dyDescent="0.2">
      <c r="A464" s="548">
        <v>43014</v>
      </c>
      <c r="B464" s="522">
        <v>348679</v>
      </c>
    </row>
    <row r="465" spans="1:2" x14ac:dyDescent="0.2">
      <c r="A465" s="548">
        <v>43017</v>
      </c>
      <c r="B465" s="522">
        <v>348679</v>
      </c>
    </row>
    <row r="466" spans="1:2" x14ac:dyDescent="0.2">
      <c r="A466" s="548">
        <v>43018</v>
      </c>
      <c r="B466" s="522">
        <v>348679</v>
      </c>
    </row>
    <row r="467" spans="1:2" x14ac:dyDescent="0.2">
      <c r="A467" s="548">
        <v>43019</v>
      </c>
      <c r="B467" s="522">
        <v>348761.24</v>
      </c>
    </row>
    <row r="468" spans="1:2" x14ac:dyDescent="0.2">
      <c r="A468" s="548">
        <v>43020</v>
      </c>
      <c r="B468" s="522">
        <v>349998.26</v>
      </c>
    </row>
    <row r="469" spans="1:2" x14ac:dyDescent="0.2">
      <c r="A469" s="548">
        <v>43021</v>
      </c>
      <c r="B469" s="522">
        <v>370561.14</v>
      </c>
    </row>
    <row r="470" spans="1:2" x14ac:dyDescent="0.2">
      <c r="A470" s="548">
        <v>43024</v>
      </c>
      <c r="B470" s="522">
        <v>336220.14</v>
      </c>
    </row>
    <row r="471" spans="1:2" x14ac:dyDescent="0.2">
      <c r="A471" s="548">
        <v>43025</v>
      </c>
      <c r="B471" s="522">
        <v>336332.14</v>
      </c>
    </row>
    <row r="472" spans="1:2" x14ac:dyDescent="0.2">
      <c r="A472" s="548">
        <v>43026</v>
      </c>
      <c r="B472" s="522">
        <v>336332</v>
      </c>
    </row>
    <row r="473" spans="1:2" x14ac:dyDescent="0.2">
      <c r="A473" s="548">
        <v>43027</v>
      </c>
      <c r="B473" s="522">
        <v>339185.02</v>
      </c>
    </row>
    <row r="474" spans="1:2" x14ac:dyDescent="0.2">
      <c r="A474" s="548">
        <v>43028</v>
      </c>
      <c r="B474" s="522">
        <v>344936.35</v>
      </c>
    </row>
    <row r="475" spans="1:2" x14ac:dyDescent="0.2">
      <c r="A475" s="548">
        <v>43031</v>
      </c>
      <c r="B475" s="522">
        <v>344564.68</v>
      </c>
    </row>
    <row r="476" spans="1:2" x14ac:dyDescent="0.2">
      <c r="A476" s="548">
        <v>43032</v>
      </c>
      <c r="B476" s="522">
        <v>344565</v>
      </c>
    </row>
    <row r="477" spans="1:2" x14ac:dyDescent="0.2">
      <c r="A477" s="548">
        <v>43033</v>
      </c>
      <c r="B477" s="522">
        <v>344829.18</v>
      </c>
    </row>
    <row r="478" spans="1:2" x14ac:dyDescent="0.2">
      <c r="A478" s="548">
        <v>43034</v>
      </c>
      <c r="B478" s="522">
        <v>339942.05</v>
      </c>
    </row>
    <row r="479" spans="1:2" x14ac:dyDescent="0.2">
      <c r="A479" s="548">
        <v>43035</v>
      </c>
      <c r="B479" s="522">
        <v>360185.72</v>
      </c>
    </row>
    <row r="480" spans="1:2" x14ac:dyDescent="0.2">
      <c r="A480" s="548">
        <v>43038</v>
      </c>
      <c r="B480" s="522">
        <v>323067.73</v>
      </c>
    </row>
    <row r="481" spans="1:2" x14ac:dyDescent="0.2">
      <c r="A481" s="548">
        <v>43039</v>
      </c>
      <c r="B481" s="522">
        <v>323197.73</v>
      </c>
    </row>
    <row r="482" spans="1:2" x14ac:dyDescent="0.2">
      <c r="A482" s="548">
        <v>43040</v>
      </c>
      <c r="B482" s="522">
        <v>323198</v>
      </c>
    </row>
    <row r="483" spans="1:2" x14ac:dyDescent="0.2">
      <c r="A483" s="548">
        <v>43041</v>
      </c>
      <c r="B483" s="522">
        <v>341044.7</v>
      </c>
    </row>
    <row r="484" spans="1:2" x14ac:dyDescent="0.2">
      <c r="A484" s="548">
        <v>43042</v>
      </c>
      <c r="B484" s="522">
        <v>341676.17</v>
      </c>
    </row>
    <row r="485" spans="1:2" x14ac:dyDescent="0.2">
      <c r="A485" s="548">
        <v>43045</v>
      </c>
      <c r="B485" s="522">
        <v>341676</v>
      </c>
    </row>
    <row r="486" spans="1:2" x14ac:dyDescent="0.2">
      <c r="A486" s="548">
        <v>43046</v>
      </c>
      <c r="B486" s="522">
        <v>341676</v>
      </c>
    </row>
    <row r="487" spans="1:2" x14ac:dyDescent="0.2">
      <c r="A487" s="548">
        <v>43047</v>
      </c>
      <c r="B487" s="522">
        <v>379863.97</v>
      </c>
    </row>
    <row r="488" spans="1:2" x14ac:dyDescent="0.2">
      <c r="A488" s="548">
        <v>43048</v>
      </c>
      <c r="B488" s="522">
        <v>378842.06</v>
      </c>
    </row>
    <row r="489" spans="1:2" x14ac:dyDescent="0.2">
      <c r="A489" s="548">
        <v>43049</v>
      </c>
      <c r="B489" s="522">
        <v>378842</v>
      </c>
    </row>
    <row r="490" spans="1:2" x14ac:dyDescent="0.2">
      <c r="A490" s="548">
        <v>43052</v>
      </c>
      <c r="B490" s="522">
        <v>340784.14</v>
      </c>
    </row>
    <row r="491" spans="1:2" x14ac:dyDescent="0.2">
      <c r="A491" s="548">
        <v>43053</v>
      </c>
      <c r="B491" s="522">
        <v>340784</v>
      </c>
    </row>
    <row r="492" spans="1:2" x14ac:dyDescent="0.2">
      <c r="A492" s="548">
        <v>43054</v>
      </c>
      <c r="B492" s="522">
        <v>340895.76</v>
      </c>
    </row>
    <row r="493" spans="1:2" x14ac:dyDescent="0.2">
      <c r="A493" s="548">
        <v>43055</v>
      </c>
      <c r="B493" s="522">
        <v>354246.44</v>
      </c>
    </row>
    <row r="494" spans="1:2" x14ac:dyDescent="0.2">
      <c r="A494" s="548">
        <v>43056</v>
      </c>
      <c r="B494" s="522">
        <v>354246.44</v>
      </c>
    </row>
    <row r="495" spans="1:2" x14ac:dyDescent="0.2">
      <c r="A495" s="548">
        <v>43059</v>
      </c>
      <c r="B495" s="522">
        <v>354264.44</v>
      </c>
    </row>
    <row r="496" spans="1:2" x14ac:dyDescent="0.2">
      <c r="A496" s="548">
        <v>43060</v>
      </c>
      <c r="B496" s="522">
        <v>354264</v>
      </c>
    </row>
    <row r="497" spans="1:2" x14ac:dyDescent="0.2">
      <c r="A497" s="548">
        <v>43061</v>
      </c>
      <c r="B497" s="522">
        <v>357804.55</v>
      </c>
    </row>
    <row r="498" spans="1:2" x14ac:dyDescent="0.2">
      <c r="A498" s="548">
        <v>43062</v>
      </c>
      <c r="B498" s="522">
        <v>357805</v>
      </c>
    </row>
    <row r="499" spans="1:2" x14ac:dyDescent="0.2">
      <c r="A499" s="548">
        <v>43063</v>
      </c>
      <c r="B499" s="522">
        <v>361119.05</v>
      </c>
    </row>
    <row r="500" spans="1:2" x14ac:dyDescent="0.2">
      <c r="A500" s="548">
        <v>43066</v>
      </c>
      <c r="B500" s="522">
        <v>318415.71000000002</v>
      </c>
    </row>
    <row r="501" spans="1:2" x14ac:dyDescent="0.2">
      <c r="A501" s="548">
        <v>43067</v>
      </c>
      <c r="B501" s="522">
        <v>320237.53999999998</v>
      </c>
    </row>
    <row r="502" spans="1:2" x14ac:dyDescent="0.2">
      <c r="A502" s="548">
        <v>43068</v>
      </c>
      <c r="B502" s="522">
        <v>320237.53999999998</v>
      </c>
    </row>
    <row r="503" spans="1:2" x14ac:dyDescent="0.2">
      <c r="A503" s="548">
        <v>43069</v>
      </c>
      <c r="B503" s="522">
        <v>325286.46999999997</v>
      </c>
    </row>
    <row r="504" spans="1:2" x14ac:dyDescent="0.2">
      <c r="A504" s="548">
        <v>43070</v>
      </c>
      <c r="B504" s="522">
        <v>334247.03000000003</v>
      </c>
    </row>
    <row r="505" spans="1:2" x14ac:dyDescent="0.2">
      <c r="A505" s="548">
        <v>43073</v>
      </c>
      <c r="B505" s="522">
        <v>334247</v>
      </c>
    </row>
    <row r="506" spans="1:2" x14ac:dyDescent="0.2">
      <c r="A506" s="548">
        <v>43074</v>
      </c>
      <c r="B506" s="522">
        <v>334247.03000000003</v>
      </c>
    </row>
    <row r="507" spans="1:2" x14ac:dyDescent="0.2">
      <c r="A507" s="548">
        <v>43075</v>
      </c>
      <c r="B507" s="522">
        <v>334247</v>
      </c>
    </row>
    <row r="508" spans="1:2" x14ac:dyDescent="0.2">
      <c r="A508" s="548">
        <v>43076</v>
      </c>
      <c r="B508" s="522">
        <v>323171.46000000002</v>
      </c>
    </row>
    <row r="509" spans="1:2" x14ac:dyDescent="0.2">
      <c r="A509" s="548">
        <v>43077</v>
      </c>
      <c r="B509" s="522">
        <v>324229.90999999997</v>
      </c>
    </row>
    <row r="510" spans="1:2" x14ac:dyDescent="0.2">
      <c r="A510" s="548">
        <v>43080</v>
      </c>
      <c r="B510" s="522">
        <v>324230</v>
      </c>
    </row>
    <row r="511" spans="1:2" x14ac:dyDescent="0.2">
      <c r="A511" s="548">
        <v>43081</v>
      </c>
      <c r="B511" s="522">
        <v>286030.39</v>
      </c>
    </row>
    <row r="512" spans="1:2" x14ac:dyDescent="0.2">
      <c r="A512" s="548">
        <v>43082</v>
      </c>
      <c r="B512" s="522">
        <v>286197.44</v>
      </c>
    </row>
    <row r="513" spans="1:8" x14ac:dyDescent="0.2">
      <c r="A513" s="548">
        <v>43083</v>
      </c>
      <c r="B513" s="522">
        <v>280065.2</v>
      </c>
    </row>
    <row r="514" spans="1:8" x14ac:dyDescent="0.2">
      <c r="A514" s="548">
        <v>43084</v>
      </c>
      <c r="B514" s="522">
        <v>284409.09999999998</v>
      </c>
    </row>
    <row r="515" spans="1:8" x14ac:dyDescent="0.2">
      <c r="A515" s="548">
        <v>43087</v>
      </c>
      <c r="B515" s="522">
        <v>285119.09999999998</v>
      </c>
    </row>
    <row r="516" spans="1:8" x14ac:dyDescent="0.2">
      <c r="A516" s="548">
        <v>43088</v>
      </c>
      <c r="B516" s="522">
        <v>285395.49</v>
      </c>
    </row>
    <row r="517" spans="1:8" x14ac:dyDescent="0.2">
      <c r="A517" s="548">
        <v>43089</v>
      </c>
      <c r="B517" s="522">
        <v>285395</v>
      </c>
    </row>
    <row r="518" spans="1:8" x14ac:dyDescent="0.2">
      <c r="A518" s="548">
        <v>43090</v>
      </c>
      <c r="B518" s="522">
        <v>285542.49</v>
      </c>
    </row>
    <row r="519" spans="1:8" x14ac:dyDescent="0.2">
      <c r="A519" s="548">
        <v>43091</v>
      </c>
      <c r="B519" s="522">
        <v>285542</v>
      </c>
    </row>
    <row r="520" spans="1:8" x14ac:dyDescent="0.2">
      <c r="A520" s="548">
        <v>43094</v>
      </c>
      <c r="B520" s="522">
        <v>285542</v>
      </c>
    </row>
    <row r="521" spans="1:8" x14ac:dyDescent="0.2">
      <c r="A521" s="548">
        <v>43095</v>
      </c>
      <c r="B521" s="522">
        <v>248584.72</v>
      </c>
    </row>
    <row r="522" spans="1:8" x14ac:dyDescent="0.2">
      <c r="A522" s="548">
        <v>43096</v>
      </c>
      <c r="B522" s="522">
        <v>248585</v>
      </c>
    </row>
    <row r="523" spans="1:8" x14ac:dyDescent="0.2">
      <c r="A523" s="548">
        <v>43097</v>
      </c>
      <c r="B523" s="522">
        <v>270685.83</v>
      </c>
    </row>
    <row r="524" spans="1:8" x14ac:dyDescent="0.2">
      <c r="A524" s="548">
        <v>43098</v>
      </c>
      <c r="B524" s="522">
        <v>282558.58</v>
      </c>
    </row>
    <row r="525" spans="1:8" x14ac:dyDescent="0.2">
      <c r="A525" s="548">
        <v>43101</v>
      </c>
      <c r="B525" s="522">
        <v>282559</v>
      </c>
      <c r="F525" s="524"/>
      <c r="G525" t="s">
        <v>200</v>
      </c>
      <c r="H525" t="s">
        <v>235</v>
      </c>
    </row>
    <row r="526" spans="1:8" x14ac:dyDescent="0.2">
      <c r="A526" s="548">
        <v>43102</v>
      </c>
      <c r="B526" s="522">
        <v>282508.58</v>
      </c>
      <c r="F526" s="524">
        <v>42370</v>
      </c>
      <c r="G526" s="525">
        <v>369484</v>
      </c>
      <c r="H526" s="658">
        <v>31036</v>
      </c>
    </row>
    <row r="527" spans="1:8" x14ac:dyDescent="0.2">
      <c r="A527" s="548">
        <v>43103</v>
      </c>
      <c r="B527" s="522">
        <v>282509</v>
      </c>
      <c r="F527" s="524">
        <v>42401</v>
      </c>
      <c r="G527" s="525">
        <v>295493.53000000003</v>
      </c>
      <c r="H527" s="658">
        <v>31035.72</v>
      </c>
    </row>
    <row r="528" spans="1:8" x14ac:dyDescent="0.2">
      <c r="A528" s="548">
        <v>43104</v>
      </c>
      <c r="B528" s="522">
        <v>283213.14</v>
      </c>
      <c r="F528" s="524">
        <v>42430</v>
      </c>
      <c r="G528" s="525">
        <v>255865.07</v>
      </c>
      <c r="H528" s="658">
        <v>151035.72</v>
      </c>
    </row>
    <row r="529" spans="1:13" x14ac:dyDescent="0.2">
      <c r="A529" s="548">
        <v>43105</v>
      </c>
      <c r="B529" s="522">
        <v>297779.06</v>
      </c>
      <c r="F529" s="524">
        <v>42461</v>
      </c>
      <c r="G529" s="525">
        <v>294098.96000000002</v>
      </c>
      <c r="H529" s="658">
        <v>151036</v>
      </c>
    </row>
    <row r="530" spans="1:13" x14ac:dyDescent="0.2">
      <c r="A530" s="548">
        <v>43108</v>
      </c>
      <c r="B530" s="522">
        <v>263886.2</v>
      </c>
      <c r="F530" s="524">
        <v>42491</v>
      </c>
      <c r="G530" s="525">
        <v>333922.02</v>
      </c>
      <c r="H530" s="658">
        <v>151087.09</v>
      </c>
    </row>
    <row r="531" spans="1:13" x14ac:dyDescent="0.2">
      <c r="A531" s="548">
        <v>43109</v>
      </c>
      <c r="B531" s="522">
        <v>277030.96999999997</v>
      </c>
      <c r="F531" s="524">
        <v>42551</v>
      </c>
      <c r="G531" s="525">
        <v>384005.8</v>
      </c>
      <c r="H531" s="658">
        <v>151336.84</v>
      </c>
    </row>
    <row r="532" spans="1:13" x14ac:dyDescent="0.2">
      <c r="A532" s="548">
        <v>43110</v>
      </c>
      <c r="B532" s="522">
        <v>277031</v>
      </c>
      <c r="F532" s="524">
        <v>42582</v>
      </c>
      <c r="G532" s="525">
        <v>292004.15999999997</v>
      </c>
      <c r="H532" s="658">
        <v>151611.29999999999</v>
      </c>
    </row>
    <row r="533" spans="1:13" x14ac:dyDescent="0.2">
      <c r="A533" s="548">
        <v>43111</v>
      </c>
      <c r="B533" s="522">
        <v>281394.14</v>
      </c>
      <c r="F533" s="524">
        <v>42583</v>
      </c>
      <c r="G533" s="525">
        <v>182562.29</v>
      </c>
      <c r="H533" s="658">
        <v>151776.70000000001</v>
      </c>
    </row>
    <row r="534" spans="1:13" x14ac:dyDescent="0.2">
      <c r="A534" s="548">
        <v>43112</v>
      </c>
      <c r="B534" s="522">
        <v>281470.18</v>
      </c>
      <c r="F534" s="524">
        <v>42614</v>
      </c>
      <c r="G534" s="525">
        <v>242442.87</v>
      </c>
      <c r="H534" s="658">
        <v>151844.44</v>
      </c>
    </row>
    <row r="535" spans="1:13" x14ac:dyDescent="0.2">
      <c r="A535" s="548">
        <v>43115</v>
      </c>
      <c r="B535" s="522">
        <v>281470</v>
      </c>
      <c r="F535" s="524">
        <v>42644</v>
      </c>
      <c r="G535" s="525">
        <v>247104.37</v>
      </c>
      <c r="H535" s="658">
        <v>152036.04</v>
      </c>
    </row>
    <row r="536" spans="1:13" x14ac:dyDescent="0.2">
      <c r="A536" s="548">
        <v>43116</v>
      </c>
      <c r="B536" s="522">
        <v>284325.94</v>
      </c>
      <c r="F536" s="524">
        <v>42675</v>
      </c>
      <c r="G536" s="525">
        <v>246462.95</v>
      </c>
      <c r="H536" s="658">
        <v>152464.91</v>
      </c>
    </row>
    <row r="537" spans="1:13" x14ac:dyDescent="0.2">
      <c r="A537" s="548">
        <v>43117</v>
      </c>
      <c r="B537" s="522">
        <v>305911.78000000003</v>
      </c>
      <c r="F537" s="524">
        <v>42705</v>
      </c>
      <c r="G537" s="525">
        <v>249839.51</v>
      </c>
      <c r="H537" s="658">
        <v>154533.13</v>
      </c>
    </row>
    <row r="538" spans="1:13" x14ac:dyDescent="0.2">
      <c r="A538" s="548">
        <v>43118</v>
      </c>
      <c r="B538" s="522">
        <v>305752.93</v>
      </c>
      <c r="F538" s="524">
        <v>42736</v>
      </c>
      <c r="G538" s="525">
        <v>351420</v>
      </c>
      <c r="H538" s="658">
        <v>155633.59</v>
      </c>
    </row>
    <row r="539" spans="1:13" x14ac:dyDescent="0.2">
      <c r="A539" s="548">
        <v>43119</v>
      </c>
      <c r="B539" s="522">
        <v>332730.14</v>
      </c>
      <c r="F539" s="524">
        <v>42767</v>
      </c>
      <c r="G539" s="525">
        <v>253330</v>
      </c>
      <c r="H539" s="658">
        <v>158448.25</v>
      </c>
    </row>
    <row r="540" spans="1:13" x14ac:dyDescent="0.2">
      <c r="A540" s="548">
        <v>43122</v>
      </c>
      <c r="B540" s="522">
        <v>291419.49</v>
      </c>
      <c r="F540" s="524">
        <v>42795</v>
      </c>
      <c r="G540" s="525">
        <v>280744</v>
      </c>
      <c r="H540" s="658">
        <v>159113.29</v>
      </c>
    </row>
    <row r="541" spans="1:13" x14ac:dyDescent="0.2">
      <c r="A541" s="548">
        <v>43123</v>
      </c>
      <c r="B541" s="522">
        <v>293419.65000000002</v>
      </c>
      <c r="F541" s="524">
        <v>42826</v>
      </c>
      <c r="G541" s="525">
        <v>319478.15999999997</v>
      </c>
      <c r="H541" s="658">
        <v>159614.53</v>
      </c>
    </row>
    <row r="542" spans="1:13" x14ac:dyDescent="0.2">
      <c r="A542" s="548">
        <v>43124</v>
      </c>
      <c r="B542" s="522">
        <v>293420</v>
      </c>
      <c r="F542" s="524">
        <v>42856</v>
      </c>
      <c r="G542" s="525">
        <v>241828.1</v>
      </c>
      <c r="H542" s="658">
        <v>160436.21</v>
      </c>
      <c r="L542" t="s">
        <v>385</v>
      </c>
    </row>
    <row r="543" spans="1:13" x14ac:dyDescent="0.2">
      <c r="A543" s="548">
        <v>43125</v>
      </c>
      <c r="B543" s="522">
        <v>301331.82</v>
      </c>
      <c r="F543" s="524">
        <v>42887</v>
      </c>
      <c r="G543" s="525">
        <v>248981.18</v>
      </c>
      <c r="H543" s="658">
        <v>160443.22</v>
      </c>
      <c r="L543" t="s">
        <v>386</v>
      </c>
      <c r="M543" s="658">
        <f>'Feb''19 State of Activities'!G9</f>
        <v>150178.28</v>
      </c>
    </row>
    <row r="544" spans="1:13" x14ac:dyDescent="0.2">
      <c r="A544" s="548">
        <v>43126</v>
      </c>
      <c r="B544" s="522">
        <v>327084.28999999998</v>
      </c>
      <c r="F544" s="524">
        <v>42917</v>
      </c>
      <c r="G544" s="525">
        <v>268937.63</v>
      </c>
      <c r="H544" s="658">
        <v>161526.35999999999</v>
      </c>
      <c r="L544" t="s">
        <v>387</v>
      </c>
      <c r="M544" s="247">
        <f>'Feb''19 State of Activities'!G11</f>
        <v>24680.78</v>
      </c>
    </row>
    <row r="545" spans="1:13" x14ac:dyDescent="0.2">
      <c r="A545" s="548">
        <v>43129</v>
      </c>
      <c r="B545" s="522">
        <v>327084</v>
      </c>
      <c r="F545" s="524">
        <v>42948</v>
      </c>
      <c r="G545" s="525">
        <v>198251.6</v>
      </c>
      <c r="H545" s="658">
        <v>162013.01</v>
      </c>
      <c r="L545" t="s">
        <v>388</v>
      </c>
      <c r="M545" s="247">
        <f>'Feb''19 State of Activities'!G10</f>
        <v>0</v>
      </c>
    </row>
    <row r="546" spans="1:13" x14ac:dyDescent="0.2">
      <c r="A546" s="548">
        <v>43130</v>
      </c>
      <c r="B546" s="522">
        <v>327084</v>
      </c>
      <c r="F546" s="524">
        <v>42979</v>
      </c>
      <c r="G546" s="525">
        <v>178964.63</v>
      </c>
      <c r="H546" s="658">
        <v>163493.49</v>
      </c>
      <c r="L546" t="s">
        <v>389</v>
      </c>
      <c r="M546" s="247">
        <f>'Feb''19 State of Activities'!G12</f>
        <v>6058.93</v>
      </c>
    </row>
    <row r="547" spans="1:13" x14ac:dyDescent="0.2">
      <c r="A547" s="548">
        <v>43131</v>
      </c>
      <c r="B547" s="522">
        <v>337130.63</v>
      </c>
      <c r="F547" s="524">
        <v>43009</v>
      </c>
      <c r="G547" s="525">
        <v>199171.39</v>
      </c>
      <c r="H547" s="658">
        <v>164090.28</v>
      </c>
      <c r="L547" t="s">
        <v>390</v>
      </c>
      <c r="M547" s="247">
        <f>'Feb''19 State of Activities'!G14</f>
        <v>33376.33</v>
      </c>
    </row>
    <row r="548" spans="1:13" x14ac:dyDescent="0.2">
      <c r="A548" s="548">
        <v>43132</v>
      </c>
      <c r="B548" s="522">
        <v>334292.59999999998</v>
      </c>
      <c r="F548" s="524">
        <v>43040</v>
      </c>
      <c r="G548" s="525">
        <v>180584.58</v>
      </c>
      <c r="H548" s="658">
        <v>164908.01</v>
      </c>
      <c r="L548" t="s">
        <v>391</v>
      </c>
      <c r="M548" s="247">
        <f>'Feb''19 State of Activities'!G15</f>
        <v>2166.66</v>
      </c>
    </row>
    <row r="549" spans="1:13" x14ac:dyDescent="0.2">
      <c r="A549" s="548">
        <v>43133</v>
      </c>
      <c r="B549" s="522">
        <v>335977.23</v>
      </c>
      <c r="F549" s="524">
        <v>43070</v>
      </c>
      <c r="G549" s="525">
        <v>258260.86</v>
      </c>
      <c r="H549" s="658">
        <v>164937.87</v>
      </c>
      <c r="L549" t="s">
        <v>392</v>
      </c>
      <c r="M549">
        <v>50000</v>
      </c>
    </row>
    <row r="550" spans="1:13" x14ac:dyDescent="0.2">
      <c r="A550" s="548">
        <v>43136</v>
      </c>
      <c r="B550" s="522">
        <v>300614.99</v>
      </c>
      <c r="F550" s="524">
        <v>43101</v>
      </c>
      <c r="G550" s="525">
        <v>297556.56</v>
      </c>
      <c r="H550" s="658">
        <v>167966.33</v>
      </c>
      <c r="L550" t="s">
        <v>393</v>
      </c>
      <c r="M550">
        <v>19000</v>
      </c>
    </row>
    <row r="551" spans="1:13" x14ac:dyDescent="0.2">
      <c r="A551" s="548">
        <v>43137</v>
      </c>
      <c r="B551" s="522">
        <v>295509.53999999998</v>
      </c>
      <c r="F551" s="524">
        <v>43132</v>
      </c>
      <c r="G551" s="525">
        <v>287550</v>
      </c>
      <c r="H551" s="658">
        <v>164746.72</v>
      </c>
    </row>
    <row r="552" spans="1:13" x14ac:dyDescent="0.2">
      <c r="A552" s="548">
        <v>43138</v>
      </c>
      <c r="B552" s="522">
        <v>295510</v>
      </c>
      <c r="F552" s="524">
        <v>43160</v>
      </c>
      <c r="G552" s="525">
        <v>277699.34999999998</v>
      </c>
      <c r="H552" s="658">
        <v>163400.39000000001</v>
      </c>
      <c r="L552" t="s">
        <v>395</v>
      </c>
      <c r="M552" s="658">
        <f>SUM(M543:M551)</f>
        <v>285460.98</v>
      </c>
    </row>
    <row r="553" spans="1:13" x14ac:dyDescent="0.2">
      <c r="A553" s="548">
        <v>43139</v>
      </c>
      <c r="B553" s="522">
        <v>295623.09999999998</v>
      </c>
      <c r="F553" s="524">
        <v>43191</v>
      </c>
      <c r="G553" s="525">
        <v>310068.02</v>
      </c>
      <c r="H553" s="658">
        <v>163874.63</v>
      </c>
    </row>
    <row r="554" spans="1:13" x14ac:dyDescent="0.2">
      <c r="A554" s="548">
        <v>43140</v>
      </c>
      <c r="B554" s="522">
        <v>295623</v>
      </c>
      <c r="F554" s="524">
        <v>43221</v>
      </c>
      <c r="G554" s="525">
        <v>338828.68</v>
      </c>
      <c r="H554" s="658">
        <v>165109.67000000001</v>
      </c>
      <c r="L554" t="s">
        <v>394</v>
      </c>
      <c r="M554" s="525">
        <f>AVERAGE(G550:G561)</f>
        <v>280859.70666666667</v>
      </c>
    </row>
    <row r="555" spans="1:13" x14ac:dyDescent="0.2">
      <c r="A555" s="548">
        <v>43143</v>
      </c>
      <c r="B555" s="522">
        <v>299232.09999999998</v>
      </c>
      <c r="F555" s="524">
        <v>43252</v>
      </c>
      <c r="G555" s="525">
        <v>316601.96000000002</v>
      </c>
      <c r="H555" s="658">
        <v>164894.5</v>
      </c>
    </row>
    <row r="556" spans="1:13" x14ac:dyDescent="0.2">
      <c r="A556" s="548">
        <v>43144</v>
      </c>
      <c r="B556" s="522">
        <v>304422.01</v>
      </c>
      <c r="F556" s="524">
        <v>43282</v>
      </c>
      <c r="G556" s="525">
        <v>282196.90999999997</v>
      </c>
      <c r="H556" s="658">
        <v>168308.43</v>
      </c>
      <c r="M556" s="697">
        <f>365*M554</f>
        <v>102513792.93333334</v>
      </c>
    </row>
    <row r="557" spans="1:13" x14ac:dyDescent="0.2">
      <c r="A557" s="548">
        <v>43145</v>
      </c>
      <c r="B557" s="522">
        <v>330191.24</v>
      </c>
      <c r="F557" s="524">
        <v>43313</v>
      </c>
      <c r="G557" s="525">
        <v>287391.71999999997</v>
      </c>
      <c r="H557" s="658">
        <v>169314.31</v>
      </c>
      <c r="M557">
        <f>M556/M552</f>
        <v>359.11665732154825</v>
      </c>
    </row>
    <row r="558" spans="1:13" x14ac:dyDescent="0.2">
      <c r="A558" s="548">
        <v>43146</v>
      </c>
      <c r="B558" s="522">
        <v>313471.64</v>
      </c>
      <c r="F558" s="524">
        <v>43344</v>
      </c>
      <c r="G558" s="525">
        <v>327095.84000000003</v>
      </c>
      <c r="H558" s="658">
        <v>170138.99</v>
      </c>
    </row>
    <row r="559" spans="1:13" x14ac:dyDescent="0.2">
      <c r="A559" s="548">
        <v>43147</v>
      </c>
      <c r="B559" s="522">
        <v>313472</v>
      </c>
      <c r="F559" s="524">
        <v>43374</v>
      </c>
      <c r="G559" s="525">
        <v>233504.28</v>
      </c>
      <c r="H559" s="658">
        <v>164332.01</v>
      </c>
    </row>
    <row r="560" spans="1:13" x14ac:dyDescent="0.2">
      <c r="A560" s="548">
        <v>43150</v>
      </c>
      <c r="B560" s="522">
        <v>313472</v>
      </c>
      <c r="F560" s="524">
        <v>43405</v>
      </c>
      <c r="G560" s="525">
        <v>166530.44</v>
      </c>
    </row>
    <row r="561" spans="1:7" x14ac:dyDescent="0.2">
      <c r="A561" s="548">
        <v>43151</v>
      </c>
      <c r="B561" s="522">
        <v>277471.58</v>
      </c>
      <c r="F561" s="524">
        <v>43435</v>
      </c>
      <c r="G561" s="525">
        <v>245292.72</v>
      </c>
    </row>
    <row r="562" spans="1:7" x14ac:dyDescent="0.2">
      <c r="A562" s="548">
        <v>43152</v>
      </c>
      <c r="B562" s="522">
        <v>287526.92</v>
      </c>
      <c r="F562" s="524">
        <v>43466</v>
      </c>
      <c r="G562" s="525">
        <v>320446.43</v>
      </c>
    </row>
    <row r="563" spans="1:7" x14ac:dyDescent="0.2">
      <c r="A563" s="548">
        <v>43153</v>
      </c>
      <c r="B563" s="522">
        <v>296486.64</v>
      </c>
      <c r="F563" s="524">
        <v>43497</v>
      </c>
      <c r="G563" s="525">
        <v>385887.41</v>
      </c>
    </row>
    <row r="564" spans="1:7" x14ac:dyDescent="0.2">
      <c r="A564" s="548">
        <v>43154</v>
      </c>
      <c r="B564" s="522">
        <v>296487</v>
      </c>
      <c r="F564" s="524">
        <v>43525</v>
      </c>
      <c r="G564" s="525"/>
    </row>
    <row r="565" spans="1:7" x14ac:dyDescent="0.2">
      <c r="A565" s="548">
        <v>43157</v>
      </c>
      <c r="B565" s="522">
        <v>296487</v>
      </c>
      <c r="F565" s="524">
        <v>43556</v>
      </c>
      <c r="G565" s="525"/>
    </row>
    <row r="566" spans="1:7" x14ac:dyDescent="0.2">
      <c r="A566" s="548">
        <v>43158</v>
      </c>
      <c r="B566" s="522">
        <v>335911.5</v>
      </c>
      <c r="F566" s="524">
        <v>43586</v>
      </c>
      <c r="G566" s="525"/>
    </row>
    <row r="567" spans="1:7" x14ac:dyDescent="0.2">
      <c r="A567" s="548">
        <v>43159</v>
      </c>
      <c r="B567" s="522">
        <v>335912</v>
      </c>
      <c r="F567" s="524">
        <v>43617</v>
      </c>
      <c r="G567" s="525"/>
    </row>
    <row r="568" spans="1:7" x14ac:dyDescent="0.2">
      <c r="A568" s="548">
        <v>43160</v>
      </c>
      <c r="B568" s="522">
        <v>330042.21999999997</v>
      </c>
    </row>
    <row r="569" spans="1:7" x14ac:dyDescent="0.2">
      <c r="A569" s="548">
        <v>43161</v>
      </c>
      <c r="B569" s="589">
        <v>367034.5</v>
      </c>
    </row>
    <row r="570" spans="1:7" x14ac:dyDescent="0.2">
      <c r="A570" s="548">
        <v>43164</v>
      </c>
      <c r="B570" s="522">
        <v>330990.42</v>
      </c>
    </row>
    <row r="571" spans="1:7" x14ac:dyDescent="0.2">
      <c r="A571" s="548">
        <v>43165</v>
      </c>
      <c r="B571" s="522">
        <v>333065.89</v>
      </c>
    </row>
    <row r="572" spans="1:7" x14ac:dyDescent="0.2">
      <c r="A572" s="548">
        <v>43166</v>
      </c>
      <c r="B572" s="522">
        <v>331065.89</v>
      </c>
    </row>
    <row r="573" spans="1:7" x14ac:dyDescent="0.2">
      <c r="A573" s="548">
        <v>43167</v>
      </c>
      <c r="B573" s="522">
        <v>331092.17</v>
      </c>
    </row>
    <row r="574" spans="1:7" x14ac:dyDescent="0.2">
      <c r="A574" s="548">
        <v>43168</v>
      </c>
      <c r="B574" s="522">
        <v>311733.17</v>
      </c>
    </row>
    <row r="575" spans="1:7" x14ac:dyDescent="0.2">
      <c r="A575" s="548">
        <v>43171</v>
      </c>
      <c r="B575" s="522">
        <v>317116.19</v>
      </c>
    </row>
    <row r="576" spans="1:7" x14ac:dyDescent="0.2">
      <c r="A576" s="548">
        <v>43172</v>
      </c>
      <c r="B576" s="522">
        <v>317116</v>
      </c>
    </row>
    <row r="577" spans="1:4" x14ac:dyDescent="0.2">
      <c r="A577" s="548">
        <v>43173</v>
      </c>
      <c r="B577" s="522">
        <v>317496.19</v>
      </c>
    </row>
    <row r="578" spans="1:4" x14ac:dyDescent="0.2">
      <c r="A578" s="548">
        <v>43174</v>
      </c>
      <c r="B578" s="522">
        <v>317772.45</v>
      </c>
    </row>
    <row r="579" spans="1:4" x14ac:dyDescent="0.2">
      <c r="A579" s="548">
        <v>43175</v>
      </c>
      <c r="B579" s="522">
        <v>317772</v>
      </c>
      <c r="C579" s="548"/>
      <c r="D579" s="522"/>
    </row>
    <row r="580" spans="1:4" x14ac:dyDescent="0.2">
      <c r="A580" s="548">
        <v>43178</v>
      </c>
      <c r="B580" s="522">
        <v>279446.55</v>
      </c>
      <c r="C580" s="548"/>
      <c r="D580" s="522"/>
    </row>
    <row r="581" spans="1:4" x14ac:dyDescent="0.2">
      <c r="A581" s="548">
        <v>43179</v>
      </c>
      <c r="B581" s="522">
        <v>272785.62</v>
      </c>
      <c r="C581" s="548"/>
      <c r="D581" s="522"/>
    </row>
    <row r="582" spans="1:4" x14ac:dyDescent="0.2">
      <c r="A582" s="548">
        <v>43180</v>
      </c>
      <c r="B582" s="522">
        <v>288240.15999999997</v>
      </c>
      <c r="C582" s="548"/>
      <c r="D582" s="522"/>
    </row>
    <row r="583" spans="1:4" x14ac:dyDescent="0.2">
      <c r="A583" s="548">
        <v>43181</v>
      </c>
      <c r="B583" s="522">
        <v>278742.74</v>
      </c>
      <c r="C583" s="548"/>
      <c r="D583" s="522"/>
    </row>
    <row r="584" spans="1:4" x14ac:dyDescent="0.2">
      <c r="A584" s="548">
        <v>43182</v>
      </c>
      <c r="B584" s="522">
        <v>278840.24</v>
      </c>
      <c r="C584" s="548"/>
      <c r="D584" s="522"/>
    </row>
    <row r="585" spans="1:4" x14ac:dyDescent="0.2">
      <c r="A585" s="548">
        <v>43185</v>
      </c>
      <c r="B585" s="522">
        <v>278942.24</v>
      </c>
      <c r="C585" s="548"/>
      <c r="D585" s="522"/>
    </row>
    <row r="586" spans="1:4" x14ac:dyDescent="0.2">
      <c r="A586" s="548">
        <v>43186</v>
      </c>
      <c r="B586" s="522">
        <v>257048.49</v>
      </c>
      <c r="C586" s="548"/>
      <c r="D586" s="522"/>
    </row>
    <row r="587" spans="1:4" x14ac:dyDescent="0.2">
      <c r="A587" s="548">
        <v>43187</v>
      </c>
      <c r="B587" s="522">
        <v>252662.47</v>
      </c>
      <c r="C587" s="548"/>
      <c r="D587" s="522"/>
    </row>
    <row r="588" spans="1:4" x14ac:dyDescent="0.2">
      <c r="A588" s="548">
        <v>43188</v>
      </c>
      <c r="B588" s="522">
        <v>254708.73</v>
      </c>
      <c r="C588" s="548"/>
      <c r="D588" s="522"/>
    </row>
    <row r="589" spans="1:4" x14ac:dyDescent="0.2">
      <c r="A589" s="548">
        <v>43189</v>
      </c>
      <c r="B589" s="522">
        <v>281702.86</v>
      </c>
      <c r="C589" s="548"/>
      <c r="D589" s="522"/>
    </row>
    <row r="590" spans="1:4" x14ac:dyDescent="0.2">
      <c r="A590" s="548">
        <v>43192</v>
      </c>
      <c r="B590" s="522">
        <v>244220.77</v>
      </c>
      <c r="C590" s="548"/>
      <c r="D590" s="522"/>
    </row>
    <row r="591" spans="1:4" x14ac:dyDescent="0.2">
      <c r="A591" s="548">
        <v>43193</v>
      </c>
      <c r="B591" s="522">
        <v>244221</v>
      </c>
      <c r="C591" s="548"/>
      <c r="D591" s="522"/>
    </row>
    <row r="592" spans="1:4" x14ac:dyDescent="0.2">
      <c r="A592" s="548">
        <v>43194</v>
      </c>
      <c r="B592" s="522">
        <v>244221</v>
      </c>
      <c r="C592" s="548"/>
      <c r="D592" s="522"/>
    </row>
    <row r="593" spans="1:4" x14ac:dyDescent="0.2">
      <c r="A593" s="548">
        <v>43195</v>
      </c>
      <c r="B593" s="522">
        <v>225503.87</v>
      </c>
      <c r="C593" s="548"/>
      <c r="D593" s="522"/>
    </row>
    <row r="594" spans="1:4" x14ac:dyDescent="0.2">
      <c r="A594" s="548">
        <v>43196</v>
      </c>
      <c r="B594" s="522">
        <v>225504</v>
      </c>
      <c r="C594" s="548"/>
      <c r="D594" s="522"/>
    </row>
    <row r="595" spans="1:4" x14ac:dyDescent="0.2">
      <c r="A595" s="548">
        <v>43199</v>
      </c>
      <c r="B595" s="522">
        <v>225503.8</v>
      </c>
      <c r="C595" s="548"/>
      <c r="D595" s="522"/>
    </row>
    <row r="596" spans="1:4" x14ac:dyDescent="0.2">
      <c r="A596" s="548">
        <v>43200</v>
      </c>
      <c r="B596" s="522">
        <v>227389.96</v>
      </c>
      <c r="C596" s="548"/>
      <c r="D596" s="522"/>
    </row>
    <row r="597" spans="1:4" x14ac:dyDescent="0.2">
      <c r="A597" s="548">
        <v>43201</v>
      </c>
      <c r="B597" s="522">
        <v>235472.53</v>
      </c>
      <c r="C597" s="548"/>
      <c r="D597" s="522"/>
    </row>
    <row r="598" spans="1:4" x14ac:dyDescent="0.2">
      <c r="A598" s="548">
        <v>43202</v>
      </c>
      <c r="B598" s="522">
        <v>222207.84</v>
      </c>
      <c r="C598" s="548"/>
      <c r="D598" s="522"/>
    </row>
    <row r="599" spans="1:4" x14ac:dyDescent="0.2">
      <c r="A599" s="548">
        <v>43203</v>
      </c>
      <c r="B599" s="522">
        <v>222287.93</v>
      </c>
      <c r="C599" s="548"/>
      <c r="D599" s="522"/>
    </row>
    <row r="600" spans="1:4" x14ac:dyDescent="0.2">
      <c r="A600" s="548">
        <v>43206</v>
      </c>
      <c r="B600" s="522">
        <v>186664.28</v>
      </c>
      <c r="C600" s="548"/>
      <c r="D600" s="522"/>
    </row>
    <row r="601" spans="1:4" x14ac:dyDescent="0.2">
      <c r="A601" s="548">
        <v>43207</v>
      </c>
      <c r="B601" s="522">
        <v>188484.95</v>
      </c>
      <c r="C601" s="548"/>
      <c r="D601" s="522"/>
    </row>
    <row r="602" spans="1:4" x14ac:dyDescent="0.2">
      <c r="A602" s="548">
        <v>43208</v>
      </c>
      <c r="B602" s="522">
        <v>188485</v>
      </c>
      <c r="C602" s="548"/>
      <c r="D602" s="522"/>
    </row>
    <row r="603" spans="1:4" x14ac:dyDescent="0.2">
      <c r="A603" s="548">
        <v>43209</v>
      </c>
      <c r="B603" s="522">
        <v>180474.73</v>
      </c>
      <c r="C603" s="548"/>
      <c r="D603" s="522"/>
    </row>
    <row r="604" spans="1:4" x14ac:dyDescent="0.2">
      <c r="A604" s="548">
        <v>43210</v>
      </c>
      <c r="B604" s="522">
        <v>188207.38</v>
      </c>
      <c r="C604" s="548"/>
      <c r="D604" s="522"/>
    </row>
    <row r="605" spans="1:4" x14ac:dyDescent="0.2">
      <c r="A605" s="548">
        <v>43213</v>
      </c>
      <c r="B605" s="522">
        <v>198618.83</v>
      </c>
      <c r="C605" s="548"/>
      <c r="D605" s="522"/>
    </row>
    <row r="606" spans="1:4" x14ac:dyDescent="0.2">
      <c r="A606" s="548">
        <v>43214</v>
      </c>
      <c r="B606" s="522">
        <v>198619</v>
      </c>
      <c r="C606" s="548"/>
      <c r="D606" s="522"/>
    </row>
    <row r="607" spans="1:4" x14ac:dyDescent="0.2">
      <c r="A607" s="548">
        <v>43215</v>
      </c>
      <c r="B607" s="522">
        <v>198619</v>
      </c>
      <c r="C607" s="548"/>
      <c r="D607" s="522"/>
    </row>
    <row r="608" spans="1:4" x14ac:dyDescent="0.2">
      <c r="A608" s="548">
        <v>43216</v>
      </c>
      <c r="B608" s="522">
        <v>189089.55</v>
      </c>
      <c r="C608" s="548"/>
      <c r="D608" s="522"/>
    </row>
    <row r="609" spans="1:4" x14ac:dyDescent="0.2">
      <c r="A609" s="548">
        <v>43217</v>
      </c>
      <c r="B609" s="522">
        <v>216053.77</v>
      </c>
      <c r="C609" s="548"/>
      <c r="D609" s="522"/>
    </row>
    <row r="610" spans="1:4" x14ac:dyDescent="0.2">
      <c r="A610" s="548">
        <v>43220</v>
      </c>
      <c r="B610" s="522">
        <v>179849.52</v>
      </c>
      <c r="C610" s="548"/>
      <c r="D610" s="522"/>
    </row>
    <row r="611" spans="1:4" x14ac:dyDescent="0.2">
      <c r="A611" s="548">
        <v>43221</v>
      </c>
      <c r="B611" s="522">
        <v>179850</v>
      </c>
      <c r="C611" s="548"/>
      <c r="D611" s="522"/>
    </row>
    <row r="612" spans="1:4" x14ac:dyDescent="0.2">
      <c r="A612" s="548">
        <v>43222</v>
      </c>
      <c r="B612" s="522">
        <v>173749.01</v>
      </c>
      <c r="C612" s="548"/>
      <c r="D612" s="522"/>
    </row>
    <row r="613" spans="1:4" x14ac:dyDescent="0.2">
      <c r="A613" s="548">
        <v>43223</v>
      </c>
      <c r="B613" s="522">
        <v>200792.85</v>
      </c>
      <c r="C613" s="548"/>
      <c r="D613" s="522"/>
    </row>
    <row r="614" spans="1:4" x14ac:dyDescent="0.2">
      <c r="A614" s="548">
        <v>43224</v>
      </c>
      <c r="B614" s="522">
        <v>202331.91</v>
      </c>
      <c r="C614" s="548"/>
      <c r="D614" s="522"/>
    </row>
    <row r="615" spans="1:4" x14ac:dyDescent="0.2">
      <c r="A615" s="548">
        <v>43227</v>
      </c>
      <c r="B615" s="522">
        <v>203517.87</v>
      </c>
      <c r="C615" s="548"/>
      <c r="D615" s="522"/>
    </row>
    <row r="616" spans="1:4" x14ac:dyDescent="0.2">
      <c r="A616" s="548">
        <v>43228</v>
      </c>
      <c r="B616" s="522">
        <v>203518</v>
      </c>
      <c r="C616" s="548"/>
      <c r="D616" s="522"/>
    </row>
    <row r="617" spans="1:4" x14ac:dyDescent="0.2">
      <c r="A617" s="548">
        <v>43229</v>
      </c>
      <c r="B617" s="522">
        <v>203518</v>
      </c>
      <c r="C617" s="548"/>
      <c r="D617" s="522"/>
    </row>
    <row r="618" spans="1:4" x14ac:dyDescent="0.2">
      <c r="A618" s="548">
        <v>43230</v>
      </c>
      <c r="B618" s="522">
        <v>191114.58</v>
      </c>
      <c r="C618" s="548"/>
      <c r="D618" s="522"/>
    </row>
    <row r="619" spans="1:4" x14ac:dyDescent="0.2">
      <c r="A619" s="548">
        <v>43231</v>
      </c>
      <c r="B619" s="589">
        <v>153114.57999999999</v>
      </c>
      <c r="C619" s="548"/>
      <c r="D619" s="522"/>
    </row>
    <row r="620" spans="1:4" x14ac:dyDescent="0.2">
      <c r="A620" s="548">
        <v>43234</v>
      </c>
      <c r="B620" s="589">
        <v>153115</v>
      </c>
      <c r="C620" s="548"/>
      <c r="D620" s="522"/>
    </row>
    <row r="621" spans="1:4" x14ac:dyDescent="0.2">
      <c r="A621" s="548">
        <v>43235</v>
      </c>
      <c r="B621" s="522">
        <v>182792.08</v>
      </c>
      <c r="C621" s="548"/>
      <c r="D621" s="522"/>
    </row>
    <row r="622" spans="1:4" x14ac:dyDescent="0.2">
      <c r="A622" s="548">
        <v>43236</v>
      </c>
      <c r="B622" s="522">
        <v>182792</v>
      </c>
      <c r="C622" s="548"/>
      <c r="D622" s="522"/>
    </row>
    <row r="623" spans="1:4" x14ac:dyDescent="0.2">
      <c r="A623" s="548">
        <v>43237</v>
      </c>
      <c r="B623" s="522">
        <v>222152.66</v>
      </c>
      <c r="C623" s="548"/>
      <c r="D623" s="522"/>
    </row>
    <row r="624" spans="1:4" x14ac:dyDescent="0.2">
      <c r="A624" s="548">
        <v>43238</v>
      </c>
      <c r="B624" s="522">
        <v>222153</v>
      </c>
      <c r="C624" s="548"/>
      <c r="D624" s="522"/>
    </row>
    <row r="625" spans="1:4" x14ac:dyDescent="0.2">
      <c r="A625" s="548">
        <v>43241</v>
      </c>
      <c r="B625" s="522">
        <v>222153</v>
      </c>
      <c r="C625" s="548"/>
      <c r="D625" s="522"/>
    </row>
    <row r="626" spans="1:4" x14ac:dyDescent="0.2">
      <c r="A626" s="548">
        <v>43242</v>
      </c>
      <c r="B626" s="522">
        <v>222153</v>
      </c>
      <c r="C626" s="548"/>
      <c r="D626" s="522"/>
    </row>
    <row r="627" spans="1:4" x14ac:dyDescent="0.2">
      <c r="A627" s="548">
        <v>43243</v>
      </c>
      <c r="B627" s="522">
        <v>222152</v>
      </c>
      <c r="C627" s="548"/>
      <c r="D627" s="522"/>
    </row>
    <row r="628" spans="1:4" x14ac:dyDescent="0.2">
      <c r="A628" s="548">
        <v>43244</v>
      </c>
      <c r="B628" s="522">
        <v>211720.43</v>
      </c>
      <c r="C628" s="548"/>
      <c r="D628" s="522"/>
    </row>
    <row r="629" spans="1:4" x14ac:dyDescent="0.2">
      <c r="A629" s="548">
        <v>43245</v>
      </c>
      <c r="B629" s="522">
        <v>211720</v>
      </c>
      <c r="C629" s="548"/>
      <c r="D629" s="522"/>
    </row>
    <row r="630" spans="1:4" x14ac:dyDescent="0.2">
      <c r="A630" s="548">
        <v>43248</v>
      </c>
      <c r="B630" s="522">
        <v>211720</v>
      </c>
      <c r="C630" s="548"/>
      <c r="D630" s="522"/>
    </row>
    <row r="631" spans="1:4" x14ac:dyDescent="0.2">
      <c r="A631" s="548">
        <v>43249</v>
      </c>
      <c r="B631" s="522">
        <v>176327.95</v>
      </c>
      <c r="C631" s="548"/>
      <c r="D631" s="522"/>
    </row>
    <row r="632" spans="1:4" x14ac:dyDescent="0.2">
      <c r="A632" s="548">
        <v>43250</v>
      </c>
      <c r="B632" s="522">
        <v>176328</v>
      </c>
      <c r="C632" s="548"/>
      <c r="D632" s="522"/>
    </row>
    <row r="633" spans="1:4" x14ac:dyDescent="0.2">
      <c r="A633" s="548">
        <v>43251</v>
      </c>
      <c r="B633" s="522">
        <v>169004.5</v>
      </c>
      <c r="C633" s="548"/>
      <c r="D633" s="522"/>
    </row>
    <row r="634" spans="1:4" x14ac:dyDescent="0.2">
      <c r="A634" s="548">
        <v>43252</v>
      </c>
      <c r="B634" s="522">
        <v>261992.26</v>
      </c>
      <c r="C634" s="548"/>
      <c r="D634" s="522"/>
    </row>
    <row r="635" spans="1:4" x14ac:dyDescent="0.2">
      <c r="A635" s="548">
        <v>43255</v>
      </c>
      <c r="B635" s="522">
        <v>270521.09000000003</v>
      </c>
      <c r="C635" s="548"/>
      <c r="D635" s="522"/>
    </row>
    <row r="636" spans="1:4" x14ac:dyDescent="0.2">
      <c r="A636" s="548">
        <v>43256</v>
      </c>
      <c r="B636" s="522">
        <v>285365.09000000003</v>
      </c>
      <c r="C636" s="548"/>
      <c r="D636" s="522"/>
    </row>
    <row r="637" spans="1:4" x14ac:dyDescent="0.2">
      <c r="A637" s="548">
        <v>43257</v>
      </c>
      <c r="B637" s="522">
        <v>285365</v>
      </c>
      <c r="C637" s="548"/>
      <c r="D637" s="522"/>
    </row>
    <row r="638" spans="1:4" x14ac:dyDescent="0.2">
      <c r="A638" s="548">
        <v>43258</v>
      </c>
      <c r="B638" s="522">
        <v>287246.65999999997</v>
      </c>
      <c r="C638" s="548"/>
      <c r="D638" s="522"/>
    </row>
    <row r="639" spans="1:4" x14ac:dyDescent="0.2">
      <c r="A639" s="548">
        <v>43259</v>
      </c>
      <c r="B639" s="522">
        <v>287247</v>
      </c>
      <c r="C639" s="548"/>
      <c r="D639" s="522"/>
    </row>
    <row r="640" spans="1:4" x14ac:dyDescent="0.2">
      <c r="A640" s="548">
        <v>43262</v>
      </c>
      <c r="B640" s="522">
        <v>287247</v>
      </c>
      <c r="C640" s="548"/>
      <c r="D640" s="522"/>
    </row>
    <row r="641" spans="1:4" x14ac:dyDescent="0.2">
      <c r="A641" s="548">
        <v>43263</v>
      </c>
      <c r="B641" s="522">
        <v>253042.79</v>
      </c>
      <c r="C641" s="548"/>
      <c r="D641" s="522"/>
    </row>
    <row r="642" spans="1:4" x14ac:dyDescent="0.2">
      <c r="A642" s="548">
        <v>43264</v>
      </c>
      <c r="B642" s="522">
        <v>253043</v>
      </c>
      <c r="C642" s="548"/>
      <c r="D642" s="522"/>
    </row>
    <row r="643" spans="1:4" x14ac:dyDescent="0.2">
      <c r="A643" s="548">
        <v>43265</v>
      </c>
      <c r="B643" s="522">
        <v>246521.36</v>
      </c>
      <c r="C643" s="548"/>
      <c r="D643" s="522"/>
    </row>
    <row r="644" spans="1:4" x14ac:dyDescent="0.2">
      <c r="A644" s="548">
        <v>43266</v>
      </c>
      <c r="B644" s="522">
        <v>246593.56</v>
      </c>
      <c r="C644" s="548"/>
      <c r="D644" s="522"/>
    </row>
    <row r="645" spans="1:4" x14ac:dyDescent="0.2">
      <c r="A645" s="548">
        <v>43269</v>
      </c>
      <c r="B645" s="522">
        <v>246594</v>
      </c>
      <c r="C645" s="548"/>
      <c r="D645" s="522"/>
    </row>
    <row r="646" spans="1:4" x14ac:dyDescent="0.2">
      <c r="A646" s="548">
        <v>43270</v>
      </c>
      <c r="B646" s="522">
        <v>246594</v>
      </c>
      <c r="C646" s="548"/>
      <c r="D646" s="522"/>
    </row>
    <row r="647" spans="1:4" x14ac:dyDescent="0.2">
      <c r="A647" s="548">
        <v>43271</v>
      </c>
      <c r="B647" s="522">
        <v>246594</v>
      </c>
      <c r="C647" s="548"/>
      <c r="D647" s="522"/>
    </row>
    <row r="648" spans="1:4" x14ac:dyDescent="0.2">
      <c r="A648" s="548">
        <v>43272</v>
      </c>
      <c r="B648" s="522">
        <v>228395.48</v>
      </c>
      <c r="C648" s="548"/>
      <c r="D648" s="522"/>
    </row>
    <row r="649" spans="1:4" x14ac:dyDescent="0.2">
      <c r="A649" s="548">
        <v>43273</v>
      </c>
      <c r="B649" s="522">
        <v>228395</v>
      </c>
      <c r="C649" s="548"/>
      <c r="D649" s="522"/>
    </row>
    <row r="650" spans="1:4" x14ac:dyDescent="0.2">
      <c r="A650" s="548">
        <v>43276</v>
      </c>
      <c r="B650" s="522">
        <v>192627.9</v>
      </c>
      <c r="C650" s="548"/>
      <c r="D650" s="522"/>
    </row>
    <row r="651" spans="1:4" x14ac:dyDescent="0.2">
      <c r="A651" s="548">
        <v>43277</v>
      </c>
      <c r="B651" s="522">
        <v>192628</v>
      </c>
      <c r="C651" s="548"/>
      <c r="D651" s="522"/>
    </row>
    <row r="652" spans="1:4" x14ac:dyDescent="0.2">
      <c r="A652" s="548">
        <v>43278</v>
      </c>
      <c r="B652" s="522">
        <v>192628</v>
      </c>
      <c r="C652" s="548"/>
      <c r="D652" s="522"/>
    </row>
    <row r="653" spans="1:4" x14ac:dyDescent="0.2">
      <c r="A653" s="548">
        <v>43279</v>
      </c>
      <c r="B653" s="522">
        <v>193904.61</v>
      </c>
      <c r="C653" s="548"/>
      <c r="D653" s="522"/>
    </row>
    <row r="654" spans="1:4" x14ac:dyDescent="0.2">
      <c r="A654" s="548">
        <v>43280</v>
      </c>
      <c r="B654" s="522">
        <v>195328.48</v>
      </c>
      <c r="C654" s="548"/>
      <c r="D654" s="522"/>
    </row>
    <row r="655" spans="1:4" x14ac:dyDescent="0.2">
      <c r="A655" s="548">
        <v>43283</v>
      </c>
      <c r="B655" s="522">
        <v>199304.09</v>
      </c>
      <c r="C655" s="548"/>
      <c r="D655" s="522"/>
    </row>
    <row r="656" spans="1:4" x14ac:dyDescent="0.2">
      <c r="A656" s="548">
        <v>43284</v>
      </c>
      <c r="B656" s="522">
        <v>201071.11</v>
      </c>
      <c r="C656" s="548"/>
      <c r="D656" s="522"/>
    </row>
    <row r="657" spans="1:4" x14ac:dyDescent="0.2">
      <c r="A657" s="548">
        <v>43285</v>
      </c>
      <c r="B657" s="522">
        <v>201071</v>
      </c>
      <c r="C657" s="548"/>
      <c r="D657" s="522"/>
    </row>
    <row r="658" spans="1:4" x14ac:dyDescent="0.2">
      <c r="A658" s="548">
        <v>43286</v>
      </c>
      <c r="B658" s="522">
        <v>223298.16</v>
      </c>
      <c r="C658" s="548"/>
      <c r="D658" s="522"/>
    </row>
    <row r="659" spans="1:4" x14ac:dyDescent="0.2">
      <c r="A659" s="548">
        <v>43287</v>
      </c>
      <c r="B659" s="522">
        <v>238962.66</v>
      </c>
      <c r="C659" s="548"/>
      <c r="D659" s="522"/>
    </row>
    <row r="660" spans="1:4" x14ac:dyDescent="0.2">
      <c r="A660" s="548">
        <v>43290</v>
      </c>
      <c r="B660" s="522">
        <v>203086.22</v>
      </c>
      <c r="C660" s="548"/>
      <c r="D660" s="522"/>
    </row>
    <row r="661" spans="1:4" x14ac:dyDescent="0.2">
      <c r="A661" s="548">
        <v>43291</v>
      </c>
      <c r="B661" s="522">
        <v>226930.31</v>
      </c>
      <c r="C661" s="548"/>
      <c r="D661" s="522"/>
    </row>
    <row r="662" spans="1:4" x14ac:dyDescent="0.2">
      <c r="A662" s="548">
        <v>43292</v>
      </c>
      <c r="B662" s="522">
        <v>226930</v>
      </c>
      <c r="C662" s="548"/>
      <c r="D662" s="522"/>
    </row>
    <row r="663" spans="1:4" x14ac:dyDescent="0.2">
      <c r="A663" s="548">
        <v>43293</v>
      </c>
      <c r="B663" s="522">
        <v>220822.05</v>
      </c>
      <c r="C663" s="548"/>
      <c r="D663" s="522"/>
    </row>
    <row r="664" spans="1:4" x14ac:dyDescent="0.2">
      <c r="A664" s="548">
        <v>43294</v>
      </c>
      <c r="B664" s="522">
        <v>220986.35</v>
      </c>
      <c r="C664" s="548"/>
      <c r="D664" s="522"/>
    </row>
    <row r="665" spans="1:4" x14ac:dyDescent="0.2">
      <c r="A665" s="548">
        <v>43297</v>
      </c>
      <c r="B665" s="522">
        <v>220986</v>
      </c>
      <c r="C665" s="548"/>
      <c r="D665" s="522"/>
    </row>
    <row r="666" spans="1:4" x14ac:dyDescent="0.2">
      <c r="A666" s="548">
        <v>43298</v>
      </c>
      <c r="B666" s="522">
        <v>220986</v>
      </c>
      <c r="C666" s="548"/>
      <c r="D666" s="522"/>
    </row>
    <row r="667" spans="1:4" x14ac:dyDescent="0.2">
      <c r="A667" s="548">
        <v>43299</v>
      </c>
      <c r="B667" s="522">
        <v>197995.27</v>
      </c>
      <c r="C667" s="548"/>
      <c r="D667" s="522"/>
    </row>
    <row r="668" spans="1:4" x14ac:dyDescent="0.2">
      <c r="A668" s="548">
        <v>43300</v>
      </c>
      <c r="B668" s="522">
        <v>202931.61</v>
      </c>
      <c r="C668" s="548"/>
      <c r="D668" s="522"/>
    </row>
    <row r="669" spans="1:4" x14ac:dyDescent="0.2">
      <c r="A669" s="548">
        <v>43301</v>
      </c>
      <c r="B669" s="522">
        <v>202932</v>
      </c>
      <c r="C669" s="548"/>
      <c r="D669" s="522"/>
    </row>
    <row r="670" spans="1:4" x14ac:dyDescent="0.2">
      <c r="A670" s="548">
        <v>43304</v>
      </c>
      <c r="B670" s="522">
        <v>167839.6</v>
      </c>
      <c r="C670" s="548"/>
      <c r="D670" s="522"/>
    </row>
    <row r="671" spans="1:4" x14ac:dyDescent="0.2">
      <c r="A671" s="548">
        <v>43305</v>
      </c>
      <c r="B671" s="522">
        <v>167840</v>
      </c>
      <c r="C671" s="548"/>
      <c r="D671" s="522"/>
    </row>
    <row r="672" spans="1:4" x14ac:dyDescent="0.2">
      <c r="A672" s="548">
        <v>43306</v>
      </c>
      <c r="B672" s="522">
        <v>167840</v>
      </c>
      <c r="C672" s="548"/>
      <c r="D672" s="522"/>
    </row>
    <row r="673" spans="1:4" x14ac:dyDescent="0.2">
      <c r="A673" s="548">
        <v>43307</v>
      </c>
      <c r="B673" s="522">
        <v>180485.58</v>
      </c>
      <c r="C673" s="548"/>
      <c r="D673" s="522"/>
    </row>
    <row r="674" spans="1:4" x14ac:dyDescent="0.2">
      <c r="A674" s="548">
        <v>43308</v>
      </c>
      <c r="B674" s="522">
        <v>205676.09</v>
      </c>
      <c r="C674" s="548"/>
      <c r="D674" s="522"/>
    </row>
    <row r="675" spans="1:4" x14ac:dyDescent="0.2">
      <c r="A675" s="548">
        <v>43311</v>
      </c>
      <c r="B675" s="522">
        <v>199229.46</v>
      </c>
      <c r="C675" s="548"/>
      <c r="D675" s="522"/>
    </row>
    <row r="676" spans="1:4" x14ac:dyDescent="0.2">
      <c r="A676" s="548">
        <v>43312</v>
      </c>
      <c r="B676" s="522">
        <v>199612.46</v>
      </c>
      <c r="C676" s="548"/>
      <c r="D676" s="522"/>
    </row>
    <row r="677" spans="1:4" x14ac:dyDescent="0.2">
      <c r="A677" s="548">
        <v>43313</v>
      </c>
      <c r="B677" s="522">
        <v>327321.84000000003</v>
      </c>
      <c r="C677" s="548"/>
      <c r="D677" s="522"/>
    </row>
    <row r="678" spans="1:4" x14ac:dyDescent="0.2">
      <c r="A678" s="548">
        <v>43314</v>
      </c>
      <c r="B678" s="522">
        <v>328551.67</v>
      </c>
      <c r="C678" s="548"/>
      <c r="D678" s="522"/>
    </row>
    <row r="679" spans="1:4" x14ac:dyDescent="0.2">
      <c r="A679" s="548">
        <v>43315</v>
      </c>
      <c r="B679" s="522">
        <v>328552</v>
      </c>
      <c r="C679" s="548"/>
      <c r="D679" s="522"/>
    </row>
    <row r="680" spans="1:4" x14ac:dyDescent="0.2">
      <c r="A680" s="548">
        <v>43318</v>
      </c>
      <c r="B680" s="522">
        <v>293600.95</v>
      </c>
      <c r="C680" s="548"/>
      <c r="D680" s="522"/>
    </row>
    <row r="681" spans="1:4" x14ac:dyDescent="0.2">
      <c r="A681" s="548">
        <v>43319</v>
      </c>
      <c r="B681" s="522">
        <v>298153.56</v>
      </c>
      <c r="C681" s="548"/>
      <c r="D681" s="522"/>
    </row>
    <row r="682" spans="1:4" x14ac:dyDescent="0.2">
      <c r="A682" s="548">
        <v>43320</v>
      </c>
      <c r="B682" s="522">
        <v>298154</v>
      </c>
      <c r="C682" s="548"/>
      <c r="D682" s="522"/>
    </row>
    <row r="683" spans="1:4" x14ac:dyDescent="0.2">
      <c r="A683" s="548">
        <v>43321</v>
      </c>
      <c r="B683" s="522">
        <v>294180.65999999997</v>
      </c>
      <c r="C683" s="548"/>
      <c r="D683" s="522"/>
    </row>
    <row r="684" spans="1:4" x14ac:dyDescent="0.2">
      <c r="A684" s="548">
        <v>43322</v>
      </c>
      <c r="B684" s="522">
        <v>294181</v>
      </c>
      <c r="C684" s="548"/>
      <c r="D684" s="522"/>
    </row>
    <row r="685" spans="1:4" x14ac:dyDescent="0.2">
      <c r="A685" s="548">
        <v>43325</v>
      </c>
      <c r="B685" s="522">
        <v>294679.65999999997</v>
      </c>
      <c r="C685" s="548"/>
      <c r="D685" s="522"/>
    </row>
    <row r="686" spans="1:4" x14ac:dyDescent="0.2">
      <c r="A686" s="548">
        <v>43326</v>
      </c>
      <c r="B686" s="522">
        <v>294680</v>
      </c>
      <c r="C686" s="548"/>
      <c r="D686" s="522"/>
    </row>
    <row r="687" spans="1:4" x14ac:dyDescent="0.2">
      <c r="A687" s="548">
        <v>43327</v>
      </c>
      <c r="B687" s="522">
        <v>294761.65000000002</v>
      </c>
      <c r="C687" s="548"/>
      <c r="D687" s="522"/>
    </row>
    <row r="688" spans="1:4" x14ac:dyDescent="0.2">
      <c r="A688" s="548">
        <v>43328</v>
      </c>
      <c r="B688" s="522">
        <v>290632.52</v>
      </c>
      <c r="C688" s="548"/>
      <c r="D688" s="522"/>
    </row>
    <row r="689" spans="1:4" x14ac:dyDescent="0.2">
      <c r="A689" s="548">
        <v>43329</v>
      </c>
      <c r="B689" s="522">
        <v>290633</v>
      </c>
      <c r="C689" s="548"/>
      <c r="D689" s="522"/>
    </row>
    <row r="690" spans="1:4" x14ac:dyDescent="0.2">
      <c r="A690" s="548">
        <v>43332</v>
      </c>
      <c r="B690" s="522">
        <v>254427.11</v>
      </c>
      <c r="C690" s="548"/>
      <c r="D690" s="522"/>
    </row>
    <row r="691" spans="1:4" x14ac:dyDescent="0.2">
      <c r="A691" s="548">
        <v>43333</v>
      </c>
      <c r="B691" s="522">
        <v>255823.93</v>
      </c>
      <c r="C691" s="548"/>
      <c r="D691" s="522"/>
    </row>
    <row r="692" spans="1:4" x14ac:dyDescent="0.2">
      <c r="A692" s="548">
        <v>43334</v>
      </c>
      <c r="B692" s="522">
        <v>255419.13</v>
      </c>
      <c r="C692" s="548"/>
      <c r="D692" s="522"/>
    </row>
    <row r="693" spans="1:4" x14ac:dyDescent="0.2">
      <c r="A693" s="548">
        <v>43335</v>
      </c>
      <c r="B693" s="522">
        <v>272759.37</v>
      </c>
      <c r="C693" s="548"/>
      <c r="D693" s="522"/>
    </row>
    <row r="694" spans="1:4" x14ac:dyDescent="0.2">
      <c r="A694" s="548">
        <v>43336</v>
      </c>
      <c r="B694" s="522">
        <v>272846.37</v>
      </c>
      <c r="C694" s="548"/>
      <c r="D694" s="522"/>
    </row>
    <row r="695" spans="1:4" x14ac:dyDescent="0.2">
      <c r="A695" s="548">
        <v>43339</v>
      </c>
      <c r="B695" s="522">
        <v>272846</v>
      </c>
      <c r="C695" s="548"/>
      <c r="D695" s="522"/>
    </row>
    <row r="696" spans="1:4" x14ac:dyDescent="0.2">
      <c r="A696" s="548">
        <v>43340</v>
      </c>
      <c r="B696" s="522">
        <v>272846</v>
      </c>
      <c r="C696" s="548"/>
      <c r="D696" s="522"/>
    </row>
    <row r="697" spans="1:4" x14ac:dyDescent="0.2">
      <c r="A697" s="548">
        <v>43341</v>
      </c>
      <c r="B697" s="522">
        <v>276622.58</v>
      </c>
      <c r="C697" s="548"/>
      <c r="D697" s="522"/>
    </row>
    <row r="698" spans="1:4" x14ac:dyDescent="0.2">
      <c r="A698" s="548">
        <v>43342</v>
      </c>
      <c r="B698" s="522">
        <v>276623</v>
      </c>
      <c r="C698" s="548"/>
      <c r="D698" s="522"/>
    </row>
    <row r="699" spans="1:4" x14ac:dyDescent="0.2">
      <c r="A699" s="548">
        <v>43343</v>
      </c>
      <c r="B699" s="522">
        <v>276773.33</v>
      </c>
      <c r="C699" s="548"/>
      <c r="D699" s="522"/>
    </row>
    <row r="700" spans="1:4" x14ac:dyDescent="0.2">
      <c r="A700" s="548">
        <v>43346</v>
      </c>
      <c r="B700" s="522">
        <v>276773</v>
      </c>
      <c r="C700" s="548"/>
      <c r="D700" s="522"/>
    </row>
    <row r="701" spans="1:4" x14ac:dyDescent="0.2">
      <c r="A701" s="548">
        <v>43347</v>
      </c>
      <c r="B701" s="522">
        <v>240090.56</v>
      </c>
      <c r="C701" s="548"/>
      <c r="D701" s="522"/>
    </row>
    <row r="702" spans="1:4" x14ac:dyDescent="0.2">
      <c r="A702" s="548">
        <v>43348</v>
      </c>
      <c r="B702" s="522">
        <v>240091</v>
      </c>
      <c r="C702" s="548"/>
      <c r="D702" s="522"/>
    </row>
    <row r="703" spans="1:4" x14ac:dyDescent="0.2">
      <c r="A703" s="548">
        <v>43349</v>
      </c>
      <c r="B703" s="522">
        <v>237779.31</v>
      </c>
      <c r="C703" s="548"/>
      <c r="D703" s="522"/>
    </row>
    <row r="704" spans="1:4" x14ac:dyDescent="0.2">
      <c r="A704" s="548">
        <v>43350</v>
      </c>
      <c r="B704" s="522">
        <v>237779</v>
      </c>
      <c r="C704" s="548"/>
      <c r="D704" s="522"/>
    </row>
    <row r="705" spans="1:4" x14ac:dyDescent="0.2">
      <c r="A705" s="548">
        <v>43353</v>
      </c>
      <c r="B705" s="522">
        <v>243552.34</v>
      </c>
      <c r="C705" s="548"/>
      <c r="D705" s="522"/>
    </row>
    <row r="706" spans="1:4" x14ac:dyDescent="0.2">
      <c r="A706" s="548">
        <v>43354</v>
      </c>
      <c r="B706" s="522">
        <v>243552</v>
      </c>
      <c r="C706" s="548"/>
      <c r="D706" s="522"/>
    </row>
    <row r="707" spans="1:4" x14ac:dyDescent="0.2">
      <c r="A707" s="548">
        <v>43355</v>
      </c>
      <c r="B707" s="522">
        <v>243552</v>
      </c>
      <c r="C707" s="548"/>
      <c r="D707" s="522"/>
    </row>
    <row r="708" spans="1:4" x14ac:dyDescent="0.2">
      <c r="A708" s="548">
        <v>43356</v>
      </c>
      <c r="B708" s="522">
        <v>266009.96000000002</v>
      </c>
      <c r="C708" s="548"/>
      <c r="D708" s="522"/>
    </row>
    <row r="709" spans="1:4" x14ac:dyDescent="0.2">
      <c r="A709" s="548">
        <v>43357</v>
      </c>
      <c r="B709" s="522">
        <v>266087.59999999998</v>
      </c>
      <c r="C709" s="548"/>
      <c r="D709" s="522"/>
    </row>
    <row r="710" spans="1:4" x14ac:dyDescent="0.2">
      <c r="A710" s="548">
        <v>43360</v>
      </c>
      <c r="B710" s="522">
        <v>229939.6</v>
      </c>
      <c r="C710" s="548"/>
      <c r="D710" s="522"/>
    </row>
    <row r="711" spans="1:4" x14ac:dyDescent="0.2">
      <c r="A711" s="548">
        <v>43361</v>
      </c>
      <c r="B711" s="522">
        <v>229940</v>
      </c>
      <c r="C711" s="548"/>
      <c r="D711" s="522"/>
    </row>
    <row r="712" spans="1:4" x14ac:dyDescent="0.2">
      <c r="A712" s="548">
        <v>43362</v>
      </c>
      <c r="B712" s="522">
        <v>229940</v>
      </c>
      <c r="C712" s="548"/>
      <c r="D712" s="522"/>
    </row>
    <row r="713" spans="1:4" x14ac:dyDescent="0.2">
      <c r="A713" s="548">
        <v>43363</v>
      </c>
      <c r="B713" s="522">
        <v>226983.82</v>
      </c>
      <c r="C713" s="548"/>
      <c r="D713" s="522"/>
    </row>
    <row r="714" spans="1:4" x14ac:dyDescent="0.2">
      <c r="A714" s="548">
        <v>43364</v>
      </c>
      <c r="B714" s="522">
        <v>226983.82</v>
      </c>
      <c r="C714" s="548"/>
      <c r="D714" s="522"/>
    </row>
    <row r="715" spans="1:4" x14ac:dyDescent="0.2">
      <c r="A715" s="548">
        <v>43367</v>
      </c>
      <c r="B715" s="522">
        <v>231167.41</v>
      </c>
      <c r="C715" s="548"/>
      <c r="D715" s="522"/>
    </row>
    <row r="716" spans="1:4" x14ac:dyDescent="0.2">
      <c r="A716" s="548">
        <v>43368</v>
      </c>
      <c r="B716" s="522">
        <v>231298.26</v>
      </c>
      <c r="C716" s="548"/>
      <c r="D716" s="522"/>
    </row>
    <row r="717" spans="1:4" x14ac:dyDescent="0.2">
      <c r="A717" s="548">
        <v>43369</v>
      </c>
      <c r="B717" s="522">
        <v>231298</v>
      </c>
      <c r="C717" s="548"/>
      <c r="D717" s="522"/>
    </row>
    <row r="718" spans="1:4" x14ac:dyDescent="0.2">
      <c r="A718" s="548">
        <v>43370</v>
      </c>
      <c r="B718" s="522">
        <v>218195.44</v>
      </c>
      <c r="C718" s="548"/>
      <c r="D718" s="522"/>
    </row>
    <row r="719" spans="1:4" x14ac:dyDescent="0.2">
      <c r="A719" s="548">
        <v>43371</v>
      </c>
      <c r="B719" s="522">
        <v>218195</v>
      </c>
      <c r="C719" s="548"/>
      <c r="D719" s="522"/>
    </row>
    <row r="720" spans="1:4" x14ac:dyDescent="0.2">
      <c r="A720" s="548">
        <v>43374</v>
      </c>
      <c r="B720" s="522">
        <v>181738.47</v>
      </c>
      <c r="C720" s="548"/>
      <c r="D720" s="522"/>
    </row>
    <row r="721" spans="1:4" x14ac:dyDescent="0.2">
      <c r="A721" s="548">
        <v>43375</v>
      </c>
      <c r="B721" s="522">
        <v>175674.86</v>
      </c>
      <c r="C721" s="548"/>
      <c r="D721" s="522"/>
    </row>
    <row r="722" spans="1:4" x14ac:dyDescent="0.2">
      <c r="A722" s="548">
        <v>43376</v>
      </c>
      <c r="B722" s="522">
        <v>175890.11</v>
      </c>
      <c r="C722" s="548"/>
      <c r="D722" s="522"/>
    </row>
    <row r="723" spans="1:4" x14ac:dyDescent="0.2">
      <c r="A723" s="548">
        <v>43377</v>
      </c>
      <c r="B723" s="522">
        <v>176908.84</v>
      </c>
      <c r="C723" s="548"/>
      <c r="D723" s="522"/>
    </row>
    <row r="724" spans="1:4" x14ac:dyDescent="0.2">
      <c r="A724" s="548">
        <v>43378</v>
      </c>
      <c r="B724" s="522">
        <v>176909</v>
      </c>
      <c r="C724" s="548"/>
      <c r="D724" s="522"/>
    </row>
    <row r="725" spans="1:4" x14ac:dyDescent="0.2">
      <c r="A725" s="548">
        <v>43381</v>
      </c>
      <c r="B725" s="522">
        <v>176909</v>
      </c>
      <c r="C725" s="548"/>
      <c r="D725" s="522"/>
    </row>
    <row r="726" spans="1:4" x14ac:dyDescent="0.2">
      <c r="A726" s="548">
        <v>43382</v>
      </c>
      <c r="B726" s="522">
        <v>226038.22</v>
      </c>
      <c r="C726" s="548"/>
      <c r="D726" s="522"/>
    </row>
    <row r="727" spans="1:4" x14ac:dyDescent="0.2">
      <c r="A727" s="548">
        <v>43383</v>
      </c>
      <c r="B727" s="522">
        <v>226038</v>
      </c>
      <c r="C727" s="548"/>
      <c r="D727" s="522"/>
    </row>
    <row r="728" spans="1:4" x14ac:dyDescent="0.2">
      <c r="A728" s="548">
        <v>43384</v>
      </c>
      <c r="B728" s="522">
        <v>223293.31</v>
      </c>
      <c r="C728" s="548"/>
      <c r="D728" s="522"/>
    </row>
    <row r="729" spans="1:4" x14ac:dyDescent="0.2">
      <c r="A729" s="548">
        <v>43385</v>
      </c>
      <c r="B729" s="522">
        <v>272327.27</v>
      </c>
      <c r="C729" s="548"/>
      <c r="D729" s="522"/>
    </row>
    <row r="730" spans="1:4" x14ac:dyDescent="0.2">
      <c r="A730" s="548">
        <v>43388</v>
      </c>
      <c r="B730" s="522">
        <v>236397.34</v>
      </c>
      <c r="C730" s="548"/>
      <c r="D730" s="522"/>
    </row>
    <row r="731" spans="1:4" x14ac:dyDescent="0.2">
      <c r="A731" s="548">
        <v>43389</v>
      </c>
      <c r="B731" s="522">
        <v>236553.84</v>
      </c>
      <c r="C731" s="548"/>
      <c r="D731" s="522"/>
    </row>
    <row r="732" spans="1:4" x14ac:dyDescent="0.2">
      <c r="A732" s="548">
        <v>43390</v>
      </c>
      <c r="B732" s="522">
        <v>249133.92</v>
      </c>
      <c r="C732" s="548"/>
      <c r="D732" s="522"/>
    </row>
    <row r="733" spans="1:4" x14ac:dyDescent="0.2">
      <c r="A733" s="548">
        <v>43391</v>
      </c>
      <c r="B733" s="522">
        <v>254043.68</v>
      </c>
      <c r="C733" s="548"/>
      <c r="D733" s="522"/>
    </row>
    <row r="734" spans="1:4" x14ac:dyDescent="0.2">
      <c r="A734" s="548">
        <v>43392</v>
      </c>
      <c r="B734" s="522">
        <v>254064.5</v>
      </c>
      <c r="C734" s="548"/>
      <c r="D734" s="522"/>
    </row>
    <row r="735" spans="1:4" x14ac:dyDescent="0.2">
      <c r="A735" s="548">
        <v>43395</v>
      </c>
      <c r="B735" s="522">
        <v>290142.09999999998</v>
      </c>
      <c r="C735" s="548"/>
      <c r="D735" s="522"/>
    </row>
    <row r="736" spans="1:4" x14ac:dyDescent="0.2">
      <c r="A736" s="548">
        <v>43396</v>
      </c>
      <c r="B736" s="522">
        <v>290142</v>
      </c>
      <c r="C736" s="548"/>
      <c r="D736" s="522"/>
    </row>
    <row r="737" spans="1:4" x14ac:dyDescent="0.2">
      <c r="A737" s="548">
        <v>43397</v>
      </c>
      <c r="B737" s="522">
        <v>290034.38</v>
      </c>
      <c r="C737" s="548"/>
      <c r="D737" s="522"/>
    </row>
    <row r="738" spans="1:4" x14ac:dyDescent="0.2">
      <c r="A738" s="548">
        <v>43398</v>
      </c>
      <c r="B738" s="522">
        <v>291747.36</v>
      </c>
      <c r="C738" s="548"/>
      <c r="D738" s="522"/>
    </row>
    <row r="739" spans="1:4" x14ac:dyDescent="0.2">
      <c r="A739" s="548">
        <v>43399</v>
      </c>
      <c r="B739" s="522">
        <v>306637.48</v>
      </c>
      <c r="C739" s="548"/>
      <c r="D739" s="522"/>
    </row>
    <row r="740" spans="1:4" x14ac:dyDescent="0.2">
      <c r="A740" s="548">
        <v>43402</v>
      </c>
      <c r="B740" s="522">
        <v>270401.28999999998</v>
      </c>
      <c r="C740" s="548"/>
      <c r="D740" s="522"/>
    </row>
    <row r="741" spans="1:4" x14ac:dyDescent="0.2">
      <c r="A741" s="548">
        <v>43403</v>
      </c>
      <c r="B741" s="522">
        <v>278028.58</v>
      </c>
      <c r="C741" s="548"/>
      <c r="D741" s="522"/>
    </row>
    <row r="742" spans="1:4" x14ac:dyDescent="0.2">
      <c r="A742" s="548">
        <v>43404</v>
      </c>
      <c r="B742" s="522">
        <v>278029</v>
      </c>
      <c r="C742" s="548"/>
      <c r="D742" s="522"/>
    </row>
    <row r="743" spans="1:4" x14ac:dyDescent="0.2">
      <c r="A743" s="548">
        <v>43405</v>
      </c>
      <c r="B743" s="522">
        <v>279523.53000000003</v>
      </c>
      <c r="C743" s="548"/>
      <c r="D743" s="522"/>
    </row>
    <row r="744" spans="1:4" x14ac:dyDescent="0.2">
      <c r="A744" s="548">
        <v>43406</v>
      </c>
      <c r="B744" s="522">
        <v>303100.06</v>
      </c>
      <c r="C744" s="548"/>
      <c r="D744" s="522"/>
    </row>
    <row r="745" spans="1:4" x14ac:dyDescent="0.2">
      <c r="A745" s="548">
        <v>43409</v>
      </c>
      <c r="B745" s="522">
        <v>303100.06</v>
      </c>
      <c r="C745" s="548"/>
      <c r="D745" s="522"/>
    </row>
    <row r="746" spans="1:4" x14ac:dyDescent="0.2">
      <c r="A746" s="548">
        <v>43410</v>
      </c>
      <c r="B746" s="522">
        <v>303100.06</v>
      </c>
      <c r="C746" s="548"/>
      <c r="D746" s="522"/>
    </row>
    <row r="747" spans="1:4" x14ac:dyDescent="0.2">
      <c r="A747" s="548">
        <v>43411</v>
      </c>
      <c r="B747" s="522">
        <v>303954.14</v>
      </c>
      <c r="C747" s="548"/>
      <c r="D747" s="522"/>
    </row>
    <row r="748" spans="1:4" x14ac:dyDescent="0.2">
      <c r="A748" s="548">
        <v>43412</v>
      </c>
      <c r="B748" s="522">
        <v>294843.14</v>
      </c>
      <c r="C748" s="548"/>
      <c r="D748" s="522"/>
    </row>
    <row r="749" spans="1:4" x14ac:dyDescent="0.2">
      <c r="A749" s="548">
        <v>43413</v>
      </c>
      <c r="B749" s="522">
        <v>294843</v>
      </c>
      <c r="C749" s="548"/>
      <c r="D749" s="522"/>
    </row>
    <row r="750" spans="1:4" x14ac:dyDescent="0.2">
      <c r="A750" s="548">
        <v>43416</v>
      </c>
      <c r="B750" s="522">
        <v>294843</v>
      </c>
      <c r="C750" s="548"/>
      <c r="D750" s="522"/>
    </row>
    <row r="751" spans="1:4" x14ac:dyDescent="0.2">
      <c r="A751" s="548">
        <v>43417</v>
      </c>
      <c r="B751" s="522">
        <v>294843</v>
      </c>
      <c r="C751" s="548"/>
      <c r="D751" s="522"/>
    </row>
    <row r="752" spans="1:4" x14ac:dyDescent="0.2">
      <c r="A752" s="548">
        <v>43418</v>
      </c>
      <c r="B752" s="522">
        <v>259514.47</v>
      </c>
      <c r="C752" s="548"/>
      <c r="D752" s="522"/>
    </row>
    <row r="753" spans="1:4" x14ac:dyDescent="0.2">
      <c r="A753" s="548">
        <v>43419</v>
      </c>
      <c r="B753" s="522">
        <v>255987.45</v>
      </c>
      <c r="C753" s="548"/>
      <c r="D753" s="522"/>
    </row>
    <row r="754" spans="1:4" x14ac:dyDescent="0.2">
      <c r="A754" s="548">
        <v>43420</v>
      </c>
      <c r="B754" s="522">
        <v>255987.45</v>
      </c>
      <c r="C754" s="548"/>
      <c r="D754" s="522"/>
    </row>
    <row r="755" spans="1:4" x14ac:dyDescent="0.2">
      <c r="A755" s="548">
        <v>43423</v>
      </c>
      <c r="B755" s="522">
        <v>255987.45</v>
      </c>
      <c r="C755" s="548"/>
      <c r="D755" s="522"/>
    </row>
    <row r="756" spans="1:4" x14ac:dyDescent="0.2">
      <c r="A756" s="548">
        <v>43424</v>
      </c>
      <c r="B756" s="522">
        <v>254650.75</v>
      </c>
      <c r="C756" s="548"/>
      <c r="D756" s="522"/>
    </row>
    <row r="757" spans="1:4" x14ac:dyDescent="0.2">
      <c r="A757" s="548">
        <v>43425</v>
      </c>
      <c r="B757" s="522">
        <v>298403.21000000002</v>
      </c>
      <c r="C757" s="548"/>
      <c r="D757" s="522"/>
    </row>
    <row r="758" spans="1:4" x14ac:dyDescent="0.2">
      <c r="A758" s="548">
        <v>43426</v>
      </c>
      <c r="B758" s="522">
        <v>300529.64</v>
      </c>
      <c r="C758" s="548"/>
      <c r="D758" s="522"/>
    </row>
    <row r="759" spans="1:4" x14ac:dyDescent="0.2">
      <c r="A759" s="548">
        <v>43427</v>
      </c>
      <c r="B759" s="522">
        <v>300229.64</v>
      </c>
      <c r="C759" s="548"/>
      <c r="D759" s="522"/>
    </row>
    <row r="760" spans="1:4" x14ac:dyDescent="0.2">
      <c r="A760" s="548">
        <v>43430</v>
      </c>
      <c r="B760" s="522">
        <v>300230</v>
      </c>
      <c r="C760" s="548"/>
      <c r="D760" s="522"/>
    </row>
    <row r="761" spans="1:4" x14ac:dyDescent="0.2">
      <c r="A761" s="548">
        <v>43431</v>
      </c>
      <c r="B761" s="522">
        <v>267674.82</v>
      </c>
      <c r="C761" s="548"/>
      <c r="D761" s="522"/>
    </row>
    <row r="762" spans="1:4" x14ac:dyDescent="0.2">
      <c r="A762" s="548">
        <v>43432</v>
      </c>
      <c r="B762" s="522">
        <v>273448.82</v>
      </c>
      <c r="C762" s="548"/>
      <c r="D762" s="522"/>
    </row>
    <row r="763" spans="1:4" x14ac:dyDescent="0.2">
      <c r="A763" s="548">
        <v>43433</v>
      </c>
      <c r="B763" s="522">
        <v>252527.09</v>
      </c>
      <c r="C763" s="548"/>
      <c r="D763" s="522"/>
    </row>
    <row r="764" spans="1:4" x14ac:dyDescent="0.2">
      <c r="A764" s="548">
        <v>43434</v>
      </c>
      <c r="B764" s="522">
        <v>321968.59000000003</v>
      </c>
      <c r="C764" s="548"/>
      <c r="D764" s="522"/>
    </row>
    <row r="765" spans="1:4" x14ac:dyDescent="0.2">
      <c r="A765" s="548">
        <v>43437</v>
      </c>
      <c r="B765" s="522">
        <v>321969</v>
      </c>
      <c r="C765" s="548"/>
      <c r="D765" s="522"/>
    </row>
    <row r="766" spans="1:4" x14ac:dyDescent="0.2">
      <c r="A766" s="548">
        <v>43438</v>
      </c>
      <c r="B766" s="522">
        <v>321969</v>
      </c>
      <c r="C766" s="548"/>
      <c r="D766" s="522"/>
    </row>
    <row r="767" spans="1:4" x14ac:dyDescent="0.2">
      <c r="A767" s="548">
        <v>43439</v>
      </c>
      <c r="B767" s="522">
        <v>321969</v>
      </c>
      <c r="C767" s="548"/>
      <c r="D767" s="522"/>
    </row>
    <row r="768" spans="1:4" x14ac:dyDescent="0.2">
      <c r="A768" s="548">
        <v>43440</v>
      </c>
      <c r="B768" s="522">
        <v>314251.55</v>
      </c>
      <c r="C768" s="548"/>
      <c r="D768" s="522"/>
    </row>
    <row r="769" spans="1:4" x14ac:dyDescent="0.2">
      <c r="A769" s="548">
        <v>43441</v>
      </c>
      <c r="B769" s="522">
        <v>315739.42</v>
      </c>
      <c r="C769" s="548"/>
      <c r="D769" s="522"/>
    </row>
    <row r="770" spans="1:4" x14ac:dyDescent="0.2">
      <c r="A770" s="548">
        <v>43444</v>
      </c>
      <c r="B770" s="522">
        <v>315739</v>
      </c>
      <c r="C770" s="548"/>
      <c r="D770" s="522"/>
    </row>
    <row r="771" spans="1:4" x14ac:dyDescent="0.2">
      <c r="A771" s="548">
        <v>43445</v>
      </c>
      <c r="B771" s="522">
        <v>275506.94</v>
      </c>
      <c r="C771" s="548"/>
      <c r="D771" s="522"/>
    </row>
    <row r="772" spans="1:4" x14ac:dyDescent="0.2">
      <c r="A772" s="548">
        <v>43446</v>
      </c>
      <c r="B772" s="522">
        <v>275507</v>
      </c>
      <c r="C772" s="548"/>
      <c r="D772" s="522"/>
    </row>
    <row r="773" spans="1:4" x14ac:dyDescent="0.2">
      <c r="A773" s="548">
        <v>43447</v>
      </c>
      <c r="B773" s="522">
        <v>289896.89</v>
      </c>
      <c r="C773" s="548"/>
      <c r="D773" s="522"/>
    </row>
    <row r="774" spans="1:4" x14ac:dyDescent="0.2">
      <c r="A774" s="548">
        <v>43448</v>
      </c>
      <c r="B774" s="522">
        <v>313281.34999999998</v>
      </c>
      <c r="C774" s="548"/>
      <c r="D774" s="522"/>
    </row>
    <row r="775" spans="1:4" x14ac:dyDescent="0.2">
      <c r="A775" s="548">
        <v>43451</v>
      </c>
      <c r="B775" s="522">
        <v>313281</v>
      </c>
      <c r="C775" s="548"/>
      <c r="D775" s="522"/>
    </row>
    <row r="776" spans="1:4" x14ac:dyDescent="0.2">
      <c r="A776" s="548">
        <v>43452</v>
      </c>
      <c r="B776" s="522">
        <v>317556.84999999998</v>
      </c>
      <c r="C776" s="548"/>
      <c r="D776" s="522"/>
    </row>
    <row r="777" spans="1:4" x14ac:dyDescent="0.2">
      <c r="A777" s="548">
        <v>43453</v>
      </c>
      <c r="B777" s="522">
        <v>317557</v>
      </c>
      <c r="C777" s="548"/>
      <c r="D777" s="522"/>
    </row>
    <row r="778" spans="1:4" x14ac:dyDescent="0.2">
      <c r="A778" s="548">
        <v>43454</v>
      </c>
      <c r="B778" s="522">
        <v>297159.33</v>
      </c>
      <c r="C778" s="548"/>
      <c r="D778" s="522"/>
    </row>
    <row r="779" spans="1:4" x14ac:dyDescent="0.2">
      <c r="A779" s="548">
        <v>43455</v>
      </c>
      <c r="B779" s="522">
        <v>297159</v>
      </c>
      <c r="C779" s="548"/>
      <c r="D779" s="522"/>
    </row>
    <row r="780" spans="1:4" x14ac:dyDescent="0.2">
      <c r="A780" s="548">
        <v>43458</v>
      </c>
      <c r="B780" s="522">
        <v>260233.37</v>
      </c>
      <c r="C780" s="548"/>
      <c r="D780" s="522"/>
    </row>
    <row r="781" spans="1:4" x14ac:dyDescent="0.2">
      <c r="A781" s="548">
        <v>43459</v>
      </c>
      <c r="B781" s="522">
        <v>260233</v>
      </c>
      <c r="C781" s="548"/>
      <c r="D781" s="522"/>
    </row>
    <row r="782" spans="1:4" x14ac:dyDescent="0.2">
      <c r="A782" s="548">
        <v>43460</v>
      </c>
      <c r="B782" s="522">
        <v>261845.78</v>
      </c>
      <c r="C782" s="548"/>
      <c r="D782" s="522"/>
    </row>
    <row r="783" spans="1:4" x14ac:dyDescent="0.2">
      <c r="A783" s="548">
        <v>43461</v>
      </c>
      <c r="B783" s="522">
        <v>261846</v>
      </c>
      <c r="C783" s="548"/>
      <c r="D783" s="522"/>
    </row>
    <row r="784" spans="1:4" x14ac:dyDescent="0.2">
      <c r="A784" s="548">
        <v>43462</v>
      </c>
      <c r="B784" s="522">
        <v>273805.40000000002</v>
      </c>
      <c r="C784" s="548"/>
      <c r="D784" s="522"/>
    </row>
    <row r="785" spans="1:4" x14ac:dyDescent="0.2">
      <c r="A785" s="548">
        <v>43465</v>
      </c>
      <c r="B785" s="522">
        <v>274101.40000000002</v>
      </c>
      <c r="C785" s="548"/>
      <c r="D785" s="522"/>
    </row>
    <row r="786" spans="1:4" x14ac:dyDescent="0.2">
      <c r="A786" s="548">
        <v>43466</v>
      </c>
      <c r="B786" s="522">
        <v>274101</v>
      </c>
      <c r="C786" s="548"/>
      <c r="D786" s="522"/>
    </row>
    <row r="787" spans="1:4" x14ac:dyDescent="0.2">
      <c r="A787" s="548">
        <v>43467</v>
      </c>
      <c r="B787" s="522">
        <v>299108.40000000002</v>
      </c>
      <c r="C787" s="548"/>
      <c r="D787" s="522"/>
    </row>
    <row r="788" spans="1:4" x14ac:dyDescent="0.2">
      <c r="A788" s="548">
        <v>43468</v>
      </c>
      <c r="B788" s="522">
        <v>298070.78000000003</v>
      </c>
      <c r="C788" s="548"/>
      <c r="D788" s="522"/>
    </row>
    <row r="789" spans="1:4" x14ac:dyDescent="0.2">
      <c r="A789" s="548">
        <v>43469</v>
      </c>
      <c r="B789" s="522">
        <v>298071</v>
      </c>
      <c r="C789" s="548"/>
      <c r="D789" s="522"/>
    </row>
    <row r="790" spans="1:4" x14ac:dyDescent="0.2">
      <c r="A790" s="548">
        <v>43472</v>
      </c>
      <c r="B790" s="522">
        <v>298430.78000000003</v>
      </c>
      <c r="C790" s="548"/>
      <c r="D790" s="522"/>
    </row>
    <row r="791" spans="1:4" x14ac:dyDescent="0.2">
      <c r="A791" s="548">
        <v>43473</v>
      </c>
      <c r="B791" s="522">
        <v>264835.63</v>
      </c>
      <c r="C791" s="548"/>
      <c r="D791" s="522"/>
    </row>
    <row r="792" spans="1:4" x14ac:dyDescent="0.2">
      <c r="A792" s="548">
        <v>43474</v>
      </c>
      <c r="B792" s="522">
        <v>303664.65999999997</v>
      </c>
      <c r="C792" s="548"/>
      <c r="D792" s="522"/>
    </row>
    <row r="793" spans="1:4" x14ac:dyDescent="0.2">
      <c r="A793" s="548">
        <v>43475</v>
      </c>
      <c r="B793" s="522">
        <v>299790.71999999997</v>
      </c>
      <c r="C793" s="548"/>
      <c r="D793" s="522"/>
    </row>
    <row r="794" spans="1:4" x14ac:dyDescent="0.2">
      <c r="A794" s="548">
        <v>43476</v>
      </c>
      <c r="B794" s="589">
        <v>309881.71999999997</v>
      </c>
      <c r="C794" s="548"/>
      <c r="D794" s="522"/>
    </row>
    <row r="795" spans="1:4" x14ac:dyDescent="0.2">
      <c r="A795" s="548">
        <v>43479</v>
      </c>
      <c r="B795" s="522">
        <v>284374.78999999998</v>
      </c>
      <c r="C795" s="548"/>
      <c r="D795" s="522"/>
    </row>
    <row r="796" spans="1:4" x14ac:dyDescent="0.2">
      <c r="A796" s="548">
        <v>43480</v>
      </c>
      <c r="B796" s="522">
        <v>284494.75</v>
      </c>
      <c r="C796" s="548"/>
      <c r="D796" s="522"/>
    </row>
    <row r="797" spans="1:4" x14ac:dyDescent="0.2">
      <c r="A797" s="548">
        <v>43481</v>
      </c>
      <c r="B797" s="522">
        <v>277370.03000000003</v>
      </c>
      <c r="C797" s="548"/>
      <c r="D797" s="522"/>
    </row>
    <row r="798" spans="1:4" x14ac:dyDescent="0.2">
      <c r="A798" s="548">
        <v>43482</v>
      </c>
      <c r="B798" s="522">
        <v>266103.65999999997</v>
      </c>
      <c r="C798" s="548"/>
      <c r="D798" s="522"/>
    </row>
    <row r="799" spans="1:4" x14ac:dyDescent="0.2">
      <c r="A799" s="548">
        <v>43483</v>
      </c>
      <c r="B799" s="522">
        <v>266189.65999999997</v>
      </c>
      <c r="C799" s="548"/>
      <c r="D799" s="522"/>
    </row>
    <row r="800" spans="1:4" x14ac:dyDescent="0.2">
      <c r="A800" s="548">
        <v>43486</v>
      </c>
      <c r="B800" s="522">
        <v>266190</v>
      </c>
      <c r="C800" s="548"/>
      <c r="D800" s="522"/>
    </row>
    <row r="801" spans="1:4" x14ac:dyDescent="0.2">
      <c r="A801" s="548">
        <v>43487</v>
      </c>
      <c r="B801" s="522">
        <v>228832.05</v>
      </c>
      <c r="C801" s="548"/>
      <c r="D801" s="522"/>
    </row>
    <row r="802" spans="1:4" x14ac:dyDescent="0.2">
      <c r="A802" s="548">
        <v>43488</v>
      </c>
      <c r="B802" s="522">
        <v>229285.41</v>
      </c>
      <c r="C802" s="548"/>
      <c r="D802" s="522"/>
    </row>
    <row r="803" spans="1:4" x14ac:dyDescent="0.2">
      <c r="A803" s="548">
        <v>43489</v>
      </c>
      <c r="B803" s="522">
        <v>236709.42</v>
      </c>
      <c r="C803" s="548"/>
      <c r="D803" s="522"/>
    </row>
    <row r="804" spans="1:4" x14ac:dyDescent="0.2">
      <c r="A804" s="548">
        <v>43490</v>
      </c>
      <c r="B804" s="522">
        <v>236709</v>
      </c>
      <c r="C804" s="548"/>
      <c r="D804" s="522"/>
    </row>
    <row r="805" spans="1:4" x14ac:dyDescent="0.2">
      <c r="A805" s="548">
        <v>43493</v>
      </c>
      <c r="B805" s="522">
        <v>236400.88</v>
      </c>
      <c r="C805" s="548"/>
      <c r="D805" s="522"/>
    </row>
    <row r="806" spans="1:4" x14ac:dyDescent="0.2">
      <c r="A806" s="548">
        <v>43494</v>
      </c>
      <c r="B806" s="522">
        <v>236401</v>
      </c>
      <c r="C806" s="548"/>
      <c r="D806" s="522"/>
    </row>
    <row r="807" spans="1:4" x14ac:dyDescent="0.2">
      <c r="A807" s="548">
        <v>43495</v>
      </c>
      <c r="B807" s="522">
        <v>236401</v>
      </c>
      <c r="C807" s="548"/>
      <c r="D807" s="522"/>
    </row>
    <row r="808" spans="1:4" x14ac:dyDescent="0.2">
      <c r="A808" s="548">
        <v>43496</v>
      </c>
      <c r="B808" s="522">
        <v>237605.71</v>
      </c>
      <c r="C808" s="548"/>
      <c r="D808" s="522"/>
    </row>
    <row r="809" spans="1:4" x14ac:dyDescent="0.2">
      <c r="A809" s="548">
        <v>43497</v>
      </c>
      <c r="B809" s="522">
        <v>237728.71</v>
      </c>
      <c r="C809" s="548"/>
      <c r="D809" s="522"/>
    </row>
    <row r="810" spans="1:4" x14ac:dyDescent="0.2">
      <c r="A810" s="548">
        <v>43500</v>
      </c>
      <c r="B810" s="522">
        <v>201980</v>
      </c>
      <c r="C810" s="548"/>
      <c r="D810" s="522"/>
    </row>
    <row r="811" spans="1:4" x14ac:dyDescent="0.2">
      <c r="A811" s="548">
        <v>43501</v>
      </c>
      <c r="B811" s="522">
        <v>225615.34</v>
      </c>
      <c r="C811" s="548"/>
      <c r="D811" s="522"/>
    </row>
    <row r="812" spans="1:4" x14ac:dyDescent="0.2">
      <c r="A812" s="548">
        <v>43502</v>
      </c>
      <c r="B812" s="522">
        <v>225615</v>
      </c>
      <c r="C812" s="548"/>
      <c r="D812" s="522"/>
    </row>
    <row r="813" spans="1:4" x14ac:dyDescent="0.2">
      <c r="A813" s="548">
        <v>43503</v>
      </c>
      <c r="B813" s="522">
        <v>219151.3</v>
      </c>
      <c r="C813" s="548"/>
      <c r="D813" s="522"/>
    </row>
    <row r="814" spans="1:4" x14ac:dyDescent="0.2">
      <c r="A814" s="548">
        <v>43504</v>
      </c>
      <c r="B814" s="522">
        <v>219351.3</v>
      </c>
      <c r="C814" s="548"/>
      <c r="D814" s="522"/>
    </row>
    <row r="815" spans="1:4" x14ac:dyDescent="0.2">
      <c r="A815" s="548">
        <v>43507</v>
      </c>
      <c r="B815" s="522">
        <v>219351</v>
      </c>
      <c r="C815" s="548"/>
      <c r="D815" s="522"/>
    </row>
    <row r="816" spans="1:4" x14ac:dyDescent="0.2">
      <c r="A816" s="548">
        <v>43508</v>
      </c>
      <c r="B816" s="522">
        <v>219351</v>
      </c>
      <c r="C816" s="548"/>
      <c r="D816" s="522"/>
    </row>
    <row r="817" spans="1:4" x14ac:dyDescent="0.2">
      <c r="A817" s="548">
        <v>43509</v>
      </c>
      <c r="B817" s="522">
        <v>219351</v>
      </c>
      <c r="C817" s="548"/>
      <c r="D817" s="522"/>
    </row>
    <row r="818" spans="1:4" x14ac:dyDescent="0.2">
      <c r="A818" s="548">
        <v>43510</v>
      </c>
      <c r="B818" s="522">
        <v>206758.66</v>
      </c>
      <c r="C818" s="548"/>
      <c r="D818" s="522"/>
    </row>
    <row r="819" spans="1:4" x14ac:dyDescent="0.2">
      <c r="A819" s="548">
        <v>43511</v>
      </c>
      <c r="B819" s="522">
        <v>234837.55</v>
      </c>
      <c r="C819" s="548"/>
      <c r="D819" s="522"/>
    </row>
    <row r="820" spans="1:4" x14ac:dyDescent="0.2">
      <c r="A820" s="548">
        <v>43514</v>
      </c>
      <c r="B820" s="522">
        <v>234838</v>
      </c>
      <c r="C820" s="548"/>
      <c r="D820" s="522"/>
    </row>
    <row r="821" spans="1:4" x14ac:dyDescent="0.2">
      <c r="A821" s="548">
        <v>43515</v>
      </c>
      <c r="B821" s="522">
        <v>199113.26</v>
      </c>
      <c r="C821" s="548"/>
      <c r="D821" s="522"/>
    </row>
    <row r="822" spans="1:4" x14ac:dyDescent="0.2">
      <c r="A822" s="548">
        <v>43516</v>
      </c>
      <c r="B822" s="589">
        <v>199113</v>
      </c>
      <c r="C822" s="548"/>
      <c r="D822" s="522"/>
    </row>
    <row r="823" spans="1:4" x14ac:dyDescent="0.2">
      <c r="A823" s="548">
        <v>43517</v>
      </c>
      <c r="B823" s="522">
        <v>205400.17</v>
      </c>
      <c r="C823" s="548"/>
      <c r="D823" s="522"/>
    </row>
    <row r="824" spans="1:4" x14ac:dyDescent="0.2">
      <c r="A824" s="548">
        <v>43518</v>
      </c>
      <c r="B824" s="522">
        <v>220161.91</v>
      </c>
      <c r="C824" s="548"/>
      <c r="D824" s="522"/>
    </row>
    <row r="825" spans="1:4" x14ac:dyDescent="0.2">
      <c r="A825" s="548">
        <v>43521</v>
      </c>
      <c r="B825" s="522">
        <v>220161.91</v>
      </c>
      <c r="C825" s="548"/>
      <c r="D825" s="522"/>
    </row>
    <row r="826" spans="1:4" x14ac:dyDescent="0.2">
      <c r="A826" s="548">
        <v>43522</v>
      </c>
      <c r="B826" s="522">
        <v>220161.91</v>
      </c>
      <c r="C826" s="548"/>
      <c r="D826" s="522"/>
    </row>
    <row r="827" spans="1:4" x14ac:dyDescent="0.2">
      <c r="A827" s="548">
        <v>43523</v>
      </c>
      <c r="B827" s="522">
        <v>220161.91</v>
      </c>
      <c r="C827" s="548"/>
      <c r="D827" s="522"/>
    </row>
    <row r="828" spans="1:4" x14ac:dyDescent="0.2">
      <c r="A828" s="548">
        <v>43524</v>
      </c>
      <c r="B828" s="522">
        <v>224635.26</v>
      </c>
      <c r="C828" s="548"/>
      <c r="D828" s="522"/>
    </row>
    <row r="829" spans="1:4" x14ac:dyDescent="0.2">
      <c r="A829" s="548">
        <v>43525</v>
      </c>
      <c r="B829" s="522">
        <v>298900.61</v>
      </c>
      <c r="C829" s="548"/>
      <c r="D829" s="522"/>
    </row>
    <row r="830" spans="1:4" x14ac:dyDescent="0.2">
      <c r="A830" s="548">
        <v>43528</v>
      </c>
      <c r="B830" s="522">
        <v>262246.8</v>
      </c>
      <c r="C830" s="548"/>
      <c r="D830" s="522"/>
    </row>
    <row r="831" spans="1:4" x14ac:dyDescent="0.2">
      <c r="A831" s="548">
        <v>43529</v>
      </c>
      <c r="B831" s="522">
        <v>262247</v>
      </c>
      <c r="C831" s="548"/>
      <c r="D831" s="522"/>
    </row>
    <row r="832" spans="1:4" x14ac:dyDescent="0.2">
      <c r="A832" s="548">
        <v>43530</v>
      </c>
      <c r="B832" s="522">
        <v>262247</v>
      </c>
      <c r="C832" s="548"/>
      <c r="D832" s="522"/>
    </row>
    <row r="833" spans="1:4" x14ac:dyDescent="0.2">
      <c r="A833" s="548">
        <v>43531</v>
      </c>
      <c r="B833" s="522">
        <v>275395.15000000002</v>
      </c>
      <c r="C833" s="548"/>
      <c r="D833" s="522"/>
    </row>
    <row r="834" spans="1:4" x14ac:dyDescent="0.2">
      <c r="A834" s="548">
        <v>43532</v>
      </c>
      <c r="B834" s="522">
        <v>275395</v>
      </c>
      <c r="C834" s="548"/>
      <c r="D834" s="522"/>
    </row>
    <row r="836" spans="1:4" x14ac:dyDescent="0.2">
      <c r="A836" s="553" t="s">
        <v>299</v>
      </c>
      <c r="B836" s="522">
        <f>MAX(B786:B828)</f>
        <v>309881.71999999997</v>
      </c>
    </row>
    <row r="837" spans="1:4" x14ac:dyDescent="0.2">
      <c r="A837" s="553" t="s">
        <v>300</v>
      </c>
      <c r="B837" s="522">
        <f>MIN(B786:B828)</f>
        <v>199113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6"/>
  <sheetViews>
    <sheetView zoomScaleNormal="100" workbookViewId="0"/>
  </sheetViews>
  <sheetFormatPr defaultRowHeight="14.25" x14ac:dyDescent="0.2"/>
  <cols>
    <col min="1" max="1" width="42.12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31</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420</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60" t="s">
        <v>169</v>
      </c>
      <c r="B5" s="261"/>
      <c r="C5" s="261"/>
      <c r="D5" s="261"/>
      <c r="E5" s="261"/>
      <c r="F5" s="261"/>
      <c r="G5" s="261"/>
      <c r="H5" s="261"/>
      <c r="I5" s="261"/>
      <c r="J5" s="261"/>
      <c r="K5" s="262"/>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 x14ac:dyDescent="0.2">
      <c r="A6" s="654" t="s">
        <v>23</v>
      </c>
      <c r="B6" s="420" t="s">
        <v>13</v>
      </c>
      <c r="C6" s="627" t="s">
        <v>1</v>
      </c>
      <c r="D6" s="420" t="s">
        <v>2</v>
      </c>
      <c r="E6" s="627" t="s">
        <v>3</v>
      </c>
      <c r="F6" s="263" t="s">
        <v>10</v>
      </c>
      <c r="G6" s="630" t="s">
        <v>28</v>
      </c>
      <c r="H6" s="263" t="s">
        <v>213</v>
      </c>
      <c r="I6" s="630" t="s">
        <v>27</v>
      </c>
      <c r="J6" s="263" t="s">
        <v>20</v>
      </c>
      <c r="K6" s="263" t="s">
        <v>100</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x14ac:dyDescent="0.2">
      <c r="A7" s="1" t="s">
        <v>340</v>
      </c>
      <c r="B7" s="686" t="s">
        <v>15</v>
      </c>
      <c r="C7" s="6" t="s">
        <v>165</v>
      </c>
      <c r="D7" s="298">
        <v>43191</v>
      </c>
      <c r="E7" s="7">
        <v>43465</v>
      </c>
      <c r="F7" s="320">
        <v>183868</v>
      </c>
      <c r="G7" s="321">
        <f>+(+I7-H7)</f>
        <v>99688.85</v>
      </c>
      <c r="H7" s="302">
        <f>'Feb''19 AR Aging '!G6</f>
        <v>84179.18</v>
      </c>
      <c r="I7" s="321">
        <f>183618.53+249.5</f>
        <v>183868.03</v>
      </c>
      <c r="J7" s="320">
        <f>F7-I7</f>
        <v>-2.9999999998835847E-2</v>
      </c>
      <c r="K7" s="313"/>
      <c r="L7" s="46"/>
      <c r="M7" s="29"/>
      <c r="N7" s="29"/>
    </row>
    <row r="8" spans="1:48" x14ac:dyDescent="0.2">
      <c r="A8" s="683" t="s">
        <v>397</v>
      </c>
      <c r="B8" s="687" t="s">
        <v>15</v>
      </c>
      <c r="C8" s="689" t="s">
        <v>421</v>
      </c>
      <c r="D8" s="317">
        <v>43466</v>
      </c>
      <c r="E8" s="628">
        <v>43830</v>
      </c>
      <c r="F8" s="318">
        <v>190000</v>
      </c>
      <c r="G8" s="631">
        <f>I8-H8</f>
        <v>0</v>
      </c>
      <c r="H8" s="319">
        <f>'Feb''19 AR Aging '!G7</f>
        <v>28112.52</v>
      </c>
      <c r="I8" s="631">
        <f>H8</f>
        <v>28112.52</v>
      </c>
      <c r="J8" s="318">
        <f>F8-I8</f>
        <v>161887.48000000001</v>
      </c>
      <c r="K8" s="375"/>
      <c r="L8" s="253"/>
      <c r="M8" s="290"/>
      <c r="N8" s="29"/>
    </row>
    <row r="9" spans="1:48" hidden="1" x14ac:dyDescent="0.2">
      <c r="A9" s="684" t="s">
        <v>285</v>
      </c>
      <c r="B9" s="686" t="s">
        <v>14</v>
      </c>
      <c r="C9" s="6" t="s">
        <v>171</v>
      </c>
      <c r="D9" s="298">
        <v>42826</v>
      </c>
      <c r="E9" s="7">
        <v>43190</v>
      </c>
      <c r="F9" s="320"/>
      <c r="G9" s="321"/>
      <c r="H9" s="302"/>
      <c r="I9" s="321"/>
      <c r="J9" s="320"/>
      <c r="K9" s="302"/>
      <c r="L9" s="253"/>
      <c r="M9" s="290"/>
      <c r="N9" s="29"/>
    </row>
    <row r="10" spans="1:48" hidden="1" x14ac:dyDescent="0.2">
      <c r="A10" s="684" t="s">
        <v>311</v>
      </c>
      <c r="B10" s="686" t="s">
        <v>14</v>
      </c>
      <c r="C10" s="6" t="s">
        <v>171</v>
      </c>
      <c r="D10" s="298">
        <v>42917</v>
      </c>
      <c r="E10" s="7">
        <v>43281</v>
      </c>
      <c r="F10" s="320"/>
      <c r="G10" s="321"/>
      <c r="H10" s="302">
        <f>'Feb''19 AR Aging '!G12</f>
        <v>0</v>
      </c>
      <c r="I10" s="321"/>
      <c r="J10" s="320"/>
      <c r="K10" s="313"/>
      <c r="L10" s="253"/>
      <c r="M10" s="290"/>
      <c r="N10" s="29"/>
    </row>
    <row r="11" spans="1:48" x14ac:dyDescent="0.2">
      <c r="A11" s="683" t="s">
        <v>351</v>
      </c>
      <c r="B11" s="687" t="s">
        <v>14</v>
      </c>
      <c r="C11" s="689" t="s">
        <v>171</v>
      </c>
      <c r="D11" s="317">
        <v>43282</v>
      </c>
      <c r="E11" s="628">
        <v>43646</v>
      </c>
      <c r="F11" s="318">
        <v>319000</v>
      </c>
      <c r="G11" s="631">
        <f>I11-H11</f>
        <v>150211.02000000002</v>
      </c>
      <c r="H11" s="319">
        <f>'Feb''19 AR Aging '!G13</f>
        <v>42440.93</v>
      </c>
      <c r="I11" s="631">
        <v>192651.95</v>
      </c>
      <c r="J11" s="318">
        <f>F11-I11</f>
        <v>126348.04999999999</v>
      </c>
      <c r="K11" s="375">
        <v>12321.83</v>
      </c>
      <c r="L11" s="253"/>
      <c r="M11" s="290"/>
      <c r="N11" s="29"/>
    </row>
    <row r="12" spans="1:48" x14ac:dyDescent="0.2">
      <c r="A12" s="684" t="s">
        <v>422</v>
      </c>
      <c r="B12" s="686" t="s">
        <v>14</v>
      </c>
      <c r="C12" s="6" t="s">
        <v>166</v>
      </c>
      <c r="D12" s="298">
        <v>43374</v>
      </c>
      <c r="E12" s="7">
        <v>43585</v>
      </c>
      <c r="F12" s="320">
        <v>183750</v>
      </c>
      <c r="G12" s="321">
        <f>I12-H12</f>
        <v>73831.87</v>
      </c>
      <c r="H12" s="302">
        <f>'Feb''19 AR Aging '!G31</f>
        <v>55219.74</v>
      </c>
      <c r="I12" s="321">
        <v>129051.61</v>
      </c>
      <c r="J12" s="320">
        <f>F12-I12</f>
        <v>54698.39</v>
      </c>
      <c r="K12" s="313"/>
      <c r="L12" s="253"/>
      <c r="M12" s="290"/>
      <c r="N12" s="29"/>
    </row>
    <row r="13" spans="1:48" x14ac:dyDescent="0.2">
      <c r="A13" s="684" t="s">
        <v>423</v>
      </c>
      <c r="B13" s="686" t="s">
        <v>14</v>
      </c>
      <c r="C13" s="6" t="s">
        <v>166</v>
      </c>
      <c r="D13" s="298">
        <v>43586</v>
      </c>
      <c r="E13" s="7">
        <v>43676</v>
      </c>
      <c r="F13" s="320">
        <f>315000/12*3</f>
        <v>78750</v>
      </c>
      <c r="G13" s="321"/>
      <c r="H13" s="695"/>
      <c r="I13" s="321"/>
      <c r="J13" s="320"/>
      <c r="K13" s="302"/>
      <c r="L13" s="253"/>
      <c r="M13" s="290"/>
      <c r="N13" s="29"/>
    </row>
    <row r="14" spans="1:48" x14ac:dyDescent="0.2">
      <c r="A14" s="683" t="s">
        <v>425</v>
      </c>
      <c r="B14" s="687" t="s">
        <v>14</v>
      </c>
      <c r="C14" s="689" t="s">
        <v>424</v>
      </c>
      <c r="D14" s="317">
        <v>43678</v>
      </c>
      <c r="E14" s="628">
        <v>44042</v>
      </c>
      <c r="F14" s="318">
        <v>330000</v>
      </c>
      <c r="G14" s="631"/>
      <c r="H14" s="319"/>
      <c r="I14" s="631"/>
      <c r="J14" s="318"/>
      <c r="K14" s="319"/>
      <c r="L14" s="253"/>
      <c r="M14" s="290"/>
      <c r="N14" s="29"/>
    </row>
    <row r="15" spans="1:48" s="3" customFormat="1" x14ac:dyDescent="0.2">
      <c r="A15" s="684" t="s">
        <v>379</v>
      </c>
      <c r="B15" s="686" t="s">
        <v>17</v>
      </c>
      <c r="C15" s="6" t="s">
        <v>5</v>
      </c>
      <c r="D15" s="298">
        <v>43466</v>
      </c>
      <c r="E15" s="7">
        <v>43830</v>
      </c>
      <c r="F15" s="320">
        <f>3708.33*12</f>
        <v>44499.96</v>
      </c>
      <c r="G15" s="321">
        <f>I15-H15</f>
        <v>6.6666666671153507E-3</v>
      </c>
      <c r="H15" s="302">
        <f>'Feb''19 AR Aging '!G39</f>
        <v>7416.66</v>
      </c>
      <c r="I15" s="321">
        <f>44500/12*2</f>
        <v>7416.666666666667</v>
      </c>
      <c r="J15" s="320">
        <f>F15-I15</f>
        <v>37083.293333333335</v>
      </c>
      <c r="K15" s="302"/>
      <c r="L15" s="253"/>
      <c r="M15" s="290"/>
      <c r="N15" s="29"/>
      <c r="O15" s="29"/>
      <c r="P15" s="29"/>
      <c r="Q15" s="29"/>
      <c r="R15" s="29"/>
      <c r="S15" s="29"/>
      <c r="T15" s="29"/>
      <c r="U15" s="29"/>
      <c r="V15" s="29"/>
      <c r="W15" s="29"/>
      <c r="X15" s="29"/>
      <c r="Y15" s="29"/>
      <c r="Z15" s="29"/>
      <c r="AA15" s="29"/>
      <c r="AB15" s="11"/>
      <c r="AC15" s="11"/>
      <c r="AD15" s="11"/>
      <c r="AE15" s="11"/>
      <c r="AF15" s="11"/>
      <c r="AG15" s="11"/>
      <c r="AH15" s="11"/>
      <c r="AI15" s="11"/>
      <c r="AJ15" s="11"/>
      <c r="AK15" s="11"/>
      <c r="AL15" s="11"/>
      <c r="AM15" s="1"/>
      <c r="AN15" s="1"/>
      <c r="AO15" s="1"/>
      <c r="AP15" s="1"/>
      <c r="AQ15" s="1"/>
      <c r="AR15" s="1"/>
      <c r="AS15" s="1"/>
      <c r="AT15" s="1"/>
      <c r="AU15" s="1"/>
      <c r="AV15" s="1"/>
    </row>
    <row r="16" spans="1:48" s="3" customFormat="1" x14ac:dyDescent="0.2">
      <c r="A16" s="750" t="s">
        <v>435</v>
      </c>
      <c r="B16" s="686" t="s">
        <v>17</v>
      </c>
      <c r="C16" s="6" t="s">
        <v>22</v>
      </c>
      <c r="D16" s="298">
        <v>43556</v>
      </c>
      <c r="E16" s="7">
        <v>43737</v>
      </c>
      <c r="F16" s="320">
        <v>3753</v>
      </c>
      <c r="G16" s="321"/>
      <c r="H16" s="302"/>
      <c r="I16" s="321"/>
      <c r="J16" s="320"/>
      <c r="K16" s="302"/>
      <c r="L16" s="253"/>
      <c r="M16" s="290"/>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3" customFormat="1" hidden="1" x14ac:dyDescent="0.2">
      <c r="A17" s="684"/>
      <c r="B17" s="686" t="s">
        <v>17</v>
      </c>
      <c r="C17" s="6" t="s">
        <v>22</v>
      </c>
      <c r="D17" s="298">
        <v>42644</v>
      </c>
      <c r="E17" s="7">
        <v>43008</v>
      </c>
      <c r="F17" s="320"/>
      <c r="G17" s="321"/>
      <c r="H17" s="320"/>
      <c r="I17" s="321"/>
      <c r="J17" s="320"/>
      <c r="K17" s="485"/>
      <c r="L17" s="253"/>
      <c r="M17" s="290"/>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3" customFormat="1" x14ac:dyDescent="0.2">
      <c r="A18" s="684" t="s">
        <v>211</v>
      </c>
      <c r="B18" s="686" t="s">
        <v>17</v>
      </c>
      <c r="C18" s="6" t="s">
        <v>22</v>
      </c>
      <c r="D18" s="298">
        <v>43191</v>
      </c>
      <c r="E18" s="7">
        <v>43555</v>
      </c>
      <c r="F18" s="320">
        <v>141928</v>
      </c>
      <c r="G18" s="321">
        <f>I18-H18</f>
        <v>86331.13</v>
      </c>
      <c r="H18" s="320">
        <f>'Feb''19 AR Aging '!G48</f>
        <v>25960.67</v>
      </c>
      <c r="I18" s="321">
        <v>112291.8</v>
      </c>
      <c r="J18" s="320">
        <f>F18-I18</f>
        <v>29636.199999999997</v>
      </c>
      <c r="K18" s="485"/>
      <c r="L18" s="253"/>
      <c r="M18" s="290"/>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3" customFormat="1" ht="12.75" customHeight="1" x14ac:dyDescent="0.2">
      <c r="A19" s="683" t="s">
        <v>211</v>
      </c>
      <c r="B19" s="687" t="s">
        <v>17</v>
      </c>
      <c r="C19" s="689" t="s">
        <v>22</v>
      </c>
      <c r="D19" s="317">
        <v>43556</v>
      </c>
      <c r="E19" s="628">
        <v>43190</v>
      </c>
      <c r="F19" s="447" t="s">
        <v>424</v>
      </c>
      <c r="G19" s="631"/>
      <c r="H19" s="318"/>
      <c r="I19" s="631"/>
      <c r="J19" s="318"/>
      <c r="K19" s="319"/>
      <c r="L19" s="253"/>
      <c r="M19" s="290"/>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hidden="1" x14ac:dyDescent="0.2">
      <c r="A20" s="684" t="s">
        <v>176</v>
      </c>
      <c r="B20" s="686" t="s">
        <v>344</v>
      </c>
      <c r="C20" s="6" t="s">
        <v>22</v>
      </c>
      <c r="D20" s="298">
        <v>43101</v>
      </c>
      <c r="E20" s="7">
        <v>43465</v>
      </c>
      <c r="F20" s="320"/>
      <c r="G20" s="321"/>
      <c r="H20" s="320"/>
      <c r="I20" s="321"/>
      <c r="J20" s="320"/>
      <c r="K20" s="302"/>
      <c r="L20" s="253"/>
      <c r="M20" s="290"/>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x14ac:dyDescent="0.2">
      <c r="A21" s="684" t="s">
        <v>16</v>
      </c>
      <c r="B21" s="686" t="s">
        <v>344</v>
      </c>
      <c r="C21" s="6" t="s">
        <v>22</v>
      </c>
      <c r="D21" s="298">
        <v>43466</v>
      </c>
      <c r="E21" s="7">
        <v>43830</v>
      </c>
      <c r="F21" s="320">
        <v>13000</v>
      </c>
      <c r="G21" s="321">
        <f>I21-H21</f>
        <v>-3.3333335522911511E-6</v>
      </c>
      <c r="H21" s="320">
        <f>'Feb''19 AR Aging '!G40</f>
        <v>2166.6666700000001</v>
      </c>
      <c r="I21" s="321">
        <f>13000/12*2</f>
        <v>2166.6666666666665</v>
      </c>
      <c r="J21" s="320">
        <f>F21-I21</f>
        <v>10833.333333333334</v>
      </c>
      <c r="K21" s="302"/>
      <c r="L21" s="253"/>
      <c r="M21" s="290"/>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3" customFormat="1" x14ac:dyDescent="0.2">
      <c r="A22" s="685" t="s">
        <v>360</v>
      </c>
      <c r="B22" s="688" t="s">
        <v>361</v>
      </c>
      <c r="C22" s="690" t="s">
        <v>22</v>
      </c>
      <c r="D22" s="664">
        <v>43344</v>
      </c>
      <c r="E22" s="665">
        <v>43524</v>
      </c>
      <c r="F22" s="667">
        <v>5497</v>
      </c>
      <c r="G22" s="693">
        <f>I22-H22</f>
        <v>3076.77</v>
      </c>
      <c r="H22" s="667">
        <f>'Feb''19 AR Aging '!G57</f>
        <v>1908.9500000000003</v>
      </c>
      <c r="I22" s="693">
        <v>4985.72</v>
      </c>
      <c r="J22" s="667">
        <f>F22-I22</f>
        <v>511.27999999999975</v>
      </c>
      <c r="K22" s="666"/>
      <c r="L22" s="253"/>
      <c r="M22" s="290"/>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row>
    <row r="23" spans="1:48" s="3" customFormat="1" hidden="1" x14ac:dyDescent="0.2">
      <c r="A23" s="669" t="s">
        <v>302</v>
      </c>
      <c r="B23" s="668" t="s">
        <v>147</v>
      </c>
      <c r="C23" s="6" t="s">
        <v>22</v>
      </c>
      <c r="D23" s="298"/>
      <c r="E23" s="7"/>
      <c r="F23" s="313"/>
      <c r="G23" s="321"/>
      <c r="H23" s="320"/>
      <c r="I23" s="321"/>
      <c r="J23" s="320"/>
      <c r="K23" s="302"/>
      <c r="L23" s="253"/>
      <c r="M23" s="290"/>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ht="15" thickBot="1" x14ac:dyDescent="0.25">
      <c r="A24" s="655" t="s">
        <v>368</v>
      </c>
      <c r="B24" s="400" t="s">
        <v>147</v>
      </c>
      <c r="C24" s="691" t="s">
        <v>22</v>
      </c>
      <c r="D24" s="401">
        <v>43318</v>
      </c>
      <c r="E24" s="629">
        <v>43574</v>
      </c>
      <c r="F24" s="692">
        <v>36955</v>
      </c>
      <c r="G24" s="694">
        <f>+(+I24-H24)</f>
        <v>15463.37</v>
      </c>
      <c r="H24" s="314">
        <f>'Feb''19 AR Aging '!G59</f>
        <v>1696.42</v>
      </c>
      <c r="I24" s="694">
        <v>17159.79</v>
      </c>
      <c r="J24" s="314">
        <f t="shared" ref="J24" si="0">+F24-I24</f>
        <v>19795.21</v>
      </c>
      <c r="K24" s="303"/>
      <c r="L24" s="253"/>
      <c r="M24" s="290"/>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17" customFormat="1" ht="16.5" thickBot="1" x14ac:dyDescent="0.3">
      <c r="A25" s="264" t="s">
        <v>38</v>
      </c>
      <c r="B25" s="265"/>
      <c r="C25" s="266"/>
      <c r="D25" s="267"/>
      <c r="E25" s="267"/>
      <c r="F25" s="292"/>
      <c r="G25" s="292">
        <f>SUM(G8:G24)</f>
        <v>328914.16666333337</v>
      </c>
      <c r="H25" s="292">
        <f>SUM(H7:H24)</f>
        <v>249101.73667000004</v>
      </c>
      <c r="I25" s="292">
        <f>SUM(I8:I24)</f>
        <v>493836.72333333333</v>
      </c>
      <c r="J25" s="292">
        <f>SUM(J8:J24)</f>
        <v>440793.23666666675</v>
      </c>
      <c r="K25" s="292">
        <f>SUM(K8:K24)</f>
        <v>12321.83</v>
      </c>
      <c r="L25" s="47"/>
      <c r="M25" s="37"/>
      <c r="N25" s="37"/>
      <c r="O25" s="37"/>
      <c r="P25" s="37"/>
      <c r="Q25" s="37"/>
      <c r="R25" s="37"/>
      <c r="S25" s="37"/>
      <c r="T25" s="37"/>
      <c r="U25" s="37"/>
      <c r="V25" s="37"/>
      <c r="W25" s="37"/>
      <c r="X25" s="37"/>
      <c r="Y25" s="37"/>
      <c r="Z25" s="37"/>
      <c r="AA25" s="37"/>
      <c r="AB25" s="38"/>
      <c r="AC25" s="38"/>
      <c r="AD25" s="38"/>
      <c r="AE25" s="38"/>
      <c r="AF25" s="38"/>
      <c r="AG25" s="38"/>
      <c r="AH25" s="38"/>
      <c r="AI25" s="38"/>
      <c r="AJ25" s="38"/>
      <c r="AK25" s="38"/>
      <c r="AL25" s="38"/>
      <c r="AM25" s="39"/>
      <c r="AN25" s="39"/>
      <c r="AO25" s="39"/>
      <c r="AP25" s="39"/>
      <c r="AQ25" s="39"/>
      <c r="AR25" s="39"/>
      <c r="AS25" s="39"/>
      <c r="AT25" s="39"/>
      <c r="AU25" s="39"/>
      <c r="AV25" s="39"/>
    </row>
    <row r="26" spans="1:48" s="18" customFormat="1" x14ac:dyDescent="0.2">
      <c r="A26" s="55"/>
      <c r="B26" s="55"/>
      <c r="C26" s="19"/>
      <c r="D26" s="55"/>
      <c r="E26" s="291"/>
      <c r="F26" s="29"/>
      <c r="G26" s="29"/>
      <c r="I26" s="29"/>
      <c r="J26" s="29"/>
      <c r="K26" s="29"/>
      <c r="L26" s="29"/>
      <c r="M26" s="29"/>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18" customFormat="1" ht="10.5" customHeight="1" thickBot="1" x14ac:dyDescent="0.25">
      <c r="A27" s="1"/>
      <c r="B27" s="44"/>
      <c r="C27" s="6"/>
      <c r="D27" s="6"/>
      <c r="E27" s="6"/>
      <c r="F27" s="29"/>
      <c r="G27" s="29"/>
      <c r="H27" s="29"/>
      <c r="I27" s="29"/>
      <c r="J27" s="29"/>
      <c r="K27" s="29"/>
      <c r="L27" s="29"/>
      <c r="M27" s="29"/>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22" customFormat="1" ht="16.5" thickBot="1" x14ac:dyDescent="0.3">
      <c r="A28" s="307" t="s">
        <v>40</v>
      </c>
      <c r="B28" s="157"/>
      <c r="C28" s="158"/>
      <c r="D28" s="158"/>
      <c r="E28" s="158"/>
      <c r="F28" s="159"/>
      <c r="G28" s="159"/>
      <c r="H28" s="159"/>
      <c r="I28" s="159"/>
      <c r="J28" s="159"/>
      <c r="K28" s="160"/>
      <c r="L28" s="29"/>
      <c r="M28" s="29"/>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20" customFormat="1" ht="45.75" thickBot="1" x14ac:dyDescent="0.25">
      <c r="A29" s="329" t="s">
        <v>23</v>
      </c>
      <c r="B29" s="794" t="s">
        <v>13</v>
      </c>
      <c r="C29" s="795"/>
      <c r="D29" s="329" t="s">
        <v>2</v>
      </c>
      <c r="E29" s="329" t="s">
        <v>3</v>
      </c>
      <c r="F29" s="334" t="s">
        <v>24</v>
      </c>
      <c r="G29" s="334" t="s">
        <v>426</v>
      </c>
      <c r="H29" s="334" t="s">
        <v>175</v>
      </c>
      <c r="I29" s="334" t="s">
        <v>20</v>
      </c>
      <c r="J29" s="334" t="s">
        <v>436</v>
      </c>
      <c r="K29" s="334" t="s">
        <v>4</v>
      </c>
      <c r="L29" s="35"/>
      <c r="M29" s="35"/>
      <c r="N29" s="35"/>
      <c r="O29" s="35"/>
      <c r="P29" s="35"/>
      <c r="Q29" s="35"/>
      <c r="R29" s="35"/>
      <c r="S29" s="35"/>
      <c r="T29" s="35"/>
      <c r="U29" s="6"/>
      <c r="V29" s="35"/>
      <c r="W29" s="35"/>
      <c r="X29" s="35"/>
      <c r="Y29" s="35"/>
      <c r="Z29" s="35"/>
      <c r="AA29" s="35"/>
      <c r="AB29" s="36"/>
      <c r="AC29" s="36"/>
      <c r="AD29" s="36"/>
      <c r="AE29" s="36"/>
      <c r="AF29" s="36"/>
      <c r="AG29" s="36"/>
      <c r="AH29" s="36"/>
      <c r="AI29" s="36"/>
      <c r="AJ29" s="36"/>
      <c r="AK29" s="36"/>
      <c r="AL29" s="36"/>
      <c r="AM29" s="6"/>
      <c r="AN29" s="6"/>
      <c r="AO29" s="6"/>
      <c r="AP29" s="6"/>
      <c r="AQ29" s="6"/>
      <c r="AR29" s="6"/>
      <c r="AS29" s="6"/>
      <c r="AT29" s="6"/>
      <c r="AU29" s="6"/>
      <c r="AV29" s="6"/>
    </row>
    <row r="30" spans="1:48" hidden="1" x14ac:dyDescent="0.2">
      <c r="A30" s="294" t="s">
        <v>16</v>
      </c>
      <c r="B30" s="784" t="s">
        <v>12</v>
      </c>
      <c r="C30" s="785"/>
      <c r="D30" s="327">
        <v>41275</v>
      </c>
      <c r="E30" s="298">
        <v>41639</v>
      </c>
      <c r="F30" s="302"/>
      <c r="G30" s="302">
        <v>0</v>
      </c>
      <c r="H30" s="302"/>
      <c r="I30" s="302">
        <f>F30-H30</f>
        <v>0</v>
      </c>
      <c r="J30" s="302">
        <v>0</v>
      </c>
      <c r="K30" s="302">
        <f t="shared" ref="K30:K35" si="1">I30</f>
        <v>0</v>
      </c>
      <c r="L30" s="29"/>
      <c r="M30" s="29"/>
      <c r="N30" s="29"/>
    </row>
    <row r="31" spans="1:48" hidden="1" x14ac:dyDescent="0.2">
      <c r="A31" s="294" t="s">
        <v>292</v>
      </c>
      <c r="B31" s="784" t="s">
        <v>12</v>
      </c>
      <c r="C31" s="785"/>
      <c r="D31" s="327">
        <v>42736</v>
      </c>
      <c r="E31" s="298">
        <v>43100</v>
      </c>
      <c r="F31" s="302"/>
      <c r="G31" s="302">
        <v>0</v>
      </c>
      <c r="H31" s="302">
        <v>25000</v>
      </c>
      <c r="I31" s="302">
        <f>25000-H31</f>
        <v>0</v>
      </c>
      <c r="J31" s="302"/>
      <c r="K31" s="399">
        <f t="shared" ref="K31" si="2">I31</f>
        <v>0</v>
      </c>
      <c r="L31" s="29"/>
      <c r="M31" s="29"/>
      <c r="N31" s="29"/>
    </row>
    <row r="32" spans="1:48" x14ac:dyDescent="0.2">
      <c r="A32" s="294" t="s">
        <v>367</v>
      </c>
      <c r="B32" s="784" t="s">
        <v>12</v>
      </c>
      <c r="C32" s="785"/>
      <c r="D32" s="327">
        <v>43466</v>
      </c>
      <c r="E32" s="298">
        <v>43830</v>
      </c>
      <c r="F32" s="302">
        <v>25000</v>
      </c>
      <c r="G32" s="302"/>
      <c r="H32" s="302">
        <v>4189.03</v>
      </c>
      <c r="I32" s="302">
        <f>25000-H32</f>
        <v>20810.97</v>
      </c>
      <c r="J32" s="302"/>
      <c r="K32" s="751">
        <f>I32</f>
        <v>20810.97</v>
      </c>
      <c r="L32" s="29"/>
      <c r="M32" s="29"/>
      <c r="N32" s="29"/>
    </row>
    <row r="33" spans="1:48" hidden="1" x14ac:dyDescent="0.2">
      <c r="A33" s="294" t="s">
        <v>191</v>
      </c>
      <c r="B33" s="784" t="s">
        <v>12</v>
      </c>
      <c r="C33" s="785"/>
      <c r="D33" s="327">
        <v>42248</v>
      </c>
      <c r="E33" s="298">
        <v>43465</v>
      </c>
      <c r="F33" s="302"/>
      <c r="G33" s="302"/>
      <c r="H33" s="302"/>
      <c r="I33" s="302"/>
      <c r="J33" s="302"/>
      <c r="K33" s="320"/>
      <c r="L33" s="29"/>
      <c r="M33" s="29"/>
      <c r="N33" s="29"/>
    </row>
    <row r="34" spans="1:48" x14ac:dyDescent="0.2">
      <c r="A34" s="294" t="s">
        <v>217</v>
      </c>
      <c r="B34" s="784" t="s">
        <v>12</v>
      </c>
      <c r="C34" s="785"/>
      <c r="D34" s="327">
        <v>42370</v>
      </c>
      <c r="E34" s="298">
        <v>43830</v>
      </c>
      <c r="F34" s="302">
        <v>7125</v>
      </c>
      <c r="G34" s="302">
        <v>4818.43</v>
      </c>
      <c r="H34" s="302">
        <v>1006.77</v>
      </c>
      <c r="I34" s="302">
        <f t="shared" ref="I34" si="3">G34-H34</f>
        <v>3811.6600000000003</v>
      </c>
      <c r="J34" s="302"/>
      <c r="K34" s="320">
        <f t="shared" si="1"/>
        <v>3811.6600000000003</v>
      </c>
      <c r="L34" s="29"/>
      <c r="M34" s="29"/>
      <c r="N34" s="29"/>
    </row>
    <row r="35" spans="1:48" s="4" customFormat="1" x14ac:dyDescent="0.2">
      <c r="A35" s="294" t="s">
        <v>434</v>
      </c>
      <c r="B35" s="786" t="s">
        <v>18</v>
      </c>
      <c r="C35" s="787"/>
      <c r="D35" s="327">
        <v>42736</v>
      </c>
      <c r="E35" s="298">
        <v>43646</v>
      </c>
      <c r="F35" s="302">
        <v>40000</v>
      </c>
      <c r="G35" s="302">
        <v>5772.78</v>
      </c>
      <c r="H35" s="302">
        <v>3533.93</v>
      </c>
      <c r="I35" s="302">
        <f>G35-H35</f>
        <v>2238.85</v>
      </c>
      <c r="J35" s="302"/>
      <c r="K35" s="320">
        <f t="shared" si="1"/>
        <v>2238.85</v>
      </c>
      <c r="L35" s="29"/>
      <c r="M35" s="29"/>
      <c r="N35" s="29"/>
      <c r="O35" s="29"/>
      <c r="P35" s="29"/>
      <c r="Q35" s="29"/>
      <c r="R35" s="29"/>
      <c r="S35" s="29"/>
      <c r="T35" s="29"/>
      <c r="U35" s="1"/>
      <c r="V35" s="29"/>
      <c r="W35" s="29"/>
      <c r="X35" s="29"/>
      <c r="Y35" s="29"/>
      <c r="Z35" s="29"/>
      <c r="AA35" s="29"/>
      <c r="AB35" s="11"/>
      <c r="AC35" s="11"/>
      <c r="AD35" s="11"/>
      <c r="AE35" s="11"/>
      <c r="AF35" s="11"/>
      <c r="AG35" s="11"/>
      <c r="AH35" s="11"/>
      <c r="AI35" s="11"/>
      <c r="AJ35" s="11"/>
      <c r="AK35" s="11"/>
      <c r="AL35" s="11"/>
      <c r="AM35" s="1"/>
      <c r="AN35" s="1"/>
      <c r="AO35" s="1"/>
      <c r="AP35" s="1"/>
      <c r="AQ35" s="1"/>
      <c r="AR35" s="1"/>
      <c r="AS35" s="1"/>
      <c r="AT35" s="1"/>
      <c r="AU35" s="1"/>
      <c r="AV35" s="1"/>
    </row>
    <row r="36" spans="1:48" s="4" customFormat="1" x14ac:dyDescent="0.2">
      <c r="A36" s="294" t="s">
        <v>433</v>
      </c>
      <c r="B36" s="786" t="s">
        <v>18</v>
      </c>
      <c r="C36" s="787"/>
      <c r="D36" s="327">
        <v>43466</v>
      </c>
      <c r="E36" s="298">
        <v>43830</v>
      </c>
      <c r="F36" s="302">
        <v>50000</v>
      </c>
      <c r="G36" s="302"/>
      <c r="H36" s="302"/>
      <c r="I36" s="302"/>
      <c r="J36" s="302"/>
      <c r="K36" s="320">
        <v>50000</v>
      </c>
      <c r="L36" s="29"/>
      <c r="M36" s="29"/>
      <c r="N36" s="29"/>
      <c r="O36" s="29"/>
      <c r="P36" s="29"/>
      <c r="Q36" s="29"/>
      <c r="R36" s="29"/>
      <c r="S36" s="29"/>
      <c r="T36" s="29"/>
      <c r="U36" s="1"/>
      <c r="V36" s="29"/>
      <c r="W36" s="29"/>
      <c r="X36" s="29"/>
      <c r="Y36" s="29"/>
      <c r="Z36" s="29"/>
      <c r="AA36" s="29"/>
      <c r="AB36" s="11"/>
      <c r="AC36" s="11"/>
      <c r="AD36" s="11"/>
      <c r="AE36" s="11"/>
      <c r="AF36" s="11"/>
      <c r="AG36" s="11"/>
      <c r="AH36" s="11"/>
      <c r="AI36" s="11"/>
      <c r="AJ36" s="11"/>
      <c r="AK36" s="11"/>
      <c r="AL36" s="11"/>
      <c r="AM36" s="1"/>
      <c r="AN36" s="1"/>
      <c r="AO36" s="1"/>
      <c r="AP36" s="1"/>
      <c r="AQ36" s="1"/>
      <c r="AR36" s="1"/>
      <c r="AS36" s="1"/>
      <c r="AT36" s="1"/>
      <c r="AU36" s="1"/>
      <c r="AV36" s="1"/>
    </row>
    <row r="37" spans="1:48" s="2" customFormat="1" ht="15" thickBot="1" x14ac:dyDescent="0.25">
      <c r="A37" s="294" t="s">
        <v>19</v>
      </c>
      <c r="B37" s="781" t="s">
        <v>44</v>
      </c>
      <c r="C37" s="783"/>
      <c r="D37" s="327">
        <v>40226</v>
      </c>
      <c r="E37" s="299" t="s">
        <v>26</v>
      </c>
      <c r="F37" s="302">
        <f>8007.78+5000+50</f>
        <v>13057.779999999999</v>
      </c>
      <c r="G37" s="302">
        <v>4223.7</v>
      </c>
      <c r="H37" s="302">
        <v>1075</v>
      </c>
      <c r="I37" s="302">
        <f>+G37-H37</f>
        <v>3148.7</v>
      </c>
      <c r="J37" s="302">
        <f>I37</f>
        <v>3148.7</v>
      </c>
      <c r="K37" s="320">
        <v>0</v>
      </c>
      <c r="L37" s="29"/>
      <c r="M37" s="29"/>
      <c r="N37" s="29"/>
      <c r="O37" s="29"/>
      <c r="P37" s="29"/>
      <c r="Q37" s="29"/>
      <c r="R37" s="29"/>
      <c r="S37" s="29"/>
      <c r="T37" s="29"/>
      <c r="U37" s="1"/>
      <c r="V37" s="29"/>
      <c r="W37" s="29"/>
      <c r="X37" s="29"/>
      <c r="Y37" s="29"/>
      <c r="Z37" s="29"/>
      <c r="AA37" s="29"/>
      <c r="AB37" s="11"/>
      <c r="AC37" s="11"/>
      <c r="AD37" s="11"/>
      <c r="AE37" s="11"/>
      <c r="AF37" s="11"/>
      <c r="AG37" s="11"/>
      <c r="AH37" s="11"/>
      <c r="AI37" s="11"/>
      <c r="AJ37" s="11"/>
      <c r="AK37" s="11"/>
      <c r="AL37" s="11"/>
      <c r="AM37" s="1"/>
      <c r="AN37" s="1"/>
      <c r="AO37" s="1"/>
      <c r="AP37" s="1"/>
      <c r="AQ37" s="1"/>
      <c r="AR37" s="1"/>
      <c r="AS37" s="1"/>
      <c r="AT37" s="1"/>
      <c r="AU37" s="1"/>
      <c r="AV37" s="1"/>
    </row>
    <row r="38" spans="1:48" s="2" customFormat="1" ht="15.75" thickBot="1" x14ac:dyDescent="0.3">
      <c r="A38" s="295"/>
      <c r="B38" s="797"/>
      <c r="C38" s="798"/>
      <c r="D38" s="328"/>
      <c r="E38" s="300"/>
      <c r="F38" s="303"/>
      <c r="G38" s="303"/>
      <c r="H38" s="303">
        <v>0</v>
      </c>
      <c r="I38" s="303"/>
      <c r="J38" s="303"/>
      <c r="K38" s="303">
        <v>0</v>
      </c>
      <c r="L38" s="259" t="s">
        <v>105</v>
      </c>
      <c r="M38" s="29"/>
      <c r="N38" s="29"/>
      <c r="O38" s="29"/>
      <c r="P38" s="29"/>
      <c r="Q38" s="29"/>
      <c r="R38" s="29"/>
      <c r="S38" s="29"/>
      <c r="T38" s="29"/>
      <c r="U38" s="1"/>
      <c r="V38" s="29"/>
      <c r="W38" s="29"/>
      <c r="X38" s="29"/>
      <c r="Y38" s="29"/>
      <c r="Z38" s="29"/>
      <c r="AA38" s="29"/>
      <c r="AB38" s="11"/>
      <c r="AC38" s="11"/>
      <c r="AD38" s="11"/>
      <c r="AE38" s="11"/>
      <c r="AF38" s="11"/>
      <c r="AG38" s="11"/>
      <c r="AH38" s="11"/>
      <c r="AI38" s="11"/>
      <c r="AJ38" s="11"/>
      <c r="AK38" s="11"/>
      <c r="AL38" s="11"/>
      <c r="AM38" s="1"/>
      <c r="AN38" s="1"/>
      <c r="AO38" s="1"/>
      <c r="AP38" s="1"/>
      <c r="AQ38" s="1"/>
      <c r="AR38" s="1"/>
      <c r="AS38" s="1"/>
      <c r="AT38" s="1"/>
      <c r="AU38" s="1"/>
      <c r="AV38" s="1"/>
    </row>
    <row r="39" spans="1:48" s="257" customFormat="1" ht="15.75" thickBot="1" x14ac:dyDescent="0.3">
      <c r="A39" s="293" t="s">
        <v>29</v>
      </c>
      <c r="B39" s="296"/>
      <c r="C39" s="296"/>
      <c r="D39" s="297"/>
      <c r="E39" s="297"/>
      <c r="F39" s="301">
        <f t="shared" ref="F39:K39" si="4">SUM(F30:F38)</f>
        <v>135182.78</v>
      </c>
      <c r="G39" s="304">
        <f t="shared" si="4"/>
        <v>14814.91</v>
      </c>
      <c r="H39" s="301">
        <f t="shared" si="4"/>
        <v>34804.729999999996</v>
      </c>
      <c r="I39" s="301">
        <f t="shared" si="4"/>
        <v>30010.18</v>
      </c>
      <c r="J39" s="305">
        <f t="shared" si="4"/>
        <v>3148.7</v>
      </c>
      <c r="K39" s="306">
        <f t="shared" si="4"/>
        <v>76861.48</v>
      </c>
      <c r="L39" s="457">
        <f>K25+K39</f>
        <v>89183.31</v>
      </c>
      <c r="M39" s="255"/>
      <c r="N39" s="255"/>
      <c r="O39" s="255"/>
      <c r="P39" s="255"/>
      <c r="Q39" s="255"/>
      <c r="R39" s="255"/>
      <c r="S39" s="255"/>
      <c r="T39" s="255"/>
      <c r="U39" s="256"/>
      <c r="V39" s="255"/>
      <c r="W39" s="255"/>
      <c r="X39" s="255"/>
      <c r="Y39" s="255"/>
      <c r="Z39" s="255"/>
      <c r="AA39" s="255"/>
      <c r="AB39" s="255"/>
      <c r="AC39" s="255"/>
      <c r="AD39" s="255"/>
      <c r="AE39" s="255"/>
      <c r="AF39" s="255"/>
      <c r="AG39" s="255"/>
      <c r="AH39" s="255"/>
      <c r="AI39" s="255"/>
      <c r="AJ39" s="255"/>
      <c r="AK39" s="255"/>
      <c r="AL39" s="255"/>
      <c r="AM39" s="256"/>
      <c r="AN39" s="256"/>
      <c r="AO39" s="256"/>
      <c r="AP39" s="256"/>
      <c r="AQ39" s="256"/>
      <c r="AR39" s="256"/>
      <c r="AS39" s="256"/>
      <c r="AT39" s="256"/>
      <c r="AU39" s="256"/>
      <c r="AV39" s="256"/>
    </row>
    <row r="40" spans="1:48" s="18" customFormat="1" ht="15" thickBot="1" x14ac:dyDescent="0.25">
      <c r="B40" s="1"/>
      <c r="C40" s="6"/>
      <c r="D40" s="6"/>
      <c r="E40" s="6"/>
      <c r="F40" s="29"/>
      <c r="G40" s="29"/>
      <c r="H40" s="29"/>
      <c r="I40" s="29"/>
      <c r="J40" s="29"/>
      <c r="K40" s="29"/>
      <c r="L40" s="29"/>
      <c r="M40" s="29"/>
      <c r="N40" s="29"/>
      <c r="O40" s="29"/>
      <c r="P40" s="29"/>
      <c r="Q40" s="29"/>
      <c r="R40" s="29"/>
      <c r="S40" s="29"/>
      <c r="T40" s="29"/>
      <c r="U40" s="1"/>
      <c r="V40" s="29"/>
      <c r="W40" s="29"/>
      <c r="X40" s="29"/>
      <c r="Y40" s="29"/>
      <c r="Z40" s="29"/>
      <c r="AA40" s="29"/>
      <c r="AB40" s="11"/>
      <c r="AC40" s="11"/>
      <c r="AD40" s="11"/>
      <c r="AE40" s="11"/>
      <c r="AF40" s="11"/>
      <c r="AG40" s="11"/>
      <c r="AH40" s="11"/>
      <c r="AI40" s="11"/>
      <c r="AJ40" s="11"/>
      <c r="AK40" s="11"/>
      <c r="AL40" s="11"/>
      <c r="AM40" s="1"/>
      <c r="AN40" s="1"/>
      <c r="AO40" s="1"/>
      <c r="AP40" s="1"/>
      <c r="AQ40" s="1"/>
      <c r="AR40" s="1"/>
      <c r="AS40" s="1"/>
      <c r="AT40" s="1"/>
      <c r="AU40" s="1"/>
      <c r="AV40" s="1"/>
    </row>
    <row r="41" spans="1:48" s="21" customFormat="1" ht="18.75" thickBot="1" x14ac:dyDescent="0.3">
      <c r="A41" s="307" t="s">
        <v>146</v>
      </c>
      <c r="B41" s="308"/>
      <c r="C41" s="309"/>
      <c r="D41" s="309"/>
      <c r="E41" s="309"/>
      <c r="F41" s="312"/>
      <c r="G41" s="312"/>
      <c r="H41" s="312"/>
      <c r="I41" s="312"/>
      <c r="J41" s="312"/>
      <c r="K41" s="315"/>
      <c r="L41" s="312"/>
      <c r="M41" s="316"/>
      <c r="N41" s="40"/>
      <c r="O41" s="40"/>
      <c r="P41" s="40"/>
      <c r="Q41" s="40"/>
      <c r="R41" s="40"/>
      <c r="S41" s="40"/>
      <c r="T41" s="40"/>
      <c r="U41" s="41"/>
      <c r="V41" s="40"/>
      <c r="W41" s="40"/>
      <c r="X41" s="40"/>
      <c r="Y41" s="40"/>
      <c r="Z41" s="40"/>
      <c r="AA41" s="40"/>
      <c r="AB41" s="42"/>
      <c r="AC41" s="42"/>
      <c r="AD41" s="42"/>
      <c r="AE41" s="42"/>
      <c r="AF41" s="42"/>
      <c r="AG41" s="42"/>
      <c r="AH41" s="42"/>
      <c r="AI41" s="42"/>
      <c r="AJ41" s="42"/>
      <c r="AK41" s="42"/>
      <c r="AL41" s="42"/>
      <c r="AM41" s="41"/>
      <c r="AN41" s="41"/>
      <c r="AO41" s="41"/>
      <c r="AP41" s="41"/>
      <c r="AQ41" s="41"/>
      <c r="AR41" s="41"/>
      <c r="AS41" s="41"/>
      <c r="AT41" s="41"/>
      <c r="AU41" s="41"/>
      <c r="AV41" s="41"/>
    </row>
    <row r="42" spans="1:48" s="23" customFormat="1" ht="33" customHeight="1" thickBot="1" x14ac:dyDescent="0.25">
      <c r="A42" s="329" t="s">
        <v>32</v>
      </c>
      <c r="B42" s="794" t="s">
        <v>25</v>
      </c>
      <c r="C42" s="796"/>
      <c r="D42" s="796"/>
      <c r="E42" s="795"/>
      <c r="F42" s="333" t="s">
        <v>41</v>
      </c>
      <c r="G42" s="263" t="s">
        <v>426</v>
      </c>
      <c r="H42" s="263" t="s">
        <v>174</v>
      </c>
      <c r="I42" s="263" t="s">
        <v>212</v>
      </c>
      <c r="J42" s="263" t="s">
        <v>45</v>
      </c>
      <c r="K42" s="263" t="s">
        <v>11</v>
      </c>
      <c r="L42" s="263" t="s">
        <v>9</v>
      </c>
      <c r="M42" s="263" t="s">
        <v>4</v>
      </c>
      <c r="N42" s="35"/>
      <c r="O42" s="35"/>
      <c r="P42" s="35"/>
      <c r="Q42" s="35"/>
      <c r="R42" s="35"/>
      <c r="S42" s="35"/>
      <c r="T42" s="35"/>
      <c r="U42" s="6"/>
      <c r="V42" s="35"/>
      <c r="W42" s="35"/>
      <c r="X42" s="35"/>
      <c r="Y42" s="35"/>
      <c r="Z42" s="35"/>
      <c r="AA42" s="35"/>
      <c r="AB42" s="36"/>
      <c r="AC42" s="36"/>
      <c r="AD42" s="36"/>
      <c r="AE42" s="36"/>
      <c r="AF42" s="36"/>
      <c r="AG42" s="36"/>
      <c r="AH42" s="36"/>
      <c r="AI42" s="36"/>
      <c r="AJ42" s="36"/>
      <c r="AK42" s="36"/>
      <c r="AL42" s="36"/>
      <c r="AM42" s="6"/>
      <c r="AN42" s="6"/>
      <c r="AO42" s="6"/>
      <c r="AP42" s="6"/>
      <c r="AQ42" s="6"/>
      <c r="AR42" s="6"/>
      <c r="AS42" s="6"/>
      <c r="AT42" s="6"/>
      <c r="AU42" s="6"/>
      <c r="AV42" s="6"/>
    </row>
    <row r="43" spans="1:48" s="18" customFormat="1" hidden="1" x14ac:dyDescent="0.2">
      <c r="A43" s="294" t="s">
        <v>33</v>
      </c>
      <c r="B43" s="781" t="s">
        <v>36</v>
      </c>
      <c r="C43" s="782"/>
      <c r="D43" s="782"/>
      <c r="E43" s="783"/>
      <c r="F43" s="302"/>
      <c r="G43" s="302"/>
      <c r="H43" s="302">
        <v>0</v>
      </c>
      <c r="I43" s="302"/>
      <c r="J43" s="302"/>
      <c r="K43" s="302"/>
      <c r="L43" s="302"/>
      <c r="M43" s="302">
        <v>0</v>
      </c>
      <c r="N43" s="29"/>
      <c r="O43" s="29"/>
      <c r="P43" s="29"/>
      <c r="Q43" s="29"/>
      <c r="R43" s="29"/>
      <c r="S43" s="29"/>
      <c r="T43" s="29"/>
      <c r="U43" s="1"/>
      <c r="V43" s="29"/>
      <c r="W43" s="29"/>
      <c r="X43" s="29"/>
      <c r="Y43" s="29"/>
      <c r="Z43" s="29"/>
      <c r="AA43" s="29"/>
      <c r="AB43" s="11"/>
      <c r="AC43" s="11"/>
      <c r="AD43" s="11"/>
      <c r="AE43" s="11"/>
      <c r="AF43" s="11"/>
      <c r="AG43" s="11"/>
      <c r="AH43" s="11"/>
      <c r="AI43" s="11"/>
      <c r="AJ43" s="11"/>
      <c r="AK43" s="11"/>
      <c r="AL43" s="11"/>
      <c r="AM43" s="1"/>
      <c r="AN43" s="1"/>
      <c r="AO43" s="1"/>
      <c r="AP43" s="1"/>
      <c r="AQ43" s="1"/>
      <c r="AR43" s="1"/>
      <c r="AS43" s="1"/>
      <c r="AT43" s="1"/>
      <c r="AU43" s="1"/>
      <c r="AV43" s="1"/>
    </row>
    <row r="44" spans="1:48" hidden="1" x14ac:dyDescent="0.2">
      <c r="A44" s="294" t="s">
        <v>34</v>
      </c>
      <c r="B44" s="781" t="s">
        <v>37</v>
      </c>
      <c r="C44" s="782"/>
      <c r="D44" s="782"/>
      <c r="E44" s="783"/>
      <c r="F44" s="302"/>
      <c r="G44" s="302"/>
      <c r="H44" s="302"/>
      <c r="I44" s="313"/>
      <c r="J44" s="302"/>
      <c r="K44" s="302"/>
      <c r="L44" s="302"/>
      <c r="M44" s="302">
        <v>0</v>
      </c>
      <c r="N44" s="29"/>
    </row>
    <row r="45" spans="1:48" ht="15" hidden="1" customHeight="1" x14ac:dyDescent="0.2">
      <c r="A45" s="294"/>
      <c r="B45" s="781"/>
      <c r="C45" s="782"/>
      <c r="D45" s="782"/>
      <c r="E45" s="783"/>
      <c r="F45" s="302"/>
      <c r="G45" s="302"/>
      <c r="H45" s="302"/>
      <c r="I45" s="538"/>
      <c r="J45" s="302"/>
      <c r="K45" s="399"/>
      <c r="L45" s="302"/>
      <c r="M45" s="302"/>
      <c r="N45" s="29"/>
    </row>
    <row r="46" spans="1:48" s="18" customFormat="1" hidden="1" x14ac:dyDescent="0.2">
      <c r="A46" s="294"/>
      <c r="B46" s="781"/>
      <c r="C46" s="782"/>
      <c r="D46" s="782"/>
      <c r="E46" s="783"/>
      <c r="F46" s="302"/>
      <c r="G46" s="302"/>
      <c r="H46" s="302"/>
      <c r="I46" s="302"/>
      <c r="J46" s="302"/>
      <c r="K46" s="399"/>
      <c r="L46" s="302"/>
      <c r="M46" s="302"/>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x14ac:dyDescent="0.2">
      <c r="A47" s="294" t="s">
        <v>380</v>
      </c>
      <c r="B47" s="590" t="s">
        <v>382</v>
      </c>
      <c r="C47" s="591"/>
      <c r="D47" s="591"/>
      <c r="E47" s="592"/>
      <c r="F47" s="302">
        <v>51000</v>
      </c>
      <c r="G47" s="302">
        <v>0</v>
      </c>
      <c r="H47" s="302">
        <v>51000</v>
      </c>
      <c r="I47" s="639">
        <v>51000</v>
      </c>
      <c r="J47" s="320">
        <f>51000/12*2</f>
        <v>8500</v>
      </c>
      <c r="K47" s="399">
        <f>H47-J47</f>
        <v>42500</v>
      </c>
      <c r="L47" s="302">
        <f>K47</f>
        <v>42500</v>
      </c>
      <c r="M47" s="302"/>
      <c r="N47" s="29"/>
    </row>
    <row r="48" spans="1:48" s="18" customFormat="1" x14ac:dyDescent="0.2">
      <c r="A48" s="294" t="s">
        <v>381</v>
      </c>
      <c r="B48" s="781" t="s">
        <v>383</v>
      </c>
      <c r="C48" s="782"/>
      <c r="D48" s="782"/>
      <c r="E48" s="783"/>
      <c r="F48" s="302">
        <f>6500+3500+2000+3500+3500</f>
        <v>19000</v>
      </c>
      <c r="G48" s="302"/>
      <c r="H48" s="302">
        <v>19000</v>
      </c>
      <c r="I48" s="302"/>
      <c r="J48" s="320">
        <f>19000/12*2</f>
        <v>3166.6666666666665</v>
      </c>
      <c r="K48" s="399">
        <f>H48-J48</f>
        <v>15833.333333333334</v>
      </c>
      <c r="L48" s="302">
        <f>K48</f>
        <v>15833.333333333334</v>
      </c>
      <c r="M48" s="302"/>
      <c r="N48" s="29"/>
      <c r="O48" s="29"/>
      <c r="P48" s="29"/>
      <c r="Q48" s="29"/>
      <c r="R48" s="29"/>
      <c r="S48" s="29"/>
      <c r="T48" s="29"/>
      <c r="U48" s="1"/>
      <c r="V48" s="29"/>
      <c r="W48" s="29"/>
      <c r="X48" s="29"/>
      <c r="Y48" s="29"/>
      <c r="Z48" s="29"/>
      <c r="AA48" s="29"/>
      <c r="AB48" s="11"/>
      <c r="AC48" s="11"/>
      <c r="AD48" s="11"/>
      <c r="AE48" s="11"/>
      <c r="AF48" s="11"/>
      <c r="AG48" s="11"/>
      <c r="AH48" s="11"/>
      <c r="AI48" s="11"/>
      <c r="AJ48" s="11"/>
      <c r="AK48" s="11"/>
      <c r="AL48" s="11"/>
      <c r="AM48" s="1"/>
      <c r="AN48" s="1"/>
      <c r="AO48" s="1"/>
      <c r="AP48" s="1"/>
      <c r="AQ48" s="1"/>
      <c r="AR48" s="1"/>
      <c r="AS48" s="1"/>
      <c r="AT48" s="1"/>
      <c r="AU48" s="1"/>
      <c r="AV48" s="1"/>
    </row>
    <row r="49" spans="1:48" x14ac:dyDescent="0.2">
      <c r="A49" s="294" t="s">
        <v>21</v>
      </c>
      <c r="B49" s="781" t="s">
        <v>148</v>
      </c>
      <c r="C49" s="782"/>
      <c r="D49" s="782"/>
      <c r="E49" s="783"/>
      <c r="F49" s="302"/>
      <c r="G49" s="302">
        <v>0</v>
      </c>
      <c r="H49" s="302">
        <v>1290</v>
      </c>
      <c r="I49" s="302"/>
      <c r="J49" s="320">
        <f>H49</f>
        <v>1290</v>
      </c>
      <c r="K49" s="399">
        <f>H49-J49</f>
        <v>0</v>
      </c>
      <c r="L49" s="302">
        <v>0</v>
      </c>
      <c r="M49" s="302">
        <v>0</v>
      </c>
      <c r="N49" s="29"/>
    </row>
    <row r="50" spans="1:48" x14ac:dyDescent="0.2">
      <c r="A50" s="294" t="s">
        <v>21</v>
      </c>
      <c r="B50" s="781" t="s">
        <v>6</v>
      </c>
      <c r="C50" s="782"/>
      <c r="D50" s="782"/>
      <c r="E50" s="783"/>
      <c r="F50" s="302"/>
      <c r="G50" s="302">
        <v>1100.82</v>
      </c>
      <c r="H50" s="302"/>
      <c r="I50" s="302"/>
      <c r="J50" s="320">
        <v>0</v>
      </c>
      <c r="K50" s="399">
        <v>1100.82</v>
      </c>
      <c r="L50" s="302">
        <f>K50</f>
        <v>1100.82</v>
      </c>
      <c r="M50" s="302">
        <v>0</v>
      </c>
      <c r="N50" s="29"/>
    </row>
    <row r="51" spans="1:48" x14ac:dyDescent="0.2">
      <c r="A51" s="294" t="s">
        <v>21</v>
      </c>
      <c r="B51" s="781" t="s">
        <v>7</v>
      </c>
      <c r="C51" s="782"/>
      <c r="D51" s="782"/>
      <c r="E51" s="783"/>
      <c r="F51" s="302"/>
      <c r="G51" s="302">
        <v>19828.46</v>
      </c>
      <c r="H51" s="302">
        <v>0</v>
      </c>
      <c r="I51" s="302">
        <v>0</v>
      </c>
      <c r="J51" s="320">
        <v>1953.71</v>
      </c>
      <c r="K51" s="399">
        <f>G51+H51-J51</f>
        <v>17874.75</v>
      </c>
      <c r="L51" s="302">
        <f>K51</f>
        <v>17874.75</v>
      </c>
      <c r="M51" s="302">
        <v>0</v>
      </c>
      <c r="N51" s="29"/>
    </row>
    <row r="52" spans="1:48" x14ac:dyDescent="0.2">
      <c r="A52" s="294" t="s">
        <v>21</v>
      </c>
      <c r="B52" s="781" t="s">
        <v>8</v>
      </c>
      <c r="C52" s="782"/>
      <c r="D52" s="782"/>
      <c r="E52" s="783"/>
      <c r="F52" s="302"/>
      <c r="G52" s="302">
        <v>6830.65</v>
      </c>
      <c r="H52" s="302">
        <v>0</v>
      </c>
      <c r="I52" s="302">
        <v>0</v>
      </c>
      <c r="J52" s="320">
        <v>0.03</v>
      </c>
      <c r="K52" s="399">
        <f>G52+H52-J52</f>
        <v>6830.62</v>
      </c>
      <c r="L52" s="302">
        <f>K52</f>
        <v>6830.62</v>
      </c>
      <c r="M52" s="302">
        <v>0</v>
      </c>
      <c r="N52" s="29"/>
    </row>
    <row r="53" spans="1:48" s="25" customFormat="1" ht="15" thickBot="1" x14ac:dyDescent="0.25">
      <c r="A53" s="294"/>
      <c r="B53" s="781"/>
      <c r="C53" s="782"/>
      <c r="D53" s="782"/>
      <c r="E53" s="783"/>
      <c r="F53" s="302"/>
      <c r="G53" s="302"/>
      <c r="H53" s="302"/>
      <c r="I53" s="302"/>
      <c r="J53" s="302"/>
      <c r="K53" s="302"/>
      <c r="L53" s="302">
        <f>K53</f>
        <v>0</v>
      </c>
      <c r="M53" s="302">
        <v>0</v>
      </c>
      <c r="N53" s="29"/>
      <c r="O53" s="29"/>
      <c r="P53" s="29"/>
      <c r="Q53" s="29"/>
      <c r="R53" s="29"/>
      <c r="S53" s="29"/>
      <c r="T53" s="29"/>
      <c r="U53" s="1"/>
      <c r="V53" s="29"/>
      <c r="W53" s="29"/>
      <c r="X53" s="29"/>
      <c r="Y53" s="29"/>
      <c r="Z53" s="29"/>
      <c r="AA53" s="29"/>
      <c r="AB53" s="11"/>
      <c r="AC53" s="11"/>
      <c r="AD53" s="11"/>
      <c r="AE53" s="11"/>
      <c r="AF53" s="11"/>
      <c r="AG53" s="11"/>
      <c r="AH53" s="11"/>
      <c r="AI53" s="11"/>
      <c r="AJ53" s="11"/>
      <c r="AK53" s="11"/>
      <c r="AL53" s="11"/>
      <c r="AM53" s="1"/>
      <c r="AN53" s="1"/>
      <c r="AO53" s="1"/>
      <c r="AP53" s="1"/>
      <c r="AQ53" s="1"/>
      <c r="AR53" s="1"/>
      <c r="AS53" s="1"/>
      <c r="AT53" s="1"/>
      <c r="AU53" s="1"/>
      <c r="AV53" s="1"/>
    </row>
    <row r="54" spans="1:48" s="25" customFormat="1" ht="15" hidden="1" thickBot="1" x14ac:dyDescent="0.25">
      <c r="A54" s="294" t="s">
        <v>21</v>
      </c>
      <c r="B54" s="310" t="s">
        <v>82</v>
      </c>
      <c r="C54" s="285"/>
      <c r="D54" s="285"/>
      <c r="E54" s="311"/>
      <c r="F54" s="302"/>
      <c r="G54" s="302"/>
      <c r="H54" s="302"/>
      <c r="I54" s="302"/>
      <c r="J54" s="302"/>
      <c r="K54" s="302"/>
      <c r="L54" s="302"/>
      <c r="M54" s="302"/>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s="18" customFormat="1" ht="15" hidden="1" customHeight="1" thickBot="1" x14ac:dyDescent="0.25">
      <c r="A55" s="295"/>
      <c r="B55" s="781"/>
      <c r="C55" s="782"/>
      <c r="D55" s="782"/>
      <c r="E55" s="783"/>
      <c r="F55" s="303"/>
      <c r="G55" s="303">
        <v>0</v>
      </c>
      <c r="H55" s="303"/>
      <c r="I55" s="314"/>
      <c r="J55" s="303"/>
      <c r="K55" s="303"/>
      <c r="L55" s="303"/>
      <c r="M55" s="303">
        <v>0</v>
      </c>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row>
    <row r="56" spans="1:48" s="257" customFormat="1" ht="15.75" thickBot="1" x14ac:dyDescent="0.3">
      <c r="A56" s="330" t="s">
        <v>39</v>
      </c>
      <c r="B56" s="331"/>
      <c r="C56" s="331"/>
      <c r="D56" s="331"/>
      <c r="E56" s="332"/>
      <c r="F56" s="392">
        <f t="shared" ref="F56:M56" si="5">SUM(F43:F55)</f>
        <v>70000</v>
      </c>
      <c r="G56" s="393">
        <f t="shared" si="5"/>
        <v>27759.93</v>
      </c>
      <c r="H56" s="393">
        <f t="shared" si="5"/>
        <v>71290</v>
      </c>
      <c r="I56" s="393">
        <f t="shared" si="5"/>
        <v>51000</v>
      </c>
      <c r="J56" s="393">
        <f t="shared" si="5"/>
        <v>14910.406666666668</v>
      </c>
      <c r="K56" s="394">
        <f t="shared" si="5"/>
        <v>84139.523333333331</v>
      </c>
      <c r="L56" s="395">
        <f>SUM(L43:L55)</f>
        <v>84139.523333333331</v>
      </c>
      <c r="M56" s="394">
        <f t="shared" si="5"/>
        <v>0</v>
      </c>
      <c r="N56" s="255"/>
      <c r="O56" s="255"/>
      <c r="P56" s="255"/>
      <c r="Q56" s="255"/>
      <c r="R56" s="255"/>
      <c r="S56" s="255"/>
      <c r="T56" s="255"/>
      <c r="U56" s="256"/>
      <c r="V56" s="255"/>
      <c r="W56" s="255"/>
      <c r="X56" s="255"/>
      <c r="Y56" s="255"/>
      <c r="Z56" s="255"/>
      <c r="AA56" s="255"/>
      <c r="AB56" s="255"/>
      <c r="AC56" s="255"/>
      <c r="AD56" s="255"/>
      <c r="AE56" s="255"/>
      <c r="AF56" s="255"/>
      <c r="AG56" s="255"/>
      <c r="AH56" s="255"/>
      <c r="AI56" s="255"/>
      <c r="AJ56" s="255"/>
      <c r="AK56" s="255"/>
      <c r="AL56" s="255"/>
      <c r="AM56" s="256"/>
      <c r="AN56" s="256"/>
      <c r="AO56" s="256"/>
      <c r="AP56" s="256"/>
      <c r="AQ56" s="256"/>
      <c r="AR56" s="256"/>
      <c r="AS56" s="256"/>
      <c r="AT56" s="256"/>
      <c r="AU56" s="256"/>
      <c r="AV56" s="256"/>
    </row>
    <row r="57" spans="1:48" ht="15.75" thickBot="1" x14ac:dyDescent="0.3">
      <c r="H57" s="28"/>
      <c r="L57" s="258" t="s">
        <v>106</v>
      </c>
      <c r="N57" s="29"/>
    </row>
    <row r="58" spans="1:48" s="48" customFormat="1" ht="16.5" thickBot="1" x14ac:dyDescent="0.3">
      <c r="A58" s="52"/>
      <c r="B58" s="53"/>
      <c r="C58" s="53"/>
      <c r="D58" s="53"/>
      <c r="E58" s="53"/>
      <c r="F58" s="53"/>
      <c r="G58" s="53"/>
      <c r="H58" s="53"/>
      <c r="I58" s="53"/>
      <c r="J58" s="53"/>
      <c r="K58" s="53"/>
      <c r="L58" s="516">
        <f>L56+J39</f>
        <v>87288.223333333328</v>
      </c>
      <c r="M58" s="752"/>
      <c r="N58" s="29"/>
      <c r="O58" s="29"/>
      <c r="P58" s="29"/>
      <c r="Q58" s="29"/>
      <c r="R58" s="29"/>
      <c r="S58" s="29"/>
      <c r="T58" s="29"/>
      <c r="U58" s="29"/>
      <c r="V58" s="29"/>
      <c r="W58" s="29"/>
      <c r="X58" s="29"/>
      <c r="Y58" s="29"/>
      <c r="Z58" s="29"/>
      <c r="AA58" s="29"/>
      <c r="AB58" s="11"/>
      <c r="AC58" s="11"/>
      <c r="AD58" s="11"/>
      <c r="AE58" s="11"/>
      <c r="AF58" s="11"/>
      <c r="AG58" s="11"/>
      <c r="AH58" s="11"/>
      <c r="AI58" s="11"/>
      <c r="AJ58" s="11"/>
      <c r="AK58" s="11"/>
      <c r="AL58" s="11"/>
      <c r="AM58" s="1"/>
      <c r="AN58" s="1"/>
      <c r="AO58" s="1"/>
      <c r="AP58" s="1"/>
      <c r="AQ58" s="1"/>
      <c r="AR58" s="1"/>
      <c r="AS58" s="1"/>
      <c r="AT58" s="1"/>
      <c r="AU58" s="1"/>
      <c r="AV58" s="1"/>
    </row>
    <row r="59" spans="1:48" s="51" customFormat="1" ht="32.25" hidden="1" thickBot="1" x14ac:dyDescent="0.3">
      <c r="A59" s="54"/>
      <c r="B59" s="50"/>
      <c r="C59" s="50"/>
      <c r="D59" s="50"/>
      <c r="E59" s="50"/>
      <c r="F59" s="50"/>
      <c r="G59" s="150" t="s">
        <v>183</v>
      </c>
      <c r="H59" s="151" t="s">
        <v>174</v>
      </c>
      <c r="I59" s="151" t="s">
        <v>104</v>
      </c>
      <c r="J59" s="151" t="s">
        <v>59</v>
      </c>
      <c r="K59" s="152" t="s">
        <v>47</v>
      </c>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row>
    <row r="60" spans="1:48" s="43" customFormat="1" ht="20.25" hidden="1" customHeight="1" x14ac:dyDescent="0.2">
      <c r="A60" s="350" t="s">
        <v>77</v>
      </c>
      <c r="B60" s="790" t="s">
        <v>46</v>
      </c>
      <c r="C60" s="790"/>
      <c r="D60" s="790"/>
      <c r="E60" s="790"/>
      <c r="F60" s="351"/>
      <c r="G60" s="351">
        <f>104647.76-J46-1250-1250</f>
        <v>102147.76</v>
      </c>
      <c r="H60" s="351">
        <f>90450.47-J60-H63</f>
        <v>54754.79</v>
      </c>
      <c r="I60" s="351">
        <f>H49</f>
        <v>1290</v>
      </c>
      <c r="J60" s="351">
        <f>'Feb''19 AR Aging '!G42</f>
        <v>35695.68</v>
      </c>
      <c r="K60" s="352">
        <f>+I60+J60+H60-G60</f>
        <v>-10407.289999999994</v>
      </c>
      <c r="L60" s="46"/>
      <c r="M60" s="46"/>
      <c r="N60" s="29"/>
      <c r="O60" s="29"/>
      <c r="P60" s="29"/>
      <c r="Q60" s="29"/>
      <c r="R60" s="29"/>
      <c r="S60" s="29"/>
      <c r="T60" s="29"/>
      <c r="U60" s="1"/>
      <c r="V60" s="29"/>
      <c r="W60" s="29"/>
      <c r="X60" s="29"/>
      <c r="Y60" s="29"/>
      <c r="Z60" s="29"/>
      <c r="AA60" s="29"/>
      <c r="AB60" s="11"/>
      <c r="AC60" s="11"/>
      <c r="AD60" s="11"/>
      <c r="AE60" s="11"/>
      <c r="AF60" s="11"/>
      <c r="AG60" s="11"/>
      <c r="AH60" s="11"/>
      <c r="AI60" s="11"/>
      <c r="AJ60" s="11"/>
      <c r="AK60" s="11"/>
      <c r="AL60" s="11"/>
      <c r="AM60" s="1"/>
      <c r="AN60" s="1"/>
      <c r="AO60" s="1"/>
      <c r="AP60" s="1"/>
      <c r="AQ60" s="1"/>
      <c r="AR60" s="1"/>
      <c r="AS60" s="1"/>
      <c r="AT60" s="1"/>
      <c r="AU60" s="1"/>
      <c r="AV60" s="1"/>
    </row>
    <row r="61" spans="1:48" s="25" customFormat="1" hidden="1" x14ac:dyDescent="0.2">
      <c r="A61" s="353" t="s">
        <v>35</v>
      </c>
      <c r="B61" s="789" t="s">
        <v>30</v>
      </c>
      <c r="C61" s="789"/>
      <c r="D61" s="789"/>
      <c r="E61" s="789"/>
      <c r="F61" s="348"/>
      <c r="G61" s="348"/>
      <c r="H61" s="348">
        <v>0</v>
      </c>
      <c r="I61" s="349"/>
      <c r="J61" s="348">
        <v>0</v>
      </c>
      <c r="K61" s="354"/>
      <c r="L61" s="321"/>
      <c r="M61" s="321">
        <v>0</v>
      </c>
      <c r="N61" s="29"/>
      <c r="O61" s="29"/>
      <c r="P61" s="29"/>
      <c r="Q61" s="29"/>
      <c r="R61" s="29"/>
      <c r="S61" s="29"/>
      <c r="T61" s="29"/>
      <c r="U61" s="1"/>
      <c r="V61" s="29"/>
      <c r="W61" s="29"/>
      <c r="X61" s="29"/>
      <c r="Y61" s="29"/>
      <c r="Z61" s="29"/>
      <c r="AA61" s="29"/>
      <c r="AB61" s="11"/>
      <c r="AC61" s="11"/>
      <c r="AD61" s="11"/>
      <c r="AE61" s="11"/>
      <c r="AF61" s="11"/>
      <c r="AG61" s="11"/>
      <c r="AH61" s="11"/>
      <c r="AI61" s="11"/>
      <c r="AJ61" s="11"/>
      <c r="AK61" s="11"/>
      <c r="AL61" s="11"/>
      <c r="AM61" s="1"/>
      <c r="AN61" s="1"/>
      <c r="AO61" s="1"/>
      <c r="AP61" s="1"/>
      <c r="AQ61" s="1"/>
      <c r="AR61" s="1"/>
      <c r="AS61" s="1"/>
      <c r="AT61" s="1"/>
      <c r="AU61" s="1"/>
      <c r="AV61" s="1"/>
    </row>
    <row r="62" spans="1:48" s="18" customFormat="1" hidden="1" x14ac:dyDescent="0.2">
      <c r="A62" s="353" t="s">
        <v>21</v>
      </c>
      <c r="B62" s="791" t="s">
        <v>157</v>
      </c>
      <c r="C62" s="792"/>
      <c r="D62" s="792"/>
      <c r="E62" s="793"/>
      <c r="F62" s="348"/>
      <c r="G62" s="348"/>
      <c r="H62" s="348"/>
      <c r="I62" s="349"/>
      <c r="J62" s="348"/>
      <c r="K62" s="354"/>
      <c r="L62" s="321"/>
      <c r="M62" s="321"/>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s="18" customFormat="1" ht="15" hidden="1" thickBot="1" x14ac:dyDescent="0.25">
      <c r="A63" s="355" t="s">
        <v>156</v>
      </c>
      <c r="B63" s="788" t="s">
        <v>46</v>
      </c>
      <c r="C63" s="788"/>
      <c r="D63" s="788"/>
      <c r="E63" s="788"/>
      <c r="F63" s="356"/>
      <c r="G63" s="356"/>
      <c r="H63" s="356">
        <v>0</v>
      </c>
      <c r="I63" s="356"/>
      <c r="J63" s="356"/>
      <c r="K63" s="357"/>
      <c r="L63" s="46"/>
      <c r="M63" s="46"/>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row>
    <row r="64" spans="1:48" x14ac:dyDescent="0.2">
      <c r="F64" s="231"/>
      <c r="G64" s="232"/>
      <c r="H64" s="231"/>
      <c r="I64" s="231"/>
      <c r="J64" s="231">
        <f>J60+I56+H25+J63+50000</f>
        <v>385797.41667000006</v>
      </c>
      <c r="K64" s="231" t="s">
        <v>52</v>
      </c>
      <c r="N64" s="29"/>
    </row>
    <row r="65" spans="1:14" x14ac:dyDescent="0.2">
      <c r="F65" s="231"/>
      <c r="G65" s="232"/>
      <c r="H65" s="231"/>
      <c r="I65" s="231"/>
      <c r="J65" s="252">
        <f>'Feb''19 AR Aging '!G65</f>
        <v>385887.41667000001</v>
      </c>
      <c r="K65" s="231" t="s">
        <v>427</v>
      </c>
      <c r="N65" s="29"/>
    </row>
    <row r="66" spans="1:14" ht="15" customHeight="1" x14ac:dyDescent="0.2">
      <c r="F66" s="231"/>
      <c r="G66" s="232"/>
      <c r="H66" s="231"/>
      <c r="I66" s="231"/>
      <c r="J66" s="531">
        <f>J65-J64</f>
        <v>89.999999999941792</v>
      </c>
      <c r="K66" s="231" t="s">
        <v>437</v>
      </c>
      <c r="N66" s="29"/>
    </row>
    <row r="67" spans="1:14" ht="15" customHeight="1" x14ac:dyDescent="0.2">
      <c r="C67" s="8"/>
      <c r="E67" s="9"/>
    </row>
    <row r="76" spans="1:14" x14ac:dyDescent="0.2">
      <c r="A76" s="10"/>
      <c r="B76" s="1"/>
      <c r="C76" s="6"/>
      <c r="D76" s="6"/>
      <c r="E76" s="7"/>
      <c r="F76" s="29"/>
      <c r="G76" s="29"/>
      <c r="I76" s="29"/>
      <c r="J76" s="29"/>
      <c r="K76" s="29"/>
      <c r="L76" s="29"/>
    </row>
  </sheetData>
  <mergeCells count="26">
    <mergeCell ref="B29:C29"/>
    <mergeCell ref="B51:E51"/>
    <mergeCell ref="B42:E42"/>
    <mergeCell ref="B31:C31"/>
    <mergeCell ref="B37:C37"/>
    <mergeCell ref="B38:C38"/>
    <mergeCell ref="B43:E43"/>
    <mergeCell ref="B44:E44"/>
    <mergeCell ref="B49:E49"/>
    <mergeCell ref="B50:E50"/>
    <mergeCell ref="B30:C30"/>
    <mergeCell ref="B45:E45"/>
    <mergeCell ref="B46:E46"/>
    <mergeCell ref="B32:C32"/>
    <mergeCell ref="B63:E63"/>
    <mergeCell ref="B53:E53"/>
    <mergeCell ref="B61:E61"/>
    <mergeCell ref="B55:E55"/>
    <mergeCell ref="B60:E60"/>
    <mergeCell ref="B62:E62"/>
    <mergeCell ref="B52:E52"/>
    <mergeCell ref="B33:C33"/>
    <mergeCell ref="B34:C34"/>
    <mergeCell ref="B35:C35"/>
    <mergeCell ref="B48:E48"/>
    <mergeCell ref="B36:C36"/>
  </mergeCells>
  <pageMargins left="0.45" right="0" top="0.75" bottom="0" header="0.3" footer="0.05"/>
  <pageSetup paperSize="5"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37"/>
  <sheetViews>
    <sheetView zoomScale="75" zoomScaleNormal="75" workbookViewId="0"/>
  </sheetViews>
  <sheetFormatPr defaultRowHeight="14.25" x14ac:dyDescent="0.2"/>
  <cols>
    <col min="1" max="1" width="1.875" style="58" customWidth="1"/>
    <col min="2" max="2" width="54" style="58" customWidth="1"/>
    <col min="3" max="5" width="17.125" style="124" customWidth="1"/>
    <col min="6" max="6" width="18.75" style="124" customWidth="1"/>
    <col min="7" max="7" width="16.875" style="702" customWidth="1"/>
    <col min="8" max="8" width="11.75" style="1" customWidth="1"/>
    <col min="9" max="9" width="17.625" style="1"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701"/>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400</v>
      </c>
      <c r="B2" s="16"/>
      <c r="C2" s="13"/>
      <c r="D2" s="13"/>
      <c r="E2" s="26"/>
      <c r="F2" s="26"/>
      <c r="G2" s="701"/>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700"/>
      <c r="F3" s="93"/>
    </row>
    <row r="4" spans="1:2009" s="57" customFormat="1" ht="16.5" thickBot="1" x14ac:dyDescent="0.3">
      <c r="A4" s="56"/>
      <c r="B4" s="56"/>
      <c r="C4" s="93" t="s">
        <v>401</v>
      </c>
      <c r="D4" s="93" t="s">
        <v>402</v>
      </c>
      <c r="E4" s="93" t="s">
        <v>376</v>
      </c>
      <c r="F4" s="93" t="s">
        <v>403</v>
      </c>
      <c r="G4" s="703" t="s">
        <v>76</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799" t="s">
        <v>71</v>
      </c>
      <c r="B5" s="800"/>
      <c r="C5" s="148"/>
      <c r="D5" s="148"/>
      <c r="E5" s="156"/>
      <c r="F5" s="156"/>
      <c r="G5" s="70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347" customFormat="1" ht="24.95" customHeight="1" x14ac:dyDescent="0.25">
      <c r="A6" s="342"/>
      <c r="B6" s="125" t="s">
        <v>346</v>
      </c>
      <c r="C6" s="343"/>
      <c r="D6" s="163"/>
      <c r="E6" s="546">
        <v>84179.18</v>
      </c>
      <c r="F6" s="344"/>
      <c r="G6" s="705">
        <f>ROUND(SUM(C6:F6),5)</f>
        <v>84179.18</v>
      </c>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c r="EF6" s="346"/>
      <c r="EG6" s="346"/>
      <c r="EH6" s="346"/>
      <c r="EI6" s="346"/>
      <c r="EJ6" s="346"/>
      <c r="EK6" s="346"/>
      <c r="EL6" s="346"/>
      <c r="EM6" s="346"/>
      <c r="EN6" s="346"/>
      <c r="EO6" s="346"/>
      <c r="EP6" s="346"/>
      <c r="EQ6" s="346"/>
      <c r="ER6" s="346"/>
      <c r="ES6" s="346"/>
      <c r="ET6" s="346"/>
      <c r="EU6" s="346"/>
      <c r="EV6" s="346"/>
      <c r="EW6" s="346"/>
      <c r="EX6" s="346"/>
      <c r="EY6" s="346"/>
      <c r="EZ6" s="346"/>
      <c r="FA6" s="346"/>
      <c r="FB6" s="346"/>
      <c r="FC6" s="346"/>
      <c r="FD6" s="346"/>
      <c r="FE6" s="346"/>
      <c r="FF6" s="346"/>
      <c r="FG6" s="346"/>
      <c r="FH6" s="346"/>
      <c r="FI6" s="346"/>
      <c r="FJ6" s="346"/>
      <c r="FK6" s="346"/>
      <c r="FL6" s="346"/>
      <c r="FM6" s="346"/>
      <c r="FN6" s="346"/>
      <c r="FO6" s="346"/>
      <c r="FP6" s="346"/>
      <c r="FQ6" s="346"/>
      <c r="FR6" s="346"/>
      <c r="FS6" s="346"/>
      <c r="FT6" s="346"/>
      <c r="FU6" s="346"/>
      <c r="FV6" s="346"/>
      <c r="FW6" s="346"/>
      <c r="FX6" s="346"/>
      <c r="FY6" s="346"/>
      <c r="FZ6" s="346"/>
      <c r="GA6" s="346"/>
      <c r="GB6" s="346"/>
      <c r="GC6" s="346"/>
      <c r="GD6" s="346"/>
      <c r="GE6" s="346"/>
      <c r="GF6" s="346"/>
      <c r="GG6" s="346"/>
      <c r="GH6" s="346"/>
      <c r="GI6" s="346"/>
      <c r="GJ6" s="346"/>
      <c r="GK6" s="346"/>
      <c r="GL6" s="346"/>
      <c r="GM6" s="346"/>
      <c r="GN6" s="346"/>
      <c r="GO6" s="346"/>
      <c r="GP6" s="346"/>
      <c r="GQ6" s="346"/>
      <c r="GR6" s="346"/>
      <c r="GS6" s="346"/>
      <c r="GT6" s="346"/>
      <c r="GU6" s="346"/>
      <c r="GV6" s="346"/>
      <c r="GW6" s="346"/>
      <c r="GX6" s="346"/>
      <c r="GY6" s="346"/>
      <c r="GZ6" s="346"/>
      <c r="HA6" s="346"/>
      <c r="HB6" s="346"/>
      <c r="HC6" s="346"/>
      <c r="HD6" s="346"/>
      <c r="HE6" s="346"/>
      <c r="HF6" s="346"/>
      <c r="HG6" s="346"/>
      <c r="HH6" s="346"/>
      <c r="HI6" s="346"/>
      <c r="HJ6" s="346"/>
      <c r="HK6" s="346"/>
      <c r="HL6" s="346"/>
      <c r="HM6" s="346"/>
      <c r="HN6" s="346"/>
      <c r="HO6" s="346"/>
      <c r="HP6" s="346"/>
      <c r="HQ6" s="346"/>
      <c r="HR6" s="346"/>
      <c r="HS6" s="346"/>
      <c r="HT6" s="346"/>
      <c r="HU6" s="346"/>
      <c r="HV6" s="346"/>
      <c r="HW6" s="346"/>
      <c r="HX6" s="346"/>
      <c r="HY6" s="346"/>
      <c r="HZ6" s="346"/>
      <c r="IA6" s="346"/>
      <c r="IB6" s="346"/>
      <c r="IC6" s="346"/>
      <c r="ID6" s="346"/>
      <c r="IE6" s="346"/>
      <c r="IF6" s="346"/>
      <c r="IG6" s="346"/>
      <c r="IH6" s="346"/>
      <c r="II6" s="346"/>
      <c r="IJ6" s="346"/>
      <c r="IK6" s="346"/>
      <c r="IL6" s="346"/>
      <c r="IM6" s="346"/>
      <c r="IN6" s="346"/>
      <c r="IO6" s="346"/>
      <c r="IP6" s="346"/>
      <c r="IQ6" s="346"/>
      <c r="IR6" s="346"/>
      <c r="IS6" s="346"/>
      <c r="IT6" s="346"/>
      <c r="IU6" s="346"/>
      <c r="IV6" s="346"/>
      <c r="IW6" s="346"/>
      <c r="IX6" s="346"/>
      <c r="IY6" s="346"/>
      <c r="IZ6" s="346"/>
      <c r="JA6" s="346"/>
      <c r="JB6" s="346"/>
      <c r="JC6" s="346"/>
      <c r="JD6" s="346"/>
      <c r="JE6" s="346"/>
      <c r="JF6" s="346"/>
      <c r="JG6" s="346"/>
      <c r="JH6" s="346"/>
      <c r="JI6" s="346"/>
      <c r="JJ6" s="346"/>
      <c r="JK6" s="346"/>
      <c r="JL6" s="346"/>
      <c r="JM6" s="346"/>
      <c r="JN6" s="346"/>
      <c r="JO6" s="346"/>
      <c r="JP6" s="346"/>
      <c r="JQ6" s="346"/>
      <c r="JR6" s="346"/>
      <c r="JS6" s="346"/>
      <c r="JT6" s="346"/>
      <c r="JU6" s="346"/>
      <c r="JV6" s="346"/>
      <c r="JW6" s="346"/>
      <c r="JX6" s="346"/>
      <c r="JY6" s="346"/>
      <c r="JZ6" s="346"/>
      <c r="KA6" s="346"/>
      <c r="KB6" s="346"/>
      <c r="KC6" s="346"/>
      <c r="KD6" s="346"/>
      <c r="KE6" s="346"/>
      <c r="KF6" s="346"/>
      <c r="KG6" s="346"/>
      <c r="KH6" s="346"/>
      <c r="KI6" s="346"/>
      <c r="KJ6" s="346"/>
      <c r="KK6" s="346"/>
      <c r="KL6" s="346"/>
      <c r="KM6" s="346"/>
      <c r="KN6" s="346"/>
      <c r="KO6" s="346"/>
      <c r="KP6" s="346"/>
      <c r="KQ6" s="346"/>
      <c r="KR6" s="346"/>
      <c r="KS6" s="346"/>
      <c r="KT6" s="346"/>
      <c r="KU6" s="346"/>
      <c r="KV6" s="346"/>
      <c r="KW6" s="346"/>
      <c r="KX6" s="346"/>
      <c r="KY6" s="346"/>
      <c r="KZ6" s="346"/>
      <c r="LA6" s="346"/>
      <c r="LB6" s="346"/>
      <c r="LC6" s="346"/>
      <c r="LD6" s="346"/>
      <c r="LE6" s="346"/>
      <c r="LF6" s="346"/>
      <c r="LG6" s="346"/>
      <c r="LH6" s="346"/>
      <c r="LI6" s="346"/>
      <c r="LJ6" s="346"/>
      <c r="LK6" s="346"/>
      <c r="LL6" s="346"/>
      <c r="LM6" s="346"/>
      <c r="LN6" s="346"/>
      <c r="LO6" s="346"/>
      <c r="LP6" s="346"/>
      <c r="LQ6" s="346"/>
      <c r="LR6" s="346"/>
      <c r="LS6" s="346"/>
      <c r="LT6" s="346"/>
      <c r="LU6" s="346"/>
      <c r="LV6" s="346"/>
      <c r="LW6" s="346"/>
      <c r="LX6" s="346"/>
      <c r="LY6" s="346"/>
      <c r="LZ6" s="346"/>
      <c r="MA6" s="346"/>
      <c r="MB6" s="346"/>
      <c r="MC6" s="346"/>
      <c r="MD6" s="346"/>
      <c r="ME6" s="346"/>
      <c r="MF6" s="346"/>
      <c r="MG6" s="346"/>
      <c r="MH6" s="346"/>
      <c r="MI6" s="346"/>
      <c r="MJ6" s="346"/>
      <c r="MK6" s="346"/>
      <c r="ML6" s="346"/>
      <c r="MM6" s="346"/>
      <c r="MN6" s="346"/>
      <c r="MO6" s="346"/>
      <c r="MP6" s="346"/>
      <c r="MQ6" s="346"/>
      <c r="MR6" s="346"/>
      <c r="MS6" s="346"/>
      <c r="MT6" s="346"/>
      <c r="MU6" s="346"/>
      <c r="MV6" s="346"/>
      <c r="MW6" s="346"/>
      <c r="MX6" s="346"/>
      <c r="MY6" s="346"/>
      <c r="MZ6" s="346"/>
      <c r="NA6" s="346"/>
      <c r="NB6" s="346"/>
      <c r="NC6" s="346"/>
      <c r="ND6" s="346"/>
      <c r="NE6" s="346"/>
      <c r="NF6" s="346"/>
      <c r="NG6" s="346"/>
      <c r="NH6" s="346"/>
      <c r="NI6" s="346"/>
      <c r="NJ6" s="346"/>
      <c r="NK6" s="346"/>
      <c r="NL6" s="346"/>
      <c r="NM6" s="346"/>
      <c r="NN6" s="346"/>
      <c r="NO6" s="346"/>
      <c r="NP6" s="346"/>
      <c r="NQ6" s="346"/>
      <c r="NR6" s="346"/>
      <c r="NS6" s="346"/>
      <c r="NT6" s="346"/>
      <c r="NU6" s="346"/>
      <c r="NV6" s="346"/>
      <c r="NW6" s="346"/>
      <c r="NX6" s="346"/>
      <c r="NY6" s="346"/>
      <c r="NZ6" s="346"/>
      <c r="OA6" s="346"/>
      <c r="OB6" s="346"/>
      <c r="OC6" s="346"/>
      <c r="OD6" s="346"/>
      <c r="OE6" s="346"/>
      <c r="OF6" s="346"/>
      <c r="OG6" s="346"/>
      <c r="OH6" s="346"/>
      <c r="OI6" s="346"/>
      <c r="OJ6" s="346"/>
      <c r="OK6" s="346"/>
      <c r="OL6" s="346"/>
      <c r="OM6" s="346"/>
      <c r="ON6" s="346"/>
      <c r="OO6" s="346"/>
      <c r="OP6" s="346"/>
      <c r="OQ6" s="346"/>
      <c r="OR6" s="346"/>
      <c r="OS6" s="346"/>
      <c r="OT6" s="346"/>
      <c r="OU6" s="346"/>
      <c r="OV6" s="346"/>
      <c r="OW6" s="346"/>
      <c r="OX6" s="346"/>
      <c r="OY6" s="346"/>
      <c r="OZ6" s="346"/>
      <c r="PA6" s="346"/>
      <c r="PB6" s="346"/>
      <c r="PC6" s="346"/>
      <c r="PD6" s="346"/>
      <c r="PE6" s="346"/>
      <c r="PF6" s="346"/>
      <c r="PG6" s="346"/>
      <c r="PH6" s="346"/>
      <c r="PI6" s="346"/>
      <c r="PJ6" s="346"/>
      <c r="PK6" s="346"/>
      <c r="PL6" s="346"/>
      <c r="PM6" s="346"/>
      <c r="PN6" s="346"/>
      <c r="PO6" s="346"/>
      <c r="PP6" s="346"/>
      <c r="PQ6" s="346"/>
      <c r="PR6" s="346"/>
      <c r="PS6" s="346"/>
      <c r="PT6" s="346"/>
      <c r="PU6" s="346"/>
      <c r="PV6" s="346"/>
      <c r="PW6" s="346"/>
      <c r="PX6" s="346"/>
      <c r="PY6" s="346"/>
      <c r="PZ6" s="346"/>
      <c r="QA6" s="346"/>
      <c r="QB6" s="346"/>
      <c r="QC6" s="346"/>
      <c r="QD6" s="346"/>
      <c r="QE6" s="346"/>
      <c r="QF6" s="346"/>
      <c r="QG6" s="346"/>
      <c r="QH6" s="346"/>
      <c r="QI6" s="346"/>
      <c r="QJ6" s="346"/>
      <c r="QK6" s="346"/>
      <c r="QL6" s="346"/>
      <c r="QM6" s="346"/>
      <c r="QN6" s="346"/>
      <c r="QO6" s="346"/>
      <c r="QP6" s="346"/>
      <c r="QQ6" s="346"/>
      <c r="QR6" s="346"/>
      <c r="QS6" s="346"/>
      <c r="QT6" s="346"/>
      <c r="QU6" s="346"/>
      <c r="QV6" s="346"/>
      <c r="QW6" s="346"/>
      <c r="QX6" s="346"/>
      <c r="QY6" s="346"/>
      <c r="QZ6" s="346"/>
      <c r="RA6" s="346"/>
      <c r="RB6" s="346"/>
      <c r="RC6" s="346"/>
      <c r="RD6" s="346"/>
      <c r="RE6" s="346"/>
      <c r="RF6" s="346"/>
      <c r="RG6" s="346"/>
      <c r="RH6" s="346"/>
      <c r="RI6" s="346"/>
      <c r="RJ6" s="346"/>
      <c r="RK6" s="346"/>
      <c r="RL6" s="346"/>
      <c r="RM6" s="346"/>
      <c r="RN6" s="346"/>
      <c r="RO6" s="346"/>
      <c r="RP6" s="346"/>
      <c r="RQ6" s="346"/>
      <c r="RR6" s="346"/>
      <c r="RS6" s="346"/>
      <c r="RT6" s="346"/>
      <c r="RU6" s="346"/>
      <c r="RV6" s="346"/>
      <c r="RW6" s="346"/>
      <c r="RX6" s="346"/>
      <c r="RY6" s="346"/>
      <c r="RZ6" s="346"/>
      <c r="SA6" s="346"/>
      <c r="SB6" s="346"/>
      <c r="SC6" s="346"/>
      <c r="SD6" s="346"/>
      <c r="SE6" s="346"/>
      <c r="SF6" s="346"/>
      <c r="SG6" s="346"/>
      <c r="SH6" s="346"/>
      <c r="SI6" s="346"/>
      <c r="SJ6" s="346"/>
      <c r="SK6" s="346"/>
      <c r="SL6" s="346"/>
      <c r="SM6" s="346"/>
      <c r="SN6" s="346"/>
      <c r="SO6" s="346"/>
      <c r="SP6" s="346"/>
      <c r="SQ6" s="346"/>
      <c r="SR6" s="346"/>
      <c r="SS6" s="346"/>
      <c r="ST6" s="346"/>
      <c r="SU6" s="346"/>
      <c r="SV6" s="346"/>
      <c r="SW6" s="346"/>
      <c r="SX6" s="346"/>
      <c r="SY6" s="346"/>
      <c r="SZ6" s="346"/>
      <c r="TA6" s="346"/>
      <c r="TB6" s="346"/>
      <c r="TC6" s="346"/>
      <c r="TD6" s="346"/>
      <c r="TE6" s="346"/>
      <c r="TF6" s="346"/>
      <c r="TG6" s="346"/>
      <c r="TH6" s="346"/>
      <c r="TI6" s="346"/>
      <c r="TJ6" s="346"/>
      <c r="TK6" s="346"/>
      <c r="TL6" s="346"/>
      <c r="TM6" s="346"/>
      <c r="TN6" s="346"/>
      <c r="TO6" s="346"/>
      <c r="TP6" s="346"/>
      <c r="TQ6" s="346"/>
      <c r="TR6" s="346"/>
      <c r="TS6" s="346"/>
      <c r="TT6" s="346"/>
      <c r="TU6" s="346"/>
      <c r="TV6" s="346"/>
      <c r="TW6" s="346"/>
      <c r="TX6" s="346"/>
      <c r="TY6" s="346"/>
      <c r="TZ6" s="346"/>
      <c r="UA6" s="346"/>
      <c r="UB6" s="346"/>
      <c r="UC6" s="346"/>
      <c r="UD6" s="346"/>
      <c r="UE6" s="346"/>
      <c r="UF6" s="346"/>
      <c r="UG6" s="346"/>
      <c r="UH6" s="346"/>
      <c r="UI6" s="346"/>
      <c r="UJ6" s="346"/>
      <c r="UK6" s="346"/>
      <c r="UL6" s="346"/>
      <c r="UM6" s="346"/>
      <c r="UN6" s="346"/>
      <c r="UO6" s="346"/>
      <c r="UP6" s="346"/>
      <c r="UQ6" s="346"/>
      <c r="UR6" s="346"/>
      <c r="US6" s="346"/>
      <c r="UT6" s="346"/>
      <c r="UU6" s="346"/>
      <c r="UV6" s="346"/>
      <c r="UW6" s="346"/>
      <c r="UX6" s="346"/>
      <c r="UY6" s="346"/>
      <c r="UZ6" s="346"/>
      <c r="VA6" s="346"/>
      <c r="VB6" s="346"/>
      <c r="VC6" s="346"/>
      <c r="VD6" s="346"/>
      <c r="VE6" s="346"/>
      <c r="VF6" s="346"/>
      <c r="VG6" s="346"/>
      <c r="VH6" s="346"/>
      <c r="VI6" s="346"/>
      <c r="VJ6" s="346"/>
      <c r="VK6" s="346"/>
      <c r="VL6" s="346"/>
      <c r="VM6" s="346"/>
      <c r="VN6" s="346"/>
      <c r="VO6" s="346"/>
      <c r="VP6" s="346"/>
      <c r="VQ6" s="346"/>
      <c r="VR6" s="346"/>
      <c r="VS6" s="346"/>
      <c r="VT6" s="346"/>
      <c r="VU6" s="346"/>
      <c r="VV6" s="346"/>
      <c r="VW6" s="346"/>
      <c r="VX6" s="346"/>
      <c r="VY6" s="346"/>
      <c r="VZ6" s="346"/>
      <c r="WA6" s="346"/>
      <c r="WB6" s="346"/>
      <c r="WC6" s="346"/>
      <c r="WD6" s="346"/>
      <c r="WE6" s="346"/>
      <c r="WF6" s="346"/>
      <c r="WG6" s="346"/>
      <c r="WH6" s="346"/>
      <c r="WI6" s="346"/>
      <c r="WJ6" s="346"/>
      <c r="WK6" s="346"/>
      <c r="WL6" s="346"/>
      <c r="WM6" s="346"/>
      <c r="WN6" s="346"/>
      <c r="WO6" s="346"/>
      <c r="WP6" s="346"/>
      <c r="WQ6" s="346"/>
      <c r="WR6" s="346"/>
      <c r="WS6" s="346"/>
      <c r="WT6" s="346"/>
      <c r="WU6" s="346"/>
      <c r="WV6" s="346"/>
      <c r="WW6" s="346"/>
      <c r="WX6" s="346"/>
      <c r="WY6" s="346"/>
      <c r="WZ6" s="346"/>
      <c r="XA6" s="346"/>
      <c r="XB6" s="346"/>
      <c r="XC6" s="346"/>
      <c r="XD6" s="346"/>
      <c r="XE6" s="346"/>
      <c r="XF6" s="346"/>
      <c r="XG6" s="346"/>
      <c r="XH6" s="346"/>
      <c r="XI6" s="346"/>
      <c r="XJ6" s="346"/>
      <c r="XK6" s="346"/>
      <c r="XL6" s="346"/>
      <c r="XM6" s="346"/>
      <c r="XN6" s="346"/>
      <c r="XO6" s="346"/>
      <c r="XP6" s="346"/>
      <c r="XQ6" s="346"/>
      <c r="XR6" s="346"/>
      <c r="XS6" s="346"/>
      <c r="XT6" s="346"/>
      <c r="XU6" s="346"/>
      <c r="XV6" s="346"/>
      <c r="XW6" s="346"/>
      <c r="XX6" s="346"/>
      <c r="XY6" s="346"/>
      <c r="XZ6" s="346"/>
      <c r="YA6" s="346"/>
      <c r="YB6" s="346"/>
      <c r="YC6" s="346"/>
      <c r="YD6" s="346"/>
      <c r="YE6" s="346"/>
      <c r="YF6" s="346"/>
      <c r="YG6" s="346"/>
      <c r="YH6" s="346"/>
      <c r="YI6" s="346"/>
      <c r="YJ6" s="346"/>
      <c r="YK6" s="346"/>
      <c r="YL6" s="346"/>
      <c r="YM6" s="346"/>
      <c r="YN6" s="346"/>
      <c r="YO6" s="346"/>
      <c r="YP6" s="346"/>
      <c r="YQ6" s="346"/>
      <c r="YR6" s="346"/>
      <c r="YS6" s="346"/>
      <c r="YT6" s="346"/>
      <c r="YU6" s="346"/>
      <c r="YV6" s="346"/>
      <c r="YW6" s="346"/>
      <c r="YX6" s="346"/>
      <c r="YY6" s="346"/>
      <c r="YZ6" s="346"/>
      <c r="ZA6" s="346"/>
      <c r="ZB6" s="346"/>
      <c r="ZC6" s="346"/>
      <c r="ZD6" s="346"/>
      <c r="ZE6" s="346"/>
      <c r="ZF6" s="346"/>
      <c r="ZG6" s="346"/>
      <c r="ZH6" s="346"/>
      <c r="ZI6" s="346"/>
      <c r="ZJ6" s="346"/>
      <c r="ZK6" s="346"/>
      <c r="ZL6" s="346"/>
      <c r="ZM6" s="346"/>
      <c r="ZN6" s="346"/>
      <c r="ZO6" s="346"/>
      <c r="ZP6" s="346"/>
      <c r="ZQ6" s="346"/>
      <c r="ZR6" s="346"/>
      <c r="ZS6" s="346"/>
      <c r="ZT6" s="346"/>
      <c r="ZU6" s="346"/>
      <c r="ZV6" s="346"/>
      <c r="ZW6" s="346"/>
      <c r="ZX6" s="346"/>
      <c r="ZY6" s="346"/>
      <c r="ZZ6" s="346"/>
      <c r="AAA6" s="346"/>
      <c r="AAB6" s="346"/>
      <c r="AAC6" s="346"/>
      <c r="AAD6" s="346"/>
      <c r="AAE6" s="346"/>
      <c r="AAF6" s="346"/>
      <c r="AAG6" s="346"/>
      <c r="AAH6" s="346"/>
      <c r="AAI6" s="346"/>
      <c r="AAJ6" s="346"/>
      <c r="AAK6" s="346"/>
      <c r="AAL6" s="346"/>
      <c r="AAM6" s="346"/>
      <c r="AAN6" s="346"/>
      <c r="AAO6" s="346"/>
      <c r="AAP6" s="346"/>
      <c r="AAQ6" s="346"/>
      <c r="AAR6" s="346"/>
      <c r="AAS6" s="346"/>
      <c r="AAT6" s="346"/>
      <c r="AAU6" s="346"/>
      <c r="AAV6" s="346"/>
      <c r="AAW6" s="346"/>
      <c r="AAX6" s="346"/>
      <c r="AAY6" s="346"/>
      <c r="AAZ6" s="346"/>
      <c r="ABA6" s="346"/>
      <c r="ABB6" s="346"/>
      <c r="ABC6" s="346"/>
      <c r="ABD6" s="346"/>
      <c r="ABE6" s="346"/>
      <c r="ABF6" s="346"/>
      <c r="ABG6" s="346"/>
      <c r="ABH6" s="346"/>
      <c r="ABI6" s="346"/>
      <c r="ABJ6" s="346"/>
      <c r="ABK6" s="346"/>
      <c r="ABL6" s="346"/>
      <c r="ABM6" s="346"/>
      <c r="ABN6" s="346"/>
      <c r="ABO6" s="346"/>
      <c r="ABP6" s="346"/>
      <c r="ABQ6" s="346"/>
      <c r="ABR6" s="346"/>
      <c r="ABS6" s="346"/>
      <c r="ABT6" s="346"/>
      <c r="ABU6" s="346"/>
      <c r="ABV6" s="346"/>
      <c r="ABW6" s="346"/>
      <c r="ABX6" s="346"/>
      <c r="ABY6" s="346"/>
      <c r="ABZ6" s="346"/>
      <c r="ACA6" s="346"/>
      <c r="ACB6" s="346"/>
      <c r="ACC6" s="346"/>
      <c r="ACD6" s="346"/>
      <c r="ACE6" s="346"/>
      <c r="ACF6" s="346"/>
      <c r="ACG6" s="346"/>
      <c r="ACH6" s="346"/>
      <c r="ACI6" s="346"/>
      <c r="ACJ6" s="346"/>
      <c r="ACK6" s="346"/>
      <c r="ACL6" s="346"/>
      <c r="ACM6" s="346"/>
      <c r="ACN6" s="346"/>
      <c r="ACO6" s="346"/>
      <c r="ACP6" s="346"/>
      <c r="ACQ6" s="346"/>
      <c r="ACR6" s="346"/>
      <c r="ACS6" s="346"/>
      <c r="ACT6" s="346"/>
      <c r="ACU6" s="346"/>
      <c r="ACV6" s="346"/>
      <c r="ACW6" s="346"/>
      <c r="ACX6" s="346"/>
      <c r="ACY6" s="346"/>
      <c r="ACZ6" s="346"/>
      <c r="ADA6" s="346"/>
      <c r="ADB6" s="346"/>
      <c r="ADC6" s="346"/>
      <c r="ADD6" s="346"/>
      <c r="ADE6" s="346"/>
      <c r="ADF6" s="346"/>
      <c r="ADG6" s="346"/>
      <c r="ADH6" s="346"/>
      <c r="ADI6" s="346"/>
      <c r="ADJ6" s="346"/>
      <c r="ADK6" s="346"/>
      <c r="ADL6" s="346"/>
      <c r="ADM6" s="346"/>
      <c r="ADN6" s="346"/>
      <c r="ADO6" s="346"/>
      <c r="ADP6" s="346"/>
      <c r="ADQ6" s="346"/>
      <c r="ADR6" s="346"/>
      <c r="ADS6" s="346"/>
      <c r="ADT6" s="346"/>
      <c r="ADU6" s="346"/>
      <c r="ADV6" s="346"/>
      <c r="ADW6" s="346"/>
      <c r="ADX6" s="346"/>
      <c r="ADY6" s="346"/>
      <c r="ADZ6" s="346"/>
      <c r="AEA6" s="346"/>
      <c r="AEB6" s="346"/>
      <c r="AEC6" s="346"/>
      <c r="AED6" s="346"/>
      <c r="AEE6" s="346"/>
      <c r="AEF6" s="346"/>
      <c r="AEG6" s="346"/>
      <c r="AEH6" s="346"/>
      <c r="AEI6" s="346"/>
      <c r="AEJ6" s="346"/>
      <c r="AEK6" s="346"/>
      <c r="AEL6" s="346"/>
      <c r="AEM6" s="346"/>
      <c r="AEN6" s="346"/>
      <c r="AEO6" s="346"/>
      <c r="AEP6" s="346"/>
      <c r="AEQ6" s="346"/>
      <c r="AER6" s="346"/>
      <c r="AES6" s="346"/>
      <c r="AET6" s="346"/>
      <c r="AEU6" s="346"/>
      <c r="AEV6" s="346"/>
      <c r="AEW6" s="346"/>
      <c r="AEX6" s="346"/>
      <c r="AEY6" s="346"/>
      <c r="AEZ6" s="346"/>
      <c r="AFA6" s="346"/>
      <c r="AFB6" s="346"/>
      <c r="AFC6" s="346"/>
      <c r="AFD6" s="346"/>
      <c r="AFE6" s="346"/>
      <c r="AFF6" s="346"/>
      <c r="AFG6" s="346"/>
      <c r="AFH6" s="346"/>
      <c r="AFI6" s="346"/>
      <c r="AFJ6" s="346"/>
      <c r="AFK6" s="346"/>
      <c r="AFL6" s="346"/>
      <c r="AFM6" s="346"/>
      <c r="AFN6" s="346"/>
      <c r="AFO6" s="346"/>
      <c r="AFP6" s="346"/>
      <c r="AFQ6" s="346"/>
      <c r="AFR6" s="346"/>
      <c r="AFS6" s="346"/>
      <c r="AFT6" s="346"/>
      <c r="AFU6" s="346"/>
      <c r="AFV6" s="346"/>
      <c r="AFW6" s="346"/>
      <c r="AFX6" s="346"/>
      <c r="AFY6" s="346"/>
      <c r="AFZ6" s="346"/>
      <c r="AGA6" s="346"/>
      <c r="AGB6" s="346"/>
      <c r="AGC6" s="346"/>
      <c r="AGD6" s="346"/>
      <c r="AGE6" s="346"/>
      <c r="AGF6" s="346"/>
      <c r="AGG6" s="346"/>
      <c r="AGH6" s="346"/>
      <c r="AGI6" s="346"/>
      <c r="AGJ6" s="346"/>
      <c r="AGK6" s="346"/>
      <c r="AGL6" s="346"/>
      <c r="AGM6" s="346"/>
      <c r="AGN6" s="346"/>
      <c r="AGO6" s="346"/>
      <c r="AGP6" s="346"/>
      <c r="AGQ6" s="346"/>
      <c r="AGR6" s="346"/>
      <c r="AGS6" s="346"/>
      <c r="AGT6" s="346"/>
      <c r="AGU6" s="346"/>
      <c r="AGV6" s="346"/>
      <c r="AGW6" s="346"/>
      <c r="AGX6" s="346"/>
      <c r="AGY6" s="346"/>
      <c r="AGZ6" s="346"/>
      <c r="AHA6" s="346"/>
      <c r="AHB6" s="346"/>
      <c r="AHC6" s="346"/>
      <c r="AHD6" s="346"/>
      <c r="AHE6" s="346"/>
      <c r="AHF6" s="346"/>
      <c r="AHG6" s="346"/>
      <c r="AHH6" s="346"/>
      <c r="AHI6" s="346"/>
      <c r="AHJ6" s="346"/>
      <c r="AHK6" s="346"/>
      <c r="AHL6" s="346"/>
      <c r="AHM6" s="346"/>
      <c r="AHN6" s="346"/>
      <c r="AHO6" s="346"/>
      <c r="AHP6" s="346"/>
      <c r="AHQ6" s="346"/>
      <c r="AHR6" s="346"/>
      <c r="AHS6" s="346"/>
      <c r="AHT6" s="346"/>
      <c r="AHU6" s="346"/>
      <c r="AHV6" s="346"/>
      <c r="AHW6" s="346"/>
      <c r="AHX6" s="346"/>
      <c r="AHY6" s="346"/>
      <c r="AHZ6" s="346"/>
      <c r="AIA6" s="346"/>
      <c r="AIB6" s="346"/>
      <c r="AIC6" s="346"/>
      <c r="AID6" s="346"/>
      <c r="AIE6" s="346"/>
      <c r="AIF6" s="346"/>
      <c r="AIG6" s="346"/>
      <c r="AIH6" s="346"/>
      <c r="AII6" s="346"/>
      <c r="AIJ6" s="346"/>
      <c r="AIK6" s="346"/>
      <c r="AIL6" s="346"/>
      <c r="AIM6" s="346"/>
      <c r="AIN6" s="346"/>
      <c r="AIO6" s="346"/>
      <c r="AIP6" s="346"/>
      <c r="AIQ6" s="346"/>
      <c r="AIR6" s="346"/>
      <c r="AIS6" s="346"/>
      <c r="AIT6" s="346"/>
      <c r="AIU6" s="346"/>
      <c r="AIV6" s="346"/>
      <c r="AIW6" s="346"/>
      <c r="AIX6" s="346"/>
      <c r="AIY6" s="346"/>
      <c r="AIZ6" s="346"/>
      <c r="AJA6" s="346"/>
      <c r="AJB6" s="346"/>
      <c r="AJC6" s="346"/>
      <c r="AJD6" s="346"/>
      <c r="AJE6" s="346"/>
      <c r="AJF6" s="346"/>
      <c r="AJG6" s="346"/>
      <c r="AJH6" s="346"/>
      <c r="AJI6" s="346"/>
      <c r="AJJ6" s="346"/>
      <c r="AJK6" s="346"/>
      <c r="AJL6" s="346"/>
      <c r="AJM6" s="346"/>
      <c r="AJN6" s="346"/>
      <c r="AJO6" s="346"/>
      <c r="AJP6" s="346"/>
      <c r="AJQ6" s="346"/>
      <c r="AJR6" s="346"/>
      <c r="AJS6" s="346"/>
      <c r="AJT6" s="346"/>
      <c r="AJU6" s="346"/>
      <c r="AJV6" s="346"/>
      <c r="AJW6" s="346"/>
      <c r="AJX6" s="346"/>
      <c r="AJY6" s="346"/>
      <c r="AJZ6" s="346"/>
      <c r="AKA6" s="346"/>
      <c r="AKB6" s="346"/>
      <c r="AKC6" s="346"/>
      <c r="AKD6" s="346"/>
      <c r="AKE6" s="346"/>
      <c r="AKF6" s="346"/>
      <c r="AKG6" s="346"/>
      <c r="AKH6" s="346"/>
      <c r="AKI6" s="346"/>
      <c r="AKJ6" s="346"/>
      <c r="AKK6" s="346"/>
      <c r="AKL6" s="346"/>
      <c r="AKM6" s="346"/>
      <c r="AKN6" s="346"/>
      <c r="AKO6" s="346"/>
      <c r="AKP6" s="346"/>
      <c r="AKQ6" s="346"/>
      <c r="AKR6" s="346"/>
      <c r="AKS6" s="346"/>
      <c r="AKT6" s="346"/>
      <c r="AKU6" s="346"/>
      <c r="AKV6" s="346"/>
      <c r="AKW6" s="346"/>
      <c r="AKX6" s="346"/>
      <c r="AKY6" s="346"/>
      <c r="AKZ6" s="346"/>
      <c r="ALA6" s="346"/>
      <c r="ALB6" s="346"/>
      <c r="ALC6" s="346"/>
      <c r="ALD6" s="346"/>
      <c r="ALE6" s="346"/>
      <c r="ALF6" s="346"/>
      <c r="ALG6" s="346"/>
      <c r="ALH6" s="346"/>
      <c r="ALI6" s="346"/>
      <c r="ALJ6" s="346"/>
      <c r="ALK6" s="346"/>
      <c r="ALL6" s="346"/>
      <c r="ALM6" s="346"/>
      <c r="ALN6" s="346"/>
      <c r="ALO6" s="346"/>
      <c r="ALP6" s="346"/>
      <c r="ALQ6" s="346"/>
      <c r="ALR6" s="346"/>
      <c r="ALS6" s="346"/>
      <c r="ALT6" s="346"/>
      <c r="ALU6" s="346"/>
      <c r="ALV6" s="346"/>
      <c r="ALW6" s="346"/>
      <c r="ALX6" s="346"/>
      <c r="ALY6" s="346"/>
      <c r="ALZ6" s="346"/>
      <c r="AMA6" s="346"/>
      <c r="AMB6" s="346"/>
      <c r="AMC6" s="346"/>
      <c r="AMD6" s="346"/>
      <c r="AME6" s="346"/>
      <c r="AMF6" s="346"/>
      <c r="AMG6" s="346"/>
      <c r="AMH6" s="346"/>
      <c r="AMI6" s="346"/>
      <c r="AMJ6" s="346"/>
      <c r="AMK6" s="346"/>
      <c r="AML6" s="346"/>
      <c r="AMM6" s="346"/>
      <c r="AMN6" s="346"/>
      <c r="AMO6" s="346"/>
      <c r="AMP6" s="346"/>
      <c r="AMQ6" s="346"/>
      <c r="AMR6" s="346"/>
      <c r="AMS6" s="346"/>
      <c r="AMT6" s="346"/>
      <c r="AMU6" s="346"/>
      <c r="AMV6" s="346"/>
      <c r="AMW6" s="346"/>
      <c r="AMX6" s="346"/>
      <c r="AMY6" s="346"/>
      <c r="AMZ6" s="346"/>
      <c r="ANA6" s="346"/>
      <c r="ANB6" s="346"/>
      <c r="ANC6" s="346"/>
      <c r="AND6" s="346"/>
      <c r="ANE6" s="346"/>
      <c r="ANF6" s="346"/>
      <c r="ANG6" s="346"/>
      <c r="ANH6" s="346"/>
      <c r="ANI6" s="346"/>
      <c r="ANJ6" s="346"/>
      <c r="ANK6" s="346"/>
      <c r="ANL6" s="346"/>
      <c r="ANM6" s="346"/>
      <c r="ANN6" s="346"/>
      <c r="ANO6" s="346"/>
      <c r="ANP6" s="346"/>
      <c r="ANQ6" s="346"/>
      <c r="ANR6" s="346"/>
      <c r="ANS6" s="346"/>
      <c r="ANT6" s="346"/>
      <c r="ANU6" s="346"/>
      <c r="ANV6" s="346"/>
      <c r="ANW6" s="346"/>
      <c r="ANX6" s="346"/>
      <c r="ANY6" s="346"/>
      <c r="ANZ6" s="346"/>
      <c r="AOA6" s="346"/>
      <c r="AOB6" s="346"/>
      <c r="AOC6" s="346"/>
      <c r="AOD6" s="346"/>
      <c r="AOE6" s="346"/>
      <c r="AOF6" s="346"/>
      <c r="AOG6" s="346"/>
      <c r="AOH6" s="346"/>
      <c r="AOI6" s="346"/>
      <c r="AOJ6" s="346"/>
      <c r="AOK6" s="346"/>
      <c r="AOL6" s="346"/>
      <c r="AOM6" s="346"/>
      <c r="AON6" s="346"/>
      <c r="AOO6" s="346"/>
      <c r="AOP6" s="346"/>
      <c r="AOQ6" s="346"/>
      <c r="AOR6" s="346"/>
      <c r="AOS6" s="346"/>
      <c r="AOT6" s="346"/>
      <c r="AOU6" s="346"/>
      <c r="AOV6" s="346"/>
      <c r="AOW6" s="346"/>
      <c r="AOX6" s="346"/>
      <c r="AOY6" s="346"/>
      <c r="AOZ6" s="346"/>
      <c r="APA6" s="346"/>
      <c r="APB6" s="346"/>
      <c r="APC6" s="346"/>
      <c r="APD6" s="346"/>
      <c r="APE6" s="346"/>
      <c r="APF6" s="346"/>
      <c r="APG6" s="346"/>
      <c r="APH6" s="346"/>
      <c r="API6" s="346"/>
      <c r="APJ6" s="346"/>
      <c r="APK6" s="346"/>
      <c r="APL6" s="346"/>
      <c r="APM6" s="346"/>
      <c r="APN6" s="346"/>
      <c r="APO6" s="346"/>
      <c r="APP6" s="346"/>
      <c r="APQ6" s="346"/>
      <c r="APR6" s="346"/>
      <c r="APS6" s="346"/>
      <c r="APT6" s="346"/>
      <c r="APU6" s="346"/>
      <c r="APV6" s="346"/>
      <c r="APW6" s="346"/>
      <c r="APX6" s="346"/>
      <c r="APY6" s="346"/>
      <c r="APZ6" s="346"/>
      <c r="AQA6" s="346"/>
      <c r="AQB6" s="346"/>
      <c r="AQC6" s="346"/>
      <c r="AQD6" s="346"/>
      <c r="AQE6" s="346"/>
      <c r="AQF6" s="346"/>
      <c r="AQG6" s="346"/>
      <c r="AQH6" s="346"/>
      <c r="AQI6" s="346"/>
      <c r="AQJ6" s="346"/>
      <c r="AQK6" s="346"/>
      <c r="AQL6" s="346"/>
      <c r="AQM6" s="346"/>
      <c r="AQN6" s="346"/>
      <c r="AQO6" s="346"/>
      <c r="AQP6" s="346"/>
      <c r="AQQ6" s="346"/>
      <c r="AQR6" s="346"/>
      <c r="AQS6" s="346"/>
      <c r="AQT6" s="346"/>
      <c r="AQU6" s="346"/>
      <c r="AQV6" s="346"/>
      <c r="AQW6" s="346"/>
      <c r="AQX6" s="346"/>
      <c r="AQY6" s="346"/>
      <c r="AQZ6" s="346"/>
      <c r="ARA6" s="346"/>
      <c r="ARB6" s="346"/>
      <c r="ARC6" s="346"/>
      <c r="ARD6" s="346"/>
      <c r="ARE6" s="346"/>
      <c r="ARF6" s="346"/>
      <c r="ARG6" s="346"/>
      <c r="ARH6" s="346"/>
      <c r="ARI6" s="346"/>
      <c r="ARJ6" s="346"/>
      <c r="ARK6" s="346"/>
      <c r="ARL6" s="346"/>
      <c r="ARM6" s="346"/>
      <c r="ARN6" s="346"/>
      <c r="ARO6" s="346"/>
      <c r="ARP6" s="346"/>
      <c r="ARQ6" s="346"/>
      <c r="ARR6" s="346"/>
      <c r="ARS6" s="346"/>
      <c r="ART6" s="346"/>
      <c r="ARU6" s="346"/>
      <c r="ARV6" s="346"/>
      <c r="ARW6" s="346"/>
      <c r="ARX6" s="346"/>
      <c r="ARY6" s="346"/>
      <c r="ARZ6" s="346"/>
      <c r="ASA6" s="346"/>
      <c r="ASB6" s="346"/>
      <c r="ASC6" s="346"/>
      <c r="ASD6" s="346"/>
      <c r="ASE6" s="346"/>
      <c r="ASF6" s="346"/>
      <c r="ASG6" s="346"/>
      <c r="ASH6" s="346"/>
      <c r="ASI6" s="346"/>
      <c r="ASJ6" s="346"/>
      <c r="ASK6" s="346"/>
      <c r="ASL6" s="346"/>
      <c r="ASM6" s="346"/>
      <c r="ASN6" s="346"/>
      <c r="ASO6" s="346"/>
      <c r="ASP6" s="346"/>
      <c r="ASQ6" s="346"/>
      <c r="ASR6" s="346"/>
      <c r="ASS6" s="346"/>
      <c r="AST6" s="346"/>
      <c r="ASU6" s="346"/>
      <c r="ASV6" s="346"/>
      <c r="ASW6" s="346"/>
      <c r="ASX6" s="346"/>
      <c r="ASY6" s="346"/>
      <c r="ASZ6" s="346"/>
      <c r="ATA6" s="346"/>
      <c r="ATB6" s="346"/>
      <c r="ATC6" s="346"/>
      <c r="ATD6" s="346"/>
      <c r="ATE6" s="346"/>
      <c r="ATF6" s="346"/>
      <c r="ATG6" s="346"/>
      <c r="ATH6" s="346"/>
      <c r="ATI6" s="346"/>
      <c r="ATJ6" s="346"/>
      <c r="ATK6" s="346"/>
      <c r="ATL6" s="346"/>
      <c r="ATM6" s="346"/>
      <c r="ATN6" s="346"/>
      <c r="ATO6" s="346"/>
      <c r="ATP6" s="346"/>
      <c r="ATQ6" s="346"/>
      <c r="ATR6" s="346"/>
      <c r="ATS6" s="346"/>
      <c r="ATT6" s="346"/>
      <c r="ATU6" s="346"/>
      <c r="ATV6" s="346"/>
      <c r="ATW6" s="346"/>
      <c r="ATX6" s="346"/>
      <c r="ATY6" s="346"/>
      <c r="ATZ6" s="346"/>
      <c r="AUA6" s="346"/>
      <c r="AUB6" s="346"/>
      <c r="AUC6" s="346"/>
      <c r="AUD6" s="346"/>
      <c r="AUE6" s="346"/>
      <c r="AUF6" s="346"/>
      <c r="AUG6" s="346"/>
      <c r="AUH6" s="346"/>
      <c r="AUI6" s="346"/>
      <c r="AUJ6" s="346"/>
      <c r="AUK6" s="346"/>
      <c r="AUL6" s="346"/>
      <c r="AUM6" s="346"/>
      <c r="AUN6" s="346"/>
      <c r="AUO6" s="346"/>
      <c r="AUP6" s="346"/>
      <c r="AUQ6" s="346"/>
      <c r="AUR6" s="346"/>
      <c r="AUS6" s="346"/>
      <c r="AUT6" s="346"/>
      <c r="AUU6" s="346"/>
      <c r="AUV6" s="346"/>
      <c r="AUW6" s="346"/>
      <c r="AUX6" s="346"/>
      <c r="AUY6" s="346"/>
      <c r="AUZ6" s="346"/>
      <c r="AVA6" s="346"/>
      <c r="AVB6" s="346"/>
      <c r="AVC6" s="346"/>
      <c r="AVD6" s="346"/>
      <c r="AVE6" s="346"/>
      <c r="AVF6" s="346"/>
      <c r="AVG6" s="346"/>
      <c r="AVH6" s="346"/>
      <c r="AVI6" s="346"/>
      <c r="AVJ6" s="346"/>
      <c r="AVK6" s="346"/>
      <c r="AVL6" s="346"/>
      <c r="AVM6" s="346"/>
      <c r="AVN6" s="346"/>
      <c r="AVO6" s="346"/>
      <c r="AVP6" s="346"/>
      <c r="AVQ6" s="346"/>
      <c r="AVR6" s="346"/>
      <c r="AVS6" s="346"/>
      <c r="AVT6" s="346"/>
      <c r="AVU6" s="346"/>
      <c r="AVV6" s="346"/>
      <c r="AVW6" s="346"/>
      <c r="AVX6" s="346"/>
      <c r="AVY6" s="346"/>
      <c r="AVZ6" s="346"/>
      <c r="AWA6" s="346"/>
      <c r="AWB6" s="346"/>
      <c r="AWC6" s="346"/>
      <c r="AWD6" s="346"/>
      <c r="AWE6" s="346"/>
      <c r="AWF6" s="346"/>
      <c r="AWG6" s="346"/>
      <c r="AWH6" s="346"/>
      <c r="AWI6" s="346"/>
      <c r="AWJ6" s="346"/>
      <c r="AWK6" s="346"/>
      <c r="AWL6" s="346"/>
      <c r="AWM6" s="346"/>
      <c r="AWN6" s="346"/>
      <c r="AWO6" s="346"/>
      <c r="AWP6" s="346"/>
      <c r="AWQ6" s="346"/>
      <c r="AWR6" s="346"/>
      <c r="AWS6" s="346"/>
      <c r="AWT6" s="346"/>
      <c r="AWU6" s="346"/>
      <c r="AWV6" s="346"/>
      <c r="AWW6" s="346"/>
      <c r="AWX6" s="346"/>
      <c r="AWY6" s="346"/>
      <c r="AWZ6" s="346"/>
      <c r="AXA6" s="346"/>
      <c r="AXB6" s="346"/>
      <c r="AXC6" s="346"/>
      <c r="AXD6" s="346"/>
      <c r="AXE6" s="346"/>
      <c r="AXF6" s="346"/>
      <c r="AXG6" s="346"/>
      <c r="AXH6" s="346"/>
      <c r="AXI6" s="346"/>
      <c r="AXJ6" s="346"/>
      <c r="AXK6" s="346"/>
      <c r="AXL6" s="346"/>
      <c r="AXM6" s="346"/>
      <c r="AXN6" s="346"/>
      <c r="AXO6" s="346"/>
      <c r="AXP6" s="346"/>
      <c r="AXQ6" s="346"/>
      <c r="AXR6" s="346"/>
      <c r="AXS6" s="346"/>
      <c r="AXT6" s="346"/>
      <c r="AXU6" s="346"/>
      <c r="AXV6" s="346"/>
      <c r="AXW6" s="346"/>
      <c r="AXX6" s="346"/>
      <c r="AXY6" s="346"/>
      <c r="AXZ6" s="346"/>
      <c r="AYA6" s="346"/>
      <c r="AYB6" s="346"/>
      <c r="AYC6" s="346"/>
      <c r="AYD6" s="346"/>
      <c r="AYE6" s="346"/>
      <c r="AYF6" s="346"/>
      <c r="AYG6" s="346"/>
      <c r="AYH6" s="346"/>
      <c r="AYI6" s="346"/>
      <c r="AYJ6" s="346"/>
      <c r="AYK6" s="346"/>
      <c r="AYL6" s="346"/>
      <c r="AYM6" s="346"/>
      <c r="AYN6" s="346"/>
      <c r="AYO6" s="346"/>
      <c r="AYP6" s="346"/>
      <c r="AYQ6" s="346"/>
      <c r="AYR6" s="346"/>
      <c r="AYS6" s="346"/>
      <c r="AYT6" s="346"/>
      <c r="AYU6" s="346"/>
      <c r="AYV6" s="346"/>
      <c r="AYW6" s="346"/>
      <c r="AYX6" s="346"/>
      <c r="AYY6" s="346"/>
      <c r="AYZ6" s="346"/>
      <c r="AZA6" s="346"/>
      <c r="AZB6" s="346"/>
      <c r="AZC6" s="346"/>
      <c r="AZD6" s="346"/>
      <c r="AZE6" s="346"/>
      <c r="AZF6" s="346"/>
      <c r="AZG6" s="346"/>
      <c r="AZH6" s="346"/>
      <c r="AZI6" s="346"/>
      <c r="AZJ6" s="346"/>
      <c r="AZK6" s="346"/>
      <c r="AZL6" s="346"/>
      <c r="AZM6" s="346"/>
      <c r="AZN6" s="346"/>
      <c r="AZO6" s="346"/>
      <c r="AZP6" s="346"/>
      <c r="AZQ6" s="346"/>
      <c r="AZR6" s="346"/>
      <c r="AZS6" s="346"/>
      <c r="AZT6" s="346"/>
      <c r="AZU6" s="346"/>
      <c r="AZV6" s="346"/>
      <c r="AZW6" s="346"/>
      <c r="AZX6" s="346"/>
      <c r="AZY6" s="346"/>
      <c r="AZZ6" s="346"/>
      <c r="BAA6" s="346"/>
      <c r="BAB6" s="346"/>
      <c r="BAC6" s="346"/>
      <c r="BAD6" s="346"/>
      <c r="BAE6" s="346"/>
      <c r="BAF6" s="346"/>
      <c r="BAG6" s="346"/>
      <c r="BAH6" s="346"/>
      <c r="BAI6" s="346"/>
      <c r="BAJ6" s="346"/>
      <c r="BAK6" s="346"/>
      <c r="BAL6" s="346"/>
      <c r="BAM6" s="346"/>
      <c r="BAN6" s="346"/>
      <c r="BAO6" s="346"/>
      <c r="BAP6" s="346"/>
      <c r="BAQ6" s="346"/>
      <c r="BAR6" s="346"/>
      <c r="BAS6" s="346"/>
      <c r="BAT6" s="346"/>
      <c r="BAU6" s="346"/>
      <c r="BAV6" s="346"/>
      <c r="BAW6" s="346"/>
      <c r="BAX6" s="346"/>
      <c r="BAY6" s="346"/>
      <c r="BAZ6" s="346"/>
      <c r="BBA6" s="346"/>
      <c r="BBB6" s="346"/>
      <c r="BBC6" s="346"/>
      <c r="BBD6" s="346"/>
      <c r="BBE6" s="346"/>
      <c r="BBF6" s="346"/>
      <c r="BBG6" s="346"/>
      <c r="BBH6" s="346"/>
      <c r="BBI6" s="346"/>
      <c r="BBJ6" s="346"/>
      <c r="BBK6" s="346"/>
      <c r="BBL6" s="346"/>
      <c r="BBM6" s="346"/>
      <c r="BBN6" s="346"/>
      <c r="BBO6" s="346"/>
      <c r="BBP6" s="346"/>
      <c r="BBQ6" s="346"/>
      <c r="BBR6" s="346"/>
      <c r="BBS6" s="346"/>
      <c r="BBT6" s="346"/>
      <c r="BBU6" s="346"/>
      <c r="BBV6" s="346"/>
      <c r="BBW6" s="346"/>
      <c r="BBX6" s="346"/>
      <c r="BBY6" s="346"/>
      <c r="BBZ6" s="346"/>
      <c r="BCA6" s="346"/>
      <c r="BCB6" s="346"/>
      <c r="BCC6" s="346"/>
      <c r="BCD6" s="346"/>
      <c r="BCE6" s="346"/>
      <c r="BCF6" s="346"/>
      <c r="BCG6" s="346"/>
      <c r="BCH6" s="346"/>
      <c r="BCI6" s="346"/>
      <c r="BCJ6" s="346"/>
      <c r="BCK6" s="346"/>
      <c r="BCL6" s="346"/>
      <c r="BCM6" s="346"/>
      <c r="BCN6" s="346"/>
      <c r="BCO6" s="346"/>
      <c r="BCP6" s="346"/>
      <c r="BCQ6" s="346"/>
      <c r="BCR6" s="346"/>
      <c r="BCS6" s="346"/>
      <c r="BCT6" s="346"/>
      <c r="BCU6" s="346"/>
      <c r="BCV6" s="346"/>
      <c r="BCW6" s="346"/>
      <c r="BCX6" s="346"/>
      <c r="BCY6" s="346"/>
      <c r="BCZ6" s="346"/>
      <c r="BDA6" s="346"/>
      <c r="BDB6" s="346"/>
      <c r="BDC6" s="346"/>
      <c r="BDD6" s="346"/>
      <c r="BDE6" s="346"/>
      <c r="BDF6" s="346"/>
      <c r="BDG6" s="346"/>
      <c r="BDH6" s="346"/>
      <c r="BDI6" s="346"/>
      <c r="BDJ6" s="346"/>
      <c r="BDK6" s="346"/>
      <c r="BDL6" s="346"/>
      <c r="BDM6" s="346"/>
      <c r="BDN6" s="346"/>
      <c r="BDO6" s="346"/>
      <c r="BDP6" s="346"/>
      <c r="BDQ6" s="346"/>
      <c r="BDR6" s="346"/>
      <c r="BDS6" s="346"/>
      <c r="BDT6" s="346"/>
      <c r="BDU6" s="346"/>
      <c r="BDV6" s="346"/>
      <c r="BDW6" s="346"/>
      <c r="BDX6" s="346"/>
      <c r="BDY6" s="346"/>
      <c r="BDZ6" s="346"/>
      <c r="BEA6" s="346"/>
      <c r="BEB6" s="346"/>
      <c r="BEC6" s="346"/>
      <c r="BED6" s="346"/>
      <c r="BEE6" s="346"/>
      <c r="BEF6" s="346"/>
      <c r="BEG6" s="346"/>
      <c r="BEH6" s="346"/>
      <c r="BEI6" s="346"/>
      <c r="BEJ6" s="346"/>
      <c r="BEK6" s="346"/>
      <c r="BEL6" s="346"/>
      <c r="BEM6" s="346"/>
      <c r="BEN6" s="346"/>
      <c r="BEO6" s="346"/>
      <c r="BEP6" s="346"/>
      <c r="BEQ6" s="346"/>
      <c r="BER6" s="346"/>
      <c r="BES6" s="346"/>
      <c r="BET6" s="346"/>
      <c r="BEU6" s="346"/>
      <c r="BEV6" s="346"/>
      <c r="BEW6" s="346"/>
      <c r="BEX6" s="346"/>
      <c r="BEY6" s="346"/>
      <c r="BEZ6" s="346"/>
      <c r="BFA6" s="346"/>
      <c r="BFB6" s="346"/>
      <c r="BFC6" s="346"/>
      <c r="BFD6" s="346"/>
      <c r="BFE6" s="346"/>
      <c r="BFF6" s="346"/>
      <c r="BFG6" s="346"/>
      <c r="BFH6" s="346"/>
      <c r="BFI6" s="346"/>
      <c r="BFJ6" s="346"/>
      <c r="BFK6" s="346"/>
      <c r="BFL6" s="346"/>
      <c r="BFM6" s="346"/>
      <c r="BFN6" s="346"/>
      <c r="BFO6" s="346"/>
      <c r="BFP6" s="346"/>
      <c r="BFQ6" s="346"/>
      <c r="BFR6" s="346"/>
      <c r="BFS6" s="346"/>
      <c r="BFT6" s="346"/>
      <c r="BFU6" s="346"/>
      <c r="BFV6" s="346"/>
      <c r="BFW6" s="346"/>
      <c r="BFX6" s="346"/>
      <c r="BFY6" s="346"/>
      <c r="BFZ6" s="346"/>
      <c r="BGA6" s="346"/>
      <c r="BGB6" s="346"/>
      <c r="BGC6" s="346"/>
      <c r="BGD6" s="346"/>
      <c r="BGE6" s="346"/>
      <c r="BGF6" s="346"/>
      <c r="BGG6" s="346"/>
      <c r="BGH6" s="346"/>
      <c r="BGI6" s="346"/>
      <c r="BGJ6" s="346"/>
      <c r="BGK6" s="346"/>
      <c r="BGL6" s="346"/>
      <c r="BGM6" s="346"/>
      <c r="BGN6" s="346"/>
      <c r="BGO6" s="346"/>
      <c r="BGP6" s="346"/>
      <c r="BGQ6" s="346"/>
      <c r="BGR6" s="346"/>
      <c r="BGS6" s="346"/>
      <c r="BGT6" s="346"/>
      <c r="BGU6" s="346"/>
      <c r="BGV6" s="346"/>
      <c r="BGW6" s="346"/>
      <c r="BGX6" s="346"/>
      <c r="BGY6" s="346"/>
      <c r="BGZ6" s="346"/>
      <c r="BHA6" s="346"/>
      <c r="BHB6" s="346"/>
      <c r="BHC6" s="346"/>
      <c r="BHD6" s="346"/>
      <c r="BHE6" s="346"/>
      <c r="BHF6" s="346"/>
      <c r="BHG6" s="346"/>
      <c r="BHH6" s="346"/>
      <c r="BHI6" s="346"/>
      <c r="BHJ6" s="346"/>
      <c r="BHK6" s="346"/>
      <c r="BHL6" s="346"/>
      <c r="BHM6" s="346"/>
      <c r="BHN6" s="346"/>
      <c r="BHO6" s="346"/>
      <c r="BHP6" s="346"/>
      <c r="BHQ6" s="346"/>
      <c r="BHR6" s="346"/>
      <c r="BHS6" s="346"/>
      <c r="BHT6" s="346"/>
      <c r="BHU6" s="346"/>
      <c r="BHV6" s="346"/>
      <c r="BHW6" s="346"/>
      <c r="BHX6" s="346"/>
      <c r="BHY6" s="346"/>
      <c r="BHZ6" s="346"/>
      <c r="BIA6" s="346"/>
      <c r="BIB6" s="346"/>
      <c r="BIC6" s="346"/>
      <c r="BID6" s="346"/>
      <c r="BIE6" s="346"/>
      <c r="BIF6" s="346"/>
      <c r="BIG6" s="346"/>
      <c r="BIH6" s="346"/>
      <c r="BII6" s="346"/>
      <c r="BIJ6" s="346"/>
      <c r="BIK6" s="346"/>
      <c r="BIL6" s="346"/>
      <c r="BIM6" s="346"/>
      <c r="BIN6" s="346"/>
      <c r="BIO6" s="346"/>
      <c r="BIP6" s="346"/>
      <c r="BIQ6" s="346"/>
      <c r="BIR6" s="346"/>
      <c r="BIS6" s="346"/>
      <c r="BIT6" s="346"/>
      <c r="BIU6" s="346"/>
      <c r="BIV6" s="346"/>
      <c r="BIW6" s="346"/>
      <c r="BIX6" s="346"/>
      <c r="BIY6" s="346"/>
      <c r="BIZ6" s="346"/>
      <c r="BJA6" s="346"/>
      <c r="BJB6" s="346"/>
      <c r="BJC6" s="346"/>
      <c r="BJD6" s="346"/>
      <c r="BJE6" s="346"/>
      <c r="BJF6" s="346"/>
      <c r="BJG6" s="346"/>
      <c r="BJH6" s="346"/>
      <c r="BJI6" s="346"/>
      <c r="BJJ6" s="346"/>
      <c r="BJK6" s="346"/>
      <c r="BJL6" s="346"/>
      <c r="BJM6" s="346"/>
      <c r="BJN6" s="346"/>
      <c r="BJO6" s="346"/>
      <c r="BJP6" s="346"/>
      <c r="BJQ6" s="346"/>
      <c r="BJR6" s="346"/>
      <c r="BJS6" s="346"/>
      <c r="BJT6" s="346"/>
      <c r="BJU6" s="346"/>
      <c r="BJV6" s="346"/>
      <c r="BJW6" s="346"/>
      <c r="BJX6" s="346"/>
      <c r="BJY6" s="346"/>
      <c r="BJZ6" s="346"/>
      <c r="BKA6" s="346"/>
      <c r="BKB6" s="346"/>
      <c r="BKC6" s="346"/>
      <c r="BKD6" s="346"/>
      <c r="BKE6" s="346"/>
      <c r="BKF6" s="346"/>
      <c r="BKG6" s="346"/>
      <c r="BKH6" s="346"/>
      <c r="BKI6" s="346"/>
      <c r="BKJ6" s="346"/>
      <c r="BKK6" s="346"/>
      <c r="BKL6" s="346"/>
      <c r="BKM6" s="346"/>
      <c r="BKN6" s="346"/>
      <c r="BKO6" s="346"/>
      <c r="BKP6" s="346"/>
      <c r="BKQ6" s="346"/>
      <c r="BKR6" s="346"/>
      <c r="BKS6" s="346"/>
      <c r="BKT6" s="346"/>
      <c r="BKU6" s="346"/>
      <c r="BKV6" s="346"/>
      <c r="BKW6" s="346"/>
      <c r="BKX6" s="346"/>
      <c r="BKY6" s="346"/>
      <c r="BKZ6" s="346"/>
      <c r="BLA6" s="346"/>
      <c r="BLB6" s="346"/>
      <c r="BLC6" s="346"/>
      <c r="BLD6" s="346"/>
      <c r="BLE6" s="346"/>
      <c r="BLF6" s="346"/>
      <c r="BLG6" s="346"/>
      <c r="BLH6" s="346"/>
      <c r="BLI6" s="346"/>
      <c r="BLJ6" s="346"/>
      <c r="BLK6" s="346"/>
      <c r="BLL6" s="346"/>
      <c r="BLM6" s="346"/>
      <c r="BLN6" s="346"/>
      <c r="BLO6" s="346"/>
      <c r="BLP6" s="346"/>
      <c r="BLQ6" s="346"/>
      <c r="BLR6" s="346"/>
      <c r="BLS6" s="346"/>
      <c r="BLT6" s="346"/>
      <c r="BLU6" s="346"/>
      <c r="BLV6" s="346"/>
      <c r="BLW6" s="346"/>
      <c r="BLX6" s="346"/>
      <c r="BLY6" s="346"/>
      <c r="BLZ6" s="346"/>
      <c r="BMA6" s="346"/>
      <c r="BMB6" s="346"/>
      <c r="BMC6" s="346"/>
      <c r="BMD6" s="346"/>
      <c r="BME6" s="346"/>
      <c r="BMF6" s="346"/>
      <c r="BMG6" s="346"/>
      <c r="BMH6" s="346"/>
      <c r="BMI6" s="346"/>
      <c r="BMJ6" s="346"/>
      <c r="BMK6" s="346"/>
      <c r="BML6" s="346"/>
      <c r="BMM6" s="346"/>
      <c r="BMN6" s="346"/>
      <c r="BMO6" s="346"/>
      <c r="BMP6" s="346"/>
      <c r="BMQ6" s="346"/>
      <c r="BMR6" s="346"/>
      <c r="BMS6" s="346"/>
      <c r="BMT6" s="346"/>
      <c r="BMU6" s="346"/>
      <c r="BMV6" s="346"/>
      <c r="BMW6" s="346"/>
      <c r="BMX6" s="346"/>
      <c r="BMY6" s="346"/>
      <c r="BMZ6" s="346"/>
      <c r="BNA6" s="346"/>
      <c r="BNB6" s="346"/>
      <c r="BNC6" s="346"/>
      <c r="BND6" s="346"/>
      <c r="BNE6" s="346"/>
      <c r="BNF6" s="346"/>
      <c r="BNG6" s="346"/>
      <c r="BNH6" s="346"/>
      <c r="BNI6" s="346"/>
      <c r="BNJ6" s="346"/>
      <c r="BNK6" s="346"/>
      <c r="BNL6" s="346"/>
      <c r="BNM6" s="346"/>
      <c r="BNN6" s="346"/>
      <c r="BNO6" s="346"/>
      <c r="BNP6" s="346"/>
      <c r="BNQ6" s="346"/>
      <c r="BNR6" s="346"/>
      <c r="BNS6" s="346"/>
      <c r="BNT6" s="346"/>
      <c r="BNU6" s="346"/>
      <c r="BNV6" s="346"/>
      <c r="BNW6" s="346"/>
      <c r="BNX6" s="346"/>
      <c r="BNY6" s="346"/>
      <c r="BNZ6" s="346"/>
      <c r="BOA6" s="346"/>
      <c r="BOB6" s="346"/>
      <c r="BOC6" s="346"/>
      <c r="BOD6" s="346"/>
      <c r="BOE6" s="346"/>
      <c r="BOF6" s="346"/>
      <c r="BOG6" s="346"/>
      <c r="BOH6" s="346"/>
      <c r="BOI6" s="346"/>
      <c r="BOJ6" s="346"/>
      <c r="BOK6" s="346"/>
      <c r="BOL6" s="346"/>
      <c r="BOM6" s="346"/>
      <c r="BON6" s="346"/>
      <c r="BOO6" s="346"/>
      <c r="BOP6" s="346"/>
      <c r="BOQ6" s="346"/>
      <c r="BOR6" s="346"/>
      <c r="BOS6" s="346"/>
      <c r="BOT6" s="346"/>
      <c r="BOU6" s="346"/>
      <c r="BOV6" s="346"/>
      <c r="BOW6" s="346"/>
      <c r="BOX6" s="346"/>
      <c r="BOY6" s="346"/>
      <c r="BOZ6" s="346"/>
      <c r="BPA6" s="346"/>
      <c r="BPB6" s="346"/>
      <c r="BPC6" s="346"/>
      <c r="BPD6" s="346"/>
      <c r="BPE6" s="346"/>
      <c r="BPF6" s="346"/>
      <c r="BPG6" s="346"/>
      <c r="BPH6" s="346"/>
      <c r="BPI6" s="346"/>
      <c r="BPJ6" s="346"/>
      <c r="BPK6" s="346"/>
      <c r="BPL6" s="346"/>
      <c r="BPM6" s="346"/>
      <c r="BPN6" s="346"/>
      <c r="BPO6" s="346"/>
      <c r="BPP6" s="346"/>
      <c r="BPQ6" s="346"/>
      <c r="BPR6" s="346"/>
      <c r="BPS6" s="346"/>
      <c r="BPT6" s="346"/>
      <c r="BPU6" s="346"/>
      <c r="BPV6" s="346"/>
      <c r="BPW6" s="346"/>
      <c r="BPX6" s="346"/>
      <c r="BPY6" s="346"/>
      <c r="BPZ6" s="346"/>
      <c r="BQA6" s="346"/>
      <c r="BQB6" s="346"/>
      <c r="BQC6" s="346"/>
      <c r="BQD6" s="346"/>
      <c r="BQE6" s="346"/>
      <c r="BQF6" s="346"/>
      <c r="BQG6" s="346"/>
      <c r="BQH6" s="346"/>
      <c r="BQI6" s="346"/>
      <c r="BQJ6" s="346"/>
      <c r="BQK6" s="346"/>
      <c r="BQL6" s="346"/>
      <c r="BQM6" s="346"/>
      <c r="BQN6" s="346"/>
      <c r="BQO6" s="346"/>
      <c r="BQP6" s="346"/>
      <c r="BQQ6" s="346"/>
      <c r="BQR6" s="346"/>
      <c r="BQS6" s="346"/>
      <c r="BQT6" s="346"/>
      <c r="BQU6" s="346"/>
      <c r="BQV6" s="346"/>
      <c r="BQW6" s="346"/>
      <c r="BQX6" s="346"/>
      <c r="BQY6" s="346"/>
      <c r="BQZ6" s="346"/>
      <c r="BRA6" s="346"/>
      <c r="BRB6" s="346"/>
      <c r="BRC6" s="346"/>
      <c r="BRD6" s="346"/>
      <c r="BRE6" s="346"/>
      <c r="BRF6" s="346"/>
      <c r="BRG6" s="346"/>
      <c r="BRH6" s="346"/>
      <c r="BRI6" s="346"/>
      <c r="BRJ6" s="346"/>
      <c r="BRK6" s="346"/>
      <c r="BRL6" s="346"/>
      <c r="BRM6" s="346"/>
      <c r="BRN6" s="346"/>
      <c r="BRO6" s="346"/>
      <c r="BRP6" s="346"/>
      <c r="BRQ6" s="346"/>
      <c r="BRR6" s="346"/>
      <c r="BRS6" s="346"/>
      <c r="BRT6" s="346"/>
      <c r="BRU6" s="346"/>
      <c r="BRV6" s="346"/>
      <c r="BRW6" s="346"/>
      <c r="BRX6" s="346"/>
      <c r="BRY6" s="346"/>
      <c r="BRZ6" s="346"/>
      <c r="BSA6" s="346"/>
      <c r="BSB6" s="346"/>
      <c r="BSC6" s="346"/>
      <c r="BSD6" s="346"/>
      <c r="BSE6" s="346"/>
      <c r="BSF6" s="346"/>
      <c r="BSG6" s="346"/>
      <c r="BSH6" s="346"/>
      <c r="BSI6" s="346"/>
      <c r="BSJ6" s="346"/>
      <c r="BSK6" s="346"/>
      <c r="BSL6" s="346"/>
      <c r="BSM6" s="346"/>
      <c r="BSN6" s="346"/>
      <c r="BSO6" s="346"/>
      <c r="BSP6" s="346"/>
      <c r="BSQ6" s="346"/>
      <c r="BSR6" s="346"/>
      <c r="BSS6" s="346"/>
      <c r="BST6" s="346"/>
      <c r="BSU6" s="346"/>
      <c r="BSV6" s="346"/>
      <c r="BSW6" s="346"/>
      <c r="BSX6" s="346"/>
      <c r="BSY6" s="346"/>
      <c r="BSZ6" s="346"/>
      <c r="BTA6" s="346"/>
      <c r="BTB6" s="346"/>
      <c r="BTC6" s="346"/>
      <c r="BTD6" s="346"/>
      <c r="BTE6" s="346"/>
      <c r="BTF6" s="346"/>
      <c r="BTG6" s="346"/>
      <c r="BTH6" s="346"/>
      <c r="BTI6" s="346"/>
      <c r="BTJ6" s="346"/>
      <c r="BTK6" s="346"/>
      <c r="BTL6" s="346"/>
      <c r="BTM6" s="346"/>
      <c r="BTN6" s="346"/>
      <c r="BTO6" s="346"/>
      <c r="BTP6" s="346"/>
      <c r="BTQ6" s="346"/>
      <c r="BTR6" s="346"/>
      <c r="BTS6" s="346"/>
      <c r="BTT6" s="346"/>
      <c r="BTU6" s="346"/>
      <c r="BTV6" s="346"/>
      <c r="BTW6" s="346"/>
      <c r="BTX6" s="346"/>
      <c r="BTY6" s="346"/>
      <c r="BTZ6" s="346"/>
      <c r="BUA6" s="346"/>
      <c r="BUB6" s="346"/>
      <c r="BUC6" s="346"/>
      <c r="BUD6" s="346"/>
      <c r="BUE6" s="346"/>
      <c r="BUF6" s="346"/>
      <c r="BUG6" s="346"/>
      <c r="BUH6" s="346"/>
      <c r="BUI6" s="346"/>
      <c r="BUJ6" s="346"/>
      <c r="BUK6" s="346"/>
      <c r="BUL6" s="346"/>
      <c r="BUM6" s="346"/>
      <c r="BUN6" s="346"/>
      <c r="BUO6" s="346"/>
      <c r="BUP6" s="346"/>
      <c r="BUQ6" s="346"/>
      <c r="BUR6" s="346"/>
      <c r="BUS6" s="346"/>
      <c r="BUT6" s="346"/>
      <c r="BUU6" s="346"/>
      <c r="BUV6" s="346"/>
      <c r="BUW6" s="346"/>
      <c r="BUX6" s="346"/>
      <c r="BUY6" s="346"/>
      <c r="BUZ6" s="346"/>
      <c r="BVA6" s="346"/>
      <c r="BVB6" s="346"/>
      <c r="BVC6" s="346"/>
      <c r="BVD6" s="346"/>
      <c r="BVE6" s="346"/>
      <c r="BVF6" s="346"/>
      <c r="BVG6" s="346"/>
      <c r="BVH6" s="346"/>
      <c r="BVI6" s="346"/>
      <c r="BVJ6" s="346"/>
      <c r="BVK6" s="346"/>
      <c r="BVL6" s="346"/>
      <c r="BVM6" s="346"/>
      <c r="BVN6" s="346"/>
      <c r="BVO6" s="346"/>
      <c r="BVP6" s="346"/>
      <c r="BVQ6" s="346"/>
      <c r="BVR6" s="346"/>
      <c r="BVS6" s="346"/>
      <c r="BVT6" s="346"/>
      <c r="BVU6" s="346"/>
      <c r="BVV6" s="346"/>
      <c r="BVW6" s="346"/>
      <c r="BVX6" s="346"/>
      <c r="BVY6" s="346"/>
      <c r="BVZ6" s="346"/>
      <c r="BWA6" s="346"/>
      <c r="BWB6" s="346"/>
      <c r="BWC6" s="346"/>
      <c r="BWD6" s="346"/>
      <c r="BWE6" s="346"/>
      <c r="BWF6" s="346"/>
      <c r="BWG6" s="346"/>
      <c r="BWH6" s="346"/>
      <c r="BWI6" s="346"/>
      <c r="BWJ6" s="346"/>
      <c r="BWK6" s="346"/>
      <c r="BWL6" s="346"/>
      <c r="BWM6" s="346"/>
      <c r="BWN6" s="346"/>
      <c r="BWO6" s="346"/>
      <c r="BWP6" s="346"/>
      <c r="BWQ6" s="346"/>
      <c r="BWR6" s="346"/>
      <c r="BWS6" s="346"/>
      <c r="BWT6" s="346"/>
      <c r="BWU6" s="346"/>
      <c r="BWV6" s="346"/>
      <c r="BWW6" s="346"/>
      <c r="BWX6" s="346"/>
      <c r="BWY6" s="346"/>
      <c r="BWZ6" s="346"/>
      <c r="BXA6" s="346"/>
      <c r="BXB6" s="346"/>
      <c r="BXC6" s="346"/>
      <c r="BXD6" s="346"/>
      <c r="BXE6" s="346"/>
      <c r="BXF6" s="346"/>
      <c r="BXG6" s="346"/>
      <c r="BXH6" s="346"/>
      <c r="BXI6" s="346"/>
      <c r="BXJ6" s="346"/>
      <c r="BXK6" s="346"/>
      <c r="BXL6" s="346"/>
      <c r="BXM6" s="346"/>
      <c r="BXN6" s="346"/>
      <c r="BXO6" s="346"/>
      <c r="BXP6" s="346"/>
      <c r="BXQ6" s="346"/>
      <c r="BXR6" s="346"/>
      <c r="BXS6" s="346"/>
      <c r="BXT6" s="346"/>
      <c r="BXU6" s="346"/>
      <c r="BXV6" s="346"/>
      <c r="BXW6" s="346"/>
      <c r="BXX6" s="346"/>
      <c r="BXY6" s="346"/>
      <c r="BXZ6" s="346"/>
      <c r="BYA6" s="346"/>
      <c r="BYB6" s="346"/>
      <c r="BYC6" s="346"/>
      <c r="BYD6" s="346"/>
      <c r="BYE6" s="346"/>
      <c r="BYF6" s="346"/>
      <c r="BYG6" s="346"/>
    </row>
    <row r="7" spans="1:2009" s="97" customFormat="1" ht="24.95" customHeight="1" x14ac:dyDescent="0.25">
      <c r="A7" s="130"/>
      <c r="B7" s="125" t="s">
        <v>399</v>
      </c>
      <c r="C7" s="163">
        <f>28112.52-D7</f>
        <v>14352.09</v>
      </c>
      <c r="D7" s="163">
        <v>13760.43</v>
      </c>
      <c r="E7" s="163"/>
      <c r="F7" s="164"/>
      <c r="G7" s="705">
        <f>ROUND(SUM(C7:F7),5)</f>
        <v>28112.52</v>
      </c>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199" customFormat="1" ht="24.95" customHeight="1" thickBot="1" x14ac:dyDescent="0.3">
      <c r="A8" s="194"/>
      <c r="B8" s="195" t="s">
        <v>164</v>
      </c>
      <c r="C8" s="196">
        <f>SUM(C7)</f>
        <v>14352.09</v>
      </c>
      <c r="D8" s="196">
        <f t="shared" ref="D8" si="0">SUM(D7)</f>
        <v>13760.43</v>
      </c>
      <c r="E8" s="196">
        <f>SUM(E5:E7)</f>
        <v>84179.18</v>
      </c>
      <c r="F8" s="196"/>
      <c r="G8" s="706">
        <f>ROUND(SUM(G3:G7),5)</f>
        <v>112291.7</v>
      </c>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c r="IT8" s="198"/>
      <c r="IU8" s="198"/>
      <c r="IV8" s="198"/>
      <c r="IW8" s="198"/>
      <c r="IX8" s="198"/>
      <c r="IY8" s="198"/>
      <c r="IZ8" s="198"/>
      <c r="JA8" s="198"/>
      <c r="JB8" s="198"/>
      <c r="JC8" s="198"/>
      <c r="JD8" s="198"/>
      <c r="JE8" s="198"/>
      <c r="JF8" s="198"/>
      <c r="JG8" s="198"/>
      <c r="JH8" s="198"/>
      <c r="JI8" s="198"/>
      <c r="JJ8" s="198"/>
      <c r="JK8" s="198"/>
      <c r="JL8" s="198"/>
      <c r="JM8" s="198"/>
      <c r="JN8" s="198"/>
      <c r="JO8" s="198"/>
      <c r="JP8" s="198"/>
      <c r="JQ8" s="198"/>
      <c r="JR8" s="198"/>
      <c r="JS8" s="198"/>
      <c r="JT8" s="198"/>
      <c r="JU8" s="198"/>
      <c r="JV8" s="198"/>
      <c r="JW8" s="198"/>
      <c r="JX8" s="198"/>
      <c r="JY8" s="198"/>
      <c r="JZ8" s="198"/>
      <c r="KA8" s="198"/>
      <c r="KB8" s="198"/>
      <c r="KC8" s="198"/>
      <c r="KD8" s="198"/>
      <c r="KE8" s="198"/>
      <c r="KF8" s="198"/>
      <c r="KG8" s="198"/>
      <c r="KH8" s="198"/>
      <c r="KI8" s="198"/>
      <c r="KJ8" s="198"/>
      <c r="KK8" s="198"/>
      <c r="KL8" s="198"/>
      <c r="KM8" s="198"/>
      <c r="KN8" s="198"/>
      <c r="KO8" s="198"/>
      <c r="KP8" s="198"/>
      <c r="KQ8" s="198"/>
      <c r="KR8" s="198"/>
      <c r="KS8" s="198"/>
      <c r="KT8" s="198"/>
      <c r="KU8" s="198"/>
      <c r="KV8" s="198"/>
      <c r="KW8" s="198"/>
      <c r="KX8" s="198"/>
      <c r="KY8" s="198"/>
      <c r="KZ8" s="198"/>
      <c r="LA8" s="198"/>
      <c r="LB8" s="198"/>
      <c r="LC8" s="198"/>
      <c r="LD8" s="198"/>
      <c r="LE8" s="198"/>
      <c r="LF8" s="198"/>
      <c r="LG8" s="198"/>
      <c r="LH8" s="198"/>
      <c r="LI8" s="198"/>
      <c r="LJ8" s="198"/>
      <c r="LK8" s="198"/>
      <c r="LL8" s="198"/>
      <c r="LM8" s="198"/>
      <c r="LN8" s="198"/>
      <c r="LO8" s="198"/>
      <c r="LP8" s="198"/>
      <c r="LQ8" s="198"/>
      <c r="LR8" s="198"/>
      <c r="LS8" s="198"/>
      <c r="LT8" s="198"/>
      <c r="LU8" s="198"/>
      <c r="LV8" s="198"/>
      <c r="LW8" s="198"/>
      <c r="LX8" s="198"/>
      <c r="LY8" s="198"/>
      <c r="LZ8" s="198"/>
      <c r="MA8" s="198"/>
      <c r="MB8" s="198"/>
      <c r="MC8" s="198"/>
      <c r="MD8" s="198"/>
      <c r="ME8" s="198"/>
      <c r="MF8" s="198"/>
      <c r="MG8" s="198"/>
      <c r="MH8" s="198"/>
      <c r="MI8" s="198"/>
      <c r="MJ8" s="198"/>
      <c r="MK8" s="198"/>
      <c r="ML8" s="198"/>
      <c r="MM8" s="198"/>
      <c r="MN8" s="198"/>
      <c r="MO8" s="198"/>
      <c r="MP8" s="198"/>
      <c r="MQ8" s="198"/>
      <c r="MR8" s="198"/>
      <c r="MS8" s="198"/>
      <c r="MT8" s="198"/>
      <c r="MU8" s="198"/>
      <c r="MV8" s="198"/>
      <c r="MW8" s="198"/>
      <c r="MX8" s="198"/>
      <c r="MY8" s="198"/>
      <c r="MZ8" s="198"/>
      <c r="NA8" s="198"/>
      <c r="NB8" s="198"/>
      <c r="NC8" s="198"/>
      <c r="ND8" s="198"/>
      <c r="NE8" s="198"/>
      <c r="NF8" s="198"/>
      <c r="NG8" s="198"/>
      <c r="NH8" s="198"/>
      <c r="NI8" s="198"/>
      <c r="NJ8" s="198"/>
      <c r="NK8" s="198"/>
      <c r="NL8" s="198"/>
      <c r="NM8" s="198"/>
      <c r="NN8" s="198"/>
      <c r="NO8" s="198"/>
      <c r="NP8" s="198"/>
      <c r="NQ8" s="198"/>
      <c r="NR8" s="198"/>
      <c r="NS8" s="198"/>
      <c r="NT8" s="198"/>
      <c r="NU8" s="198"/>
      <c r="NV8" s="198"/>
      <c r="NW8" s="198"/>
      <c r="NX8" s="198"/>
      <c r="NY8" s="198"/>
      <c r="NZ8" s="198"/>
      <c r="OA8" s="198"/>
      <c r="OB8" s="198"/>
      <c r="OC8" s="198"/>
      <c r="OD8" s="198"/>
      <c r="OE8" s="198"/>
      <c r="OF8" s="198"/>
      <c r="OG8" s="198"/>
      <c r="OH8" s="198"/>
      <c r="OI8" s="198"/>
      <c r="OJ8" s="198"/>
      <c r="OK8" s="198"/>
      <c r="OL8" s="198"/>
      <c r="OM8" s="198"/>
      <c r="ON8" s="198"/>
      <c r="OO8" s="198"/>
      <c r="OP8" s="198"/>
      <c r="OQ8" s="198"/>
      <c r="OR8" s="198"/>
      <c r="OS8" s="198"/>
      <c r="OT8" s="198"/>
      <c r="OU8" s="198"/>
      <c r="OV8" s="198"/>
      <c r="OW8" s="198"/>
      <c r="OX8" s="198"/>
      <c r="OY8" s="198"/>
      <c r="OZ8" s="198"/>
      <c r="PA8" s="198"/>
      <c r="PB8" s="198"/>
      <c r="PC8" s="198"/>
      <c r="PD8" s="198"/>
      <c r="PE8" s="198"/>
      <c r="PF8" s="198"/>
      <c r="PG8" s="198"/>
      <c r="PH8" s="198"/>
      <c r="PI8" s="198"/>
      <c r="PJ8" s="198"/>
      <c r="PK8" s="198"/>
      <c r="PL8" s="198"/>
      <c r="PM8" s="198"/>
      <c r="PN8" s="198"/>
      <c r="PO8" s="198"/>
      <c r="PP8" s="198"/>
      <c r="PQ8" s="198"/>
      <c r="PR8" s="198"/>
      <c r="PS8" s="198"/>
      <c r="PT8" s="198"/>
      <c r="PU8" s="198"/>
      <c r="PV8" s="198"/>
      <c r="PW8" s="198"/>
      <c r="PX8" s="198"/>
      <c r="PY8" s="198"/>
      <c r="PZ8" s="198"/>
      <c r="QA8" s="198"/>
      <c r="QB8" s="198"/>
      <c r="QC8" s="198"/>
      <c r="QD8" s="198"/>
      <c r="QE8" s="198"/>
      <c r="QF8" s="198"/>
      <c r="QG8" s="198"/>
      <c r="QH8" s="198"/>
      <c r="QI8" s="198"/>
      <c r="QJ8" s="198"/>
      <c r="QK8" s="198"/>
      <c r="QL8" s="198"/>
      <c r="QM8" s="198"/>
      <c r="QN8" s="198"/>
      <c r="QO8" s="198"/>
      <c r="QP8" s="198"/>
      <c r="QQ8" s="198"/>
      <c r="QR8" s="198"/>
      <c r="QS8" s="198"/>
      <c r="QT8" s="198"/>
      <c r="QU8" s="198"/>
      <c r="QV8" s="198"/>
      <c r="QW8" s="198"/>
      <c r="QX8" s="198"/>
      <c r="QY8" s="198"/>
      <c r="QZ8" s="198"/>
      <c r="RA8" s="198"/>
      <c r="RB8" s="198"/>
      <c r="RC8" s="198"/>
      <c r="RD8" s="198"/>
      <c r="RE8" s="198"/>
      <c r="RF8" s="198"/>
      <c r="RG8" s="198"/>
      <c r="RH8" s="198"/>
      <c r="RI8" s="198"/>
      <c r="RJ8" s="198"/>
      <c r="RK8" s="198"/>
      <c r="RL8" s="198"/>
      <c r="RM8" s="198"/>
      <c r="RN8" s="198"/>
      <c r="RO8" s="198"/>
      <c r="RP8" s="198"/>
      <c r="RQ8" s="198"/>
      <c r="RR8" s="198"/>
      <c r="RS8" s="198"/>
      <c r="RT8" s="198"/>
      <c r="RU8" s="198"/>
      <c r="RV8" s="198"/>
      <c r="RW8" s="198"/>
      <c r="RX8" s="198"/>
      <c r="RY8" s="198"/>
      <c r="RZ8" s="198"/>
      <c r="SA8" s="198"/>
      <c r="SB8" s="198"/>
      <c r="SC8" s="198"/>
      <c r="SD8" s="198"/>
      <c r="SE8" s="198"/>
      <c r="SF8" s="198"/>
      <c r="SG8" s="198"/>
      <c r="SH8" s="198"/>
      <c r="SI8" s="198"/>
      <c r="SJ8" s="198"/>
      <c r="SK8" s="198"/>
      <c r="SL8" s="198"/>
      <c r="SM8" s="198"/>
      <c r="SN8" s="198"/>
      <c r="SO8" s="198"/>
      <c r="SP8" s="198"/>
      <c r="SQ8" s="198"/>
      <c r="SR8" s="198"/>
      <c r="SS8" s="198"/>
      <c r="ST8" s="198"/>
      <c r="SU8" s="198"/>
      <c r="SV8" s="198"/>
      <c r="SW8" s="198"/>
      <c r="SX8" s="198"/>
      <c r="SY8" s="198"/>
      <c r="SZ8" s="198"/>
      <c r="TA8" s="198"/>
      <c r="TB8" s="198"/>
      <c r="TC8" s="198"/>
      <c r="TD8" s="198"/>
      <c r="TE8" s="198"/>
      <c r="TF8" s="198"/>
      <c r="TG8" s="198"/>
      <c r="TH8" s="198"/>
      <c r="TI8" s="198"/>
      <c r="TJ8" s="198"/>
      <c r="TK8" s="198"/>
      <c r="TL8" s="198"/>
      <c r="TM8" s="198"/>
      <c r="TN8" s="198"/>
      <c r="TO8" s="198"/>
      <c r="TP8" s="198"/>
      <c r="TQ8" s="198"/>
      <c r="TR8" s="198"/>
      <c r="TS8" s="198"/>
      <c r="TT8" s="198"/>
      <c r="TU8" s="198"/>
      <c r="TV8" s="198"/>
      <c r="TW8" s="198"/>
      <c r="TX8" s="198"/>
      <c r="TY8" s="198"/>
      <c r="TZ8" s="198"/>
      <c r="UA8" s="198"/>
      <c r="UB8" s="198"/>
      <c r="UC8" s="198"/>
      <c r="UD8" s="198"/>
      <c r="UE8" s="198"/>
      <c r="UF8" s="198"/>
      <c r="UG8" s="198"/>
      <c r="UH8" s="198"/>
      <c r="UI8" s="198"/>
      <c r="UJ8" s="198"/>
      <c r="UK8" s="198"/>
      <c r="UL8" s="198"/>
      <c r="UM8" s="198"/>
      <c r="UN8" s="198"/>
      <c r="UO8" s="198"/>
      <c r="UP8" s="198"/>
      <c r="UQ8" s="198"/>
      <c r="UR8" s="198"/>
      <c r="US8" s="198"/>
      <c r="UT8" s="198"/>
      <c r="UU8" s="198"/>
      <c r="UV8" s="198"/>
      <c r="UW8" s="198"/>
      <c r="UX8" s="198"/>
      <c r="UY8" s="198"/>
      <c r="UZ8" s="198"/>
      <c r="VA8" s="198"/>
      <c r="VB8" s="198"/>
      <c r="VC8" s="198"/>
      <c r="VD8" s="198"/>
      <c r="VE8" s="198"/>
      <c r="VF8" s="198"/>
      <c r="VG8" s="198"/>
      <c r="VH8" s="198"/>
      <c r="VI8" s="198"/>
      <c r="VJ8" s="198"/>
      <c r="VK8" s="198"/>
      <c r="VL8" s="198"/>
      <c r="VM8" s="198"/>
      <c r="VN8" s="198"/>
      <c r="VO8" s="198"/>
      <c r="VP8" s="198"/>
      <c r="VQ8" s="198"/>
      <c r="VR8" s="198"/>
      <c r="VS8" s="198"/>
      <c r="VT8" s="198"/>
      <c r="VU8" s="198"/>
      <c r="VV8" s="198"/>
      <c r="VW8" s="198"/>
      <c r="VX8" s="198"/>
      <c r="VY8" s="198"/>
      <c r="VZ8" s="198"/>
      <c r="WA8" s="198"/>
      <c r="WB8" s="198"/>
      <c r="WC8" s="198"/>
      <c r="WD8" s="198"/>
      <c r="WE8" s="198"/>
      <c r="WF8" s="198"/>
      <c r="WG8" s="198"/>
      <c r="WH8" s="198"/>
      <c r="WI8" s="198"/>
      <c r="WJ8" s="198"/>
      <c r="WK8" s="198"/>
      <c r="WL8" s="198"/>
      <c r="WM8" s="198"/>
      <c r="WN8" s="198"/>
      <c r="WO8" s="198"/>
      <c r="WP8" s="198"/>
      <c r="WQ8" s="198"/>
      <c r="WR8" s="198"/>
      <c r="WS8" s="198"/>
      <c r="WT8" s="198"/>
      <c r="WU8" s="198"/>
      <c r="WV8" s="198"/>
      <c r="WW8" s="198"/>
      <c r="WX8" s="198"/>
      <c r="WY8" s="198"/>
      <c r="WZ8" s="198"/>
      <c r="XA8" s="198"/>
      <c r="XB8" s="198"/>
      <c r="XC8" s="198"/>
      <c r="XD8" s="198"/>
      <c r="XE8" s="198"/>
      <c r="XF8" s="198"/>
      <c r="XG8" s="198"/>
      <c r="XH8" s="198"/>
      <c r="XI8" s="198"/>
      <c r="XJ8" s="198"/>
      <c r="XK8" s="198"/>
      <c r="XL8" s="198"/>
      <c r="XM8" s="198"/>
      <c r="XN8" s="198"/>
      <c r="XO8" s="198"/>
      <c r="XP8" s="198"/>
      <c r="XQ8" s="198"/>
      <c r="XR8" s="198"/>
      <c r="XS8" s="198"/>
      <c r="XT8" s="198"/>
      <c r="XU8" s="198"/>
      <c r="XV8" s="198"/>
      <c r="XW8" s="198"/>
      <c r="XX8" s="198"/>
      <c r="XY8" s="198"/>
      <c r="XZ8" s="198"/>
      <c r="YA8" s="198"/>
      <c r="YB8" s="198"/>
      <c r="YC8" s="198"/>
      <c r="YD8" s="198"/>
      <c r="YE8" s="198"/>
      <c r="YF8" s="198"/>
      <c r="YG8" s="198"/>
      <c r="YH8" s="198"/>
      <c r="YI8" s="198"/>
      <c r="YJ8" s="198"/>
      <c r="YK8" s="198"/>
      <c r="YL8" s="198"/>
      <c r="YM8" s="198"/>
      <c r="YN8" s="198"/>
      <c r="YO8" s="198"/>
      <c r="YP8" s="198"/>
      <c r="YQ8" s="198"/>
      <c r="YR8" s="198"/>
      <c r="YS8" s="198"/>
      <c r="YT8" s="198"/>
      <c r="YU8" s="198"/>
      <c r="YV8" s="198"/>
      <c r="YW8" s="198"/>
      <c r="YX8" s="198"/>
      <c r="YY8" s="198"/>
      <c r="YZ8" s="198"/>
      <c r="ZA8" s="198"/>
      <c r="ZB8" s="198"/>
      <c r="ZC8" s="198"/>
      <c r="ZD8" s="198"/>
      <c r="ZE8" s="198"/>
      <c r="ZF8" s="198"/>
      <c r="ZG8" s="198"/>
      <c r="ZH8" s="198"/>
      <c r="ZI8" s="198"/>
      <c r="ZJ8" s="198"/>
      <c r="ZK8" s="198"/>
      <c r="ZL8" s="198"/>
      <c r="ZM8" s="198"/>
      <c r="ZN8" s="198"/>
      <c r="ZO8" s="198"/>
      <c r="ZP8" s="198"/>
      <c r="ZQ8" s="198"/>
      <c r="ZR8" s="198"/>
      <c r="ZS8" s="198"/>
      <c r="ZT8" s="198"/>
      <c r="ZU8" s="198"/>
      <c r="ZV8" s="198"/>
      <c r="ZW8" s="198"/>
      <c r="ZX8" s="198"/>
      <c r="ZY8" s="198"/>
      <c r="ZZ8" s="198"/>
      <c r="AAA8" s="198"/>
      <c r="AAB8" s="198"/>
      <c r="AAC8" s="198"/>
      <c r="AAD8" s="198"/>
      <c r="AAE8" s="198"/>
      <c r="AAF8" s="198"/>
      <c r="AAG8" s="198"/>
      <c r="AAH8" s="198"/>
      <c r="AAI8" s="198"/>
      <c r="AAJ8" s="198"/>
      <c r="AAK8" s="198"/>
      <c r="AAL8" s="198"/>
      <c r="AAM8" s="198"/>
      <c r="AAN8" s="198"/>
      <c r="AAO8" s="198"/>
      <c r="AAP8" s="198"/>
      <c r="AAQ8" s="198"/>
      <c r="AAR8" s="198"/>
      <c r="AAS8" s="198"/>
      <c r="AAT8" s="198"/>
      <c r="AAU8" s="198"/>
      <c r="AAV8" s="198"/>
      <c r="AAW8" s="198"/>
      <c r="AAX8" s="198"/>
      <c r="AAY8" s="198"/>
      <c r="AAZ8" s="198"/>
      <c r="ABA8" s="198"/>
      <c r="ABB8" s="198"/>
      <c r="ABC8" s="198"/>
      <c r="ABD8" s="198"/>
      <c r="ABE8" s="198"/>
      <c r="ABF8" s="198"/>
      <c r="ABG8" s="198"/>
      <c r="ABH8" s="198"/>
      <c r="ABI8" s="198"/>
      <c r="ABJ8" s="198"/>
      <c r="ABK8" s="198"/>
      <c r="ABL8" s="198"/>
      <c r="ABM8" s="198"/>
      <c r="ABN8" s="198"/>
      <c r="ABO8" s="198"/>
      <c r="ABP8" s="198"/>
      <c r="ABQ8" s="198"/>
      <c r="ABR8" s="198"/>
      <c r="ABS8" s="198"/>
      <c r="ABT8" s="198"/>
      <c r="ABU8" s="198"/>
      <c r="ABV8" s="198"/>
      <c r="ABW8" s="198"/>
      <c r="ABX8" s="198"/>
      <c r="ABY8" s="198"/>
      <c r="ABZ8" s="198"/>
      <c r="ACA8" s="198"/>
      <c r="ACB8" s="198"/>
      <c r="ACC8" s="198"/>
      <c r="ACD8" s="198"/>
      <c r="ACE8" s="198"/>
      <c r="ACF8" s="198"/>
      <c r="ACG8" s="198"/>
      <c r="ACH8" s="198"/>
      <c r="ACI8" s="198"/>
      <c r="ACJ8" s="198"/>
      <c r="ACK8" s="198"/>
      <c r="ACL8" s="198"/>
      <c r="ACM8" s="198"/>
      <c r="ACN8" s="198"/>
      <c r="ACO8" s="198"/>
      <c r="ACP8" s="198"/>
      <c r="ACQ8" s="198"/>
      <c r="ACR8" s="198"/>
      <c r="ACS8" s="198"/>
      <c r="ACT8" s="198"/>
      <c r="ACU8" s="198"/>
      <c r="ACV8" s="198"/>
      <c r="ACW8" s="198"/>
      <c r="ACX8" s="198"/>
      <c r="ACY8" s="198"/>
      <c r="ACZ8" s="198"/>
      <c r="ADA8" s="198"/>
      <c r="ADB8" s="198"/>
      <c r="ADC8" s="198"/>
      <c r="ADD8" s="198"/>
      <c r="ADE8" s="198"/>
      <c r="ADF8" s="198"/>
      <c r="ADG8" s="198"/>
      <c r="ADH8" s="198"/>
      <c r="ADI8" s="198"/>
      <c r="ADJ8" s="198"/>
      <c r="ADK8" s="198"/>
      <c r="ADL8" s="198"/>
      <c r="ADM8" s="198"/>
      <c r="ADN8" s="198"/>
      <c r="ADO8" s="198"/>
      <c r="ADP8" s="198"/>
      <c r="ADQ8" s="198"/>
      <c r="ADR8" s="198"/>
      <c r="ADS8" s="198"/>
      <c r="ADT8" s="198"/>
      <c r="ADU8" s="198"/>
      <c r="ADV8" s="198"/>
      <c r="ADW8" s="198"/>
      <c r="ADX8" s="198"/>
      <c r="ADY8" s="198"/>
      <c r="ADZ8" s="198"/>
      <c r="AEA8" s="198"/>
      <c r="AEB8" s="198"/>
      <c r="AEC8" s="198"/>
      <c r="AED8" s="198"/>
      <c r="AEE8" s="198"/>
      <c r="AEF8" s="198"/>
      <c r="AEG8" s="198"/>
      <c r="AEH8" s="198"/>
      <c r="AEI8" s="198"/>
      <c r="AEJ8" s="198"/>
      <c r="AEK8" s="198"/>
      <c r="AEL8" s="198"/>
      <c r="AEM8" s="198"/>
      <c r="AEN8" s="198"/>
      <c r="AEO8" s="198"/>
      <c r="AEP8" s="198"/>
      <c r="AEQ8" s="198"/>
      <c r="AER8" s="198"/>
      <c r="AES8" s="198"/>
      <c r="AET8" s="198"/>
      <c r="AEU8" s="198"/>
      <c r="AEV8" s="198"/>
      <c r="AEW8" s="198"/>
      <c r="AEX8" s="198"/>
      <c r="AEY8" s="198"/>
      <c r="AEZ8" s="198"/>
      <c r="AFA8" s="198"/>
      <c r="AFB8" s="198"/>
      <c r="AFC8" s="198"/>
      <c r="AFD8" s="198"/>
      <c r="AFE8" s="198"/>
      <c r="AFF8" s="198"/>
      <c r="AFG8" s="198"/>
      <c r="AFH8" s="198"/>
      <c r="AFI8" s="198"/>
      <c r="AFJ8" s="198"/>
      <c r="AFK8" s="198"/>
      <c r="AFL8" s="198"/>
      <c r="AFM8" s="198"/>
      <c r="AFN8" s="198"/>
      <c r="AFO8" s="198"/>
      <c r="AFP8" s="198"/>
      <c r="AFQ8" s="198"/>
      <c r="AFR8" s="198"/>
      <c r="AFS8" s="198"/>
      <c r="AFT8" s="198"/>
      <c r="AFU8" s="198"/>
      <c r="AFV8" s="198"/>
      <c r="AFW8" s="198"/>
      <c r="AFX8" s="198"/>
      <c r="AFY8" s="198"/>
      <c r="AFZ8" s="198"/>
      <c r="AGA8" s="198"/>
      <c r="AGB8" s="198"/>
      <c r="AGC8" s="198"/>
      <c r="AGD8" s="198"/>
      <c r="AGE8" s="198"/>
      <c r="AGF8" s="198"/>
      <c r="AGG8" s="198"/>
      <c r="AGH8" s="198"/>
      <c r="AGI8" s="198"/>
      <c r="AGJ8" s="198"/>
      <c r="AGK8" s="198"/>
      <c r="AGL8" s="198"/>
      <c r="AGM8" s="198"/>
      <c r="AGN8" s="198"/>
      <c r="AGO8" s="198"/>
      <c r="AGP8" s="198"/>
      <c r="AGQ8" s="198"/>
      <c r="AGR8" s="198"/>
      <c r="AGS8" s="198"/>
      <c r="AGT8" s="198"/>
      <c r="AGU8" s="198"/>
      <c r="AGV8" s="198"/>
      <c r="AGW8" s="198"/>
      <c r="AGX8" s="198"/>
      <c r="AGY8" s="198"/>
      <c r="AGZ8" s="198"/>
      <c r="AHA8" s="198"/>
      <c r="AHB8" s="198"/>
      <c r="AHC8" s="198"/>
      <c r="AHD8" s="198"/>
      <c r="AHE8" s="198"/>
      <c r="AHF8" s="198"/>
      <c r="AHG8" s="198"/>
      <c r="AHH8" s="198"/>
      <c r="AHI8" s="198"/>
      <c r="AHJ8" s="198"/>
      <c r="AHK8" s="198"/>
      <c r="AHL8" s="198"/>
      <c r="AHM8" s="198"/>
      <c r="AHN8" s="198"/>
      <c r="AHO8" s="198"/>
      <c r="AHP8" s="198"/>
      <c r="AHQ8" s="198"/>
      <c r="AHR8" s="198"/>
      <c r="AHS8" s="198"/>
      <c r="AHT8" s="198"/>
      <c r="AHU8" s="198"/>
      <c r="AHV8" s="198"/>
      <c r="AHW8" s="198"/>
      <c r="AHX8" s="198"/>
      <c r="AHY8" s="198"/>
      <c r="AHZ8" s="198"/>
      <c r="AIA8" s="198"/>
      <c r="AIB8" s="198"/>
      <c r="AIC8" s="198"/>
      <c r="AID8" s="198"/>
      <c r="AIE8" s="198"/>
      <c r="AIF8" s="198"/>
      <c r="AIG8" s="198"/>
      <c r="AIH8" s="198"/>
      <c r="AII8" s="198"/>
      <c r="AIJ8" s="198"/>
      <c r="AIK8" s="198"/>
      <c r="AIL8" s="198"/>
      <c r="AIM8" s="198"/>
      <c r="AIN8" s="198"/>
      <c r="AIO8" s="198"/>
      <c r="AIP8" s="198"/>
      <c r="AIQ8" s="198"/>
      <c r="AIR8" s="198"/>
      <c r="AIS8" s="198"/>
      <c r="AIT8" s="198"/>
      <c r="AIU8" s="198"/>
      <c r="AIV8" s="198"/>
      <c r="AIW8" s="198"/>
      <c r="AIX8" s="198"/>
      <c r="AIY8" s="198"/>
      <c r="AIZ8" s="198"/>
      <c r="AJA8" s="198"/>
      <c r="AJB8" s="198"/>
      <c r="AJC8" s="198"/>
      <c r="AJD8" s="198"/>
      <c r="AJE8" s="198"/>
      <c r="AJF8" s="198"/>
      <c r="AJG8" s="198"/>
      <c r="AJH8" s="198"/>
      <c r="AJI8" s="198"/>
      <c r="AJJ8" s="198"/>
      <c r="AJK8" s="198"/>
      <c r="AJL8" s="198"/>
      <c r="AJM8" s="198"/>
      <c r="AJN8" s="198"/>
      <c r="AJO8" s="198"/>
      <c r="AJP8" s="198"/>
      <c r="AJQ8" s="198"/>
      <c r="AJR8" s="198"/>
      <c r="AJS8" s="198"/>
      <c r="AJT8" s="198"/>
      <c r="AJU8" s="198"/>
      <c r="AJV8" s="198"/>
      <c r="AJW8" s="198"/>
      <c r="AJX8" s="198"/>
      <c r="AJY8" s="198"/>
      <c r="AJZ8" s="198"/>
      <c r="AKA8" s="198"/>
      <c r="AKB8" s="198"/>
      <c r="AKC8" s="198"/>
      <c r="AKD8" s="198"/>
      <c r="AKE8" s="198"/>
      <c r="AKF8" s="198"/>
      <c r="AKG8" s="198"/>
      <c r="AKH8" s="198"/>
      <c r="AKI8" s="198"/>
      <c r="AKJ8" s="198"/>
      <c r="AKK8" s="198"/>
      <c r="AKL8" s="198"/>
      <c r="AKM8" s="198"/>
      <c r="AKN8" s="198"/>
      <c r="AKO8" s="198"/>
      <c r="AKP8" s="198"/>
      <c r="AKQ8" s="198"/>
      <c r="AKR8" s="198"/>
      <c r="AKS8" s="198"/>
      <c r="AKT8" s="198"/>
      <c r="AKU8" s="198"/>
      <c r="AKV8" s="198"/>
      <c r="AKW8" s="198"/>
      <c r="AKX8" s="198"/>
      <c r="AKY8" s="198"/>
      <c r="AKZ8" s="198"/>
      <c r="ALA8" s="198"/>
      <c r="ALB8" s="198"/>
      <c r="ALC8" s="198"/>
      <c r="ALD8" s="198"/>
      <c r="ALE8" s="198"/>
      <c r="ALF8" s="198"/>
      <c r="ALG8" s="198"/>
      <c r="ALH8" s="198"/>
      <c r="ALI8" s="198"/>
      <c r="ALJ8" s="198"/>
      <c r="ALK8" s="198"/>
      <c r="ALL8" s="198"/>
      <c r="ALM8" s="198"/>
      <c r="ALN8" s="198"/>
      <c r="ALO8" s="198"/>
      <c r="ALP8" s="198"/>
      <c r="ALQ8" s="198"/>
      <c r="ALR8" s="198"/>
      <c r="ALS8" s="198"/>
      <c r="ALT8" s="198"/>
      <c r="ALU8" s="198"/>
      <c r="ALV8" s="198"/>
      <c r="ALW8" s="198"/>
      <c r="ALX8" s="198"/>
      <c r="ALY8" s="198"/>
      <c r="ALZ8" s="198"/>
      <c r="AMA8" s="198"/>
      <c r="AMB8" s="198"/>
      <c r="AMC8" s="198"/>
      <c r="AMD8" s="198"/>
      <c r="AME8" s="198"/>
      <c r="AMF8" s="198"/>
      <c r="AMG8" s="198"/>
      <c r="AMH8" s="198"/>
      <c r="AMI8" s="198"/>
      <c r="AMJ8" s="198"/>
      <c r="AMK8" s="198"/>
      <c r="AML8" s="198"/>
      <c r="AMM8" s="198"/>
      <c r="AMN8" s="198"/>
      <c r="AMO8" s="198"/>
      <c r="AMP8" s="198"/>
      <c r="AMQ8" s="198"/>
      <c r="AMR8" s="198"/>
      <c r="AMS8" s="198"/>
      <c r="AMT8" s="198"/>
      <c r="AMU8" s="198"/>
      <c r="AMV8" s="198"/>
      <c r="AMW8" s="198"/>
      <c r="AMX8" s="198"/>
      <c r="AMY8" s="198"/>
      <c r="AMZ8" s="198"/>
      <c r="ANA8" s="198"/>
      <c r="ANB8" s="198"/>
      <c r="ANC8" s="198"/>
      <c r="AND8" s="198"/>
      <c r="ANE8" s="198"/>
      <c r="ANF8" s="198"/>
      <c r="ANG8" s="198"/>
      <c r="ANH8" s="198"/>
      <c r="ANI8" s="198"/>
      <c r="ANJ8" s="198"/>
      <c r="ANK8" s="198"/>
      <c r="ANL8" s="198"/>
      <c r="ANM8" s="198"/>
      <c r="ANN8" s="198"/>
      <c r="ANO8" s="198"/>
      <c r="ANP8" s="198"/>
      <c r="ANQ8" s="198"/>
      <c r="ANR8" s="198"/>
      <c r="ANS8" s="198"/>
      <c r="ANT8" s="198"/>
      <c r="ANU8" s="198"/>
      <c r="ANV8" s="198"/>
      <c r="ANW8" s="198"/>
      <c r="ANX8" s="198"/>
      <c r="ANY8" s="198"/>
      <c r="ANZ8" s="198"/>
      <c r="AOA8" s="198"/>
      <c r="AOB8" s="198"/>
      <c r="AOC8" s="198"/>
      <c r="AOD8" s="198"/>
      <c r="AOE8" s="198"/>
      <c r="AOF8" s="198"/>
      <c r="AOG8" s="198"/>
      <c r="AOH8" s="198"/>
      <c r="AOI8" s="198"/>
      <c r="AOJ8" s="198"/>
      <c r="AOK8" s="198"/>
      <c r="AOL8" s="198"/>
      <c r="AOM8" s="198"/>
      <c r="AON8" s="198"/>
      <c r="AOO8" s="198"/>
      <c r="AOP8" s="198"/>
      <c r="AOQ8" s="198"/>
      <c r="AOR8" s="198"/>
      <c r="AOS8" s="198"/>
      <c r="AOT8" s="198"/>
      <c r="AOU8" s="198"/>
      <c r="AOV8" s="198"/>
      <c r="AOW8" s="198"/>
      <c r="AOX8" s="198"/>
      <c r="AOY8" s="198"/>
      <c r="AOZ8" s="198"/>
      <c r="APA8" s="198"/>
      <c r="APB8" s="198"/>
      <c r="APC8" s="198"/>
      <c r="APD8" s="198"/>
      <c r="APE8" s="198"/>
      <c r="APF8" s="198"/>
      <c r="APG8" s="198"/>
      <c r="APH8" s="198"/>
      <c r="API8" s="198"/>
      <c r="APJ8" s="198"/>
      <c r="APK8" s="198"/>
      <c r="APL8" s="198"/>
      <c r="APM8" s="198"/>
      <c r="APN8" s="198"/>
      <c r="APO8" s="198"/>
      <c r="APP8" s="198"/>
      <c r="APQ8" s="198"/>
      <c r="APR8" s="198"/>
      <c r="APS8" s="198"/>
      <c r="APT8" s="198"/>
      <c r="APU8" s="198"/>
      <c r="APV8" s="198"/>
      <c r="APW8" s="198"/>
      <c r="APX8" s="198"/>
      <c r="APY8" s="198"/>
      <c r="APZ8" s="198"/>
      <c r="AQA8" s="198"/>
      <c r="AQB8" s="198"/>
      <c r="AQC8" s="198"/>
      <c r="AQD8" s="198"/>
      <c r="AQE8" s="198"/>
      <c r="AQF8" s="198"/>
      <c r="AQG8" s="198"/>
      <c r="AQH8" s="198"/>
      <c r="AQI8" s="198"/>
      <c r="AQJ8" s="198"/>
      <c r="AQK8" s="198"/>
      <c r="AQL8" s="198"/>
      <c r="AQM8" s="198"/>
      <c r="AQN8" s="198"/>
      <c r="AQO8" s="198"/>
      <c r="AQP8" s="198"/>
      <c r="AQQ8" s="198"/>
      <c r="AQR8" s="198"/>
      <c r="AQS8" s="198"/>
      <c r="AQT8" s="198"/>
      <c r="AQU8" s="198"/>
      <c r="AQV8" s="198"/>
      <c r="AQW8" s="198"/>
      <c r="AQX8" s="198"/>
      <c r="AQY8" s="198"/>
      <c r="AQZ8" s="198"/>
      <c r="ARA8" s="198"/>
      <c r="ARB8" s="198"/>
      <c r="ARC8" s="198"/>
      <c r="ARD8" s="198"/>
      <c r="ARE8" s="198"/>
      <c r="ARF8" s="198"/>
      <c r="ARG8" s="198"/>
      <c r="ARH8" s="198"/>
      <c r="ARI8" s="198"/>
      <c r="ARJ8" s="198"/>
      <c r="ARK8" s="198"/>
      <c r="ARL8" s="198"/>
      <c r="ARM8" s="198"/>
      <c r="ARN8" s="198"/>
      <c r="ARO8" s="198"/>
      <c r="ARP8" s="198"/>
      <c r="ARQ8" s="198"/>
      <c r="ARR8" s="198"/>
      <c r="ARS8" s="198"/>
      <c r="ART8" s="198"/>
      <c r="ARU8" s="198"/>
      <c r="ARV8" s="198"/>
      <c r="ARW8" s="198"/>
      <c r="ARX8" s="198"/>
      <c r="ARY8" s="198"/>
      <c r="ARZ8" s="198"/>
      <c r="ASA8" s="198"/>
      <c r="ASB8" s="198"/>
      <c r="ASC8" s="198"/>
      <c r="ASD8" s="198"/>
      <c r="ASE8" s="198"/>
      <c r="ASF8" s="198"/>
      <c r="ASG8" s="198"/>
      <c r="ASH8" s="198"/>
      <c r="ASI8" s="198"/>
      <c r="ASJ8" s="198"/>
      <c r="ASK8" s="198"/>
      <c r="ASL8" s="198"/>
      <c r="ASM8" s="198"/>
      <c r="ASN8" s="198"/>
      <c r="ASO8" s="198"/>
      <c r="ASP8" s="198"/>
      <c r="ASQ8" s="198"/>
      <c r="ASR8" s="198"/>
      <c r="ASS8" s="198"/>
      <c r="AST8" s="198"/>
      <c r="ASU8" s="198"/>
      <c r="ASV8" s="198"/>
      <c r="ASW8" s="198"/>
      <c r="ASX8" s="198"/>
      <c r="ASY8" s="198"/>
      <c r="ASZ8" s="198"/>
      <c r="ATA8" s="198"/>
      <c r="ATB8" s="198"/>
      <c r="ATC8" s="198"/>
      <c r="ATD8" s="198"/>
      <c r="ATE8" s="198"/>
      <c r="ATF8" s="198"/>
      <c r="ATG8" s="198"/>
      <c r="ATH8" s="198"/>
      <c r="ATI8" s="198"/>
      <c r="ATJ8" s="198"/>
      <c r="ATK8" s="198"/>
      <c r="ATL8" s="198"/>
      <c r="ATM8" s="198"/>
      <c r="ATN8" s="198"/>
      <c r="ATO8" s="198"/>
      <c r="ATP8" s="198"/>
      <c r="ATQ8" s="198"/>
      <c r="ATR8" s="198"/>
      <c r="ATS8" s="198"/>
      <c r="ATT8" s="198"/>
      <c r="ATU8" s="198"/>
      <c r="ATV8" s="198"/>
      <c r="ATW8" s="198"/>
      <c r="ATX8" s="198"/>
      <c r="ATY8" s="198"/>
      <c r="ATZ8" s="198"/>
      <c r="AUA8" s="198"/>
      <c r="AUB8" s="198"/>
      <c r="AUC8" s="198"/>
      <c r="AUD8" s="198"/>
      <c r="AUE8" s="198"/>
      <c r="AUF8" s="198"/>
      <c r="AUG8" s="198"/>
      <c r="AUH8" s="198"/>
      <c r="AUI8" s="198"/>
      <c r="AUJ8" s="198"/>
      <c r="AUK8" s="198"/>
      <c r="AUL8" s="198"/>
      <c r="AUM8" s="198"/>
      <c r="AUN8" s="198"/>
      <c r="AUO8" s="198"/>
      <c r="AUP8" s="198"/>
      <c r="AUQ8" s="198"/>
      <c r="AUR8" s="198"/>
      <c r="AUS8" s="198"/>
      <c r="AUT8" s="198"/>
      <c r="AUU8" s="198"/>
      <c r="AUV8" s="198"/>
      <c r="AUW8" s="198"/>
      <c r="AUX8" s="198"/>
      <c r="AUY8" s="198"/>
      <c r="AUZ8" s="198"/>
      <c r="AVA8" s="198"/>
      <c r="AVB8" s="198"/>
      <c r="AVC8" s="198"/>
      <c r="AVD8" s="198"/>
      <c r="AVE8" s="198"/>
      <c r="AVF8" s="198"/>
      <c r="AVG8" s="198"/>
      <c r="AVH8" s="198"/>
      <c r="AVI8" s="198"/>
      <c r="AVJ8" s="198"/>
      <c r="AVK8" s="198"/>
      <c r="AVL8" s="198"/>
      <c r="AVM8" s="198"/>
      <c r="AVN8" s="198"/>
      <c r="AVO8" s="198"/>
      <c r="AVP8" s="198"/>
      <c r="AVQ8" s="198"/>
      <c r="AVR8" s="198"/>
      <c r="AVS8" s="198"/>
      <c r="AVT8" s="198"/>
      <c r="AVU8" s="198"/>
      <c r="AVV8" s="198"/>
      <c r="AVW8" s="198"/>
      <c r="AVX8" s="198"/>
      <c r="AVY8" s="198"/>
      <c r="AVZ8" s="198"/>
      <c r="AWA8" s="198"/>
      <c r="AWB8" s="198"/>
      <c r="AWC8" s="198"/>
      <c r="AWD8" s="198"/>
      <c r="AWE8" s="198"/>
      <c r="AWF8" s="198"/>
      <c r="AWG8" s="198"/>
      <c r="AWH8" s="198"/>
      <c r="AWI8" s="198"/>
      <c r="AWJ8" s="198"/>
      <c r="AWK8" s="198"/>
      <c r="AWL8" s="198"/>
      <c r="AWM8" s="198"/>
      <c r="AWN8" s="198"/>
      <c r="AWO8" s="198"/>
      <c r="AWP8" s="198"/>
      <c r="AWQ8" s="198"/>
      <c r="AWR8" s="198"/>
      <c r="AWS8" s="198"/>
      <c r="AWT8" s="198"/>
      <c r="AWU8" s="198"/>
      <c r="AWV8" s="198"/>
      <c r="AWW8" s="198"/>
      <c r="AWX8" s="198"/>
      <c r="AWY8" s="198"/>
      <c r="AWZ8" s="198"/>
      <c r="AXA8" s="198"/>
      <c r="AXB8" s="198"/>
      <c r="AXC8" s="198"/>
      <c r="AXD8" s="198"/>
      <c r="AXE8" s="198"/>
      <c r="AXF8" s="198"/>
      <c r="AXG8" s="198"/>
      <c r="AXH8" s="198"/>
      <c r="AXI8" s="198"/>
      <c r="AXJ8" s="198"/>
      <c r="AXK8" s="198"/>
      <c r="AXL8" s="198"/>
      <c r="AXM8" s="198"/>
      <c r="AXN8" s="198"/>
      <c r="AXO8" s="198"/>
      <c r="AXP8" s="198"/>
      <c r="AXQ8" s="198"/>
      <c r="AXR8" s="198"/>
      <c r="AXS8" s="198"/>
      <c r="AXT8" s="198"/>
      <c r="AXU8" s="198"/>
      <c r="AXV8" s="198"/>
      <c r="AXW8" s="198"/>
      <c r="AXX8" s="198"/>
      <c r="AXY8" s="198"/>
      <c r="AXZ8" s="198"/>
      <c r="AYA8" s="198"/>
      <c r="AYB8" s="198"/>
      <c r="AYC8" s="198"/>
      <c r="AYD8" s="198"/>
      <c r="AYE8" s="198"/>
      <c r="AYF8" s="198"/>
      <c r="AYG8" s="198"/>
      <c r="AYH8" s="198"/>
      <c r="AYI8" s="198"/>
      <c r="AYJ8" s="198"/>
      <c r="AYK8" s="198"/>
      <c r="AYL8" s="198"/>
      <c r="AYM8" s="198"/>
      <c r="AYN8" s="198"/>
      <c r="AYO8" s="198"/>
      <c r="AYP8" s="198"/>
      <c r="AYQ8" s="198"/>
      <c r="AYR8" s="198"/>
      <c r="AYS8" s="198"/>
      <c r="AYT8" s="198"/>
      <c r="AYU8" s="198"/>
      <c r="AYV8" s="198"/>
      <c r="AYW8" s="198"/>
      <c r="AYX8" s="198"/>
      <c r="AYY8" s="198"/>
      <c r="AYZ8" s="198"/>
      <c r="AZA8" s="198"/>
      <c r="AZB8" s="198"/>
      <c r="AZC8" s="198"/>
      <c r="AZD8" s="198"/>
      <c r="AZE8" s="198"/>
      <c r="AZF8" s="198"/>
      <c r="AZG8" s="198"/>
      <c r="AZH8" s="198"/>
      <c r="AZI8" s="198"/>
      <c r="AZJ8" s="198"/>
      <c r="AZK8" s="198"/>
      <c r="AZL8" s="198"/>
      <c r="AZM8" s="198"/>
      <c r="AZN8" s="198"/>
      <c r="AZO8" s="198"/>
      <c r="AZP8" s="198"/>
      <c r="AZQ8" s="198"/>
      <c r="AZR8" s="198"/>
      <c r="AZS8" s="198"/>
      <c r="AZT8" s="198"/>
      <c r="AZU8" s="198"/>
      <c r="AZV8" s="198"/>
      <c r="AZW8" s="198"/>
      <c r="AZX8" s="198"/>
      <c r="AZY8" s="198"/>
      <c r="AZZ8" s="198"/>
      <c r="BAA8" s="198"/>
      <c r="BAB8" s="198"/>
      <c r="BAC8" s="198"/>
      <c r="BAD8" s="198"/>
      <c r="BAE8" s="198"/>
      <c r="BAF8" s="198"/>
      <c r="BAG8" s="198"/>
      <c r="BAH8" s="198"/>
      <c r="BAI8" s="198"/>
      <c r="BAJ8" s="198"/>
      <c r="BAK8" s="198"/>
      <c r="BAL8" s="198"/>
      <c r="BAM8" s="198"/>
      <c r="BAN8" s="198"/>
      <c r="BAO8" s="198"/>
      <c r="BAP8" s="198"/>
      <c r="BAQ8" s="198"/>
      <c r="BAR8" s="198"/>
      <c r="BAS8" s="198"/>
      <c r="BAT8" s="198"/>
      <c r="BAU8" s="198"/>
      <c r="BAV8" s="198"/>
      <c r="BAW8" s="198"/>
      <c r="BAX8" s="198"/>
      <c r="BAY8" s="198"/>
      <c r="BAZ8" s="198"/>
      <c r="BBA8" s="198"/>
      <c r="BBB8" s="198"/>
      <c r="BBC8" s="198"/>
      <c r="BBD8" s="198"/>
      <c r="BBE8" s="198"/>
      <c r="BBF8" s="198"/>
      <c r="BBG8" s="198"/>
      <c r="BBH8" s="198"/>
      <c r="BBI8" s="198"/>
      <c r="BBJ8" s="198"/>
      <c r="BBK8" s="198"/>
      <c r="BBL8" s="198"/>
      <c r="BBM8" s="198"/>
      <c r="BBN8" s="198"/>
      <c r="BBO8" s="198"/>
      <c r="BBP8" s="198"/>
      <c r="BBQ8" s="198"/>
      <c r="BBR8" s="198"/>
      <c r="BBS8" s="198"/>
      <c r="BBT8" s="198"/>
      <c r="BBU8" s="198"/>
      <c r="BBV8" s="198"/>
      <c r="BBW8" s="198"/>
      <c r="BBX8" s="198"/>
      <c r="BBY8" s="198"/>
      <c r="BBZ8" s="198"/>
      <c r="BCA8" s="198"/>
      <c r="BCB8" s="198"/>
      <c r="BCC8" s="198"/>
      <c r="BCD8" s="198"/>
      <c r="BCE8" s="198"/>
      <c r="BCF8" s="198"/>
      <c r="BCG8" s="198"/>
      <c r="BCH8" s="198"/>
      <c r="BCI8" s="198"/>
      <c r="BCJ8" s="198"/>
      <c r="BCK8" s="198"/>
      <c r="BCL8" s="198"/>
      <c r="BCM8" s="198"/>
      <c r="BCN8" s="198"/>
      <c r="BCO8" s="198"/>
      <c r="BCP8" s="198"/>
      <c r="BCQ8" s="198"/>
      <c r="BCR8" s="198"/>
      <c r="BCS8" s="198"/>
      <c r="BCT8" s="198"/>
      <c r="BCU8" s="198"/>
      <c r="BCV8" s="198"/>
      <c r="BCW8" s="198"/>
      <c r="BCX8" s="198"/>
      <c r="BCY8" s="198"/>
      <c r="BCZ8" s="198"/>
      <c r="BDA8" s="198"/>
      <c r="BDB8" s="198"/>
      <c r="BDC8" s="198"/>
      <c r="BDD8" s="198"/>
      <c r="BDE8" s="198"/>
      <c r="BDF8" s="198"/>
      <c r="BDG8" s="198"/>
      <c r="BDH8" s="198"/>
      <c r="BDI8" s="198"/>
      <c r="BDJ8" s="198"/>
      <c r="BDK8" s="198"/>
      <c r="BDL8" s="198"/>
      <c r="BDM8" s="198"/>
      <c r="BDN8" s="198"/>
      <c r="BDO8" s="198"/>
      <c r="BDP8" s="198"/>
      <c r="BDQ8" s="198"/>
      <c r="BDR8" s="198"/>
      <c r="BDS8" s="198"/>
      <c r="BDT8" s="198"/>
      <c r="BDU8" s="198"/>
      <c r="BDV8" s="198"/>
      <c r="BDW8" s="198"/>
      <c r="BDX8" s="198"/>
      <c r="BDY8" s="198"/>
      <c r="BDZ8" s="198"/>
      <c r="BEA8" s="198"/>
      <c r="BEB8" s="198"/>
      <c r="BEC8" s="198"/>
      <c r="BED8" s="198"/>
      <c r="BEE8" s="198"/>
      <c r="BEF8" s="198"/>
      <c r="BEG8" s="198"/>
      <c r="BEH8" s="198"/>
      <c r="BEI8" s="198"/>
      <c r="BEJ8" s="198"/>
      <c r="BEK8" s="198"/>
      <c r="BEL8" s="198"/>
      <c r="BEM8" s="198"/>
      <c r="BEN8" s="198"/>
      <c r="BEO8" s="198"/>
      <c r="BEP8" s="198"/>
      <c r="BEQ8" s="198"/>
      <c r="BER8" s="198"/>
      <c r="BES8" s="198"/>
      <c r="BET8" s="198"/>
      <c r="BEU8" s="198"/>
      <c r="BEV8" s="198"/>
      <c r="BEW8" s="198"/>
      <c r="BEX8" s="198"/>
      <c r="BEY8" s="198"/>
      <c r="BEZ8" s="198"/>
      <c r="BFA8" s="198"/>
      <c r="BFB8" s="198"/>
      <c r="BFC8" s="198"/>
      <c r="BFD8" s="198"/>
      <c r="BFE8" s="198"/>
      <c r="BFF8" s="198"/>
      <c r="BFG8" s="198"/>
      <c r="BFH8" s="198"/>
      <c r="BFI8" s="198"/>
      <c r="BFJ8" s="198"/>
      <c r="BFK8" s="198"/>
      <c r="BFL8" s="198"/>
      <c r="BFM8" s="198"/>
      <c r="BFN8" s="198"/>
      <c r="BFO8" s="198"/>
      <c r="BFP8" s="198"/>
      <c r="BFQ8" s="198"/>
      <c r="BFR8" s="198"/>
      <c r="BFS8" s="198"/>
      <c r="BFT8" s="198"/>
      <c r="BFU8" s="198"/>
      <c r="BFV8" s="198"/>
      <c r="BFW8" s="198"/>
      <c r="BFX8" s="198"/>
      <c r="BFY8" s="198"/>
      <c r="BFZ8" s="198"/>
      <c r="BGA8" s="198"/>
      <c r="BGB8" s="198"/>
      <c r="BGC8" s="198"/>
      <c r="BGD8" s="198"/>
      <c r="BGE8" s="198"/>
      <c r="BGF8" s="198"/>
      <c r="BGG8" s="198"/>
      <c r="BGH8" s="198"/>
      <c r="BGI8" s="198"/>
      <c r="BGJ8" s="198"/>
      <c r="BGK8" s="198"/>
      <c r="BGL8" s="198"/>
      <c r="BGM8" s="198"/>
      <c r="BGN8" s="198"/>
      <c r="BGO8" s="198"/>
      <c r="BGP8" s="198"/>
      <c r="BGQ8" s="198"/>
      <c r="BGR8" s="198"/>
      <c r="BGS8" s="198"/>
      <c r="BGT8" s="198"/>
      <c r="BGU8" s="198"/>
      <c r="BGV8" s="198"/>
      <c r="BGW8" s="198"/>
      <c r="BGX8" s="198"/>
      <c r="BGY8" s="198"/>
      <c r="BGZ8" s="198"/>
      <c r="BHA8" s="198"/>
      <c r="BHB8" s="198"/>
      <c r="BHC8" s="198"/>
      <c r="BHD8" s="198"/>
      <c r="BHE8" s="198"/>
      <c r="BHF8" s="198"/>
      <c r="BHG8" s="198"/>
      <c r="BHH8" s="198"/>
      <c r="BHI8" s="198"/>
      <c r="BHJ8" s="198"/>
      <c r="BHK8" s="198"/>
      <c r="BHL8" s="198"/>
      <c r="BHM8" s="198"/>
      <c r="BHN8" s="198"/>
      <c r="BHO8" s="198"/>
      <c r="BHP8" s="198"/>
      <c r="BHQ8" s="198"/>
      <c r="BHR8" s="198"/>
      <c r="BHS8" s="198"/>
      <c r="BHT8" s="198"/>
      <c r="BHU8" s="198"/>
      <c r="BHV8" s="198"/>
      <c r="BHW8" s="198"/>
      <c r="BHX8" s="198"/>
      <c r="BHY8" s="198"/>
      <c r="BHZ8" s="198"/>
      <c r="BIA8" s="198"/>
      <c r="BIB8" s="198"/>
      <c r="BIC8" s="198"/>
      <c r="BID8" s="198"/>
      <c r="BIE8" s="198"/>
      <c r="BIF8" s="198"/>
      <c r="BIG8" s="198"/>
      <c r="BIH8" s="198"/>
      <c r="BII8" s="198"/>
      <c r="BIJ8" s="198"/>
      <c r="BIK8" s="198"/>
      <c r="BIL8" s="198"/>
      <c r="BIM8" s="198"/>
      <c r="BIN8" s="198"/>
      <c r="BIO8" s="198"/>
      <c r="BIP8" s="198"/>
      <c r="BIQ8" s="198"/>
      <c r="BIR8" s="198"/>
      <c r="BIS8" s="198"/>
      <c r="BIT8" s="198"/>
      <c r="BIU8" s="198"/>
      <c r="BIV8" s="198"/>
      <c r="BIW8" s="198"/>
      <c r="BIX8" s="198"/>
      <c r="BIY8" s="198"/>
      <c r="BIZ8" s="198"/>
      <c r="BJA8" s="198"/>
      <c r="BJB8" s="198"/>
      <c r="BJC8" s="198"/>
      <c r="BJD8" s="198"/>
      <c r="BJE8" s="198"/>
      <c r="BJF8" s="198"/>
      <c r="BJG8" s="198"/>
      <c r="BJH8" s="198"/>
      <c r="BJI8" s="198"/>
      <c r="BJJ8" s="198"/>
      <c r="BJK8" s="198"/>
      <c r="BJL8" s="198"/>
      <c r="BJM8" s="198"/>
      <c r="BJN8" s="198"/>
      <c r="BJO8" s="198"/>
      <c r="BJP8" s="198"/>
      <c r="BJQ8" s="198"/>
      <c r="BJR8" s="198"/>
      <c r="BJS8" s="198"/>
      <c r="BJT8" s="198"/>
      <c r="BJU8" s="198"/>
      <c r="BJV8" s="198"/>
      <c r="BJW8" s="198"/>
      <c r="BJX8" s="198"/>
      <c r="BJY8" s="198"/>
      <c r="BJZ8" s="198"/>
      <c r="BKA8" s="198"/>
      <c r="BKB8" s="198"/>
      <c r="BKC8" s="198"/>
      <c r="BKD8" s="198"/>
      <c r="BKE8" s="198"/>
      <c r="BKF8" s="198"/>
      <c r="BKG8" s="198"/>
      <c r="BKH8" s="198"/>
      <c r="BKI8" s="198"/>
      <c r="BKJ8" s="198"/>
      <c r="BKK8" s="198"/>
      <c r="BKL8" s="198"/>
      <c r="BKM8" s="198"/>
      <c r="BKN8" s="198"/>
      <c r="BKO8" s="198"/>
      <c r="BKP8" s="198"/>
      <c r="BKQ8" s="198"/>
      <c r="BKR8" s="198"/>
      <c r="BKS8" s="198"/>
      <c r="BKT8" s="198"/>
      <c r="BKU8" s="198"/>
      <c r="BKV8" s="198"/>
      <c r="BKW8" s="198"/>
      <c r="BKX8" s="198"/>
      <c r="BKY8" s="198"/>
      <c r="BKZ8" s="198"/>
      <c r="BLA8" s="198"/>
      <c r="BLB8" s="198"/>
      <c r="BLC8" s="198"/>
      <c r="BLD8" s="198"/>
      <c r="BLE8" s="198"/>
      <c r="BLF8" s="198"/>
      <c r="BLG8" s="198"/>
      <c r="BLH8" s="198"/>
      <c r="BLI8" s="198"/>
      <c r="BLJ8" s="198"/>
      <c r="BLK8" s="198"/>
      <c r="BLL8" s="198"/>
      <c r="BLM8" s="198"/>
      <c r="BLN8" s="198"/>
      <c r="BLO8" s="198"/>
      <c r="BLP8" s="198"/>
      <c r="BLQ8" s="198"/>
      <c r="BLR8" s="198"/>
      <c r="BLS8" s="198"/>
      <c r="BLT8" s="198"/>
      <c r="BLU8" s="198"/>
      <c r="BLV8" s="198"/>
      <c r="BLW8" s="198"/>
      <c r="BLX8" s="198"/>
      <c r="BLY8" s="198"/>
      <c r="BLZ8" s="198"/>
      <c r="BMA8" s="198"/>
      <c r="BMB8" s="198"/>
      <c r="BMC8" s="198"/>
      <c r="BMD8" s="198"/>
      <c r="BME8" s="198"/>
      <c r="BMF8" s="198"/>
      <c r="BMG8" s="198"/>
      <c r="BMH8" s="198"/>
      <c r="BMI8" s="198"/>
      <c r="BMJ8" s="198"/>
      <c r="BMK8" s="198"/>
      <c r="BML8" s="198"/>
      <c r="BMM8" s="198"/>
      <c r="BMN8" s="198"/>
      <c r="BMO8" s="198"/>
      <c r="BMP8" s="198"/>
      <c r="BMQ8" s="198"/>
      <c r="BMR8" s="198"/>
      <c r="BMS8" s="198"/>
      <c r="BMT8" s="198"/>
      <c r="BMU8" s="198"/>
      <c r="BMV8" s="198"/>
      <c r="BMW8" s="198"/>
      <c r="BMX8" s="198"/>
      <c r="BMY8" s="198"/>
      <c r="BMZ8" s="198"/>
      <c r="BNA8" s="198"/>
      <c r="BNB8" s="198"/>
      <c r="BNC8" s="198"/>
      <c r="BND8" s="198"/>
      <c r="BNE8" s="198"/>
      <c r="BNF8" s="198"/>
      <c r="BNG8" s="198"/>
      <c r="BNH8" s="198"/>
      <c r="BNI8" s="198"/>
      <c r="BNJ8" s="198"/>
      <c r="BNK8" s="198"/>
      <c r="BNL8" s="198"/>
      <c r="BNM8" s="198"/>
      <c r="BNN8" s="198"/>
      <c r="BNO8" s="198"/>
      <c r="BNP8" s="198"/>
      <c r="BNQ8" s="198"/>
      <c r="BNR8" s="198"/>
      <c r="BNS8" s="198"/>
      <c r="BNT8" s="198"/>
      <c r="BNU8" s="198"/>
      <c r="BNV8" s="198"/>
      <c r="BNW8" s="198"/>
      <c r="BNX8" s="198"/>
      <c r="BNY8" s="198"/>
      <c r="BNZ8" s="198"/>
      <c r="BOA8" s="198"/>
      <c r="BOB8" s="198"/>
      <c r="BOC8" s="198"/>
      <c r="BOD8" s="198"/>
      <c r="BOE8" s="198"/>
      <c r="BOF8" s="198"/>
      <c r="BOG8" s="198"/>
      <c r="BOH8" s="198"/>
      <c r="BOI8" s="198"/>
      <c r="BOJ8" s="198"/>
      <c r="BOK8" s="198"/>
      <c r="BOL8" s="198"/>
      <c r="BOM8" s="198"/>
      <c r="BON8" s="198"/>
      <c r="BOO8" s="198"/>
      <c r="BOP8" s="198"/>
      <c r="BOQ8" s="198"/>
      <c r="BOR8" s="198"/>
      <c r="BOS8" s="198"/>
      <c r="BOT8" s="198"/>
      <c r="BOU8" s="198"/>
      <c r="BOV8" s="198"/>
      <c r="BOW8" s="198"/>
      <c r="BOX8" s="198"/>
      <c r="BOY8" s="198"/>
      <c r="BOZ8" s="198"/>
      <c r="BPA8" s="198"/>
      <c r="BPB8" s="198"/>
      <c r="BPC8" s="198"/>
      <c r="BPD8" s="198"/>
      <c r="BPE8" s="198"/>
      <c r="BPF8" s="198"/>
      <c r="BPG8" s="198"/>
      <c r="BPH8" s="198"/>
      <c r="BPI8" s="198"/>
      <c r="BPJ8" s="198"/>
      <c r="BPK8" s="198"/>
      <c r="BPL8" s="198"/>
      <c r="BPM8" s="198"/>
      <c r="BPN8" s="198"/>
      <c r="BPO8" s="198"/>
      <c r="BPP8" s="198"/>
      <c r="BPQ8" s="198"/>
      <c r="BPR8" s="198"/>
      <c r="BPS8" s="198"/>
      <c r="BPT8" s="198"/>
      <c r="BPU8" s="198"/>
      <c r="BPV8" s="198"/>
      <c r="BPW8" s="198"/>
      <c r="BPX8" s="198"/>
      <c r="BPY8" s="198"/>
      <c r="BPZ8" s="198"/>
      <c r="BQA8" s="198"/>
      <c r="BQB8" s="198"/>
      <c r="BQC8" s="198"/>
      <c r="BQD8" s="198"/>
      <c r="BQE8" s="198"/>
      <c r="BQF8" s="198"/>
      <c r="BQG8" s="198"/>
      <c r="BQH8" s="198"/>
      <c r="BQI8" s="198"/>
      <c r="BQJ8" s="198"/>
      <c r="BQK8" s="198"/>
      <c r="BQL8" s="198"/>
      <c r="BQM8" s="198"/>
      <c r="BQN8" s="198"/>
      <c r="BQO8" s="198"/>
      <c r="BQP8" s="198"/>
      <c r="BQQ8" s="198"/>
      <c r="BQR8" s="198"/>
      <c r="BQS8" s="198"/>
      <c r="BQT8" s="198"/>
      <c r="BQU8" s="198"/>
      <c r="BQV8" s="198"/>
      <c r="BQW8" s="198"/>
      <c r="BQX8" s="198"/>
      <c r="BQY8" s="198"/>
      <c r="BQZ8" s="198"/>
      <c r="BRA8" s="198"/>
      <c r="BRB8" s="198"/>
      <c r="BRC8" s="198"/>
      <c r="BRD8" s="198"/>
      <c r="BRE8" s="198"/>
      <c r="BRF8" s="198"/>
      <c r="BRG8" s="198"/>
      <c r="BRH8" s="198"/>
      <c r="BRI8" s="198"/>
      <c r="BRJ8" s="198"/>
      <c r="BRK8" s="198"/>
      <c r="BRL8" s="198"/>
      <c r="BRM8" s="198"/>
      <c r="BRN8" s="198"/>
      <c r="BRO8" s="198"/>
      <c r="BRP8" s="198"/>
      <c r="BRQ8" s="198"/>
      <c r="BRR8" s="198"/>
      <c r="BRS8" s="198"/>
      <c r="BRT8" s="198"/>
      <c r="BRU8" s="198"/>
      <c r="BRV8" s="198"/>
      <c r="BRW8" s="198"/>
      <c r="BRX8" s="198"/>
      <c r="BRY8" s="198"/>
      <c r="BRZ8" s="198"/>
      <c r="BSA8" s="198"/>
      <c r="BSB8" s="198"/>
      <c r="BSC8" s="198"/>
      <c r="BSD8" s="198"/>
      <c r="BSE8" s="198"/>
      <c r="BSF8" s="198"/>
      <c r="BSG8" s="198"/>
      <c r="BSH8" s="198"/>
      <c r="BSI8" s="198"/>
      <c r="BSJ8" s="198"/>
      <c r="BSK8" s="198"/>
      <c r="BSL8" s="198"/>
      <c r="BSM8" s="198"/>
      <c r="BSN8" s="198"/>
      <c r="BSO8" s="198"/>
      <c r="BSP8" s="198"/>
      <c r="BSQ8" s="198"/>
      <c r="BSR8" s="198"/>
      <c r="BSS8" s="198"/>
      <c r="BST8" s="198"/>
      <c r="BSU8" s="198"/>
      <c r="BSV8" s="198"/>
      <c r="BSW8" s="198"/>
      <c r="BSX8" s="198"/>
      <c r="BSY8" s="198"/>
      <c r="BSZ8" s="198"/>
      <c r="BTA8" s="198"/>
      <c r="BTB8" s="198"/>
      <c r="BTC8" s="198"/>
      <c r="BTD8" s="198"/>
      <c r="BTE8" s="198"/>
      <c r="BTF8" s="198"/>
      <c r="BTG8" s="198"/>
      <c r="BTH8" s="198"/>
      <c r="BTI8" s="198"/>
      <c r="BTJ8" s="198"/>
      <c r="BTK8" s="198"/>
      <c r="BTL8" s="198"/>
      <c r="BTM8" s="198"/>
      <c r="BTN8" s="198"/>
      <c r="BTO8" s="198"/>
      <c r="BTP8" s="198"/>
      <c r="BTQ8" s="198"/>
      <c r="BTR8" s="198"/>
      <c r="BTS8" s="198"/>
      <c r="BTT8" s="198"/>
      <c r="BTU8" s="198"/>
      <c r="BTV8" s="198"/>
      <c r="BTW8" s="198"/>
      <c r="BTX8" s="198"/>
      <c r="BTY8" s="198"/>
      <c r="BTZ8" s="198"/>
      <c r="BUA8" s="198"/>
      <c r="BUB8" s="198"/>
      <c r="BUC8" s="198"/>
      <c r="BUD8" s="198"/>
      <c r="BUE8" s="198"/>
      <c r="BUF8" s="198"/>
      <c r="BUG8" s="198"/>
      <c r="BUH8" s="198"/>
      <c r="BUI8" s="198"/>
      <c r="BUJ8" s="198"/>
      <c r="BUK8" s="198"/>
      <c r="BUL8" s="198"/>
      <c r="BUM8" s="198"/>
      <c r="BUN8" s="198"/>
      <c r="BUO8" s="198"/>
      <c r="BUP8" s="198"/>
      <c r="BUQ8" s="198"/>
      <c r="BUR8" s="198"/>
      <c r="BUS8" s="198"/>
      <c r="BUT8" s="198"/>
      <c r="BUU8" s="198"/>
      <c r="BUV8" s="198"/>
      <c r="BUW8" s="198"/>
      <c r="BUX8" s="198"/>
      <c r="BUY8" s="198"/>
      <c r="BUZ8" s="198"/>
      <c r="BVA8" s="198"/>
      <c r="BVB8" s="198"/>
      <c r="BVC8" s="198"/>
      <c r="BVD8" s="198"/>
      <c r="BVE8" s="198"/>
      <c r="BVF8" s="198"/>
      <c r="BVG8" s="198"/>
      <c r="BVH8" s="198"/>
      <c r="BVI8" s="198"/>
      <c r="BVJ8" s="198"/>
      <c r="BVK8" s="198"/>
      <c r="BVL8" s="198"/>
      <c r="BVM8" s="198"/>
      <c r="BVN8" s="198"/>
      <c r="BVO8" s="198"/>
      <c r="BVP8" s="198"/>
      <c r="BVQ8" s="198"/>
      <c r="BVR8" s="198"/>
      <c r="BVS8" s="198"/>
      <c r="BVT8" s="198"/>
      <c r="BVU8" s="198"/>
      <c r="BVV8" s="198"/>
      <c r="BVW8" s="198"/>
      <c r="BVX8" s="198"/>
      <c r="BVY8" s="198"/>
      <c r="BVZ8" s="198"/>
      <c r="BWA8" s="198"/>
      <c r="BWB8" s="198"/>
      <c r="BWC8" s="198"/>
      <c r="BWD8" s="198"/>
      <c r="BWE8" s="198"/>
      <c r="BWF8" s="198"/>
      <c r="BWG8" s="198"/>
      <c r="BWH8" s="198"/>
      <c r="BWI8" s="198"/>
      <c r="BWJ8" s="198"/>
      <c r="BWK8" s="198"/>
      <c r="BWL8" s="198"/>
      <c r="BWM8" s="198"/>
      <c r="BWN8" s="198"/>
      <c r="BWO8" s="198"/>
      <c r="BWP8" s="198"/>
      <c r="BWQ8" s="198"/>
      <c r="BWR8" s="198"/>
      <c r="BWS8" s="198"/>
      <c r="BWT8" s="198"/>
      <c r="BWU8" s="198"/>
      <c r="BWV8" s="198"/>
      <c r="BWW8" s="198"/>
      <c r="BWX8" s="198"/>
      <c r="BWY8" s="198"/>
      <c r="BWZ8" s="198"/>
      <c r="BXA8" s="198"/>
      <c r="BXB8" s="198"/>
      <c r="BXC8" s="198"/>
      <c r="BXD8" s="198"/>
      <c r="BXE8" s="198"/>
      <c r="BXF8" s="198"/>
      <c r="BXG8" s="198"/>
      <c r="BXH8" s="198"/>
      <c r="BXI8" s="198"/>
      <c r="BXJ8" s="198"/>
      <c r="BXK8" s="198"/>
      <c r="BXL8" s="198"/>
      <c r="BXM8" s="198"/>
      <c r="BXN8" s="198"/>
      <c r="BXO8" s="198"/>
      <c r="BXP8" s="198"/>
      <c r="BXQ8" s="198"/>
      <c r="BXR8" s="198"/>
      <c r="BXS8" s="198"/>
      <c r="BXT8" s="198"/>
      <c r="BXU8" s="198"/>
      <c r="BXV8" s="198"/>
      <c r="BXW8" s="198"/>
      <c r="BXX8" s="198"/>
      <c r="BXY8" s="198"/>
      <c r="BXZ8" s="198"/>
      <c r="BYA8" s="198"/>
      <c r="BYB8" s="198"/>
      <c r="BYC8" s="198"/>
      <c r="BYD8" s="198"/>
      <c r="BYE8" s="198"/>
      <c r="BYF8" s="198"/>
      <c r="BYG8" s="198"/>
    </row>
    <row r="9" spans="1:2009" s="101" customFormat="1" ht="12.75" customHeight="1" thickBot="1" x14ac:dyDescent="0.3">
      <c r="A9" s="98"/>
      <c r="B9" s="98"/>
      <c r="C9" s="165"/>
      <c r="D9" s="165"/>
      <c r="E9" s="165"/>
      <c r="F9" s="165"/>
      <c r="G9" s="707"/>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72</v>
      </c>
      <c r="B10" s="132"/>
      <c r="C10" s="166"/>
      <c r="D10" s="166"/>
      <c r="E10" s="167"/>
      <c r="F10" s="167"/>
      <c r="G10" s="708"/>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hidden="1" customHeight="1" x14ac:dyDescent="0.25">
      <c r="A11" s="133"/>
      <c r="B11" s="103" t="s">
        <v>48</v>
      </c>
      <c r="C11" s="168"/>
      <c r="D11" s="168"/>
      <c r="E11" s="169"/>
      <c r="F11" s="169"/>
      <c r="G11" s="709">
        <f>ROUND(SUM(C11:F11),5)</f>
        <v>0</v>
      </c>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hidden="1" customHeight="1" x14ac:dyDescent="0.25">
      <c r="A12" s="133"/>
      <c r="B12" s="103" t="s">
        <v>309</v>
      </c>
      <c r="C12" s="168"/>
      <c r="D12" s="168"/>
      <c r="E12" s="169"/>
      <c r="F12" s="169"/>
      <c r="G12" s="709">
        <f>ROUND(SUM(C12:F12),5)</f>
        <v>0</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358</v>
      </c>
      <c r="C13" s="168">
        <v>30575.05</v>
      </c>
      <c r="D13" s="168">
        <v>11865.88</v>
      </c>
      <c r="E13" s="169"/>
      <c r="F13" s="169"/>
      <c r="G13" s="709">
        <f>ROUND(SUM(C13:F13),5)</f>
        <v>42440.93</v>
      </c>
      <c r="H13" s="94"/>
      <c r="I13" s="58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03" customFormat="1" ht="24.95" customHeight="1" thickBot="1" x14ac:dyDescent="0.3">
      <c r="A14" s="200"/>
      <c r="B14" s="201" t="s">
        <v>144</v>
      </c>
      <c r="C14" s="202">
        <f>ROUND(SUM(C10:C13),5)</f>
        <v>30575.05</v>
      </c>
      <c r="D14" s="202">
        <f>SUM(D11:D13)</f>
        <v>11865.88</v>
      </c>
      <c r="E14" s="202"/>
      <c r="F14" s="202"/>
      <c r="G14" s="710">
        <f>ROUND(SUM(G10:G13),5)</f>
        <v>42440.93</v>
      </c>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c r="II14" s="198"/>
      <c r="IJ14" s="198"/>
      <c r="IK14" s="198"/>
      <c r="IL14" s="198"/>
      <c r="IM14" s="198"/>
      <c r="IN14" s="198"/>
      <c r="IO14" s="198"/>
      <c r="IP14" s="198"/>
      <c r="IQ14" s="198"/>
      <c r="IR14" s="198"/>
      <c r="IS14" s="198"/>
      <c r="IT14" s="198"/>
      <c r="IU14" s="198"/>
      <c r="IV14" s="198"/>
      <c r="IW14" s="198"/>
      <c r="IX14" s="198"/>
      <c r="IY14" s="198"/>
      <c r="IZ14" s="198"/>
      <c r="JA14" s="198"/>
      <c r="JB14" s="198"/>
      <c r="JC14" s="198"/>
      <c r="JD14" s="198"/>
      <c r="JE14" s="198"/>
      <c r="JF14" s="198"/>
      <c r="JG14" s="198"/>
      <c r="JH14" s="198"/>
      <c r="JI14" s="198"/>
      <c r="JJ14" s="198"/>
      <c r="JK14" s="198"/>
      <c r="JL14" s="198"/>
      <c r="JM14" s="198"/>
      <c r="JN14" s="198"/>
      <c r="JO14" s="198"/>
      <c r="JP14" s="198"/>
      <c r="JQ14" s="198"/>
      <c r="JR14" s="198"/>
      <c r="JS14" s="198"/>
      <c r="JT14" s="198"/>
      <c r="JU14" s="198"/>
      <c r="JV14" s="198"/>
      <c r="JW14" s="198"/>
      <c r="JX14" s="198"/>
      <c r="JY14" s="198"/>
      <c r="JZ14" s="198"/>
      <c r="KA14" s="198"/>
      <c r="KB14" s="198"/>
      <c r="KC14" s="198"/>
      <c r="KD14" s="198"/>
      <c r="KE14" s="198"/>
      <c r="KF14" s="198"/>
      <c r="KG14" s="198"/>
      <c r="KH14" s="198"/>
      <c r="KI14" s="198"/>
      <c r="KJ14" s="198"/>
      <c r="KK14" s="198"/>
      <c r="KL14" s="198"/>
      <c r="KM14" s="198"/>
      <c r="KN14" s="198"/>
      <c r="KO14" s="198"/>
      <c r="KP14" s="198"/>
      <c r="KQ14" s="198"/>
      <c r="KR14" s="198"/>
      <c r="KS14" s="198"/>
      <c r="KT14" s="198"/>
      <c r="KU14" s="198"/>
      <c r="KV14" s="198"/>
      <c r="KW14" s="198"/>
      <c r="KX14" s="198"/>
      <c r="KY14" s="198"/>
      <c r="KZ14" s="198"/>
      <c r="LA14" s="198"/>
      <c r="LB14" s="198"/>
      <c r="LC14" s="198"/>
      <c r="LD14" s="198"/>
      <c r="LE14" s="198"/>
      <c r="LF14" s="198"/>
      <c r="LG14" s="198"/>
      <c r="LH14" s="198"/>
      <c r="LI14" s="198"/>
      <c r="LJ14" s="198"/>
      <c r="LK14" s="198"/>
      <c r="LL14" s="198"/>
      <c r="LM14" s="198"/>
      <c r="LN14" s="198"/>
      <c r="LO14" s="198"/>
      <c r="LP14" s="198"/>
      <c r="LQ14" s="198"/>
      <c r="LR14" s="198"/>
      <c r="LS14" s="198"/>
      <c r="LT14" s="198"/>
      <c r="LU14" s="198"/>
      <c r="LV14" s="198"/>
      <c r="LW14" s="198"/>
      <c r="LX14" s="198"/>
      <c r="LY14" s="198"/>
      <c r="LZ14" s="198"/>
      <c r="MA14" s="198"/>
      <c r="MB14" s="198"/>
      <c r="MC14" s="198"/>
      <c r="MD14" s="198"/>
      <c r="ME14" s="198"/>
      <c r="MF14" s="198"/>
      <c r="MG14" s="198"/>
      <c r="MH14" s="198"/>
      <c r="MI14" s="198"/>
      <c r="MJ14" s="198"/>
      <c r="MK14" s="198"/>
      <c r="ML14" s="198"/>
      <c r="MM14" s="198"/>
      <c r="MN14" s="198"/>
      <c r="MO14" s="198"/>
      <c r="MP14" s="198"/>
      <c r="MQ14" s="198"/>
      <c r="MR14" s="198"/>
      <c r="MS14" s="198"/>
      <c r="MT14" s="198"/>
      <c r="MU14" s="198"/>
      <c r="MV14" s="198"/>
      <c r="MW14" s="198"/>
      <c r="MX14" s="198"/>
      <c r="MY14" s="198"/>
      <c r="MZ14" s="198"/>
      <c r="NA14" s="198"/>
      <c r="NB14" s="198"/>
      <c r="NC14" s="198"/>
      <c r="ND14" s="198"/>
      <c r="NE14" s="198"/>
      <c r="NF14" s="198"/>
      <c r="NG14" s="198"/>
      <c r="NH14" s="198"/>
      <c r="NI14" s="198"/>
      <c r="NJ14" s="198"/>
      <c r="NK14" s="198"/>
      <c r="NL14" s="198"/>
      <c r="NM14" s="198"/>
      <c r="NN14" s="198"/>
      <c r="NO14" s="198"/>
      <c r="NP14" s="198"/>
      <c r="NQ14" s="198"/>
      <c r="NR14" s="198"/>
      <c r="NS14" s="198"/>
      <c r="NT14" s="198"/>
      <c r="NU14" s="198"/>
      <c r="NV14" s="198"/>
      <c r="NW14" s="198"/>
      <c r="NX14" s="198"/>
      <c r="NY14" s="198"/>
      <c r="NZ14" s="198"/>
      <c r="OA14" s="198"/>
      <c r="OB14" s="198"/>
      <c r="OC14" s="198"/>
      <c r="OD14" s="198"/>
      <c r="OE14" s="198"/>
      <c r="OF14" s="198"/>
      <c r="OG14" s="198"/>
      <c r="OH14" s="198"/>
      <c r="OI14" s="198"/>
      <c r="OJ14" s="198"/>
      <c r="OK14" s="198"/>
      <c r="OL14" s="198"/>
      <c r="OM14" s="198"/>
      <c r="ON14" s="198"/>
      <c r="OO14" s="198"/>
      <c r="OP14" s="198"/>
      <c r="OQ14" s="198"/>
      <c r="OR14" s="198"/>
      <c r="OS14" s="198"/>
      <c r="OT14" s="198"/>
      <c r="OU14" s="198"/>
      <c r="OV14" s="198"/>
      <c r="OW14" s="198"/>
      <c r="OX14" s="198"/>
      <c r="OY14" s="198"/>
      <c r="OZ14" s="198"/>
      <c r="PA14" s="198"/>
      <c r="PB14" s="198"/>
      <c r="PC14" s="198"/>
      <c r="PD14" s="198"/>
      <c r="PE14" s="198"/>
      <c r="PF14" s="198"/>
      <c r="PG14" s="198"/>
      <c r="PH14" s="198"/>
      <c r="PI14" s="198"/>
      <c r="PJ14" s="198"/>
      <c r="PK14" s="198"/>
      <c r="PL14" s="198"/>
      <c r="PM14" s="198"/>
      <c r="PN14" s="198"/>
      <c r="PO14" s="198"/>
      <c r="PP14" s="198"/>
      <c r="PQ14" s="198"/>
      <c r="PR14" s="198"/>
      <c r="PS14" s="198"/>
      <c r="PT14" s="198"/>
      <c r="PU14" s="198"/>
      <c r="PV14" s="198"/>
      <c r="PW14" s="198"/>
      <c r="PX14" s="198"/>
      <c r="PY14" s="198"/>
      <c r="PZ14" s="198"/>
      <c r="QA14" s="198"/>
      <c r="QB14" s="198"/>
      <c r="QC14" s="198"/>
      <c r="QD14" s="198"/>
      <c r="QE14" s="198"/>
      <c r="QF14" s="198"/>
      <c r="QG14" s="198"/>
      <c r="QH14" s="198"/>
      <c r="QI14" s="198"/>
      <c r="QJ14" s="198"/>
      <c r="QK14" s="198"/>
      <c r="QL14" s="198"/>
      <c r="QM14" s="198"/>
      <c r="QN14" s="198"/>
      <c r="QO14" s="198"/>
      <c r="QP14" s="198"/>
      <c r="QQ14" s="198"/>
      <c r="QR14" s="198"/>
      <c r="QS14" s="198"/>
      <c r="QT14" s="198"/>
      <c r="QU14" s="198"/>
      <c r="QV14" s="198"/>
      <c r="QW14" s="198"/>
      <c r="QX14" s="198"/>
      <c r="QY14" s="198"/>
      <c r="QZ14" s="198"/>
      <c r="RA14" s="198"/>
      <c r="RB14" s="198"/>
      <c r="RC14" s="198"/>
      <c r="RD14" s="198"/>
      <c r="RE14" s="198"/>
      <c r="RF14" s="198"/>
      <c r="RG14" s="198"/>
      <c r="RH14" s="198"/>
      <c r="RI14" s="198"/>
      <c r="RJ14" s="198"/>
      <c r="RK14" s="198"/>
      <c r="RL14" s="198"/>
      <c r="RM14" s="198"/>
      <c r="RN14" s="198"/>
      <c r="RO14" s="198"/>
      <c r="RP14" s="198"/>
      <c r="RQ14" s="198"/>
      <c r="RR14" s="198"/>
      <c r="RS14" s="198"/>
      <c r="RT14" s="198"/>
      <c r="RU14" s="198"/>
      <c r="RV14" s="198"/>
      <c r="RW14" s="198"/>
      <c r="RX14" s="198"/>
      <c r="RY14" s="198"/>
      <c r="RZ14" s="198"/>
      <c r="SA14" s="198"/>
      <c r="SB14" s="198"/>
      <c r="SC14" s="198"/>
      <c r="SD14" s="198"/>
      <c r="SE14" s="198"/>
      <c r="SF14" s="198"/>
      <c r="SG14" s="198"/>
      <c r="SH14" s="198"/>
      <c r="SI14" s="198"/>
      <c r="SJ14" s="198"/>
      <c r="SK14" s="198"/>
      <c r="SL14" s="198"/>
      <c r="SM14" s="198"/>
      <c r="SN14" s="198"/>
      <c r="SO14" s="198"/>
      <c r="SP14" s="198"/>
      <c r="SQ14" s="198"/>
      <c r="SR14" s="198"/>
      <c r="SS14" s="198"/>
      <c r="ST14" s="198"/>
      <c r="SU14" s="198"/>
      <c r="SV14" s="198"/>
      <c r="SW14" s="198"/>
      <c r="SX14" s="198"/>
      <c r="SY14" s="198"/>
      <c r="SZ14" s="198"/>
      <c r="TA14" s="198"/>
      <c r="TB14" s="198"/>
      <c r="TC14" s="198"/>
      <c r="TD14" s="198"/>
      <c r="TE14" s="198"/>
      <c r="TF14" s="198"/>
      <c r="TG14" s="198"/>
      <c r="TH14" s="198"/>
      <c r="TI14" s="198"/>
      <c r="TJ14" s="198"/>
      <c r="TK14" s="198"/>
      <c r="TL14" s="198"/>
      <c r="TM14" s="198"/>
      <c r="TN14" s="198"/>
      <c r="TO14" s="198"/>
      <c r="TP14" s="198"/>
      <c r="TQ14" s="198"/>
      <c r="TR14" s="198"/>
      <c r="TS14" s="198"/>
      <c r="TT14" s="198"/>
      <c r="TU14" s="198"/>
      <c r="TV14" s="198"/>
      <c r="TW14" s="198"/>
      <c r="TX14" s="198"/>
      <c r="TY14" s="198"/>
      <c r="TZ14" s="198"/>
      <c r="UA14" s="198"/>
      <c r="UB14" s="198"/>
      <c r="UC14" s="198"/>
      <c r="UD14" s="198"/>
      <c r="UE14" s="198"/>
      <c r="UF14" s="198"/>
      <c r="UG14" s="198"/>
      <c r="UH14" s="198"/>
      <c r="UI14" s="198"/>
      <c r="UJ14" s="198"/>
      <c r="UK14" s="198"/>
      <c r="UL14" s="198"/>
      <c r="UM14" s="198"/>
      <c r="UN14" s="198"/>
      <c r="UO14" s="198"/>
      <c r="UP14" s="198"/>
      <c r="UQ14" s="198"/>
      <c r="UR14" s="198"/>
      <c r="US14" s="198"/>
      <c r="UT14" s="198"/>
      <c r="UU14" s="198"/>
      <c r="UV14" s="198"/>
      <c r="UW14" s="198"/>
      <c r="UX14" s="198"/>
      <c r="UY14" s="198"/>
      <c r="UZ14" s="198"/>
      <c r="VA14" s="198"/>
      <c r="VB14" s="198"/>
      <c r="VC14" s="198"/>
      <c r="VD14" s="198"/>
      <c r="VE14" s="198"/>
      <c r="VF14" s="198"/>
      <c r="VG14" s="198"/>
      <c r="VH14" s="198"/>
      <c r="VI14" s="198"/>
      <c r="VJ14" s="198"/>
      <c r="VK14" s="198"/>
      <c r="VL14" s="198"/>
      <c r="VM14" s="198"/>
      <c r="VN14" s="198"/>
      <c r="VO14" s="198"/>
      <c r="VP14" s="198"/>
      <c r="VQ14" s="198"/>
      <c r="VR14" s="198"/>
      <c r="VS14" s="198"/>
      <c r="VT14" s="198"/>
      <c r="VU14" s="198"/>
      <c r="VV14" s="198"/>
      <c r="VW14" s="198"/>
      <c r="VX14" s="198"/>
      <c r="VY14" s="198"/>
      <c r="VZ14" s="198"/>
      <c r="WA14" s="198"/>
      <c r="WB14" s="198"/>
      <c r="WC14" s="198"/>
      <c r="WD14" s="198"/>
      <c r="WE14" s="198"/>
      <c r="WF14" s="198"/>
      <c r="WG14" s="198"/>
      <c r="WH14" s="198"/>
      <c r="WI14" s="198"/>
      <c r="WJ14" s="198"/>
      <c r="WK14" s="198"/>
      <c r="WL14" s="198"/>
      <c r="WM14" s="198"/>
      <c r="WN14" s="198"/>
      <c r="WO14" s="198"/>
      <c r="WP14" s="198"/>
      <c r="WQ14" s="198"/>
      <c r="WR14" s="198"/>
      <c r="WS14" s="198"/>
      <c r="WT14" s="198"/>
      <c r="WU14" s="198"/>
      <c r="WV14" s="198"/>
      <c r="WW14" s="198"/>
      <c r="WX14" s="198"/>
      <c r="WY14" s="198"/>
      <c r="WZ14" s="198"/>
      <c r="XA14" s="198"/>
      <c r="XB14" s="198"/>
      <c r="XC14" s="198"/>
      <c r="XD14" s="198"/>
      <c r="XE14" s="198"/>
      <c r="XF14" s="198"/>
      <c r="XG14" s="198"/>
      <c r="XH14" s="198"/>
      <c r="XI14" s="198"/>
      <c r="XJ14" s="198"/>
      <c r="XK14" s="198"/>
      <c r="XL14" s="198"/>
      <c r="XM14" s="198"/>
      <c r="XN14" s="198"/>
      <c r="XO14" s="198"/>
      <c r="XP14" s="198"/>
      <c r="XQ14" s="198"/>
      <c r="XR14" s="198"/>
      <c r="XS14" s="198"/>
      <c r="XT14" s="198"/>
      <c r="XU14" s="198"/>
      <c r="XV14" s="198"/>
      <c r="XW14" s="198"/>
      <c r="XX14" s="198"/>
      <c r="XY14" s="198"/>
      <c r="XZ14" s="198"/>
      <c r="YA14" s="198"/>
      <c r="YB14" s="198"/>
      <c r="YC14" s="198"/>
      <c r="YD14" s="198"/>
      <c r="YE14" s="198"/>
      <c r="YF14" s="198"/>
      <c r="YG14" s="198"/>
      <c r="YH14" s="198"/>
      <c r="YI14" s="198"/>
      <c r="YJ14" s="198"/>
      <c r="YK14" s="198"/>
      <c r="YL14" s="198"/>
      <c r="YM14" s="198"/>
      <c r="YN14" s="198"/>
      <c r="YO14" s="198"/>
      <c r="YP14" s="198"/>
      <c r="YQ14" s="198"/>
      <c r="YR14" s="198"/>
      <c r="YS14" s="198"/>
      <c r="YT14" s="198"/>
      <c r="YU14" s="198"/>
      <c r="YV14" s="198"/>
      <c r="YW14" s="198"/>
      <c r="YX14" s="198"/>
      <c r="YY14" s="198"/>
      <c r="YZ14" s="198"/>
      <c r="ZA14" s="198"/>
      <c r="ZB14" s="198"/>
      <c r="ZC14" s="198"/>
      <c r="ZD14" s="198"/>
      <c r="ZE14" s="198"/>
      <c r="ZF14" s="198"/>
      <c r="ZG14" s="198"/>
      <c r="ZH14" s="198"/>
      <c r="ZI14" s="198"/>
      <c r="ZJ14" s="198"/>
      <c r="ZK14" s="198"/>
      <c r="ZL14" s="198"/>
      <c r="ZM14" s="198"/>
      <c r="ZN14" s="198"/>
      <c r="ZO14" s="198"/>
      <c r="ZP14" s="198"/>
      <c r="ZQ14" s="198"/>
      <c r="ZR14" s="198"/>
      <c r="ZS14" s="198"/>
      <c r="ZT14" s="198"/>
      <c r="ZU14" s="198"/>
      <c r="ZV14" s="198"/>
      <c r="ZW14" s="198"/>
      <c r="ZX14" s="198"/>
      <c r="ZY14" s="198"/>
      <c r="ZZ14" s="198"/>
      <c r="AAA14" s="198"/>
      <c r="AAB14" s="198"/>
      <c r="AAC14" s="198"/>
      <c r="AAD14" s="198"/>
      <c r="AAE14" s="198"/>
      <c r="AAF14" s="198"/>
      <c r="AAG14" s="198"/>
      <c r="AAH14" s="198"/>
      <c r="AAI14" s="198"/>
      <c r="AAJ14" s="198"/>
      <c r="AAK14" s="198"/>
      <c r="AAL14" s="198"/>
      <c r="AAM14" s="198"/>
      <c r="AAN14" s="198"/>
      <c r="AAO14" s="198"/>
      <c r="AAP14" s="198"/>
      <c r="AAQ14" s="198"/>
      <c r="AAR14" s="198"/>
      <c r="AAS14" s="198"/>
      <c r="AAT14" s="198"/>
      <c r="AAU14" s="198"/>
      <c r="AAV14" s="198"/>
      <c r="AAW14" s="198"/>
      <c r="AAX14" s="198"/>
      <c r="AAY14" s="198"/>
      <c r="AAZ14" s="198"/>
      <c r="ABA14" s="198"/>
      <c r="ABB14" s="198"/>
      <c r="ABC14" s="198"/>
      <c r="ABD14" s="198"/>
      <c r="ABE14" s="198"/>
      <c r="ABF14" s="198"/>
      <c r="ABG14" s="198"/>
      <c r="ABH14" s="198"/>
      <c r="ABI14" s="198"/>
      <c r="ABJ14" s="198"/>
      <c r="ABK14" s="198"/>
      <c r="ABL14" s="198"/>
      <c r="ABM14" s="198"/>
      <c r="ABN14" s="198"/>
      <c r="ABO14" s="198"/>
      <c r="ABP14" s="198"/>
      <c r="ABQ14" s="198"/>
      <c r="ABR14" s="198"/>
      <c r="ABS14" s="198"/>
      <c r="ABT14" s="198"/>
      <c r="ABU14" s="198"/>
      <c r="ABV14" s="198"/>
      <c r="ABW14" s="198"/>
      <c r="ABX14" s="198"/>
      <c r="ABY14" s="198"/>
      <c r="ABZ14" s="198"/>
      <c r="ACA14" s="198"/>
      <c r="ACB14" s="198"/>
      <c r="ACC14" s="198"/>
      <c r="ACD14" s="198"/>
      <c r="ACE14" s="198"/>
      <c r="ACF14" s="198"/>
      <c r="ACG14" s="198"/>
      <c r="ACH14" s="198"/>
      <c r="ACI14" s="198"/>
      <c r="ACJ14" s="198"/>
      <c r="ACK14" s="198"/>
      <c r="ACL14" s="198"/>
      <c r="ACM14" s="198"/>
      <c r="ACN14" s="198"/>
      <c r="ACO14" s="198"/>
      <c r="ACP14" s="198"/>
      <c r="ACQ14" s="198"/>
      <c r="ACR14" s="198"/>
      <c r="ACS14" s="198"/>
      <c r="ACT14" s="198"/>
      <c r="ACU14" s="198"/>
      <c r="ACV14" s="198"/>
      <c r="ACW14" s="198"/>
      <c r="ACX14" s="198"/>
      <c r="ACY14" s="198"/>
      <c r="ACZ14" s="198"/>
      <c r="ADA14" s="198"/>
      <c r="ADB14" s="198"/>
      <c r="ADC14" s="198"/>
      <c r="ADD14" s="198"/>
      <c r="ADE14" s="198"/>
      <c r="ADF14" s="198"/>
      <c r="ADG14" s="198"/>
      <c r="ADH14" s="198"/>
      <c r="ADI14" s="198"/>
      <c r="ADJ14" s="198"/>
      <c r="ADK14" s="198"/>
      <c r="ADL14" s="198"/>
      <c r="ADM14" s="198"/>
      <c r="ADN14" s="198"/>
      <c r="ADO14" s="198"/>
      <c r="ADP14" s="198"/>
      <c r="ADQ14" s="198"/>
      <c r="ADR14" s="198"/>
      <c r="ADS14" s="198"/>
      <c r="ADT14" s="198"/>
      <c r="ADU14" s="198"/>
      <c r="ADV14" s="198"/>
      <c r="ADW14" s="198"/>
      <c r="ADX14" s="198"/>
      <c r="ADY14" s="198"/>
      <c r="ADZ14" s="198"/>
      <c r="AEA14" s="198"/>
      <c r="AEB14" s="198"/>
      <c r="AEC14" s="198"/>
      <c r="AED14" s="198"/>
      <c r="AEE14" s="198"/>
      <c r="AEF14" s="198"/>
      <c r="AEG14" s="198"/>
      <c r="AEH14" s="198"/>
      <c r="AEI14" s="198"/>
      <c r="AEJ14" s="198"/>
      <c r="AEK14" s="198"/>
      <c r="AEL14" s="198"/>
      <c r="AEM14" s="198"/>
      <c r="AEN14" s="198"/>
      <c r="AEO14" s="198"/>
      <c r="AEP14" s="198"/>
      <c r="AEQ14" s="198"/>
      <c r="AER14" s="198"/>
      <c r="AES14" s="198"/>
      <c r="AET14" s="198"/>
      <c r="AEU14" s="198"/>
      <c r="AEV14" s="198"/>
      <c r="AEW14" s="198"/>
      <c r="AEX14" s="198"/>
      <c r="AEY14" s="198"/>
      <c r="AEZ14" s="198"/>
      <c r="AFA14" s="198"/>
      <c r="AFB14" s="198"/>
      <c r="AFC14" s="198"/>
      <c r="AFD14" s="198"/>
      <c r="AFE14" s="198"/>
      <c r="AFF14" s="198"/>
      <c r="AFG14" s="198"/>
      <c r="AFH14" s="198"/>
      <c r="AFI14" s="198"/>
      <c r="AFJ14" s="198"/>
      <c r="AFK14" s="198"/>
      <c r="AFL14" s="198"/>
      <c r="AFM14" s="198"/>
      <c r="AFN14" s="198"/>
      <c r="AFO14" s="198"/>
      <c r="AFP14" s="198"/>
      <c r="AFQ14" s="198"/>
      <c r="AFR14" s="198"/>
      <c r="AFS14" s="198"/>
      <c r="AFT14" s="198"/>
      <c r="AFU14" s="198"/>
      <c r="AFV14" s="198"/>
      <c r="AFW14" s="198"/>
      <c r="AFX14" s="198"/>
      <c r="AFY14" s="198"/>
      <c r="AFZ14" s="198"/>
      <c r="AGA14" s="198"/>
      <c r="AGB14" s="198"/>
      <c r="AGC14" s="198"/>
      <c r="AGD14" s="198"/>
      <c r="AGE14" s="198"/>
      <c r="AGF14" s="198"/>
      <c r="AGG14" s="198"/>
      <c r="AGH14" s="198"/>
      <c r="AGI14" s="198"/>
      <c r="AGJ14" s="198"/>
      <c r="AGK14" s="198"/>
      <c r="AGL14" s="198"/>
      <c r="AGM14" s="198"/>
      <c r="AGN14" s="198"/>
      <c r="AGO14" s="198"/>
      <c r="AGP14" s="198"/>
      <c r="AGQ14" s="198"/>
      <c r="AGR14" s="198"/>
      <c r="AGS14" s="198"/>
      <c r="AGT14" s="198"/>
      <c r="AGU14" s="198"/>
      <c r="AGV14" s="198"/>
      <c r="AGW14" s="198"/>
      <c r="AGX14" s="198"/>
      <c r="AGY14" s="198"/>
      <c r="AGZ14" s="198"/>
      <c r="AHA14" s="198"/>
      <c r="AHB14" s="198"/>
      <c r="AHC14" s="198"/>
      <c r="AHD14" s="198"/>
      <c r="AHE14" s="198"/>
      <c r="AHF14" s="198"/>
      <c r="AHG14" s="198"/>
      <c r="AHH14" s="198"/>
      <c r="AHI14" s="198"/>
      <c r="AHJ14" s="198"/>
      <c r="AHK14" s="198"/>
      <c r="AHL14" s="198"/>
      <c r="AHM14" s="198"/>
      <c r="AHN14" s="198"/>
      <c r="AHO14" s="198"/>
      <c r="AHP14" s="198"/>
      <c r="AHQ14" s="198"/>
      <c r="AHR14" s="198"/>
      <c r="AHS14" s="198"/>
      <c r="AHT14" s="198"/>
      <c r="AHU14" s="198"/>
      <c r="AHV14" s="198"/>
      <c r="AHW14" s="198"/>
      <c r="AHX14" s="198"/>
      <c r="AHY14" s="198"/>
      <c r="AHZ14" s="198"/>
      <c r="AIA14" s="198"/>
      <c r="AIB14" s="198"/>
      <c r="AIC14" s="198"/>
      <c r="AID14" s="198"/>
      <c r="AIE14" s="198"/>
      <c r="AIF14" s="198"/>
      <c r="AIG14" s="198"/>
      <c r="AIH14" s="198"/>
      <c r="AII14" s="198"/>
      <c r="AIJ14" s="198"/>
      <c r="AIK14" s="198"/>
      <c r="AIL14" s="198"/>
      <c r="AIM14" s="198"/>
      <c r="AIN14" s="198"/>
      <c r="AIO14" s="198"/>
      <c r="AIP14" s="198"/>
      <c r="AIQ14" s="198"/>
      <c r="AIR14" s="198"/>
      <c r="AIS14" s="198"/>
      <c r="AIT14" s="198"/>
      <c r="AIU14" s="198"/>
      <c r="AIV14" s="198"/>
      <c r="AIW14" s="198"/>
      <c r="AIX14" s="198"/>
      <c r="AIY14" s="198"/>
      <c r="AIZ14" s="198"/>
      <c r="AJA14" s="198"/>
      <c r="AJB14" s="198"/>
      <c r="AJC14" s="198"/>
      <c r="AJD14" s="198"/>
      <c r="AJE14" s="198"/>
      <c r="AJF14" s="198"/>
      <c r="AJG14" s="198"/>
      <c r="AJH14" s="198"/>
      <c r="AJI14" s="198"/>
      <c r="AJJ14" s="198"/>
      <c r="AJK14" s="198"/>
      <c r="AJL14" s="198"/>
      <c r="AJM14" s="198"/>
      <c r="AJN14" s="198"/>
      <c r="AJO14" s="198"/>
      <c r="AJP14" s="198"/>
      <c r="AJQ14" s="198"/>
      <c r="AJR14" s="198"/>
      <c r="AJS14" s="198"/>
      <c r="AJT14" s="198"/>
      <c r="AJU14" s="198"/>
      <c r="AJV14" s="198"/>
      <c r="AJW14" s="198"/>
      <c r="AJX14" s="198"/>
      <c r="AJY14" s="198"/>
      <c r="AJZ14" s="198"/>
      <c r="AKA14" s="198"/>
      <c r="AKB14" s="198"/>
      <c r="AKC14" s="198"/>
      <c r="AKD14" s="198"/>
      <c r="AKE14" s="198"/>
      <c r="AKF14" s="198"/>
      <c r="AKG14" s="198"/>
      <c r="AKH14" s="198"/>
      <c r="AKI14" s="198"/>
      <c r="AKJ14" s="198"/>
      <c r="AKK14" s="198"/>
      <c r="AKL14" s="198"/>
      <c r="AKM14" s="198"/>
      <c r="AKN14" s="198"/>
      <c r="AKO14" s="198"/>
      <c r="AKP14" s="198"/>
      <c r="AKQ14" s="198"/>
      <c r="AKR14" s="198"/>
      <c r="AKS14" s="198"/>
      <c r="AKT14" s="198"/>
      <c r="AKU14" s="198"/>
      <c r="AKV14" s="198"/>
      <c r="AKW14" s="198"/>
      <c r="AKX14" s="198"/>
      <c r="AKY14" s="198"/>
      <c r="AKZ14" s="198"/>
      <c r="ALA14" s="198"/>
      <c r="ALB14" s="198"/>
      <c r="ALC14" s="198"/>
      <c r="ALD14" s="198"/>
      <c r="ALE14" s="198"/>
      <c r="ALF14" s="198"/>
      <c r="ALG14" s="198"/>
      <c r="ALH14" s="198"/>
      <c r="ALI14" s="198"/>
      <c r="ALJ14" s="198"/>
      <c r="ALK14" s="198"/>
      <c r="ALL14" s="198"/>
      <c r="ALM14" s="198"/>
      <c r="ALN14" s="198"/>
      <c r="ALO14" s="198"/>
      <c r="ALP14" s="198"/>
      <c r="ALQ14" s="198"/>
      <c r="ALR14" s="198"/>
      <c r="ALS14" s="198"/>
      <c r="ALT14" s="198"/>
      <c r="ALU14" s="198"/>
      <c r="ALV14" s="198"/>
      <c r="ALW14" s="198"/>
      <c r="ALX14" s="198"/>
      <c r="ALY14" s="198"/>
      <c r="ALZ14" s="198"/>
      <c r="AMA14" s="198"/>
      <c r="AMB14" s="198"/>
      <c r="AMC14" s="198"/>
      <c r="AMD14" s="198"/>
      <c r="AME14" s="198"/>
      <c r="AMF14" s="198"/>
      <c r="AMG14" s="198"/>
      <c r="AMH14" s="198"/>
      <c r="AMI14" s="198"/>
      <c r="AMJ14" s="198"/>
      <c r="AMK14" s="198"/>
      <c r="AML14" s="198"/>
      <c r="AMM14" s="198"/>
      <c r="AMN14" s="198"/>
      <c r="AMO14" s="198"/>
      <c r="AMP14" s="198"/>
      <c r="AMQ14" s="198"/>
      <c r="AMR14" s="198"/>
      <c r="AMS14" s="198"/>
      <c r="AMT14" s="198"/>
      <c r="AMU14" s="198"/>
      <c r="AMV14" s="198"/>
      <c r="AMW14" s="198"/>
      <c r="AMX14" s="198"/>
      <c r="AMY14" s="198"/>
      <c r="AMZ14" s="198"/>
      <c r="ANA14" s="198"/>
      <c r="ANB14" s="198"/>
      <c r="ANC14" s="198"/>
      <c r="AND14" s="198"/>
      <c r="ANE14" s="198"/>
      <c r="ANF14" s="198"/>
      <c r="ANG14" s="198"/>
      <c r="ANH14" s="198"/>
      <c r="ANI14" s="198"/>
      <c r="ANJ14" s="198"/>
      <c r="ANK14" s="198"/>
      <c r="ANL14" s="198"/>
      <c r="ANM14" s="198"/>
      <c r="ANN14" s="198"/>
      <c r="ANO14" s="198"/>
      <c r="ANP14" s="198"/>
      <c r="ANQ14" s="198"/>
      <c r="ANR14" s="198"/>
      <c r="ANS14" s="198"/>
      <c r="ANT14" s="198"/>
      <c r="ANU14" s="198"/>
      <c r="ANV14" s="198"/>
      <c r="ANW14" s="198"/>
      <c r="ANX14" s="198"/>
      <c r="ANY14" s="198"/>
      <c r="ANZ14" s="198"/>
      <c r="AOA14" s="198"/>
      <c r="AOB14" s="198"/>
      <c r="AOC14" s="198"/>
      <c r="AOD14" s="198"/>
      <c r="AOE14" s="198"/>
      <c r="AOF14" s="198"/>
      <c r="AOG14" s="198"/>
      <c r="AOH14" s="198"/>
      <c r="AOI14" s="198"/>
      <c r="AOJ14" s="198"/>
      <c r="AOK14" s="198"/>
      <c r="AOL14" s="198"/>
      <c r="AOM14" s="198"/>
      <c r="AON14" s="198"/>
      <c r="AOO14" s="198"/>
      <c r="AOP14" s="198"/>
      <c r="AOQ14" s="198"/>
      <c r="AOR14" s="198"/>
      <c r="AOS14" s="198"/>
      <c r="AOT14" s="198"/>
      <c r="AOU14" s="198"/>
      <c r="AOV14" s="198"/>
      <c r="AOW14" s="198"/>
      <c r="AOX14" s="198"/>
      <c r="AOY14" s="198"/>
      <c r="AOZ14" s="198"/>
      <c r="APA14" s="198"/>
      <c r="APB14" s="198"/>
      <c r="APC14" s="198"/>
      <c r="APD14" s="198"/>
      <c r="APE14" s="198"/>
      <c r="APF14" s="198"/>
      <c r="APG14" s="198"/>
      <c r="APH14" s="198"/>
      <c r="API14" s="198"/>
      <c r="APJ14" s="198"/>
      <c r="APK14" s="198"/>
      <c r="APL14" s="198"/>
      <c r="APM14" s="198"/>
      <c r="APN14" s="198"/>
      <c r="APO14" s="198"/>
      <c r="APP14" s="198"/>
      <c r="APQ14" s="198"/>
      <c r="APR14" s="198"/>
      <c r="APS14" s="198"/>
      <c r="APT14" s="198"/>
      <c r="APU14" s="198"/>
      <c r="APV14" s="198"/>
      <c r="APW14" s="198"/>
      <c r="APX14" s="198"/>
      <c r="APY14" s="198"/>
      <c r="APZ14" s="198"/>
      <c r="AQA14" s="198"/>
      <c r="AQB14" s="198"/>
      <c r="AQC14" s="198"/>
      <c r="AQD14" s="198"/>
      <c r="AQE14" s="198"/>
      <c r="AQF14" s="198"/>
      <c r="AQG14" s="198"/>
      <c r="AQH14" s="198"/>
      <c r="AQI14" s="198"/>
      <c r="AQJ14" s="198"/>
      <c r="AQK14" s="198"/>
      <c r="AQL14" s="198"/>
      <c r="AQM14" s="198"/>
      <c r="AQN14" s="198"/>
      <c r="AQO14" s="198"/>
      <c r="AQP14" s="198"/>
      <c r="AQQ14" s="198"/>
      <c r="AQR14" s="198"/>
      <c r="AQS14" s="198"/>
      <c r="AQT14" s="198"/>
      <c r="AQU14" s="198"/>
      <c r="AQV14" s="198"/>
      <c r="AQW14" s="198"/>
      <c r="AQX14" s="198"/>
      <c r="AQY14" s="198"/>
      <c r="AQZ14" s="198"/>
      <c r="ARA14" s="198"/>
      <c r="ARB14" s="198"/>
      <c r="ARC14" s="198"/>
      <c r="ARD14" s="198"/>
      <c r="ARE14" s="198"/>
      <c r="ARF14" s="198"/>
      <c r="ARG14" s="198"/>
      <c r="ARH14" s="198"/>
      <c r="ARI14" s="198"/>
      <c r="ARJ14" s="198"/>
      <c r="ARK14" s="198"/>
      <c r="ARL14" s="198"/>
      <c r="ARM14" s="198"/>
      <c r="ARN14" s="198"/>
      <c r="ARO14" s="198"/>
      <c r="ARP14" s="198"/>
      <c r="ARQ14" s="198"/>
      <c r="ARR14" s="198"/>
      <c r="ARS14" s="198"/>
      <c r="ART14" s="198"/>
      <c r="ARU14" s="198"/>
      <c r="ARV14" s="198"/>
      <c r="ARW14" s="198"/>
      <c r="ARX14" s="198"/>
      <c r="ARY14" s="198"/>
      <c r="ARZ14" s="198"/>
      <c r="ASA14" s="198"/>
      <c r="ASB14" s="198"/>
      <c r="ASC14" s="198"/>
      <c r="ASD14" s="198"/>
      <c r="ASE14" s="198"/>
      <c r="ASF14" s="198"/>
      <c r="ASG14" s="198"/>
      <c r="ASH14" s="198"/>
      <c r="ASI14" s="198"/>
      <c r="ASJ14" s="198"/>
      <c r="ASK14" s="198"/>
      <c r="ASL14" s="198"/>
      <c r="ASM14" s="198"/>
      <c r="ASN14" s="198"/>
      <c r="ASO14" s="198"/>
      <c r="ASP14" s="198"/>
      <c r="ASQ14" s="198"/>
      <c r="ASR14" s="198"/>
      <c r="ASS14" s="198"/>
      <c r="AST14" s="198"/>
      <c r="ASU14" s="198"/>
      <c r="ASV14" s="198"/>
      <c r="ASW14" s="198"/>
      <c r="ASX14" s="198"/>
      <c r="ASY14" s="198"/>
      <c r="ASZ14" s="198"/>
      <c r="ATA14" s="198"/>
      <c r="ATB14" s="198"/>
      <c r="ATC14" s="198"/>
      <c r="ATD14" s="198"/>
      <c r="ATE14" s="198"/>
      <c r="ATF14" s="198"/>
      <c r="ATG14" s="198"/>
      <c r="ATH14" s="198"/>
      <c r="ATI14" s="198"/>
      <c r="ATJ14" s="198"/>
      <c r="ATK14" s="198"/>
      <c r="ATL14" s="198"/>
      <c r="ATM14" s="198"/>
      <c r="ATN14" s="198"/>
      <c r="ATO14" s="198"/>
      <c r="ATP14" s="198"/>
      <c r="ATQ14" s="198"/>
      <c r="ATR14" s="198"/>
      <c r="ATS14" s="198"/>
      <c r="ATT14" s="198"/>
      <c r="ATU14" s="198"/>
      <c r="ATV14" s="198"/>
      <c r="ATW14" s="198"/>
      <c r="ATX14" s="198"/>
      <c r="ATY14" s="198"/>
      <c r="ATZ14" s="198"/>
      <c r="AUA14" s="198"/>
      <c r="AUB14" s="198"/>
      <c r="AUC14" s="198"/>
      <c r="AUD14" s="198"/>
      <c r="AUE14" s="198"/>
      <c r="AUF14" s="198"/>
      <c r="AUG14" s="198"/>
      <c r="AUH14" s="198"/>
      <c r="AUI14" s="198"/>
      <c r="AUJ14" s="198"/>
      <c r="AUK14" s="198"/>
      <c r="AUL14" s="198"/>
      <c r="AUM14" s="198"/>
      <c r="AUN14" s="198"/>
      <c r="AUO14" s="198"/>
      <c r="AUP14" s="198"/>
      <c r="AUQ14" s="198"/>
      <c r="AUR14" s="198"/>
      <c r="AUS14" s="198"/>
      <c r="AUT14" s="198"/>
      <c r="AUU14" s="198"/>
      <c r="AUV14" s="198"/>
      <c r="AUW14" s="198"/>
      <c r="AUX14" s="198"/>
      <c r="AUY14" s="198"/>
      <c r="AUZ14" s="198"/>
      <c r="AVA14" s="198"/>
      <c r="AVB14" s="198"/>
      <c r="AVC14" s="198"/>
      <c r="AVD14" s="198"/>
      <c r="AVE14" s="198"/>
      <c r="AVF14" s="198"/>
      <c r="AVG14" s="198"/>
      <c r="AVH14" s="198"/>
      <c r="AVI14" s="198"/>
      <c r="AVJ14" s="198"/>
      <c r="AVK14" s="198"/>
      <c r="AVL14" s="198"/>
      <c r="AVM14" s="198"/>
      <c r="AVN14" s="198"/>
      <c r="AVO14" s="198"/>
      <c r="AVP14" s="198"/>
      <c r="AVQ14" s="198"/>
      <c r="AVR14" s="198"/>
      <c r="AVS14" s="198"/>
      <c r="AVT14" s="198"/>
      <c r="AVU14" s="198"/>
      <c r="AVV14" s="198"/>
      <c r="AVW14" s="198"/>
      <c r="AVX14" s="198"/>
      <c r="AVY14" s="198"/>
      <c r="AVZ14" s="198"/>
      <c r="AWA14" s="198"/>
      <c r="AWB14" s="198"/>
      <c r="AWC14" s="198"/>
      <c r="AWD14" s="198"/>
      <c r="AWE14" s="198"/>
      <c r="AWF14" s="198"/>
      <c r="AWG14" s="198"/>
      <c r="AWH14" s="198"/>
      <c r="AWI14" s="198"/>
      <c r="AWJ14" s="198"/>
      <c r="AWK14" s="198"/>
      <c r="AWL14" s="198"/>
      <c r="AWM14" s="198"/>
      <c r="AWN14" s="198"/>
      <c r="AWO14" s="198"/>
      <c r="AWP14" s="198"/>
      <c r="AWQ14" s="198"/>
      <c r="AWR14" s="198"/>
      <c r="AWS14" s="198"/>
      <c r="AWT14" s="198"/>
      <c r="AWU14" s="198"/>
      <c r="AWV14" s="198"/>
      <c r="AWW14" s="198"/>
      <c r="AWX14" s="198"/>
      <c r="AWY14" s="198"/>
      <c r="AWZ14" s="198"/>
      <c r="AXA14" s="198"/>
      <c r="AXB14" s="198"/>
      <c r="AXC14" s="198"/>
      <c r="AXD14" s="198"/>
      <c r="AXE14" s="198"/>
      <c r="AXF14" s="198"/>
      <c r="AXG14" s="198"/>
      <c r="AXH14" s="198"/>
      <c r="AXI14" s="198"/>
      <c r="AXJ14" s="198"/>
      <c r="AXK14" s="198"/>
      <c r="AXL14" s="198"/>
      <c r="AXM14" s="198"/>
      <c r="AXN14" s="198"/>
      <c r="AXO14" s="198"/>
      <c r="AXP14" s="198"/>
      <c r="AXQ14" s="198"/>
      <c r="AXR14" s="198"/>
      <c r="AXS14" s="198"/>
      <c r="AXT14" s="198"/>
      <c r="AXU14" s="198"/>
      <c r="AXV14" s="198"/>
      <c r="AXW14" s="198"/>
      <c r="AXX14" s="198"/>
      <c r="AXY14" s="198"/>
      <c r="AXZ14" s="198"/>
      <c r="AYA14" s="198"/>
      <c r="AYB14" s="198"/>
      <c r="AYC14" s="198"/>
      <c r="AYD14" s="198"/>
      <c r="AYE14" s="198"/>
      <c r="AYF14" s="198"/>
      <c r="AYG14" s="198"/>
      <c r="AYH14" s="198"/>
      <c r="AYI14" s="198"/>
      <c r="AYJ14" s="198"/>
      <c r="AYK14" s="198"/>
      <c r="AYL14" s="198"/>
      <c r="AYM14" s="198"/>
      <c r="AYN14" s="198"/>
      <c r="AYO14" s="198"/>
      <c r="AYP14" s="198"/>
      <c r="AYQ14" s="198"/>
      <c r="AYR14" s="198"/>
      <c r="AYS14" s="198"/>
      <c r="AYT14" s="198"/>
      <c r="AYU14" s="198"/>
      <c r="AYV14" s="198"/>
      <c r="AYW14" s="198"/>
      <c r="AYX14" s="198"/>
      <c r="AYY14" s="198"/>
      <c r="AYZ14" s="198"/>
      <c r="AZA14" s="198"/>
      <c r="AZB14" s="198"/>
      <c r="AZC14" s="198"/>
      <c r="AZD14" s="198"/>
      <c r="AZE14" s="198"/>
      <c r="AZF14" s="198"/>
      <c r="AZG14" s="198"/>
      <c r="AZH14" s="198"/>
      <c r="AZI14" s="198"/>
      <c r="AZJ14" s="198"/>
      <c r="AZK14" s="198"/>
      <c r="AZL14" s="198"/>
      <c r="AZM14" s="198"/>
      <c r="AZN14" s="198"/>
      <c r="AZO14" s="198"/>
      <c r="AZP14" s="198"/>
      <c r="AZQ14" s="198"/>
      <c r="AZR14" s="198"/>
      <c r="AZS14" s="198"/>
      <c r="AZT14" s="198"/>
      <c r="AZU14" s="198"/>
      <c r="AZV14" s="198"/>
      <c r="AZW14" s="198"/>
      <c r="AZX14" s="198"/>
      <c r="AZY14" s="198"/>
      <c r="AZZ14" s="198"/>
      <c r="BAA14" s="198"/>
      <c r="BAB14" s="198"/>
      <c r="BAC14" s="198"/>
      <c r="BAD14" s="198"/>
      <c r="BAE14" s="198"/>
      <c r="BAF14" s="198"/>
      <c r="BAG14" s="198"/>
      <c r="BAH14" s="198"/>
      <c r="BAI14" s="198"/>
      <c r="BAJ14" s="198"/>
      <c r="BAK14" s="198"/>
      <c r="BAL14" s="198"/>
      <c r="BAM14" s="198"/>
      <c r="BAN14" s="198"/>
      <c r="BAO14" s="198"/>
      <c r="BAP14" s="198"/>
      <c r="BAQ14" s="198"/>
      <c r="BAR14" s="198"/>
      <c r="BAS14" s="198"/>
      <c r="BAT14" s="198"/>
      <c r="BAU14" s="198"/>
      <c r="BAV14" s="198"/>
      <c r="BAW14" s="198"/>
      <c r="BAX14" s="198"/>
      <c r="BAY14" s="198"/>
      <c r="BAZ14" s="198"/>
      <c r="BBA14" s="198"/>
      <c r="BBB14" s="198"/>
      <c r="BBC14" s="198"/>
      <c r="BBD14" s="198"/>
      <c r="BBE14" s="198"/>
      <c r="BBF14" s="198"/>
      <c r="BBG14" s="198"/>
      <c r="BBH14" s="198"/>
      <c r="BBI14" s="198"/>
      <c r="BBJ14" s="198"/>
      <c r="BBK14" s="198"/>
      <c r="BBL14" s="198"/>
      <c r="BBM14" s="198"/>
      <c r="BBN14" s="198"/>
      <c r="BBO14" s="198"/>
      <c r="BBP14" s="198"/>
      <c r="BBQ14" s="198"/>
      <c r="BBR14" s="198"/>
      <c r="BBS14" s="198"/>
      <c r="BBT14" s="198"/>
      <c r="BBU14" s="198"/>
      <c r="BBV14" s="198"/>
      <c r="BBW14" s="198"/>
      <c r="BBX14" s="198"/>
      <c r="BBY14" s="198"/>
      <c r="BBZ14" s="198"/>
      <c r="BCA14" s="198"/>
      <c r="BCB14" s="198"/>
      <c r="BCC14" s="198"/>
      <c r="BCD14" s="198"/>
      <c r="BCE14" s="198"/>
      <c r="BCF14" s="198"/>
      <c r="BCG14" s="198"/>
      <c r="BCH14" s="198"/>
      <c r="BCI14" s="198"/>
      <c r="BCJ14" s="198"/>
      <c r="BCK14" s="198"/>
      <c r="BCL14" s="198"/>
      <c r="BCM14" s="198"/>
      <c r="BCN14" s="198"/>
      <c r="BCO14" s="198"/>
      <c r="BCP14" s="198"/>
      <c r="BCQ14" s="198"/>
      <c r="BCR14" s="198"/>
      <c r="BCS14" s="198"/>
      <c r="BCT14" s="198"/>
      <c r="BCU14" s="198"/>
      <c r="BCV14" s="198"/>
      <c r="BCW14" s="198"/>
      <c r="BCX14" s="198"/>
      <c r="BCY14" s="198"/>
      <c r="BCZ14" s="198"/>
      <c r="BDA14" s="198"/>
      <c r="BDB14" s="198"/>
      <c r="BDC14" s="198"/>
      <c r="BDD14" s="198"/>
      <c r="BDE14" s="198"/>
      <c r="BDF14" s="198"/>
      <c r="BDG14" s="198"/>
      <c r="BDH14" s="198"/>
      <c r="BDI14" s="198"/>
      <c r="BDJ14" s="198"/>
      <c r="BDK14" s="198"/>
      <c r="BDL14" s="198"/>
      <c r="BDM14" s="198"/>
      <c r="BDN14" s="198"/>
      <c r="BDO14" s="198"/>
      <c r="BDP14" s="198"/>
      <c r="BDQ14" s="198"/>
      <c r="BDR14" s="198"/>
      <c r="BDS14" s="198"/>
      <c r="BDT14" s="198"/>
      <c r="BDU14" s="198"/>
      <c r="BDV14" s="198"/>
      <c r="BDW14" s="198"/>
      <c r="BDX14" s="198"/>
      <c r="BDY14" s="198"/>
      <c r="BDZ14" s="198"/>
      <c r="BEA14" s="198"/>
      <c r="BEB14" s="198"/>
      <c r="BEC14" s="198"/>
      <c r="BED14" s="198"/>
      <c r="BEE14" s="198"/>
      <c r="BEF14" s="198"/>
      <c r="BEG14" s="198"/>
      <c r="BEH14" s="198"/>
      <c r="BEI14" s="198"/>
      <c r="BEJ14" s="198"/>
      <c r="BEK14" s="198"/>
      <c r="BEL14" s="198"/>
      <c r="BEM14" s="198"/>
      <c r="BEN14" s="198"/>
      <c r="BEO14" s="198"/>
      <c r="BEP14" s="198"/>
      <c r="BEQ14" s="198"/>
      <c r="BER14" s="198"/>
      <c r="BES14" s="198"/>
      <c r="BET14" s="198"/>
      <c r="BEU14" s="198"/>
      <c r="BEV14" s="198"/>
      <c r="BEW14" s="198"/>
      <c r="BEX14" s="198"/>
      <c r="BEY14" s="198"/>
      <c r="BEZ14" s="198"/>
      <c r="BFA14" s="198"/>
      <c r="BFB14" s="198"/>
      <c r="BFC14" s="198"/>
      <c r="BFD14" s="198"/>
      <c r="BFE14" s="198"/>
      <c r="BFF14" s="198"/>
      <c r="BFG14" s="198"/>
      <c r="BFH14" s="198"/>
      <c r="BFI14" s="198"/>
      <c r="BFJ14" s="198"/>
      <c r="BFK14" s="198"/>
      <c r="BFL14" s="198"/>
      <c r="BFM14" s="198"/>
      <c r="BFN14" s="198"/>
      <c r="BFO14" s="198"/>
      <c r="BFP14" s="198"/>
      <c r="BFQ14" s="198"/>
      <c r="BFR14" s="198"/>
      <c r="BFS14" s="198"/>
      <c r="BFT14" s="198"/>
      <c r="BFU14" s="198"/>
      <c r="BFV14" s="198"/>
      <c r="BFW14" s="198"/>
      <c r="BFX14" s="198"/>
      <c r="BFY14" s="198"/>
      <c r="BFZ14" s="198"/>
      <c r="BGA14" s="198"/>
      <c r="BGB14" s="198"/>
      <c r="BGC14" s="198"/>
      <c r="BGD14" s="198"/>
      <c r="BGE14" s="198"/>
      <c r="BGF14" s="198"/>
      <c r="BGG14" s="198"/>
      <c r="BGH14" s="198"/>
      <c r="BGI14" s="198"/>
      <c r="BGJ14" s="198"/>
      <c r="BGK14" s="198"/>
      <c r="BGL14" s="198"/>
      <c r="BGM14" s="198"/>
      <c r="BGN14" s="198"/>
      <c r="BGO14" s="198"/>
      <c r="BGP14" s="198"/>
      <c r="BGQ14" s="198"/>
      <c r="BGR14" s="198"/>
      <c r="BGS14" s="198"/>
      <c r="BGT14" s="198"/>
      <c r="BGU14" s="198"/>
      <c r="BGV14" s="198"/>
      <c r="BGW14" s="198"/>
      <c r="BGX14" s="198"/>
      <c r="BGY14" s="198"/>
      <c r="BGZ14" s="198"/>
      <c r="BHA14" s="198"/>
      <c r="BHB14" s="198"/>
      <c r="BHC14" s="198"/>
      <c r="BHD14" s="198"/>
      <c r="BHE14" s="198"/>
      <c r="BHF14" s="198"/>
      <c r="BHG14" s="198"/>
      <c r="BHH14" s="198"/>
      <c r="BHI14" s="198"/>
      <c r="BHJ14" s="198"/>
      <c r="BHK14" s="198"/>
      <c r="BHL14" s="198"/>
      <c r="BHM14" s="198"/>
      <c r="BHN14" s="198"/>
      <c r="BHO14" s="198"/>
      <c r="BHP14" s="198"/>
      <c r="BHQ14" s="198"/>
      <c r="BHR14" s="198"/>
      <c r="BHS14" s="198"/>
      <c r="BHT14" s="198"/>
      <c r="BHU14" s="198"/>
      <c r="BHV14" s="198"/>
      <c r="BHW14" s="198"/>
      <c r="BHX14" s="198"/>
      <c r="BHY14" s="198"/>
      <c r="BHZ14" s="198"/>
      <c r="BIA14" s="198"/>
      <c r="BIB14" s="198"/>
      <c r="BIC14" s="198"/>
      <c r="BID14" s="198"/>
      <c r="BIE14" s="198"/>
      <c r="BIF14" s="198"/>
      <c r="BIG14" s="198"/>
      <c r="BIH14" s="198"/>
      <c r="BII14" s="198"/>
      <c r="BIJ14" s="198"/>
      <c r="BIK14" s="198"/>
      <c r="BIL14" s="198"/>
      <c r="BIM14" s="198"/>
      <c r="BIN14" s="198"/>
      <c r="BIO14" s="198"/>
      <c r="BIP14" s="198"/>
      <c r="BIQ14" s="198"/>
      <c r="BIR14" s="198"/>
      <c r="BIS14" s="198"/>
      <c r="BIT14" s="198"/>
      <c r="BIU14" s="198"/>
      <c r="BIV14" s="198"/>
      <c r="BIW14" s="198"/>
      <c r="BIX14" s="198"/>
      <c r="BIY14" s="198"/>
      <c r="BIZ14" s="198"/>
      <c r="BJA14" s="198"/>
      <c r="BJB14" s="198"/>
      <c r="BJC14" s="198"/>
      <c r="BJD14" s="198"/>
      <c r="BJE14" s="198"/>
      <c r="BJF14" s="198"/>
      <c r="BJG14" s="198"/>
      <c r="BJH14" s="198"/>
      <c r="BJI14" s="198"/>
      <c r="BJJ14" s="198"/>
      <c r="BJK14" s="198"/>
      <c r="BJL14" s="198"/>
      <c r="BJM14" s="198"/>
      <c r="BJN14" s="198"/>
      <c r="BJO14" s="198"/>
      <c r="BJP14" s="198"/>
      <c r="BJQ14" s="198"/>
      <c r="BJR14" s="198"/>
      <c r="BJS14" s="198"/>
      <c r="BJT14" s="198"/>
      <c r="BJU14" s="198"/>
      <c r="BJV14" s="198"/>
      <c r="BJW14" s="198"/>
      <c r="BJX14" s="198"/>
      <c r="BJY14" s="198"/>
      <c r="BJZ14" s="198"/>
      <c r="BKA14" s="198"/>
      <c r="BKB14" s="198"/>
      <c r="BKC14" s="198"/>
      <c r="BKD14" s="198"/>
      <c r="BKE14" s="198"/>
      <c r="BKF14" s="198"/>
      <c r="BKG14" s="198"/>
      <c r="BKH14" s="198"/>
      <c r="BKI14" s="198"/>
      <c r="BKJ14" s="198"/>
      <c r="BKK14" s="198"/>
      <c r="BKL14" s="198"/>
      <c r="BKM14" s="198"/>
      <c r="BKN14" s="198"/>
      <c r="BKO14" s="198"/>
      <c r="BKP14" s="198"/>
      <c r="BKQ14" s="198"/>
      <c r="BKR14" s="198"/>
      <c r="BKS14" s="198"/>
      <c r="BKT14" s="198"/>
      <c r="BKU14" s="198"/>
      <c r="BKV14" s="198"/>
      <c r="BKW14" s="198"/>
      <c r="BKX14" s="198"/>
      <c r="BKY14" s="198"/>
      <c r="BKZ14" s="198"/>
      <c r="BLA14" s="198"/>
      <c r="BLB14" s="198"/>
      <c r="BLC14" s="198"/>
      <c r="BLD14" s="198"/>
      <c r="BLE14" s="198"/>
      <c r="BLF14" s="198"/>
      <c r="BLG14" s="198"/>
      <c r="BLH14" s="198"/>
      <c r="BLI14" s="198"/>
      <c r="BLJ14" s="198"/>
      <c r="BLK14" s="198"/>
      <c r="BLL14" s="198"/>
      <c r="BLM14" s="198"/>
      <c r="BLN14" s="198"/>
      <c r="BLO14" s="198"/>
      <c r="BLP14" s="198"/>
      <c r="BLQ14" s="198"/>
      <c r="BLR14" s="198"/>
      <c r="BLS14" s="198"/>
      <c r="BLT14" s="198"/>
      <c r="BLU14" s="198"/>
      <c r="BLV14" s="198"/>
      <c r="BLW14" s="198"/>
      <c r="BLX14" s="198"/>
      <c r="BLY14" s="198"/>
      <c r="BLZ14" s="198"/>
      <c r="BMA14" s="198"/>
      <c r="BMB14" s="198"/>
      <c r="BMC14" s="198"/>
      <c r="BMD14" s="198"/>
      <c r="BME14" s="198"/>
      <c r="BMF14" s="198"/>
      <c r="BMG14" s="198"/>
      <c r="BMH14" s="198"/>
      <c r="BMI14" s="198"/>
      <c r="BMJ14" s="198"/>
      <c r="BMK14" s="198"/>
      <c r="BML14" s="198"/>
      <c r="BMM14" s="198"/>
      <c r="BMN14" s="198"/>
      <c r="BMO14" s="198"/>
      <c r="BMP14" s="198"/>
      <c r="BMQ14" s="198"/>
      <c r="BMR14" s="198"/>
      <c r="BMS14" s="198"/>
      <c r="BMT14" s="198"/>
      <c r="BMU14" s="198"/>
      <c r="BMV14" s="198"/>
      <c r="BMW14" s="198"/>
      <c r="BMX14" s="198"/>
      <c r="BMY14" s="198"/>
      <c r="BMZ14" s="198"/>
      <c r="BNA14" s="198"/>
      <c r="BNB14" s="198"/>
      <c r="BNC14" s="198"/>
      <c r="BND14" s="198"/>
      <c r="BNE14" s="198"/>
      <c r="BNF14" s="198"/>
      <c r="BNG14" s="198"/>
      <c r="BNH14" s="198"/>
      <c r="BNI14" s="198"/>
      <c r="BNJ14" s="198"/>
      <c r="BNK14" s="198"/>
      <c r="BNL14" s="198"/>
      <c r="BNM14" s="198"/>
      <c r="BNN14" s="198"/>
      <c r="BNO14" s="198"/>
      <c r="BNP14" s="198"/>
      <c r="BNQ14" s="198"/>
      <c r="BNR14" s="198"/>
      <c r="BNS14" s="198"/>
      <c r="BNT14" s="198"/>
      <c r="BNU14" s="198"/>
      <c r="BNV14" s="198"/>
      <c r="BNW14" s="198"/>
      <c r="BNX14" s="198"/>
      <c r="BNY14" s="198"/>
      <c r="BNZ14" s="198"/>
      <c r="BOA14" s="198"/>
      <c r="BOB14" s="198"/>
      <c r="BOC14" s="198"/>
      <c r="BOD14" s="198"/>
      <c r="BOE14" s="198"/>
      <c r="BOF14" s="198"/>
      <c r="BOG14" s="198"/>
      <c r="BOH14" s="198"/>
      <c r="BOI14" s="198"/>
      <c r="BOJ14" s="198"/>
      <c r="BOK14" s="198"/>
      <c r="BOL14" s="198"/>
      <c r="BOM14" s="198"/>
      <c r="BON14" s="198"/>
      <c r="BOO14" s="198"/>
      <c r="BOP14" s="198"/>
      <c r="BOQ14" s="198"/>
      <c r="BOR14" s="198"/>
      <c r="BOS14" s="198"/>
      <c r="BOT14" s="198"/>
      <c r="BOU14" s="198"/>
      <c r="BOV14" s="198"/>
      <c r="BOW14" s="198"/>
      <c r="BOX14" s="198"/>
      <c r="BOY14" s="198"/>
      <c r="BOZ14" s="198"/>
      <c r="BPA14" s="198"/>
      <c r="BPB14" s="198"/>
      <c r="BPC14" s="198"/>
      <c r="BPD14" s="198"/>
      <c r="BPE14" s="198"/>
      <c r="BPF14" s="198"/>
      <c r="BPG14" s="198"/>
      <c r="BPH14" s="198"/>
      <c r="BPI14" s="198"/>
      <c r="BPJ14" s="198"/>
      <c r="BPK14" s="198"/>
      <c r="BPL14" s="198"/>
      <c r="BPM14" s="198"/>
      <c r="BPN14" s="198"/>
      <c r="BPO14" s="198"/>
      <c r="BPP14" s="198"/>
      <c r="BPQ14" s="198"/>
      <c r="BPR14" s="198"/>
      <c r="BPS14" s="198"/>
      <c r="BPT14" s="198"/>
      <c r="BPU14" s="198"/>
      <c r="BPV14" s="198"/>
      <c r="BPW14" s="198"/>
      <c r="BPX14" s="198"/>
      <c r="BPY14" s="198"/>
      <c r="BPZ14" s="198"/>
      <c r="BQA14" s="198"/>
      <c r="BQB14" s="198"/>
      <c r="BQC14" s="198"/>
      <c r="BQD14" s="198"/>
      <c r="BQE14" s="198"/>
      <c r="BQF14" s="198"/>
      <c r="BQG14" s="198"/>
      <c r="BQH14" s="198"/>
      <c r="BQI14" s="198"/>
      <c r="BQJ14" s="198"/>
      <c r="BQK14" s="198"/>
      <c r="BQL14" s="198"/>
      <c r="BQM14" s="198"/>
      <c r="BQN14" s="198"/>
      <c r="BQO14" s="198"/>
      <c r="BQP14" s="198"/>
      <c r="BQQ14" s="198"/>
      <c r="BQR14" s="198"/>
      <c r="BQS14" s="198"/>
      <c r="BQT14" s="198"/>
      <c r="BQU14" s="198"/>
      <c r="BQV14" s="198"/>
      <c r="BQW14" s="198"/>
      <c r="BQX14" s="198"/>
      <c r="BQY14" s="198"/>
      <c r="BQZ14" s="198"/>
      <c r="BRA14" s="198"/>
      <c r="BRB14" s="198"/>
      <c r="BRC14" s="198"/>
      <c r="BRD14" s="198"/>
      <c r="BRE14" s="198"/>
      <c r="BRF14" s="198"/>
      <c r="BRG14" s="198"/>
      <c r="BRH14" s="198"/>
      <c r="BRI14" s="198"/>
      <c r="BRJ14" s="198"/>
      <c r="BRK14" s="198"/>
      <c r="BRL14" s="198"/>
      <c r="BRM14" s="198"/>
      <c r="BRN14" s="198"/>
      <c r="BRO14" s="198"/>
      <c r="BRP14" s="198"/>
      <c r="BRQ14" s="198"/>
      <c r="BRR14" s="198"/>
      <c r="BRS14" s="198"/>
      <c r="BRT14" s="198"/>
      <c r="BRU14" s="198"/>
      <c r="BRV14" s="198"/>
      <c r="BRW14" s="198"/>
      <c r="BRX14" s="198"/>
      <c r="BRY14" s="198"/>
      <c r="BRZ14" s="198"/>
      <c r="BSA14" s="198"/>
      <c r="BSB14" s="198"/>
      <c r="BSC14" s="198"/>
      <c r="BSD14" s="198"/>
      <c r="BSE14" s="198"/>
      <c r="BSF14" s="198"/>
      <c r="BSG14" s="198"/>
      <c r="BSH14" s="198"/>
      <c r="BSI14" s="198"/>
      <c r="BSJ14" s="198"/>
      <c r="BSK14" s="198"/>
      <c r="BSL14" s="198"/>
      <c r="BSM14" s="198"/>
      <c r="BSN14" s="198"/>
      <c r="BSO14" s="198"/>
      <c r="BSP14" s="198"/>
      <c r="BSQ14" s="198"/>
      <c r="BSR14" s="198"/>
      <c r="BSS14" s="198"/>
      <c r="BST14" s="198"/>
      <c r="BSU14" s="198"/>
      <c r="BSV14" s="198"/>
      <c r="BSW14" s="198"/>
      <c r="BSX14" s="198"/>
      <c r="BSY14" s="198"/>
      <c r="BSZ14" s="198"/>
      <c r="BTA14" s="198"/>
      <c r="BTB14" s="198"/>
      <c r="BTC14" s="198"/>
      <c r="BTD14" s="198"/>
      <c r="BTE14" s="198"/>
      <c r="BTF14" s="198"/>
      <c r="BTG14" s="198"/>
      <c r="BTH14" s="198"/>
      <c r="BTI14" s="198"/>
      <c r="BTJ14" s="198"/>
      <c r="BTK14" s="198"/>
      <c r="BTL14" s="198"/>
      <c r="BTM14" s="198"/>
      <c r="BTN14" s="198"/>
      <c r="BTO14" s="198"/>
      <c r="BTP14" s="198"/>
      <c r="BTQ14" s="198"/>
      <c r="BTR14" s="198"/>
      <c r="BTS14" s="198"/>
      <c r="BTT14" s="198"/>
      <c r="BTU14" s="198"/>
      <c r="BTV14" s="198"/>
      <c r="BTW14" s="198"/>
      <c r="BTX14" s="198"/>
      <c r="BTY14" s="198"/>
      <c r="BTZ14" s="198"/>
      <c r="BUA14" s="198"/>
      <c r="BUB14" s="198"/>
      <c r="BUC14" s="198"/>
      <c r="BUD14" s="198"/>
      <c r="BUE14" s="198"/>
      <c r="BUF14" s="198"/>
      <c r="BUG14" s="198"/>
      <c r="BUH14" s="198"/>
      <c r="BUI14" s="198"/>
      <c r="BUJ14" s="198"/>
      <c r="BUK14" s="198"/>
      <c r="BUL14" s="198"/>
      <c r="BUM14" s="198"/>
      <c r="BUN14" s="198"/>
      <c r="BUO14" s="198"/>
      <c r="BUP14" s="198"/>
      <c r="BUQ14" s="198"/>
      <c r="BUR14" s="198"/>
      <c r="BUS14" s="198"/>
      <c r="BUT14" s="198"/>
      <c r="BUU14" s="198"/>
      <c r="BUV14" s="198"/>
      <c r="BUW14" s="198"/>
      <c r="BUX14" s="198"/>
      <c r="BUY14" s="198"/>
      <c r="BUZ14" s="198"/>
      <c r="BVA14" s="198"/>
      <c r="BVB14" s="198"/>
      <c r="BVC14" s="198"/>
      <c r="BVD14" s="198"/>
      <c r="BVE14" s="198"/>
      <c r="BVF14" s="198"/>
      <c r="BVG14" s="198"/>
      <c r="BVH14" s="198"/>
      <c r="BVI14" s="198"/>
      <c r="BVJ14" s="198"/>
      <c r="BVK14" s="198"/>
      <c r="BVL14" s="198"/>
      <c r="BVM14" s="198"/>
      <c r="BVN14" s="198"/>
      <c r="BVO14" s="198"/>
      <c r="BVP14" s="198"/>
      <c r="BVQ14" s="198"/>
      <c r="BVR14" s="198"/>
      <c r="BVS14" s="198"/>
      <c r="BVT14" s="198"/>
      <c r="BVU14" s="198"/>
      <c r="BVV14" s="198"/>
      <c r="BVW14" s="198"/>
      <c r="BVX14" s="198"/>
      <c r="BVY14" s="198"/>
      <c r="BVZ14" s="198"/>
      <c r="BWA14" s="198"/>
      <c r="BWB14" s="198"/>
      <c r="BWC14" s="198"/>
      <c r="BWD14" s="198"/>
      <c r="BWE14" s="198"/>
      <c r="BWF14" s="198"/>
      <c r="BWG14" s="198"/>
      <c r="BWH14" s="198"/>
      <c r="BWI14" s="198"/>
      <c r="BWJ14" s="198"/>
      <c r="BWK14" s="198"/>
      <c r="BWL14" s="198"/>
      <c r="BWM14" s="198"/>
      <c r="BWN14" s="198"/>
      <c r="BWO14" s="198"/>
      <c r="BWP14" s="198"/>
      <c r="BWQ14" s="198"/>
      <c r="BWR14" s="198"/>
      <c r="BWS14" s="198"/>
      <c r="BWT14" s="198"/>
      <c r="BWU14" s="198"/>
      <c r="BWV14" s="198"/>
      <c r="BWW14" s="198"/>
      <c r="BWX14" s="198"/>
      <c r="BWY14" s="198"/>
      <c r="BWZ14" s="198"/>
      <c r="BXA14" s="198"/>
      <c r="BXB14" s="198"/>
      <c r="BXC14" s="198"/>
      <c r="BXD14" s="198"/>
      <c r="BXE14" s="198"/>
      <c r="BXF14" s="198"/>
      <c r="BXG14" s="198"/>
      <c r="BXH14" s="198"/>
      <c r="BXI14" s="198"/>
      <c r="BXJ14" s="198"/>
      <c r="BXK14" s="198"/>
      <c r="BXL14" s="198"/>
      <c r="BXM14" s="198"/>
      <c r="BXN14" s="198"/>
      <c r="BXO14" s="198"/>
      <c r="BXP14" s="198"/>
      <c r="BXQ14" s="198"/>
      <c r="BXR14" s="198"/>
      <c r="BXS14" s="198"/>
      <c r="BXT14" s="198"/>
      <c r="BXU14" s="198"/>
      <c r="BXV14" s="198"/>
      <c r="BXW14" s="198"/>
      <c r="BXX14" s="198"/>
      <c r="BXY14" s="198"/>
      <c r="BXZ14" s="198"/>
      <c r="BYA14" s="198"/>
      <c r="BYB14" s="198"/>
      <c r="BYC14" s="198"/>
      <c r="BYD14" s="198"/>
      <c r="BYE14" s="198"/>
      <c r="BYF14" s="198"/>
      <c r="BYG14" s="198"/>
    </row>
    <row r="15" spans="1:2009" s="101" customFormat="1" ht="12.75" customHeight="1" thickBot="1" x14ac:dyDescent="0.3">
      <c r="A15" s="98"/>
      <c r="B15" s="98"/>
      <c r="C15" s="170"/>
      <c r="D15" s="170"/>
      <c r="E15" s="170"/>
      <c r="F15" s="170"/>
      <c r="G15" s="711"/>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hidden="1" customHeight="1" x14ac:dyDescent="0.25">
      <c r="A16" s="134" t="s">
        <v>73</v>
      </c>
      <c r="B16" s="135"/>
      <c r="C16" s="172"/>
      <c r="D16" s="172"/>
      <c r="E16" s="173"/>
      <c r="F16" s="173"/>
      <c r="G16" s="712"/>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hidden="1" customHeight="1" x14ac:dyDescent="0.25">
      <c r="A17" s="136"/>
      <c r="B17" s="105" t="s">
        <v>214</v>
      </c>
      <c r="C17" s="174"/>
      <c r="D17" s="174"/>
      <c r="E17" s="175"/>
      <c r="F17" s="175"/>
      <c r="G17" s="713">
        <f t="shared" ref="G17:G20" si="1">ROUND(SUM(C17:F17),5)</f>
        <v>0</v>
      </c>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hidden="1" customHeight="1" x14ac:dyDescent="0.25">
      <c r="A18" s="136"/>
      <c r="B18" s="105" t="s">
        <v>296</v>
      </c>
      <c r="C18" s="174"/>
      <c r="D18" s="174"/>
      <c r="E18" s="175"/>
      <c r="F18" s="175"/>
      <c r="G18" s="713">
        <f t="shared" si="1"/>
        <v>0</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hidden="1" customHeight="1" x14ac:dyDescent="0.25">
      <c r="A19" s="136"/>
      <c r="B19" s="105" t="s">
        <v>347</v>
      </c>
      <c r="C19" s="174"/>
      <c r="D19" s="174"/>
      <c r="E19" s="175"/>
      <c r="F19" s="175"/>
      <c r="G19" s="713"/>
      <c r="H19" s="94"/>
      <c r="I19" s="632"/>
      <c r="J19" s="94"/>
      <c r="K19" s="632"/>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hidden="1" customHeight="1" x14ac:dyDescent="0.25">
      <c r="A20" s="136"/>
      <c r="B20" s="105" t="s">
        <v>297</v>
      </c>
      <c r="C20" s="174"/>
      <c r="D20" s="174"/>
      <c r="E20" s="175"/>
      <c r="F20" s="175"/>
      <c r="G20" s="713">
        <f t="shared" si="1"/>
        <v>0</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4" customFormat="1" ht="24.95" hidden="1" customHeight="1" x14ac:dyDescent="0.25">
      <c r="A21" s="136"/>
      <c r="B21" s="105" t="s">
        <v>348</v>
      </c>
      <c r="C21" s="174"/>
      <c r="D21" s="174"/>
      <c r="E21" s="175"/>
      <c r="F21" s="175"/>
      <c r="G21" s="713"/>
      <c r="H21" s="94"/>
      <c r="I21" s="632"/>
      <c r="J21" s="94"/>
      <c r="K21" s="632"/>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c r="VV21" s="95"/>
      <c r="VW21" s="95"/>
      <c r="VX21" s="95"/>
      <c r="VY21" s="95"/>
      <c r="VZ21" s="95"/>
      <c r="WA21" s="95"/>
      <c r="WB21" s="95"/>
      <c r="WC21" s="95"/>
      <c r="WD21" s="95"/>
      <c r="WE21" s="95"/>
      <c r="WF21" s="95"/>
      <c r="WG21" s="95"/>
      <c r="WH21" s="95"/>
      <c r="WI21" s="95"/>
      <c r="WJ21" s="95"/>
      <c r="WK21" s="95"/>
      <c r="WL21" s="95"/>
      <c r="WM21" s="95"/>
      <c r="WN21" s="95"/>
      <c r="WO21" s="95"/>
      <c r="WP21" s="95"/>
      <c r="WQ21" s="95"/>
      <c r="WR21" s="95"/>
      <c r="WS21" s="95"/>
      <c r="WT21" s="95"/>
      <c r="WU21" s="95"/>
      <c r="WV21" s="95"/>
      <c r="WW21" s="95"/>
      <c r="WX21" s="95"/>
      <c r="WY21" s="95"/>
      <c r="WZ21" s="95"/>
      <c r="XA21" s="95"/>
      <c r="XB21" s="95"/>
      <c r="XC21" s="95"/>
      <c r="XD21" s="95"/>
      <c r="XE21" s="95"/>
      <c r="XF21" s="95"/>
      <c r="XG21" s="95"/>
      <c r="XH21" s="95"/>
      <c r="XI21" s="95"/>
      <c r="XJ21" s="95"/>
      <c r="XK21" s="95"/>
      <c r="XL21" s="95"/>
      <c r="XM21" s="95"/>
      <c r="XN21" s="95"/>
      <c r="XO21" s="95"/>
      <c r="XP21" s="95"/>
      <c r="XQ21" s="95"/>
      <c r="XR21" s="95"/>
      <c r="XS21" s="95"/>
      <c r="XT21" s="95"/>
      <c r="XU21" s="95"/>
      <c r="XV21" s="95"/>
      <c r="XW21" s="95"/>
      <c r="XX21" s="95"/>
      <c r="XY21" s="95"/>
      <c r="XZ21" s="95"/>
      <c r="YA21" s="95"/>
      <c r="YB21" s="95"/>
      <c r="YC21" s="95"/>
      <c r="YD21" s="95"/>
      <c r="YE21" s="95"/>
      <c r="YF21" s="95"/>
      <c r="YG21" s="95"/>
      <c r="YH21" s="95"/>
      <c r="YI21" s="95"/>
      <c r="YJ21" s="95"/>
      <c r="YK21" s="95"/>
      <c r="YL21" s="95"/>
      <c r="YM21" s="95"/>
      <c r="YN21" s="95"/>
      <c r="YO21" s="95"/>
      <c r="YP21" s="95"/>
      <c r="YQ21" s="95"/>
      <c r="YR21" s="95"/>
      <c r="YS21" s="95"/>
      <c r="YT21" s="95"/>
      <c r="YU21" s="95"/>
      <c r="YV21" s="95"/>
      <c r="YW21" s="95"/>
      <c r="YX21" s="95"/>
      <c r="YY21" s="95"/>
      <c r="YZ21" s="95"/>
      <c r="ZA21" s="95"/>
      <c r="ZB21" s="95"/>
      <c r="ZC21" s="95"/>
      <c r="ZD21" s="95"/>
      <c r="ZE21" s="95"/>
      <c r="ZF21" s="95"/>
      <c r="ZG21" s="95"/>
      <c r="ZH21" s="95"/>
      <c r="ZI21" s="95"/>
      <c r="ZJ21" s="95"/>
      <c r="ZK21" s="95"/>
      <c r="ZL21" s="95"/>
      <c r="ZM21" s="95"/>
      <c r="ZN21" s="95"/>
      <c r="ZO21" s="95"/>
      <c r="ZP21" s="95"/>
      <c r="ZQ21" s="95"/>
      <c r="ZR21" s="95"/>
      <c r="ZS21" s="95"/>
      <c r="ZT21" s="95"/>
      <c r="ZU21" s="95"/>
      <c r="ZV21" s="95"/>
      <c r="ZW21" s="95"/>
      <c r="ZX21" s="95"/>
      <c r="ZY21" s="95"/>
      <c r="ZZ21" s="95"/>
      <c r="AAA21" s="95"/>
      <c r="AAB21" s="95"/>
      <c r="AAC21" s="95"/>
      <c r="AAD21" s="95"/>
      <c r="AAE21" s="95"/>
      <c r="AAF21" s="95"/>
      <c r="AAG21" s="95"/>
      <c r="AAH21" s="95"/>
      <c r="AAI21" s="95"/>
      <c r="AAJ21" s="95"/>
      <c r="AAK21" s="95"/>
      <c r="AAL21" s="95"/>
      <c r="AAM21" s="95"/>
      <c r="AAN21" s="95"/>
      <c r="AAO21" s="95"/>
      <c r="AAP21" s="95"/>
      <c r="AAQ21" s="95"/>
      <c r="AAR21" s="95"/>
      <c r="AAS21" s="95"/>
      <c r="AAT21" s="95"/>
      <c r="AAU21" s="95"/>
      <c r="AAV21" s="95"/>
      <c r="AAW21" s="95"/>
      <c r="AAX21" s="95"/>
      <c r="AAY21" s="95"/>
      <c r="AAZ21" s="95"/>
      <c r="ABA21" s="95"/>
      <c r="ABB21" s="95"/>
      <c r="ABC21" s="95"/>
      <c r="ABD21" s="95"/>
      <c r="ABE21" s="95"/>
      <c r="ABF21" s="95"/>
      <c r="ABG21" s="95"/>
      <c r="ABH21" s="95"/>
      <c r="ABI21" s="95"/>
      <c r="ABJ21" s="95"/>
      <c r="ABK21" s="95"/>
      <c r="ABL21" s="95"/>
      <c r="ABM21" s="95"/>
      <c r="ABN21" s="95"/>
      <c r="ABO21" s="95"/>
      <c r="ABP21" s="95"/>
      <c r="ABQ21" s="95"/>
      <c r="ABR21" s="95"/>
      <c r="ABS21" s="95"/>
      <c r="ABT21" s="95"/>
      <c r="ABU21" s="95"/>
      <c r="ABV21" s="95"/>
      <c r="ABW21" s="95"/>
      <c r="ABX21" s="95"/>
      <c r="ABY21" s="95"/>
      <c r="ABZ21" s="95"/>
      <c r="ACA21" s="95"/>
      <c r="ACB21" s="95"/>
      <c r="ACC21" s="95"/>
      <c r="ACD21" s="95"/>
      <c r="ACE21" s="95"/>
      <c r="ACF21" s="95"/>
      <c r="ACG21" s="95"/>
      <c r="ACH21" s="95"/>
      <c r="ACI21" s="95"/>
      <c r="ACJ21" s="95"/>
      <c r="ACK21" s="95"/>
      <c r="ACL21" s="95"/>
      <c r="ACM21" s="95"/>
      <c r="ACN21" s="95"/>
      <c r="ACO21" s="95"/>
      <c r="ACP21" s="95"/>
      <c r="ACQ21" s="95"/>
      <c r="ACR21" s="95"/>
      <c r="ACS21" s="95"/>
      <c r="ACT21" s="95"/>
      <c r="ACU21" s="95"/>
      <c r="ACV21" s="95"/>
      <c r="ACW21" s="95"/>
      <c r="ACX21" s="95"/>
      <c r="ACY21" s="95"/>
      <c r="ACZ21" s="95"/>
      <c r="ADA21" s="95"/>
      <c r="ADB21" s="95"/>
      <c r="ADC21" s="95"/>
      <c r="ADD21" s="95"/>
      <c r="ADE21" s="95"/>
      <c r="ADF21" s="95"/>
      <c r="ADG21" s="95"/>
      <c r="ADH21" s="95"/>
      <c r="ADI21" s="95"/>
      <c r="ADJ21" s="95"/>
      <c r="ADK21" s="95"/>
      <c r="ADL21" s="95"/>
      <c r="ADM21" s="95"/>
      <c r="ADN21" s="95"/>
      <c r="ADO21" s="95"/>
      <c r="ADP21" s="95"/>
      <c r="ADQ21" s="95"/>
      <c r="ADR21" s="95"/>
      <c r="ADS21" s="95"/>
      <c r="ADT21" s="95"/>
      <c r="ADU21" s="95"/>
      <c r="ADV21" s="95"/>
      <c r="ADW21" s="95"/>
      <c r="ADX21" s="95"/>
      <c r="ADY21" s="95"/>
      <c r="ADZ21" s="95"/>
      <c r="AEA21" s="95"/>
      <c r="AEB21" s="95"/>
      <c r="AEC21" s="95"/>
      <c r="AED21" s="95"/>
      <c r="AEE21" s="95"/>
      <c r="AEF21" s="95"/>
      <c r="AEG21" s="95"/>
      <c r="AEH21" s="95"/>
      <c r="AEI21" s="95"/>
      <c r="AEJ21" s="95"/>
      <c r="AEK21" s="95"/>
      <c r="AEL21" s="95"/>
      <c r="AEM21" s="95"/>
      <c r="AEN21" s="95"/>
      <c r="AEO21" s="95"/>
      <c r="AEP21" s="95"/>
      <c r="AEQ21" s="95"/>
      <c r="AER21" s="95"/>
      <c r="AES21" s="95"/>
      <c r="AET21" s="95"/>
      <c r="AEU21" s="95"/>
      <c r="AEV21" s="95"/>
      <c r="AEW21" s="95"/>
      <c r="AEX21" s="95"/>
      <c r="AEY21" s="95"/>
      <c r="AEZ21" s="95"/>
      <c r="AFA21" s="95"/>
      <c r="AFB21" s="95"/>
      <c r="AFC21" s="95"/>
      <c r="AFD21" s="95"/>
      <c r="AFE21" s="95"/>
      <c r="AFF21" s="95"/>
      <c r="AFG21" s="95"/>
      <c r="AFH21" s="95"/>
      <c r="AFI21" s="95"/>
      <c r="AFJ21" s="95"/>
      <c r="AFK21" s="95"/>
      <c r="AFL21" s="95"/>
      <c r="AFM21" s="95"/>
      <c r="AFN21" s="95"/>
      <c r="AFO21" s="95"/>
      <c r="AFP21" s="95"/>
      <c r="AFQ21" s="95"/>
      <c r="AFR21" s="95"/>
      <c r="AFS21" s="95"/>
      <c r="AFT21" s="95"/>
      <c r="AFU21" s="95"/>
      <c r="AFV21" s="95"/>
      <c r="AFW21" s="95"/>
      <c r="AFX21" s="95"/>
      <c r="AFY21" s="95"/>
      <c r="AFZ21" s="95"/>
      <c r="AGA21" s="95"/>
      <c r="AGB21" s="95"/>
      <c r="AGC21" s="95"/>
      <c r="AGD21" s="95"/>
      <c r="AGE21" s="95"/>
      <c r="AGF21" s="95"/>
      <c r="AGG21" s="95"/>
      <c r="AGH21" s="95"/>
      <c r="AGI21" s="95"/>
      <c r="AGJ21" s="95"/>
      <c r="AGK21" s="95"/>
      <c r="AGL21" s="95"/>
      <c r="AGM21" s="95"/>
      <c r="AGN21" s="95"/>
      <c r="AGO21" s="95"/>
      <c r="AGP21" s="95"/>
      <c r="AGQ21" s="95"/>
      <c r="AGR21" s="95"/>
      <c r="AGS21" s="95"/>
      <c r="AGT21" s="95"/>
      <c r="AGU21" s="95"/>
      <c r="AGV21" s="95"/>
      <c r="AGW21" s="95"/>
      <c r="AGX21" s="95"/>
      <c r="AGY21" s="95"/>
      <c r="AGZ21" s="95"/>
      <c r="AHA21" s="95"/>
      <c r="AHB21" s="95"/>
      <c r="AHC21" s="95"/>
      <c r="AHD21" s="95"/>
      <c r="AHE21" s="95"/>
      <c r="AHF21" s="95"/>
      <c r="AHG21" s="95"/>
      <c r="AHH21" s="95"/>
      <c r="AHI21" s="95"/>
      <c r="AHJ21" s="95"/>
      <c r="AHK21" s="95"/>
      <c r="AHL21" s="95"/>
      <c r="AHM21" s="95"/>
      <c r="AHN21" s="95"/>
      <c r="AHO21" s="95"/>
      <c r="AHP21" s="95"/>
      <c r="AHQ21" s="95"/>
      <c r="AHR21" s="95"/>
      <c r="AHS21" s="95"/>
      <c r="AHT21" s="95"/>
      <c r="AHU21" s="95"/>
      <c r="AHV21" s="95"/>
      <c r="AHW21" s="95"/>
      <c r="AHX21" s="95"/>
      <c r="AHY21" s="95"/>
      <c r="AHZ21" s="95"/>
      <c r="AIA21" s="95"/>
      <c r="AIB21" s="95"/>
      <c r="AIC21" s="95"/>
      <c r="AID21" s="95"/>
      <c r="AIE21" s="95"/>
      <c r="AIF21" s="95"/>
      <c r="AIG21" s="95"/>
      <c r="AIH21" s="95"/>
      <c r="AII21" s="95"/>
      <c r="AIJ21" s="95"/>
      <c r="AIK21" s="95"/>
      <c r="AIL21" s="95"/>
      <c r="AIM21" s="95"/>
      <c r="AIN21" s="95"/>
      <c r="AIO21" s="95"/>
      <c r="AIP21" s="95"/>
      <c r="AIQ21" s="95"/>
      <c r="AIR21" s="95"/>
      <c r="AIS21" s="95"/>
      <c r="AIT21" s="95"/>
      <c r="AIU21" s="95"/>
      <c r="AIV21" s="95"/>
      <c r="AIW21" s="95"/>
      <c r="AIX21" s="95"/>
      <c r="AIY21" s="95"/>
      <c r="AIZ21" s="95"/>
      <c r="AJA21" s="95"/>
      <c r="AJB21" s="95"/>
      <c r="AJC21" s="95"/>
      <c r="AJD21" s="95"/>
      <c r="AJE21" s="95"/>
      <c r="AJF21" s="95"/>
      <c r="AJG21" s="95"/>
      <c r="AJH21" s="95"/>
      <c r="AJI21" s="95"/>
      <c r="AJJ21" s="95"/>
      <c r="AJK21" s="95"/>
      <c r="AJL21" s="95"/>
      <c r="AJM21" s="95"/>
      <c r="AJN21" s="95"/>
      <c r="AJO21" s="95"/>
      <c r="AJP21" s="95"/>
      <c r="AJQ21" s="95"/>
      <c r="AJR21" s="95"/>
      <c r="AJS21" s="95"/>
      <c r="AJT21" s="95"/>
      <c r="AJU21" s="95"/>
      <c r="AJV21" s="95"/>
      <c r="AJW21" s="95"/>
      <c r="AJX21" s="95"/>
      <c r="AJY21" s="95"/>
      <c r="AJZ21" s="95"/>
      <c r="AKA21" s="95"/>
      <c r="AKB21" s="95"/>
      <c r="AKC21" s="95"/>
      <c r="AKD21" s="95"/>
      <c r="AKE21" s="95"/>
      <c r="AKF21" s="95"/>
      <c r="AKG21" s="95"/>
      <c r="AKH21" s="95"/>
      <c r="AKI21" s="95"/>
      <c r="AKJ21" s="95"/>
      <c r="AKK21" s="95"/>
      <c r="AKL21" s="95"/>
      <c r="AKM21" s="95"/>
      <c r="AKN21" s="95"/>
      <c r="AKO21" s="95"/>
      <c r="AKP21" s="95"/>
      <c r="AKQ21" s="95"/>
      <c r="AKR21" s="95"/>
      <c r="AKS21" s="95"/>
      <c r="AKT21" s="95"/>
      <c r="AKU21" s="95"/>
      <c r="AKV21" s="95"/>
      <c r="AKW21" s="95"/>
      <c r="AKX21" s="95"/>
      <c r="AKY21" s="95"/>
      <c r="AKZ21" s="95"/>
      <c r="ALA21" s="95"/>
      <c r="ALB21" s="95"/>
      <c r="ALC21" s="95"/>
      <c r="ALD21" s="95"/>
      <c r="ALE21" s="95"/>
      <c r="ALF21" s="95"/>
      <c r="ALG21" s="95"/>
      <c r="ALH21" s="95"/>
      <c r="ALI21" s="95"/>
      <c r="ALJ21" s="95"/>
      <c r="ALK21" s="95"/>
      <c r="ALL21" s="95"/>
      <c r="ALM21" s="95"/>
      <c r="ALN21" s="95"/>
      <c r="ALO21" s="95"/>
      <c r="ALP21" s="95"/>
      <c r="ALQ21" s="95"/>
      <c r="ALR21" s="95"/>
      <c r="ALS21" s="95"/>
      <c r="ALT21" s="95"/>
      <c r="ALU21" s="95"/>
      <c r="ALV21" s="95"/>
      <c r="ALW21" s="95"/>
      <c r="ALX21" s="95"/>
      <c r="ALY21" s="95"/>
      <c r="ALZ21" s="95"/>
      <c r="AMA21" s="95"/>
      <c r="AMB21" s="95"/>
      <c r="AMC21" s="95"/>
      <c r="AMD21" s="95"/>
      <c r="AME21" s="95"/>
      <c r="AMF21" s="95"/>
      <c r="AMG21" s="95"/>
      <c r="AMH21" s="95"/>
      <c r="AMI21" s="95"/>
      <c r="AMJ21" s="95"/>
      <c r="AMK21" s="95"/>
      <c r="AML21" s="95"/>
      <c r="AMM21" s="95"/>
      <c r="AMN21" s="95"/>
      <c r="AMO21" s="95"/>
      <c r="AMP21" s="95"/>
      <c r="AMQ21" s="95"/>
      <c r="AMR21" s="95"/>
      <c r="AMS21" s="95"/>
      <c r="AMT21" s="95"/>
      <c r="AMU21" s="95"/>
      <c r="AMV21" s="95"/>
      <c r="AMW21" s="95"/>
      <c r="AMX21" s="95"/>
      <c r="AMY21" s="95"/>
      <c r="AMZ21" s="95"/>
      <c r="ANA21" s="95"/>
      <c r="ANB21" s="95"/>
      <c r="ANC21" s="95"/>
      <c r="AND21" s="95"/>
      <c r="ANE21" s="95"/>
      <c r="ANF21" s="95"/>
      <c r="ANG21" s="95"/>
      <c r="ANH21" s="95"/>
      <c r="ANI21" s="95"/>
      <c r="ANJ21" s="95"/>
      <c r="ANK21" s="95"/>
      <c r="ANL21" s="95"/>
      <c r="ANM21" s="95"/>
      <c r="ANN21" s="95"/>
      <c r="ANO21" s="95"/>
      <c r="ANP21" s="95"/>
      <c r="ANQ21" s="95"/>
      <c r="ANR21" s="95"/>
      <c r="ANS21" s="95"/>
      <c r="ANT21" s="95"/>
      <c r="ANU21" s="95"/>
      <c r="ANV21" s="95"/>
      <c r="ANW21" s="95"/>
      <c r="ANX21" s="95"/>
      <c r="ANY21" s="95"/>
      <c r="ANZ21" s="95"/>
      <c r="AOA21" s="95"/>
      <c r="AOB21" s="95"/>
      <c r="AOC21" s="95"/>
      <c r="AOD21" s="95"/>
      <c r="AOE21" s="95"/>
      <c r="AOF21" s="95"/>
      <c r="AOG21" s="95"/>
      <c r="AOH21" s="95"/>
      <c r="AOI21" s="95"/>
      <c r="AOJ21" s="95"/>
      <c r="AOK21" s="95"/>
      <c r="AOL21" s="95"/>
      <c r="AOM21" s="95"/>
      <c r="AON21" s="95"/>
      <c r="AOO21" s="95"/>
      <c r="AOP21" s="95"/>
      <c r="AOQ21" s="95"/>
      <c r="AOR21" s="95"/>
      <c r="AOS21" s="95"/>
      <c r="AOT21" s="95"/>
      <c r="AOU21" s="95"/>
      <c r="AOV21" s="95"/>
      <c r="AOW21" s="95"/>
      <c r="AOX21" s="95"/>
      <c r="AOY21" s="95"/>
      <c r="AOZ21" s="95"/>
      <c r="APA21" s="95"/>
      <c r="APB21" s="95"/>
      <c r="APC21" s="95"/>
      <c r="APD21" s="95"/>
      <c r="APE21" s="95"/>
      <c r="APF21" s="95"/>
      <c r="APG21" s="95"/>
      <c r="APH21" s="95"/>
      <c r="API21" s="95"/>
      <c r="APJ21" s="95"/>
      <c r="APK21" s="95"/>
      <c r="APL21" s="95"/>
      <c r="APM21" s="95"/>
      <c r="APN21" s="95"/>
      <c r="APO21" s="95"/>
      <c r="APP21" s="95"/>
      <c r="APQ21" s="95"/>
      <c r="APR21" s="95"/>
      <c r="APS21" s="95"/>
      <c r="APT21" s="95"/>
      <c r="APU21" s="95"/>
      <c r="APV21" s="95"/>
      <c r="APW21" s="95"/>
      <c r="APX21" s="95"/>
      <c r="APY21" s="95"/>
      <c r="APZ21" s="95"/>
      <c r="AQA21" s="95"/>
      <c r="AQB21" s="95"/>
      <c r="AQC21" s="95"/>
      <c r="AQD21" s="95"/>
      <c r="AQE21" s="95"/>
      <c r="AQF21" s="95"/>
      <c r="AQG21" s="95"/>
      <c r="AQH21" s="95"/>
      <c r="AQI21" s="95"/>
      <c r="AQJ21" s="95"/>
      <c r="AQK21" s="95"/>
      <c r="AQL21" s="95"/>
      <c r="AQM21" s="95"/>
      <c r="AQN21" s="95"/>
      <c r="AQO21" s="95"/>
      <c r="AQP21" s="95"/>
      <c r="AQQ21" s="95"/>
      <c r="AQR21" s="95"/>
      <c r="AQS21" s="95"/>
      <c r="AQT21" s="95"/>
      <c r="AQU21" s="95"/>
      <c r="AQV21" s="95"/>
      <c r="AQW21" s="95"/>
      <c r="AQX21" s="95"/>
      <c r="AQY21" s="95"/>
      <c r="AQZ21" s="95"/>
      <c r="ARA21" s="95"/>
      <c r="ARB21" s="95"/>
      <c r="ARC21" s="95"/>
      <c r="ARD21" s="95"/>
      <c r="ARE21" s="95"/>
      <c r="ARF21" s="95"/>
      <c r="ARG21" s="95"/>
      <c r="ARH21" s="95"/>
      <c r="ARI21" s="95"/>
      <c r="ARJ21" s="95"/>
      <c r="ARK21" s="95"/>
      <c r="ARL21" s="95"/>
      <c r="ARM21" s="95"/>
      <c r="ARN21" s="95"/>
      <c r="ARO21" s="95"/>
      <c r="ARP21" s="95"/>
      <c r="ARQ21" s="95"/>
      <c r="ARR21" s="95"/>
      <c r="ARS21" s="95"/>
      <c r="ART21" s="95"/>
      <c r="ARU21" s="95"/>
      <c r="ARV21" s="95"/>
      <c r="ARW21" s="95"/>
      <c r="ARX21" s="95"/>
      <c r="ARY21" s="95"/>
      <c r="ARZ21" s="95"/>
      <c r="ASA21" s="95"/>
      <c r="ASB21" s="95"/>
      <c r="ASC21" s="95"/>
      <c r="ASD21" s="95"/>
      <c r="ASE21" s="95"/>
      <c r="ASF21" s="95"/>
      <c r="ASG21" s="95"/>
      <c r="ASH21" s="95"/>
      <c r="ASI21" s="95"/>
      <c r="ASJ21" s="95"/>
      <c r="ASK21" s="95"/>
      <c r="ASL21" s="95"/>
      <c r="ASM21" s="95"/>
      <c r="ASN21" s="95"/>
      <c r="ASO21" s="95"/>
      <c r="ASP21" s="95"/>
      <c r="ASQ21" s="95"/>
      <c r="ASR21" s="95"/>
      <c r="ASS21" s="95"/>
      <c r="AST21" s="95"/>
      <c r="ASU21" s="95"/>
      <c r="ASV21" s="95"/>
      <c r="ASW21" s="95"/>
      <c r="ASX21" s="95"/>
      <c r="ASY21" s="95"/>
      <c r="ASZ21" s="95"/>
      <c r="ATA21" s="95"/>
      <c r="ATB21" s="95"/>
      <c r="ATC21" s="95"/>
      <c r="ATD21" s="95"/>
      <c r="ATE21" s="95"/>
      <c r="ATF21" s="95"/>
      <c r="ATG21" s="95"/>
      <c r="ATH21" s="95"/>
      <c r="ATI21" s="95"/>
      <c r="ATJ21" s="95"/>
      <c r="ATK21" s="95"/>
      <c r="ATL21" s="95"/>
      <c r="ATM21" s="95"/>
      <c r="ATN21" s="95"/>
      <c r="ATO21" s="95"/>
      <c r="ATP21" s="95"/>
      <c r="ATQ21" s="95"/>
      <c r="ATR21" s="95"/>
      <c r="ATS21" s="95"/>
      <c r="ATT21" s="95"/>
      <c r="ATU21" s="95"/>
      <c r="ATV21" s="95"/>
      <c r="ATW21" s="95"/>
      <c r="ATX21" s="95"/>
      <c r="ATY21" s="95"/>
      <c r="ATZ21" s="95"/>
      <c r="AUA21" s="95"/>
      <c r="AUB21" s="95"/>
      <c r="AUC21" s="95"/>
      <c r="AUD21" s="95"/>
      <c r="AUE21" s="95"/>
      <c r="AUF21" s="95"/>
      <c r="AUG21" s="95"/>
      <c r="AUH21" s="95"/>
      <c r="AUI21" s="95"/>
      <c r="AUJ21" s="95"/>
      <c r="AUK21" s="95"/>
      <c r="AUL21" s="95"/>
      <c r="AUM21" s="95"/>
      <c r="AUN21" s="95"/>
      <c r="AUO21" s="95"/>
      <c r="AUP21" s="95"/>
      <c r="AUQ21" s="95"/>
      <c r="AUR21" s="95"/>
      <c r="AUS21" s="95"/>
      <c r="AUT21" s="95"/>
      <c r="AUU21" s="95"/>
      <c r="AUV21" s="95"/>
      <c r="AUW21" s="95"/>
      <c r="AUX21" s="95"/>
      <c r="AUY21" s="95"/>
      <c r="AUZ21" s="95"/>
      <c r="AVA21" s="95"/>
      <c r="AVB21" s="95"/>
      <c r="AVC21" s="95"/>
      <c r="AVD21" s="95"/>
      <c r="AVE21" s="95"/>
      <c r="AVF21" s="95"/>
      <c r="AVG21" s="95"/>
      <c r="AVH21" s="95"/>
      <c r="AVI21" s="95"/>
      <c r="AVJ21" s="95"/>
      <c r="AVK21" s="95"/>
      <c r="AVL21" s="95"/>
      <c r="AVM21" s="95"/>
      <c r="AVN21" s="95"/>
      <c r="AVO21" s="95"/>
      <c r="AVP21" s="95"/>
      <c r="AVQ21" s="95"/>
      <c r="AVR21" s="95"/>
      <c r="AVS21" s="95"/>
      <c r="AVT21" s="95"/>
      <c r="AVU21" s="95"/>
      <c r="AVV21" s="95"/>
      <c r="AVW21" s="95"/>
      <c r="AVX21" s="95"/>
      <c r="AVY21" s="95"/>
      <c r="AVZ21" s="95"/>
      <c r="AWA21" s="95"/>
      <c r="AWB21" s="95"/>
      <c r="AWC21" s="95"/>
      <c r="AWD21" s="95"/>
      <c r="AWE21" s="95"/>
      <c r="AWF21" s="95"/>
      <c r="AWG21" s="95"/>
      <c r="AWH21" s="95"/>
      <c r="AWI21" s="95"/>
      <c r="AWJ21" s="95"/>
      <c r="AWK21" s="95"/>
      <c r="AWL21" s="95"/>
      <c r="AWM21" s="95"/>
      <c r="AWN21" s="95"/>
      <c r="AWO21" s="95"/>
      <c r="AWP21" s="95"/>
      <c r="AWQ21" s="95"/>
      <c r="AWR21" s="95"/>
      <c r="AWS21" s="95"/>
      <c r="AWT21" s="95"/>
      <c r="AWU21" s="95"/>
      <c r="AWV21" s="95"/>
      <c r="AWW21" s="95"/>
      <c r="AWX21" s="95"/>
      <c r="AWY21" s="95"/>
      <c r="AWZ21" s="95"/>
      <c r="AXA21" s="95"/>
      <c r="AXB21" s="95"/>
      <c r="AXC21" s="95"/>
      <c r="AXD21" s="95"/>
      <c r="AXE21" s="95"/>
      <c r="AXF21" s="95"/>
      <c r="AXG21" s="95"/>
      <c r="AXH21" s="95"/>
      <c r="AXI21" s="95"/>
      <c r="AXJ21" s="95"/>
      <c r="AXK21" s="95"/>
      <c r="AXL21" s="95"/>
      <c r="AXM21" s="95"/>
      <c r="AXN21" s="95"/>
      <c r="AXO21" s="95"/>
      <c r="AXP21" s="95"/>
      <c r="AXQ21" s="95"/>
      <c r="AXR21" s="95"/>
      <c r="AXS21" s="95"/>
      <c r="AXT21" s="95"/>
      <c r="AXU21" s="95"/>
      <c r="AXV21" s="95"/>
      <c r="AXW21" s="95"/>
      <c r="AXX21" s="95"/>
      <c r="AXY21" s="95"/>
      <c r="AXZ21" s="95"/>
      <c r="AYA21" s="95"/>
      <c r="AYB21" s="95"/>
      <c r="AYC21" s="95"/>
      <c r="AYD21" s="95"/>
      <c r="AYE21" s="95"/>
      <c r="AYF21" s="95"/>
      <c r="AYG21" s="95"/>
      <c r="AYH21" s="95"/>
      <c r="AYI21" s="95"/>
      <c r="AYJ21" s="95"/>
      <c r="AYK21" s="95"/>
      <c r="AYL21" s="95"/>
      <c r="AYM21" s="95"/>
      <c r="AYN21" s="95"/>
      <c r="AYO21" s="95"/>
      <c r="AYP21" s="95"/>
      <c r="AYQ21" s="95"/>
      <c r="AYR21" s="95"/>
      <c r="AYS21" s="95"/>
      <c r="AYT21" s="95"/>
      <c r="AYU21" s="95"/>
      <c r="AYV21" s="95"/>
      <c r="AYW21" s="95"/>
      <c r="AYX21" s="95"/>
      <c r="AYY21" s="95"/>
      <c r="AYZ21" s="95"/>
      <c r="AZA21" s="95"/>
      <c r="AZB21" s="95"/>
      <c r="AZC21" s="95"/>
      <c r="AZD21" s="95"/>
      <c r="AZE21" s="95"/>
      <c r="AZF21" s="95"/>
      <c r="AZG21" s="95"/>
      <c r="AZH21" s="95"/>
      <c r="AZI21" s="95"/>
      <c r="AZJ21" s="95"/>
      <c r="AZK21" s="95"/>
      <c r="AZL21" s="95"/>
      <c r="AZM21" s="95"/>
      <c r="AZN21" s="95"/>
      <c r="AZO21" s="95"/>
      <c r="AZP21" s="95"/>
      <c r="AZQ21" s="95"/>
      <c r="AZR21" s="95"/>
      <c r="AZS21" s="95"/>
      <c r="AZT21" s="95"/>
      <c r="AZU21" s="95"/>
      <c r="AZV21" s="95"/>
      <c r="AZW21" s="95"/>
      <c r="AZX21" s="95"/>
      <c r="AZY21" s="95"/>
      <c r="AZZ21" s="95"/>
      <c r="BAA21" s="95"/>
      <c r="BAB21" s="95"/>
      <c r="BAC21" s="95"/>
      <c r="BAD21" s="95"/>
      <c r="BAE21" s="95"/>
      <c r="BAF21" s="95"/>
      <c r="BAG21" s="95"/>
      <c r="BAH21" s="95"/>
      <c r="BAI21" s="95"/>
      <c r="BAJ21" s="95"/>
      <c r="BAK21" s="95"/>
      <c r="BAL21" s="95"/>
      <c r="BAM21" s="95"/>
      <c r="BAN21" s="95"/>
      <c r="BAO21" s="95"/>
      <c r="BAP21" s="95"/>
      <c r="BAQ21" s="95"/>
      <c r="BAR21" s="95"/>
      <c r="BAS21" s="95"/>
      <c r="BAT21" s="95"/>
      <c r="BAU21" s="95"/>
      <c r="BAV21" s="95"/>
      <c r="BAW21" s="95"/>
      <c r="BAX21" s="95"/>
      <c r="BAY21" s="95"/>
      <c r="BAZ21" s="95"/>
      <c r="BBA21" s="95"/>
      <c r="BBB21" s="95"/>
      <c r="BBC21" s="95"/>
      <c r="BBD21" s="95"/>
      <c r="BBE21" s="95"/>
      <c r="BBF21" s="95"/>
      <c r="BBG21" s="95"/>
      <c r="BBH21" s="95"/>
      <c r="BBI21" s="95"/>
      <c r="BBJ21" s="95"/>
      <c r="BBK21" s="95"/>
      <c r="BBL21" s="95"/>
      <c r="BBM21" s="95"/>
      <c r="BBN21" s="95"/>
      <c r="BBO21" s="95"/>
      <c r="BBP21" s="95"/>
      <c r="BBQ21" s="95"/>
      <c r="BBR21" s="95"/>
      <c r="BBS21" s="95"/>
      <c r="BBT21" s="95"/>
      <c r="BBU21" s="95"/>
      <c r="BBV21" s="95"/>
      <c r="BBW21" s="95"/>
      <c r="BBX21" s="95"/>
      <c r="BBY21" s="95"/>
      <c r="BBZ21" s="95"/>
      <c r="BCA21" s="95"/>
      <c r="BCB21" s="95"/>
      <c r="BCC21" s="95"/>
      <c r="BCD21" s="95"/>
      <c r="BCE21" s="95"/>
      <c r="BCF21" s="95"/>
      <c r="BCG21" s="95"/>
      <c r="BCH21" s="95"/>
      <c r="BCI21" s="95"/>
      <c r="BCJ21" s="95"/>
      <c r="BCK21" s="95"/>
      <c r="BCL21" s="95"/>
      <c r="BCM21" s="95"/>
      <c r="BCN21" s="95"/>
      <c r="BCO21" s="95"/>
      <c r="BCP21" s="95"/>
      <c r="BCQ21" s="95"/>
      <c r="BCR21" s="95"/>
      <c r="BCS21" s="95"/>
      <c r="BCT21" s="95"/>
      <c r="BCU21" s="95"/>
      <c r="BCV21" s="95"/>
      <c r="BCW21" s="95"/>
      <c r="BCX21" s="95"/>
      <c r="BCY21" s="95"/>
      <c r="BCZ21" s="95"/>
      <c r="BDA21" s="95"/>
      <c r="BDB21" s="95"/>
      <c r="BDC21" s="95"/>
      <c r="BDD21" s="95"/>
      <c r="BDE21" s="95"/>
      <c r="BDF21" s="95"/>
      <c r="BDG21" s="95"/>
      <c r="BDH21" s="95"/>
      <c r="BDI21" s="95"/>
      <c r="BDJ21" s="95"/>
      <c r="BDK21" s="95"/>
      <c r="BDL21" s="95"/>
      <c r="BDM21" s="95"/>
      <c r="BDN21" s="95"/>
      <c r="BDO21" s="95"/>
      <c r="BDP21" s="95"/>
      <c r="BDQ21" s="95"/>
      <c r="BDR21" s="95"/>
      <c r="BDS21" s="95"/>
      <c r="BDT21" s="95"/>
      <c r="BDU21" s="95"/>
      <c r="BDV21" s="95"/>
      <c r="BDW21" s="95"/>
      <c r="BDX21" s="95"/>
      <c r="BDY21" s="95"/>
      <c r="BDZ21" s="95"/>
      <c r="BEA21" s="95"/>
      <c r="BEB21" s="95"/>
      <c r="BEC21" s="95"/>
      <c r="BED21" s="95"/>
      <c r="BEE21" s="95"/>
      <c r="BEF21" s="95"/>
      <c r="BEG21" s="95"/>
      <c r="BEH21" s="95"/>
      <c r="BEI21" s="95"/>
      <c r="BEJ21" s="95"/>
      <c r="BEK21" s="95"/>
      <c r="BEL21" s="95"/>
      <c r="BEM21" s="95"/>
      <c r="BEN21" s="95"/>
      <c r="BEO21" s="95"/>
      <c r="BEP21" s="95"/>
      <c r="BEQ21" s="95"/>
      <c r="BER21" s="95"/>
      <c r="BES21" s="95"/>
      <c r="BET21" s="95"/>
      <c r="BEU21" s="95"/>
      <c r="BEV21" s="95"/>
      <c r="BEW21" s="95"/>
      <c r="BEX21" s="95"/>
      <c r="BEY21" s="95"/>
      <c r="BEZ21" s="95"/>
      <c r="BFA21" s="95"/>
      <c r="BFB21" s="95"/>
      <c r="BFC21" s="95"/>
      <c r="BFD21" s="95"/>
      <c r="BFE21" s="95"/>
      <c r="BFF21" s="95"/>
      <c r="BFG21" s="95"/>
      <c r="BFH21" s="95"/>
      <c r="BFI21" s="95"/>
      <c r="BFJ21" s="95"/>
      <c r="BFK21" s="95"/>
      <c r="BFL21" s="95"/>
      <c r="BFM21" s="95"/>
      <c r="BFN21" s="95"/>
      <c r="BFO21" s="95"/>
      <c r="BFP21" s="95"/>
      <c r="BFQ21" s="95"/>
      <c r="BFR21" s="95"/>
      <c r="BFS21" s="95"/>
      <c r="BFT21" s="95"/>
      <c r="BFU21" s="95"/>
      <c r="BFV21" s="95"/>
      <c r="BFW21" s="95"/>
      <c r="BFX21" s="95"/>
      <c r="BFY21" s="95"/>
      <c r="BFZ21" s="95"/>
      <c r="BGA21" s="95"/>
      <c r="BGB21" s="95"/>
      <c r="BGC21" s="95"/>
      <c r="BGD21" s="95"/>
      <c r="BGE21" s="95"/>
      <c r="BGF21" s="95"/>
      <c r="BGG21" s="95"/>
      <c r="BGH21" s="95"/>
      <c r="BGI21" s="95"/>
      <c r="BGJ21" s="95"/>
      <c r="BGK21" s="95"/>
      <c r="BGL21" s="95"/>
      <c r="BGM21" s="95"/>
      <c r="BGN21" s="95"/>
      <c r="BGO21" s="95"/>
      <c r="BGP21" s="95"/>
      <c r="BGQ21" s="95"/>
      <c r="BGR21" s="95"/>
      <c r="BGS21" s="95"/>
      <c r="BGT21" s="95"/>
      <c r="BGU21" s="95"/>
      <c r="BGV21" s="95"/>
      <c r="BGW21" s="95"/>
      <c r="BGX21" s="95"/>
      <c r="BGY21" s="95"/>
      <c r="BGZ21" s="95"/>
      <c r="BHA21" s="95"/>
      <c r="BHB21" s="95"/>
      <c r="BHC21" s="95"/>
      <c r="BHD21" s="95"/>
      <c r="BHE21" s="95"/>
      <c r="BHF21" s="95"/>
      <c r="BHG21" s="95"/>
      <c r="BHH21" s="95"/>
      <c r="BHI21" s="95"/>
      <c r="BHJ21" s="95"/>
      <c r="BHK21" s="95"/>
      <c r="BHL21" s="95"/>
      <c r="BHM21" s="95"/>
      <c r="BHN21" s="95"/>
      <c r="BHO21" s="95"/>
      <c r="BHP21" s="95"/>
      <c r="BHQ21" s="95"/>
      <c r="BHR21" s="95"/>
      <c r="BHS21" s="95"/>
      <c r="BHT21" s="95"/>
      <c r="BHU21" s="95"/>
      <c r="BHV21" s="95"/>
      <c r="BHW21" s="95"/>
      <c r="BHX21" s="95"/>
      <c r="BHY21" s="95"/>
      <c r="BHZ21" s="95"/>
      <c r="BIA21" s="95"/>
      <c r="BIB21" s="95"/>
      <c r="BIC21" s="95"/>
      <c r="BID21" s="95"/>
      <c r="BIE21" s="95"/>
      <c r="BIF21" s="95"/>
      <c r="BIG21" s="95"/>
      <c r="BIH21" s="95"/>
      <c r="BII21" s="95"/>
      <c r="BIJ21" s="95"/>
      <c r="BIK21" s="95"/>
      <c r="BIL21" s="95"/>
      <c r="BIM21" s="95"/>
      <c r="BIN21" s="95"/>
      <c r="BIO21" s="95"/>
      <c r="BIP21" s="95"/>
      <c r="BIQ21" s="95"/>
      <c r="BIR21" s="95"/>
      <c r="BIS21" s="95"/>
      <c r="BIT21" s="95"/>
      <c r="BIU21" s="95"/>
      <c r="BIV21" s="95"/>
      <c r="BIW21" s="95"/>
      <c r="BIX21" s="95"/>
      <c r="BIY21" s="95"/>
      <c r="BIZ21" s="95"/>
      <c r="BJA21" s="95"/>
      <c r="BJB21" s="95"/>
      <c r="BJC21" s="95"/>
      <c r="BJD21" s="95"/>
      <c r="BJE21" s="95"/>
      <c r="BJF21" s="95"/>
      <c r="BJG21" s="95"/>
      <c r="BJH21" s="95"/>
      <c r="BJI21" s="95"/>
      <c r="BJJ21" s="95"/>
      <c r="BJK21" s="95"/>
      <c r="BJL21" s="95"/>
      <c r="BJM21" s="95"/>
      <c r="BJN21" s="95"/>
      <c r="BJO21" s="95"/>
      <c r="BJP21" s="95"/>
      <c r="BJQ21" s="95"/>
      <c r="BJR21" s="95"/>
      <c r="BJS21" s="95"/>
      <c r="BJT21" s="95"/>
      <c r="BJU21" s="95"/>
      <c r="BJV21" s="95"/>
      <c r="BJW21" s="95"/>
      <c r="BJX21" s="95"/>
      <c r="BJY21" s="95"/>
      <c r="BJZ21" s="95"/>
      <c r="BKA21" s="95"/>
      <c r="BKB21" s="95"/>
      <c r="BKC21" s="95"/>
      <c r="BKD21" s="95"/>
      <c r="BKE21" s="95"/>
      <c r="BKF21" s="95"/>
      <c r="BKG21" s="95"/>
      <c r="BKH21" s="95"/>
      <c r="BKI21" s="95"/>
      <c r="BKJ21" s="95"/>
      <c r="BKK21" s="95"/>
      <c r="BKL21" s="95"/>
      <c r="BKM21" s="95"/>
      <c r="BKN21" s="95"/>
      <c r="BKO21" s="95"/>
      <c r="BKP21" s="95"/>
      <c r="BKQ21" s="95"/>
      <c r="BKR21" s="95"/>
      <c r="BKS21" s="95"/>
      <c r="BKT21" s="95"/>
      <c r="BKU21" s="95"/>
      <c r="BKV21" s="95"/>
      <c r="BKW21" s="95"/>
      <c r="BKX21" s="95"/>
      <c r="BKY21" s="95"/>
      <c r="BKZ21" s="95"/>
      <c r="BLA21" s="95"/>
      <c r="BLB21" s="95"/>
      <c r="BLC21" s="95"/>
      <c r="BLD21" s="95"/>
      <c r="BLE21" s="95"/>
      <c r="BLF21" s="95"/>
      <c r="BLG21" s="95"/>
      <c r="BLH21" s="95"/>
      <c r="BLI21" s="95"/>
      <c r="BLJ21" s="95"/>
      <c r="BLK21" s="95"/>
      <c r="BLL21" s="95"/>
      <c r="BLM21" s="95"/>
      <c r="BLN21" s="95"/>
      <c r="BLO21" s="95"/>
      <c r="BLP21" s="95"/>
      <c r="BLQ21" s="95"/>
      <c r="BLR21" s="95"/>
      <c r="BLS21" s="95"/>
      <c r="BLT21" s="95"/>
      <c r="BLU21" s="95"/>
      <c r="BLV21" s="95"/>
      <c r="BLW21" s="95"/>
      <c r="BLX21" s="95"/>
      <c r="BLY21" s="95"/>
      <c r="BLZ21" s="95"/>
      <c r="BMA21" s="95"/>
      <c r="BMB21" s="95"/>
      <c r="BMC21" s="95"/>
      <c r="BMD21" s="95"/>
      <c r="BME21" s="95"/>
      <c r="BMF21" s="95"/>
      <c r="BMG21" s="95"/>
      <c r="BMH21" s="95"/>
      <c r="BMI21" s="95"/>
      <c r="BMJ21" s="95"/>
      <c r="BMK21" s="95"/>
      <c r="BML21" s="95"/>
      <c r="BMM21" s="95"/>
      <c r="BMN21" s="95"/>
      <c r="BMO21" s="95"/>
      <c r="BMP21" s="95"/>
      <c r="BMQ21" s="95"/>
      <c r="BMR21" s="95"/>
      <c r="BMS21" s="95"/>
      <c r="BMT21" s="95"/>
      <c r="BMU21" s="95"/>
      <c r="BMV21" s="95"/>
      <c r="BMW21" s="95"/>
      <c r="BMX21" s="95"/>
      <c r="BMY21" s="95"/>
      <c r="BMZ21" s="95"/>
      <c r="BNA21" s="95"/>
      <c r="BNB21" s="95"/>
      <c r="BNC21" s="95"/>
      <c r="BND21" s="95"/>
      <c r="BNE21" s="95"/>
      <c r="BNF21" s="95"/>
      <c r="BNG21" s="95"/>
      <c r="BNH21" s="95"/>
      <c r="BNI21" s="95"/>
      <c r="BNJ21" s="95"/>
      <c r="BNK21" s="95"/>
      <c r="BNL21" s="95"/>
      <c r="BNM21" s="95"/>
      <c r="BNN21" s="95"/>
      <c r="BNO21" s="95"/>
      <c r="BNP21" s="95"/>
      <c r="BNQ21" s="95"/>
      <c r="BNR21" s="95"/>
      <c r="BNS21" s="95"/>
      <c r="BNT21" s="95"/>
      <c r="BNU21" s="95"/>
      <c r="BNV21" s="95"/>
      <c r="BNW21" s="95"/>
      <c r="BNX21" s="95"/>
      <c r="BNY21" s="95"/>
      <c r="BNZ21" s="95"/>
      <c r="BOA21" s="95"/>
      <c r="BOB21" s="95"/>
      <c r="BOC21" s="95"/>
      <c r="BOD21" s="95"/>
      <c r="BOE21" s="95"/>
      <c r="BOF21" s="95"/>
      <c r="BOG21" s="95"/>
      <c r="BOH21" s="95"/>
      <c r="BOI21" s="95"/>
      <c r="BOJ21" s="95"/>
      <c r="BOK21" s="95"/>
      <c r="BOL21" s="95"/>
      <c r="BOM21" s="95"/>
      <c r="BON21" s="95"/>
      <c r="BOO21" s="95"/>
      <c r="BOP21" s="95"/>
      <c r="BOQ21" s="95"/>
      <c r="BOR21" s="95"/>
      <c r="BOS21" s="95"/>
      <c r="BOT21" s="95"/>
      <c r="BOU21" s="95"/>
      <c r="BOV21" s="95"/>
      <c r="BOW21" s="95"/>
      <c r="BOX21" s="95"/>
      <c r="BOY21" s="95"/>
      <c r="BOZ21" s="95"/>
      <c r="BPA21" s="95"/>
      <c r="BPB21" s="95"/>
      <c r="BPC21" s="95"/>
      <c r="BPD21" s="95"/>
      <c r="BPE21" s="95"/>
      <c r="BPF21" s="95"/>
      <c r="BPG21" s="95"/>
      <c r="BPH21" s="95"/>
      <c r="BPI21" s="95"/>
      <c r="BPJ21" s="95"/>
      <c r="BPK21" s="95"/>
      <c r="BPL21" s="95"/>
      <c r="BPM21" s="95"/>
      <c r="BPN21" s="95"/>
      <c r="BPO21" s="95"/>
      <c r="BPP21" s="95"/>
      <c r="BPQ21" s="95"/>
      <c r="BPR21" s="95"/>
      <c r="BPS21" s="95"/>
      <c r="BPT21" s="95"/>
      <c r="BPU21" s="95"/>
      <c r="BPV21" s="95"/>
      <c r="BPW21" s="95"/>
      <c r="BPX21" s="95"/>
      <c r="BPY21" s="95"/>
      <c r="BPZ21" s="95"/>
      <c r="BQA21" s="95"/>
      <c r="BQB21" s="95"/>
      <c r="BQC21" s="95"/>
      <c r="BQD21" s="95"/>
      <c r="BQE21" s="95"/>
      <c r="BQF21" s="95"/>
      <c r="BQG21" s="95"/>
      <c r="BQH21" s="95"/>
      <c r="BQI21" s="95"/>
      <c r="BQJ21" s="95"/>
      <c r="BQK21" s="95"/>
      <c r="BQL21" s="95"/>
      <c r="BQM21" s="95"/>
      <c r="BQN21" s="95"/>
      <c r="BQO21" s="95"/>
      <c r="BQP21" s="95"/>
      <c r="BQQ21" s="95"/>
      <c r="BQR21" s="95"/>
      <c r="BQS21" s="95"/>
      <c r="BQT21" s="95"/>
      <c r="BQU21" s="95"/>
      <c r="BQV21" s="95"/>
      <c r="BQW21" s="95"/>
      <c r="BQX21" s="95"/>
      <c r="BQY21" s="95"/>
      <c r="BQZ21" s="95"/>
      <c r="BRA21" s="95"/>
      <c r="BRB21" s="95"/>
      <c r="BRC21" s="95"/>
      <c r="BRD21" s="95"/>
      <c r="BRE21" s="95"/>
      <c r="BRF21" s="95"/>
      <c r="BRG21" s="95"/>
      <c r="BRH21" s="95"/>
      <c r="BRI21" s="95"/>
      <c r="BRJ21" s="95"/>
      <c r="BRK21" s="95"/>
      <c r="BRL21" s="95"/>
      <c r="BRM21" s="95"/>
      <c r="BRN21" s="95"/>
      <c r="BRO21" s="95"/>
      <c r="BRP21" s="95"/>
      <c r="BRQ21" s="95"/>
      <c r="BRR21" s="95"/>
      <c r="BRS21" s="95"/>
      <c r="BRT21" s="95"/>
      <c r="BRU21" s="95"/>
      <c r="BRV21" s="95"/>
      <c r="BRW21" s="95"/>
      <c r="BRX21" s="95"/>
      <c r="BRY21" s="95"/>
      <c r="BRZ21" s="95"/>
      <c r="BSA21" s="95"/>
      <c r="BSB21" s="95"/>
      <c r="BSC21" s="95"/>
      <c r="BSD21" s="95"/>
      <c r="BSE21" s="95"/>
      <c r="BSF21" s="95"/>
      <c r="BSG21" s="95"/>
      <c r="BSH21" s="95"/>
      <c r="BSI21" s="95"/>
      <c r="BSJ21" s="95"/>
      <c r="BSK21" s="95"/>
      <c r="BSL21" s="95"/>
      <c r="BSM21" s="95"/>
      <c r="BSN21" s="95"/>
      <c r="BSO21" s="95"/>
      <c r="BSP21" s="95"/>
      <c r="BSQ21" s="95"/>
      <c r="BSR21" s="95"/>
      <c r="BSS21" s="95"/>
      <c r="BST21" s="95"/>
      <c r="BSU21" s="95"/>
      <c r="BSV21" s="95"/>
      <c r="BSW21" s="95"/>
      <c r="BSX21" s="95"/>
      <c r="BSY21" s="95"/>
      <c r="BSZ21" s="95"/>
      <c r="BTA21" s="95"/>
      <c r="BTB21" s="95"/>
      <c r="BTC21" s="95"/>
      <c r="BTD21" s="95"/>
      <c r="BTE21" s="95"/>
      <c r="BTF21" s="95"/>
      <c r="BTG21" s="95"/>
      <c r="BTH21" s="95"/>
      <c r="BTI21" s="95"/>
      <c r="BTJ21" s="95"/>
      <c r="BTK21" s="95"/>
      <c r="BTL21" s="95"/>
      <c r="BTM21" s="95"/>
      <c r="BTN21" s="95"/>
      <c r="BTO21" s="95"/>
      <c r="BTP21" s="95"/>
      <c r="BTQ21" s="95"/>
      <c r="BTR21" s="95"/>
      <c r="BTS21" s="95"/>
      <c r="BTT21" s="95"/>
      <c r="BTU21" s="95"/>
      <c r="BTV21" s="95"/>
      <c r="BTW21" s="95"/>
      <c r="BTX21" s="95"/>
      <c r="BTY21" s="95"/>
      <c r="BTZ21" s="95"/>
      <c r="BUA21" s="95"/>
      <c r="BUB21" s="95"/>
      <c r="BUC21" s="95"/>
      <c r="BUD21" s="95"/>
      <c r="BUE21" s="95"/>
      <c r="BUF21" s="95"/>
      <c r="BUG21" s="95"/>
      <c r="BUH21" s="95"/>
      <c r="BUI21" s="95"/>
      <c r="BUJ21" s="95"/>
      <c r="BUK21" s="95"/>
      <c r="BUL21" s="95"/>
      <c r="BUM21" s="95"/>
      <c r="BUN21" s="95"/>
      <c r="BUO21" s="95"/>
      <c r="BUP21" s="95"/>
      <c r="BUQ21" s="95"/>
      <c r="BUR21" s="95"/>
      <c r="BUS21" s="95"/>
      <c r="BUT21" s="95"/>
      <c r="BUU21" s="95"/>
      <c r="BUV21" s="95"/>
      <c r="BUW21" s="95"/>
      <c r="BUX21" s="95"/>
      <c r="BUY21" s="95"/>
      <c r="BUZ21" s="95"/>
      <c r="BVA21" s="95"/>
      <c r="BVB21" s="95"/>
      <c r="BVC21" s="95"/>
      <c r="BVD21" s="95"/>
      <c r="BVE21" s="95"/>
      <c r="BVF21" s="95"/>
      <c r="BVG21" s="95"/>
      <c r="BVH21" s="95"/>
      <c r="BVI21" s="95"/>
      <c r="BVJ21" s="95"/>
      <c r="BVK21" s="95"/>
      <c r="BVL21" s="95"/>
      <c r="BVM21" s="95"/>
      <c r="BVN21" s="95"/>
      <c r="BVO21" s="95"/>
      <c r="BVP21" s="95"/>
      <c r="BVQ21" s="95"/>
      <c r="BVR21" s="95"/>
      <c r="BVS21" s="95"/>
      <c r="BVT21" s="95"/>
      <c r="BVU21" s="95"/>
      <c r="BVV21" s="95"/>
      <c r="BVW21" s="95"/>
      <c r="BVX21" s="95"/>
      <c r="BVY21" s="95"/>
      <c r="BVZ21" s="95"/>
      <c r="BWA21" s="95"/>
      <c r="BWB21" s="95"/>
      <c r="BWC21" s="95"/>
      <c r="BWD21" s="95"/>
      <c r="BWE21" s="95"/>
      <c r="BWF21" s="95"/>
      <c r="BWG21" s="95"/>
      <c r="BWH21" s="95"/>
      <c r="BWI21" s="95"/>
      <c r="BWJ21" s="95"/>
      <c r="BWK21" s="95"/>
      <c r="BWL21" s="95"/>
      <c r="BWM21" s="95"/>
      <c r="BWN21" s="95"/>
      <c r="BWO21" s="95"/>
      <c r="BWP21" s="95"/>
      <c r="BWQ21" s="95"/>
      <c r="BWR21" s="95"/>
      <c r="BWS21" s="95"/>
      <c r="BWT21" s="95"/>
      <c r="BWU21" s="95"/>
      <c r="BWV21" s="95"/>
      <c r="BWW21" s="95"/>
      <c r="BWX21" s="95"/>
      <c r="BWY21" s="95"/>
      <c r="BWZ21" s="95"/>
      <c r="BXA21" s="95"/>
      <c r="BXB21" s="95"/>
      <c r="BXC21" s="95"/>
      <c r="BXD21" s="95"/>
      <c r="BXE21" s="95"/>
      <c r="BXF21" s="95"/>
      <c r="BXG21" s="95"/>
      <c r="BXH21" s="95"/>
      <c r="BXI21" s="95"/>
      <c r="BXJ21" s="95"/>
      <c r="BXK21" s="95"/>
      <c r="BXL21" s="95"/>
      <c r="BXM21" s="95"/>
      <c r="BXN21" s="95"/>
      <c r="BXO21" s="95"/>
      <c r="BXP21" s="95"/>
      <c r="BXQ21" s="95"/>
      <c r="BXR21" s="95"/>
      <c r="BXS21" s="95"/>
      <c r="BXT21" s="95"/>
      <c r="BXU21" s="95"/>
      <c r="BXV21" s="95"/>
      <c r="BXW21" s="95"/>
      <c r="BXX21" s="95"/>
      <c r="BXY21" s="95"/>
      <c r="BXZ21" s="95"/>
      <c r="BYA21" s="95"/>
      <c r="BYB21" s="95"/>
      <c r="BYC21" s="95"/>
      <c r="BYD21" s="95"/>
      <c r="BYE21" s="95"/>
      <c r="BYF21" s="95"/>
      <c r="BYG21" s="95"/>
    </row>
    <row r="22" spans="1:2009" s="106" customFormat="1" ht="24.95" hidden="1" customHeight="1" x14ac:dyDescent="0.25">
      <c r="A22" s="137"/>
      <c r="B22" s="126" t="s">
        <v>359</v>
      </c>
      <c r="C22" s="174"/>
      <c r="D22" s="174"/>
      <c r="E22" s="175"/>
      <c r="F22" s="175"/>
      <c r="G22" s="713"/>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c r="AML22" s="100"/>
      <c r="AMM22" s="100"/>
      <c r="AMN22" s="100"/>
      <c r="AMO22" s="100"/>
      <c r="AMP22" s="100"/>
      <c r="AMQ22" s="100"/>
      <c r="AMR22" s="100"/>
      <c r="AMS22" s="100"/>
      <c r="AMT22" s="100"/>
      <c r="AMU22" s="100"/>
      <c r="AMV22" s="100"/>
      <c r="AMW22" s="100"/>
      <c r="AMX22" s="100"/>
      <c r="AMY22" s="100"/>
      <c r="AMZ22" s="100"/>
      <c r="ANA22" s="100"/>
      <c r="ANB22" s="100"/>
      <c r="ANC22" s="100"/>
      <c r="AND22" s="100"/>
      <c r="ANE22" s="100"/>
      <c r="ANF22" s="100"/>
      <c r="ANG22" s="100"/>
      <c r="ANH22" s="100"/>
      <c r="ANI22" s="100"/>
      <c r="ANJ22" s="100"/>
      <c r="ANK22" s="100"/>
      <c r="ANL22" s="100"/>
      <c r="ANM22" s="100"/>
      <c r="ANN22" s="100"/>
      <c r="ANO22" s="100"/>
      <c r="ANP22" s="100"/>
      <c r="ANQ22" s="100"/>
      <c r="ANR22" s="100"/>
      <c r="ANS22" s="100"/>
      <c r="ANT22" s="100"/>
      <c r="ANU22" s="100"/>
      <c r="ANV22" s="100"/>
      <c r="ANW22" s="100"/>
      <c r="ANX22" s="100"/>
      <c r="ANY22" s="100"/>
      <c r="ANZ22" s="100"/>
      <c r="AOA22" s="100"/>
      <c r="AOB22" s="100"/>
      <c r="AOC22" s="100"/>
      <c r="AOD22" s="100"/>
      <c r="AOE22" s="100"/>
      <c r="AOF22" s="100"/>
      <c r="AOG22" s="100"/>
      <c r="AOH22" s="100"/>
      <c r="AOI22" s="100"/>
      <c r="AOJ22" s="100"/>
      <c r="AOK22" s="100"/>
      <c r="AOL22" s="100"/>
      <c r="AOM22" s="100"/>
      <c r="AON22" s="100"/>
      <c r="AOO22" s="100"/>
      <c r="AOP22" s="100"/>
      <c r="AOQ22" s="100"/>
      <c r="AOR22" s="100"/>
      <c r="AOS22" s="100"/>
      <c r="AOT22" s="100"/>
      <c r="AOU22" s="100"/>
      <c r="AOV22" s="100"/>
      <c r="AOW22" s="100"/>
      <c r="AOX22" s="100"/>
      <c r="AOY22" s="100"/>
      <c r="AOZ22" s="100"/>
      <c r="APA22" s="100"/>
      <c r="APB22" s="100"/>
      <c r="APC22" s="100"/>
      <c r="APD22" s="100"/>
      <c r="APE22" s="100"/>
      <c r="APF22" s="100"/>
      <c r="APG22" s="100"/>
      <c r="APH22" s="100"/>
      <c r="API22" s="100"/>
      <c r="APJ22" s="100"/>
      <c r="APK22" s="100"/>
      <c r="APL22" s="100"/>
      <c r="APM22" s="100"/>
      <c r="APN22" s="100"/>
      <c r="APO22" s="100"/>
      <c r="APP22" s="100"/>
      <c r="APQ22" s="100"/>
      <c r="APR22" s="100"/>
      <c r="APS22" s="100"/>
      <c r="APT22" s="100"/>
      <c r="APU22" s="100"/>
      <c r="APV22" s="100"/>
      <c r="APW22" s="100"/>
      <c r="APX22" s="100"/>
      <c r="APY22" s="100"/>
      <c r="APZ22" s="100"/>
      <c r="AQA22" s="100"/>
      <c r="AQB22" s="100"/>
      <c r="AQC22" s="100"/>
      <c r="AQD22" s="100"/>
      <c r="AQE22" s="100"/>
      <c r="AQF22" s="100"/>
      <c r="AQG22" s="100"/>
      <c r="AQH22" s="100"/>
      <c r="AQI22" s="100"/>
      <c r="AQJ22" s="100"/>
      <c r="AQK22" s="100"/>
      <c r="AQL22" s="100"/>
      <c r="AQM22" s="100"/>
      <c r="AQN22" s="100"/>
      <c r="AQO22" s="100"/>
      <c r="AQP22" s="100"/>
      <c r="AQQ22" s="100"/>
      <c r="AQR22" s="100"/>
      <c r="AQS22" s="100"/>
      <c r="AQT22" s="100"/>
      <c r="AQU22" s="100"/>
      <c r="AQV22" s="100"/>
      <c r="AQW22" s="100"/>
      <c r="AQX22" s="100"/>
      <c r="AQY22" s="100"/>
      <c r="AQZ22" s="100"/>
      <c r="ARA22" s="100"/>
      <c r="ARB22" s="100"/>
      <c r="ARC22" s="100"/>
      <c r="ARD22" s="100"/>
      <c r="ARE22" s="100"/>
      <c r="ARF22" s="100"/>
      <c r="ARG22" s="100"/>
      <c r="ARH22" s="100"/>
      <c r="ARI22" s="100"/>
      <c r="ARJ22" s="100"/>
      <c r="ARK22" s="100"/>
      <c r="ARL22" s="100"/>
      <c r="ARM22" s="100"/>
      <c r="ARN22" s="100"/>
      <c r="ARO22" s="100"/>
      <c r="ARP22" s="100"/>
      <c r="ARQ22" s="100"/>
      <c r="ARR22" s="100"/>
      <c r="ARS22" s="100"/>
      <c r="ART22" s="100"/>
      <c r="ARU22" s="100"/>
      <c r="ARV22" s="100"/>
      <c r="ARW22" s="100"/>
      <c r="ARX22" s="100"/>
      <c r="ARY22" s="100"/>
      <c r="ARZ22" s="100"/>
      <c r="ASA22" s="100"/>
      <c r="ASB22" s="100"/>
      <c r="ASC22" s="100"/>
      <c r="ASD22" s="100"/>
      <c r="ASE22" s="100"/>
      <c r="ASF22" s="100"/>
      <c r="ASG22" s="100"/>
      <c r="ASH22" s="100"/>
      <c r="ASI22" s="100"/>
      <c r="ASJ22" s="100"/>
      <c r="ASK22" s="100"/>
      <c r="ASL22" s="100"/>
      <c r="ASM22" s="100"/>
      <c r="ASN22" s="100"/>
      <c r="ASO22" s="100"/>
      <c r="ASP22" s="100"/>
      <c r="ASQ22" s="100"/>
      <c r="ASR22" s="100"/>
      <c r="ASS22" s="100"/>
      <c r="AST22" s="100"/>
      <c r="ASU22" s="100"/>
      <c r="ASV22" s="100"/>
      <c r="ASW22" s="100"/>
      <c r="ASX22" s="100"/>
      <c r="ASY22" s="100"/>
      <c r="ASZ22" s="100"/>
      <c r="ATA22" s="100"/>
      <c r="ATB22" s="100"/>
      <c r="ATC22" s="100"/>
      <c r="ATD22" s="100"/>
      <c r="ATE22" s="100"/>
      <c r="ATF22" s="100"/>
      <c r="ATG22" s="100"/>
      <c r="ATH22" s="100"/>
      <c r="ATI22" s="100"/>
      <c r="ATJ22" s="100"/>
      <c r="ATK22" s="100"/>
      <c r="ATL22" s="100"/>
      <c r="ATM22" s="100"/>
      <c r="ATN22" s="100"/>
      <c r="ATO22" s="100"/>
      <c r="ATP22" s="100"/>
      <c r="ATQ22" s="100"/>
      <c r="ATR22" s="100"/>
      <c r="ATS22" s="100"/>
      <c r="ATT22" s="100"/>
      <c r="ATU22" s="100"/>
      <c r="ATV22" s="100"/>
      <c r="ATW22" s="100"/>
      <c r="ATX22" s="100"/>
      <c r="ATY22" s="100"/>
      <c r="ATZ22" s="100"/>
      <c r="AUA22" s="100"/>
      <c r="AUB22" s="100"/>
      <c r="AUC22" s="100"/>
      <c r="AUD22" s="100"/>
      <c r="AUE22" s="100"/>
      <c r="AUF22" s="100"/>
      <c r="AUG22" s="100"/>
      <c r="AUH22" s="100"/>
      <c r="AUI22" s="100"/>
      <c r="AUJ22" s="100"/>
      <c r="AUK22" s="100"/>
      <c r="AUL22" s="100"/>
      <c r="AUM22" s="100"/>
      <c r="AUN22" s="100"/>
      <c r="AUO22" s="100"/>
      <c r="AUP22" s="100"/>
      <c r="AUQ22" s="100"/>
      <c r="AUR22" s="100"/>
      <c r="AUS22" s="100"/>
      <c r="AUT22" s="100"/>
      <c r="AUU22" s="100"/>
      <c r="AUV22" s="100"/>
      <c r="AUW22" s="100"/>
      <c r="AUX22" s="100"/>
      <c r="AUY22" s="100"/>
      <c r="AUZ22" s="100"/>
      <c r="AVA22" s="100"/>
      <c r="AVB22" s="100"/>
      <c r="AVC22" s="100"/>
      <c r="AVD22" s="100"/>
      <c r="AVE22" s="100"/>
      <c r="AVF22" s="100"/>
      <c r="AVG22" s="100"/>
      <c r="AVH22" s="100"/>
      <c r="AVI22" s="100"/>
      <c r="AVJ22" s="100"/>
      <c r="AVK22" s="100"/>
      <c r="AVL22" s="100"/>
      <c r="AVM22" s="100"/>
      <c r="AVN22" s="100"/>
      <c r="AVO22" s="100"/>
      <c r="AVP22" s="100"/>
      <c r="AVQ22" s="100"/>
      <c r="AVR22" s="100"/>
      <c r="AVS22" s="100"/>
      <c r="AVT22" s="100"/>
      <c r="AVU22" s="100"/>
      <c r="AVV22" s="100"/>
      <c r="AVW22" s="100"/>
      <c r="AVX22" s="100"/>
      <c r="AVY22" s="100"/>
      <c r="AVZ22" s="100"/>
      <c r="AWA22" s="100"/>
      <c r="AWB22" s="100"/>
      <c r="AWC22" s="100"/>
      <c r="AWD22" s="100"/>
      <c r="AWE22" s="100"/>
      <c r="AWF22" s="100"/>
      <c r="AWG22" s="100"/>
      <c r="AWH22" s="100"/>
      <c r="AWI22" s="100"/>
      <c r="AWJ22" s="100"/>
      <c r="AWK22" s="100"/>
      <c r="AWL22" s="100"/>
      <c r="AWM22" s="100"/>
      <c r="AWN22" s="100"/>
      <c r="AWO22" s="100"/>
      <c r="AWP22" s="100"/>
      <c r="AWQ22" s="100"/>
      <c r="AWR22" s="100"/>
      <c r="AWS22" s="100"/>
      <c r="AWT22" s="100"/>
      <c r="AWU22" s="100"/>
      <c r="AWV22" s="100"/>
      <c r="AWW22" s="100"/>
      <c r="AWX22" s="100"/>
      <c r="AWY22" s="100"/>
      <c r="AWZ22" s="100"/>
      <c r="AXA22" s="100"/>
      <c r="AXB22" s="100"/>
      <c r="AXC22" s="100"/>
      <c r="AXD22" s="100"/>
      <c r="AXE22" s="100"/>
      <c r="AXF22" s="100"/>
      <c r="AXG22" s="100"/>
      <c r="AXH22" s="100"/>
      <c r="AXI22" s="100"/>
      <c r="AXJ22" s="100"/>
      <c r="AXK22" s="100"/>
      <c r="AXL22" s="100"/>
      <c r="AXM22" s="100"/>
      <c r="AXN22" s="100"/>
      <c r="AXO22" s="100"/>
      <c r="AXP22" s="100"/>
      <c r="AXQ22" s="100"/>
      <c r="AXR22" s="100"/>
      <c r="AXS22" s="100"/>
      <c r="AXT22" s="100"/>
      <c r="AXU22" s="100"/>
      <c r="AXV22" s="100"/>
      <c r="AXW22" s="100"/>
      <c r="AXX22" s="100"/>
      <c r="AXY22" s="100"/>
      <c r="AXZ22" s="100"/>
      <c r="AYA22" s="100"/>
      <c r="AYB22" s="100"/>
      <c r="AYC22" s="100"/>
      <c r="AYD22" s="100"/>
      <c r="AYE22" s="100"/>
      <c r="AYF22" s="100"/>
      <c r="AYG22" s="100"/>
      <c r="AYH22" s="100"/>
      <c r="AYI22" s="100"/>
      <c r="AYJ22" s="100"/>
      <c r="AYK22" s="100"/>
      <c r="AYL22" s="100"/>
      <c r="AYM22" s="100"/>
      <c r="AYN22" s="100"/>
      <c r="AYO22" s="100"/>
      <c r="AYP22" s="100"/>
      <c r="AYQ22" s="100"/>
      <c r="AYR22" s="100"/>
      <c r="AYS22" s="100"/>
      <c r="AYT22" s="100"/>
      <c r="AYU22" s="100"/>
      <c r="AYV22" s="100"/>
      <c r="AYW22" s="100"/>
      <c r="AYX22" s="100"/>
      <c r="AYY22" s="100"/>
      <c r="AYZ22" s="100"/>
      <c r="AZA22" s="100"/>
      <c r="AZB22" s="100"/>
      <c r="AZC22" s="100"/>
      <c r="AZD22" s="100"/>
      <c r="AZE22" s="100"/>
      <c r="AZF22" s="100"/>
      <c r="AZG22" s="100"/>
      <c r="AZH22" s="100"/>
      <c r="AZI22" s="100"/>
      <c r="AZJ22" s="100"/>
      <c r="AZK22" s="100"/>
      <c r="AZL22" s="100"/>
      <c r="AZM22" s="100"/>
      <c r="AZN22" s="100"/>
      <c r="AZO22" s="100"/>
      <c r="AZP22" s="100"/>
      <c r="AZQ22" s="100"/>
      <c r="AZR22" s="100"/>
      <c r="AZS22" s="100"/>
      <c r="AZT22" s="100"/>
      <c r="AZU22" s="100"/>
      <c r="AZV22" s="100"/>
      <c r="AZW22" s="100"/>
      <c r="AZX22" s="100"/>
      <c r="AZY22" s="100"/>
      <c r="AZZ22" s="100"/>
      <c r="BAA22" s="100"/>
      <c r="BAB22" s="100"/>
      <c r="BAC22" s="100"/>
      <c r="BAD22" s="100"/>
      <c r="BAE22" s="100"/>
      <c r="BAF22" s="100"/>
      <c r="BAG22" s="100"/>
      <c r="BAH22" s="100"/>
      <c r="BAI22" s="100"/>
      <c r="BAJ22" s="100"/>
      <c r="BAK22" s="100"/>
      <c r="BAL22" s="100"/>
      <c r="BAM22" s="100"/>
      <c r="BAN22" s="100"/>
      <c r="BAO22" s="100"/>
      <c r="BAP22" s="100"/>
      <c r="BAQ22" s="100"/>
      <c r="BAR22" s="100"/>
      <c r="BAS22" s="100"/>
      <c r="BAT22" s="100"/>
      <c r="BAU22" s="100"/>
      <c r="BAV22" s="100"/>
      <c r="BAW22" s="100"/>
      <c r="BAX22" s="100"/>
      <c r="BAY22" s="100"/>
      <c r="BAZ22" s="100"/>
      <c r="BBA22" s="100"/>
      <c r="BBB22" s="100"/>
      <c r="BBC22" s="100"/>
      <c r="BBD22" s="100"/>
      <c r="BBE22" s="100"/>
      <c r="BBF22" s="100"/>
      <c r="BBG22" s="100"/>
      <c r="BBH22" s="100"/>
      <c r="BBI22" s="100"/>
      <c r="BBJ22" s="100"/>
      <c r="BBK22" s="100"/>
      <c r="BBL22" s="100"/>
      <c r="BBM22" s="100"/>
      <c r="BBN22" s="100"/>
      <c r="BBO22" s="100"/>
      <c r="BBP22" s="100"/>
      <c r="BBQ22" s="100"/>
      <c r="BBR22" s="100"/>
      <c r="BBS22" s="100"/>
      <c r="BBT22" s="100"/>
      <c r="BBU22" s="100"/>
      <c r="BBV22" s="100"/>
      <c r="BBW22" s="100"/>
      <c r="BBX22" s="100"/>
      <c r="BBY22" s="100"/>
      <c r="BBZ22" s="100"/>
      <c r="BCA22" s="100"/>
      <c r="BCB22" s="100"/>
      <c r="BCC22" s="100"/>
      <c r="BCD22" s="100"/>
      <c r="BCE22" s="100"/>
      <c r="BCF22" s="100"/>
      <c r="BCG22" s="100"/>
      <c r="BCH22" s="100"/>
      <c r="BCI22" s="100"/>
      <c r="BCJ22" s="100"/>
      <c r="BCK22" s="100"/>
      <c r="BCL22" s="100"/>
      <c r="BCM22" s="100"/>
      <c r="BCN22" s="100"/>
      <c r="BCO22" s="100"/>
      <c r="BCP22" s="100"/>
      <c r="BCQ22" s="100"/>
      <c r="BCR22" s="100"/>
      <c r="BCS22" s="100"/>
      <c r="BCT22" s="100"/>
      <c r="BCU22" s="100"/>
      <c r="BCV22" s="100"/>
      <c r="BCW22" s="100"/>
      <c r="BCX22" s="100"/>
      <c r="BCY22" s="100"/>
      <c r="BCZ22" s="100"/>
      <c r="BDA22" s="100"/>
      <c r="BDB22" s="100"/>
      <c r="BDC22" s="100"/>
      <c r="BDD22" s="100"/>
      <c r="BDE22" s="100"/>
      <c r="BDF22" s="100"/>
      <c r="BDG22" s="100"/>
      <c r="BDH22" s="100"/>
      <c r="BDI22" s="100"/>
      <c r="BDJ22" s="100"/>
      <c r="BDK22" s="100"/>
      <c r="BDL22" s="100"/>
      <c r="BDM22" s="100"/>
      <c r="BDN22" s="100"/>
      <c r="BDO22" s="100"/>
      <c r="BDP22" s="100"/>
      <c r="BDQ22" s="100"/>
      <c r="BDR22" s="100"/>
      <c r="BDS22" s="100"/>
      <c r="BDT22" s="100"/>
      <c r="BDU22" s="100"/>
      <c r="BDV22" s="100"/>
      <c r="BDW22" s="100"/>
      <c r="BDX22" s="100"/>
      <c r="BDY22" s="100"/>
      <c r="BDZ22" s="100"/>
      <c r="BEA22" s="100"/>
      <c r="BEB22" s="100"/>
      <c r="BEC22" s="100"/>
      <c r="BED22" s="100"/>
      <c r="BEE22" s="100"/>
      <c r="BEF22" s="100"/>
      <c r="BEG22" s="100"/>
      <c r="BEH22" s="100"/>
      <c r="BEI22" s="100"/>
      <c r="BEJ22" s="100"/>
      <c r="BEK22" s="100"/>
      <c r="BEL22" s="100"/>
      <c r="BEM22" s="100"/>
      <c r="BEN22" s="100"/>
      <c r="BEO22" s="100"/>
      <c r="BEP22" s="100"/>
      <c r="BEQ22" s="100"/>
      <c r="BER22" s="100"/>
      <c r="BES22" s="100"/>
      <c r="BET22" s="100"/>
      <c r="BEU22" s="100"/>
      <c r="BEV22" s="100"/>
      <c r="BEW22" s="100"/>
      <c r="BEX22" s="100"/>
      <c r="BEY22" s="100"/>
      <c r="BEZ22" s="100"/>
      <c r="BFA22" s="100"/>
      <c r="BFB22" s="100"/>
      <c r="BFC22" s="100"/>
      <c r="BFD22" s="100"/>
      <c r="BFE22" s="100"/>
      <c r="BFF22" s="100"/>
      <c r="BFG22" s="100"/>
      <c r="BFH22" s="100"/>
      <c r="BFI22" s="100"/>
      <c r="BFJ22" s="100"/>
      <c r="BFK22" s="100"/>
      <c r="BFL22" s="100"/>
      <c r="BFM22" s="100"/>
      <c r="BFN22" s="100"/>
      <c r="BFO22" s="100"/>
      <c r="BFP22" s="100"/>
      <c r="BFQ22" s="100"/>
      <c r="BFR22" s="100"/>
      <c r="BFS22" s="100"/>
      <c r="BFT22" s="100"/>
      <c r="BFU22" s="100"/>
      <c r="BFV22" s="100"/>
      <c r="BFW22" s="100"/>
      <c r="BFX22" s="100"/>
      <c r="BFY22" s="100"/>
      <c r="BFZ22" s="100"/>
      <c r="BGA22" s="100"/>
      <c r="BGB22" s="100"/>
      <c r="BGC22" s="100"/>
      <c r="BGD22" s="100"/>
      <c r="BGE22" s="100"/>
      <c r="BGF22" s="100"/>
      <c r="BGG22" s="100"/>
      <c r="BGH22" s="100"/>
      <c r="BGI22" s="100"/>
      <c r="BGJ22" s="100"/>
      <c r="BGK22" s="100"/>
      <c r="BGL22" s="100"/>
      <c r="BGM22" s="100"/>
      <c r="BGN22" s="100"/>
      <c r="BGO22" s="100"/>
      <c r="BGP22" s="100"/>
      <c r="BGQ22" s="100"/>
      <c r="BGR22" s="100"/>
      <c r="BGS22" s="100"/>
      <c r="BGT22" s="100"/>
      <c r="BGU22" s="100"/>
      <c r="BGV22" s="100"/>
      <c r="BGW22" s="100"/>
      <c r="BGX22" s="100"/>
      <c r="BGY22" s="100"/>
      <c r="BGZ22" s="100"/>
      <c r="BHA22" s="100"/>
      <c r="BHB22" s="100"/>
      <c r="BHC22" s="100"/>
      <c r="BHD22" s="100"/>
      <c r="BHE22" s="100"/>
      <c r="BHF22" s="100"/>
      <c r="BHG22" s="100"/>
      <c r="BHH22" s="100"/>
      <c r="BHI22" s="100"/>
      <c r="BHJ22" s="100"/>
      <c r="BHK22" s="100"/>
      <c r="BHL22" s="100"/>
      <c r="BHM22" s="100"/>
      <c r="BHN22" s="100"/>
      <c r="BHO22" s="100"/>
      <c r="BHP22" s="100"/>
      <c r="BHQ22" s="100"/>
      <c r="BHR22" s="100"/>
      <c r="BHS22" s="100"/>
      <c r="BHT22" s="100"/>
      <c r="BHU22" s="100"/>
      <c r="BHV22" s="100"/>
      <c r="BHW22" s="100"/>
      <c r="BHX22" s="100"/>
      <c r="BHY22" s="100"/>
      <c r="BHZ22" s="100"/>
      <c r="BIA22" s="100"/>
      <c r="BIB22" s="100"/>
      <c r="BIC22" s="100"/>
      <c r="BID22" s="100"/>
      <c r="BIE22" s="100"/>
      <c r="BIF22" s="100"/>
      <c r="BIG22" s="100"/>
      <c r="BIH22" s="100"/>
      <c r="BII22" s="100"/>
      <c r="BIJ22" s="100"/>
      <c r="BIK22" s="100"/>
      <c r="BIL22" s="100"/>
      <c r="BIM22" s="100"/>
      <c r="BIN22" s="100"/>
      <c r="BIO22" s="100"/>
      <c r="BIP22" s="100"/>
      <c r="BIQ22" s="100"/>
      <c r="BIR22" s="100"/>
      <c r="BIS22" s="100"/>
      <c r="BIT22" s="100"/>
      <c r="BIU22" s="100"/>
      <c r="BIV22" s="100"/>
      <c r="BIW22" s="100"/>
      <c r="BIX22" s="100"/>
      <c r="BIY22" s="100"/>
      <c r="BIZ22" s="100"/>
      <c r="BJA22" s="100"/>
      <c r="BJB22" s="100"/>
      <c r="BJC22" s="100"/>
      <c r="BJD22" s="100"/>
      <c r="BJE22" s="100"/>
      <c r="BJF22" s="100"/>
      <c r="BJG22" s="100"/>
      <c r="BJH22" s="100"/>
      <c r="BJI22" s="100"/>
      <c r="BJJ22" s="100"/>
      <c r="BJK22" s="100"/>
      <c r="BJL22" s="100"/>
      <c r="BJM22" s="100"/>
      <c r="BJN22" s="100"/>
      <c r="BJO22" s="100"/>
      <c r="BJP22" s="100"/>
      <c r="BJQ22" s="100"/>
      <c r="BJR22" s="100"/>
      <c r="BJS22" s="100"/>
      <c r="BJT22" s="100"/>
      <c r="BJU22" s="100"/>
      <c r="BJV22" s="100"/>
      <c r="BJW22" s="100"/>
      <c r="BJX22" s="100"/>
      <c r="BJY22" s="100"/>
      <c r="BJZ22" s="100"/>
      <c r="BKA22" s="100"/>
      <c r="BKB22" s="100"/>
      <c r="BKC22" s="100"/>
      <c r="BKD22" s="100"/>
      <c r="BKE22" s="100"/>
      <c r="BKF22" s="100"/>
      <c r="BKG22" s="100"/>
      <c r="BKH22" s="100"/>
      <c r="BKI22" s="100"/>
      <c r="BKJ22" s="100"/>
      <c r="BKK22" s="100"/>
      <c r="BKL22" s="100"/>
      <c r="BKM22" s="100"/>
      <c r="BKN22" s="100"/>
      <c r="BKO22" s="100"/>
      <c r="BKP22" s="100"/>
      <c r="BKQ22" s="100"/>
      <c r="BKR22" s="100"/>
      <c r="BKS22" s="100"/>
      <c r="BKT22" s="100"/>
      <c r="BKU22" s="100"/>
      <c r="BKV22" s="100"/>
      <c r="BKW22" s="100"/>
      <c r="BKX22" s="100"/>
      <c r="BKY22" s="100"/>
      <c r="BKZ22" s="100"/>
      <c r="BLA22" s="100"/>
      <c r="BLB22" s="100"/>
      <c r="BLC22" s="100"/>
      <c r="BLD22" s="100"/>
      <c r="BLE22" s="100"/>
      <c r="BLF22" s="100"/>
      <c r="BLG22" s="100"/>
      <c r="BLH22" s="100"/>
      <c r="BLI22" s="100"/>
      <c r="BLJ22" s="100"/>
      <c r="BLK22" s="100"/>
      <c r="BLL22" s="100"/>
      <c r="BLM22" s="100"/>
      <c r="BLN22" s="100"/>
      <c r="BLO22" s="100"/>
      <c r="BLP22" s="100"/>
      <c r="BLQ22" s="100"/>
      <c r="BLR22" s="100"/>
      <c r="BLS22" s="100"/>
      <c r="BLT22" s="100"/>
      <c r="BLU22" s="100"/>
      <c r="BLV22" s="100"/>
      <c r="BLW22" s="100"/>
      <c r="BLX22" s="100"/>
      <c r="BLY22" s="100"/>
      <c r="BLZ22" s="100"/>
      <c r="BMA22" s="100"/>
      <c r="BMB22" s="100"/>
      <c r="BMC22" s="100"/>
      <c r="BMD22" s="100"/>
      <c r="BME22" s="100"/>
      <c r="BMF22" s="100"/>
      <c r="BMG22" s="100"/>
      <c r="BMH22" s="100"/>
      <c r="BMI22" s="100"/>
      <c r="BMJ22" s="100"/>
      <c r="BMK22" s="100"/>
      <c r="BML22" s="100"/>
      <c r="BMM22" s="100"/>
      <c r="BMN22" s="100"/>
      <c r="BMO22" s="100"/>
      <c r="BMP22" s="100"/>
      <c r="BMQ22" s="100"/>
      <c r="BMR22" s="100"/>
      <c r="BMS22" s="100"/>
      <c r="BMT22" s="100"/>
      <c r="BMU22" s="100"/>
      <c r="BMV22" s="100"/>
      <c r="BMW22" s="100"/>
      <c r="BMX22" s="100"/>
      <c r="BMY22" s="100"/>
      <c r="BMZ22" s="100"/>
      <c r="BNA22" s="100"/>
      <c r="BNB22" s="100"/>
      <c r="BNC22" s="100"/>
      <c r="BND22" s="100"/>
      <c r="BNE22" s="100"/>
      <c r="BNF22" s="100"/>
      <c r="BNG22" s="100"/>
      <c r="BNH22" s="100"/>
      <c r="BNI22" s="100"/>
      <c r="BNJ22" s="100"/>
      <c r="BNK22" s="100"/>
      <c r="BNL22" s="100"/>
      <c r="BNM22" s="100"/>
      <c r="BNN22" s="100"/>
      <c r="BNO22" s="100"/>
      <c r="BNP22" s="100"/>
      <c r="BNQ22" s="100"/>
      <c r="BNR22" s="100"/>
      <c r="BNS22" s="100"/>
      <c r="BNT22" s="100"/>
      <c r="BNU22" s="100"/>
      <c r="BNV22" s="100"/>
      <c r="BNW22" s="100"/>
      <c r="BNX22" s="100"/>
      <c r="BNY22" s="100"/>
      <c r="BNZ22" s="100"/>
      <c r="BOA22" s="100"/>
      <c r="BOB22" s="100"/>
      <c r="BOC22" s="100"/>
      <c r="BOD22" s="100"/>
      <c r="BOE22" s="100"/>
      <c r="BOF22" s="100"/>
      <c r="BOG22" s="100"/>
      <c r="BOH22" s="100"/>
      <c r="BOI22" s="100"/>
      <c r="BOJ22" s="100"/>
      <c r="BOK22" s="100"/>
      <c r="BOL22" s="100"/>
      <c r="BOM22" s="100"/>
      <c r="BON22" s="100"/>
      <c r="BOO22" s="100"/>
      <c r="BOP22" s="100"/>
      <c r="BOQ22" s="100"/>
      <c r="BOR22" s="100"/>
      <c r="BOS22" s="100"/>
      <c r="BOT22" s="100"/>
      <c r="BOU22" s="100"/>
      <c r="BOV22" s="100"/>
      <c r="BOW22" s="100"/>
      <c r="BOX22" s="100"/>
      <c r="BOY22" s="100"/>
      <c r="BOZ22" s="100"/>
      <c r="BPA22" s="100"/>
      <c r="BPB22" s="100"/>
      <c r="BPC22" s="100"/>
      <c r="BPD22" s="100"/>
      <c r="BPE22" s="100"/>
      <c r="BPF22" s="100"/>
      <c r="BPG22" s="100"/>
      <c r="BPH22" s="100"/>
      <c r="BPI22" s="100"/>
      <c r="BPJ22" s="100"/>
      <c r="BPK22" s="100"/>
      <c r="BPL22" s="100"/>
      <c r="BPM22" s="100"/>
      <c r="BPN22" s="100"/>
      <c r="BPO22" s="100"/>
      <c r="BPP22" s="100"/>
      <c r="BPQ22" s="100"/>
      <c r="BPR22" s="100"/>
      <c r="BPS22" s="100"/>
      <c r="BPT22" s="100"/>
      <c r="BPU22" s="100"/>
      <c r="BPV22" s="100"/>
      <c r="BPW22" s="100"/>
      <c r="BPX22" s="100"/>
      <c r="BPY22" s="100"/>
      <c r="BPZ22" s="100"/>
      <c r="BQA22" s="100"/>
      <c r="BQB22" s="100"/>
      <c r="BQC22" s="100"/>
      <c r="BQD22" s="100"/>
      <c r="BQE22" s="100"/>
      <c r="BQF22" s="100"/>
      <c r="BQG22" s="100"/>
      <c r="BQH22" s="100"/>
      <c r="BQI22" s="100"/>
      <c r="BQJ22" s="100"/>
      <c r="BQK22" s="100"/>
      <c r="BQL22" s="100"/>
      <c r="BQM22" s="100"/>
      <c r="BQN22" s="100"/>
      <c r="BQO22" s="100"/>
      <c r="BQP22" s="100"/>
      <c r="BQQ22" s="100"/>
      <c r="BQR22" s="100"/>
      <c r="BQS22" s="100"/>
      <c r="BQT22" s="100"/>
      <c r="BQU22" s="100"/>
      <c r="BQV22" s="100"/>
      <c r="BQW22" s="100"/>
      <c r="BQX22" s="100"/>
      <c r="BQY22" s="100"/>
      <c r="BQZ22" s="100"/>
      <c r="BRA22" s="100"/>
      <c r="BRB22" s="100"/>
      <c r="BRC22" s="100"/>
      <c r="BRD22" s="100"/>
      <c r="BRE22" s="100"/>
      <c r="BRF22" s="100"/>
      <c r="BRG22" s="100"/>
      <c r="BRH22" s="100"/>
      <c r="BRI22" s="100"/>
      <c r="BRJ22" s="100"/>
      <c r="BRK22" s="100"/>
      <c r="BRL22" s="100"/>
      <c r="BRM22" s="100"/>
      <c r="BRN22" s="100"/>
      <c r="BRO22" s="100"/>
      <c r="BRP22" s="100"/>
      <c r="BRQ22" s="100"/>
      <c r="BRR22" s="100"/>
      <c r="BRS22" s="100"/>
      <c r="BRT22" s="100"/>
      <c r="BRU22" s="100"/>
      <c r="BRV22" s="100"/>
      <c r="BRW22" s="100"/>
      <c r="BRX22" s="100"/>
      <c r="BRY22" s="100"/>
      <c r="BRZ22" s="100"/>
      <c r="BSA22" s="100"/>
      <c r="BSB22" s="100"/>
      <c r="BSC22" s="100"/>
      <c r="BSD22" s="100"/>
      <c r="BSE22" s="100"/>
      <c r="BSF22" s="100"/>
      <c r="BSG22" s="100"/>
      <c r="BSH22" s="100"/>
      <c r="BSI22" s="100"/>
      <c r="BSJ22" s="100"/>
      <c r="BSK22" s="100"/>
      <c r="BSL22" s="100"/>
      <c r="BSM22" s="100"/>
      <c r="BSN22" s="100"/>
      <c r="BSO22" s="100"/>
      <c r="BSP22" s="100"/>
      <c r="BSQ22" s="100"/>
      <c r="BSR22" s="100"/>
      <c r="BSS22" s="100"/>
      <c r="BST22" s="100"/>
      <c r="BSU22" s="100"/>
      <c r="BSV22" s="100"/>
      <c r="BSW22" s="100"/>
      <c r="BSX22" s="100"/>
      <c r="BSY22" s="100"/>
      <c r="BSZ22" s="100"/>
      <c r="BTA22" s="100"/>
      <c r="BTB22" s="100"/>
      <c r="BTC22" s="100"/>
      <c r="BTD22" s="100"/>
      <c r="BTE22" s="100"/>
      <c r="BTF22" s="100"/>
      <c r="BTG22" s="100"/>
      <c r="BTH22" s="100"/>
      <c r="BTI22" s="100"/>
      <c r="BTJ22" s="100"/>
      <c r="BTK22" s="100"/>
      <c r="BTL22" s="100"/>
      <c r="BTM22" s="100"/>
      <c r="BTN22" s="100"/>
      <c r="BTO22" s="100"/>
      <c r="BTP22" s="100"/>
      <c r="BTQ22" s="100"/>
      <c r="BTR22" s="100"/>
      <c r="BTS22" s="100"/>
      <c r="BTT22" s="100"/>
      <c r="BTU22" s="100"/>
      <c r="BTV22" s="100"/>
      <c r="BTW22" s="100"/>
      <c r="BTX22" s="100"/>
      <c r="BTY22" s="100"/>
      <c r="BTZ22" s="100"/>
      <c r="BUA22" s="100"/>
      <c r="BUB22" s="100"/>
      <c r="BUC22" s="100"/>
      <c r="BUD22" s="100"/>
      <c r="BUE22" s="100"/>
      <c r="BUF22" s="100"/>
      <c r="BUG22" s="100"/>
      <c r="BUH22" s="100"/>
      <c r="BUI22" s="100"/>
      <c r="BUJ22" s="100"/>
      <c r="BUK22" s="100"/>
      <c r="BUL22" s="100"/>
      <c r="BUM22" s="100"/>
      <c r="BUN22" s="100"/>
      <c r="BUO22" s="100"/>
      <c r="BUP22" s="100"/>
      <c r="BUQ22" s="100"/>
      <c r="BUR22" s="100"/>
      <c r="BUS22" s="100"/>
      <c r="BUT22" s="100"/>
      <c r="BUU22" s="100"/>
      <c r="BUV22" s="100"/>
      <c r="BUW22" s="100"/>
      <c r="BUX22" s="100"/>
      <c r="BUY22" s="100"/>
      <c r="BUZ22" s="100"/>
      <c r="BVA22" s="100"/>
      <c r="BVB22" s="100"/>
      <c r="BVC22" s="100"/>
      <c r="BVD22" s="100"/>
      <c r="BVE22" s="100"/>
      <c r="BVF22" s="100"/>
      <c r="BVG22" s="100"/>
      <c r="BVH22" s="100"/>
      <c r="BVI22" s="100"/>
      <c r="BVJ22" s="100"/>
      <c r="BVK22" s="100"/>
      <c r="BVL22" s="100"/>
      <c r="BVM22" s="100"/>
      <c r="BVN22" s="100"/>
      <c r="BVO22" s="100"/>
      <c r="BVP22" s="100"/>
      <c r="BVQ22" s="100"/>
      <c r="BVR22" s="100"/>
      <c r="BVS22" s="100"/>
      <c r="BVT22" s="100"/>
      <c r="BVU22" s="100"/>
      <c r="BVV22" s="100"/>
      <c r="BVW22" s="100"/>
      <c r="BVX22" s="100"/>
      <c r="BVY22" s="100"/>
      <c r="BVZ22" s="100"/>
      <c r="BWA22" s="100"/>
      <c r="BWB22" s="100"/>
      <c r="BWC22" s="100"/>
      <c r="BWD22" s="100"/>
      <c r="BWE22" s="100"/>
      <c r="BWF22" s="100"/>
      <c r="BWG22" s="100"/>
      <c r="BWH22" s="100"/>
      <c r="BWI22" s="100"/>
      <c r="BWJ22" s="100"/>
      <c r="BWK22" s="100"/>
      <c r="BWL22" s="100"/>
      <c r="BWM22" s="100"/>
      <c r="BWN22" s="100"/>
      <c r="BWO22" s="100"/>
      <c r="BWP22" s="100"/>
      <c r="BWQ22" s="100"/>
      <c r="BWR22" s="100"/>
      <c r="BWS22" s="100"/>
      <c r="BWT22" s="100"/>
      <c r="BWU22" s="100"/>
      <c r="BWV22" s="100"/>
      <c r="BWW22" s="100"/>
      <c r="BWX22" s="100"/>
      <c r="BWY22" s="100"/>
      <c r="BWZ22" s="100"/>
      <c r="BXA22" s="100"/>
      <c r="BXB22" s="100"/>
      <c r="BXC22" s="100"/>
      <c r="BXD22" s="100"/>
      <c r="BXE22" s="100"/>
      <c r="BXF22" s="100"/>
      <c r="BXG22" s="100"/>
      <c r="BXH22" s="100"/>
      <c r="BXI22" s="100"/>
      <c r="BXJ22" s="100"/>
      <c r="BXK22" s="100"/>
      <c r="BXL22" s="100"/>
      <c r="BXM22" s="100"/>
      <c r="BXN22" s="100"/>
      <c r="BXO22" s="100"/>
      <c r="BXP22" s="100"/>
      <c r="BXQ22" s="100"/>
      <c r="BXR22" s="100"/>
      <c r="BXS22" s="100"/>
      <c r="BXT22" s="100"/>
      <c r="BXU22" s="100"/>
      <c r="BXV22" s="100"/>
      <c r="BXW22" s="100"/>
      <c r="BXX22" s="100"/>
      <c r="BXY22" s="100"/>
      <c r="BXZ22" s="100"/>
      <c r="BYA22" s="100"/>
      <c r="BYB22" s="100"/>
      <c r="BYC22" s="100"/>
      <c r="BYD22" s="100"/>
      <c r="BYE22" s="100"/>
      <c r="BYF22" s="100"/>
      <c r="BYG22" s="100"/>
    </row>
    <row r="23" spans="1:2009" s="209" customFormat="1" ht="24.95" hidden="1" customHeight="1" thickBot="1" x14ac:dyDescent="0.3">
      <c r="A23" s="204"/>
      <c r="B23" s="205" t="s">
        <v>74</v>
      </c>
      <c r="C23" s="206"/>
      <c r="D23" s="206"/>
      <c r="E23" s="206"/>
      <c r="F23" s="206"/>
      <c r="G23" s="714"/>
      <c r="H23" s="207"/>
      <c r="I23" s="207"/>
      <c r="J23" s="207"/>
      <c r="K23" s="436"/>
      <c r="L23"/>
      <c r="M23"/>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8"/>
      <c r="CN23" s="208"/>
      <c r="CO23" s="208"/>
      <c r="CP23" s="208"/>
      <c r="CQ23" s="208"/>
      <c r="CR23" s="208"/>
      <c r="CS23" s="208"/>
      <c r="CT23" s="208"/>
      <c r="CU23" s="208"/>
      <c r="CV23" s="208"/>
      <c r="CW23" s="208"/>
      <c r="CX23" s="208"/>
      <c r="CY23" s="208"/>
      <c r="CZ23" s="208"/>
      <c r="DA23" s="208"/>
      <c r="DB23" s="208"/>
      <c r="DC23" s="208"/>
      <c r="DD23" s="208"/>
      <c r="DE23" s="208"/>
      <c r="DF23" s="208"/>
      <c r="DG23" s="208"/>
      <c r="DH23" s="208"/>
      <c r="DI23" s="208"/>
      <c r="DJ23" s="208"/>
      <c r="DK23" s="208"/>
      <c r="DL23" s="208"/>
      <c r="DM23" s="208"/>
      <c r="DN23" s="208"/>
      <c r="DO23" s="208"/>
      <c r="DP23" s="208"/>
      <c r="DQ23" s="208"/>
      <c r="DR23" s="208"/>
      <c r="DS23" s="208"/>
      <c r="DT23" s="208"/>
      <c r="DU23" s="208"/>
      <c r="DV23" s="208"/>
      <c r="DW23" s="208"/>
      <c r="DX23" s="208"/>
      <c r="DY23" s="208"/>
      <c r="DZ23" s="208"/>
      <c r="EA23" s="208"/>
      <c r="EB23" s="208"/>
      <c r="EC23" s="208"/>
      <c r="ED23" s="208"/>
      <c r="EE23" s="208"/>
      <c r="EF23" s="208"/>
      <c r="EG23" s="208"/>
      <c r="EH23" s="208"/>
      <c r="EI23" s="208"/>
      <c r="EJ23" s="208"/>
      <c r="EK23" s="208"/>
      <c r="EL23" s="208"/>
      <c r="EM23" s="208"/>
      <c r="EN23" s="208"/>
      <c r="EO23" s="208"/>
      <c r="EP23" s="208"/>
      <c r="EQ23" s="208"/>
      <c r="ER23" s="208"/>
      <c r="ES23" s="208"/>
      <c r="ET23" s="208"/>
      <c r="EU23" s="208"/>
      <c r="EV23" s="208"/>
      <c r="EW23" s="208"/>
      <c r="EX23" s="208"/>
      <c r="EY23" s="208"/>
      <c r="EZ23" s="208"/>
      <c r="FA23" s="208"/>
      <c r="FB23" s="208"/>
      <c r="FC23" s="208"/>
      <c r="FD23" s="208"/>
      <c r="FE23" s="208"/>
      <c r="FF23" s="208"/>
      <c r="FG23" s="208"/>
      <c r="FH23" s="208"/>
      <c r="FI23" s="208"/>
      <c r="FJ23" s="208"/>
      <c r="FK23" s="208"/>
      <c r="FL23" s="208"/>
      <c r="FM23" s="208"/>
      <c r="FN23" s="208"/>
      <c r="FO23" s="208"/>
      <c r="FP23" s="208"/>
      <c r="FQ23" s="208"/>
      <c r="FR23" s="208"/>
      <c r="FS23" s="208"/>
      <c r="FT23" s="208"/>
      <c r="FU23" s="208"/>
      <c r="FV23" s="208"/>
      <c r="FW23" s="208"/>
      <c r="FX23" s="208"/>
      <c r="FY23" s="208"/>
      <c r="FZ23" s="208"/>
      <c r="GA23" s="208"/>
      <c r="GB23" s="208"/>
      <c r="GC23" s="208"/>
      <c r="GD23" s="208"/>
      <c r="GE23" s="208"/>
      <c r="GF23" s="208"/>
      <c r="GG23" s="208"/>
      <c r="GH23" s="208"/>
      <c r="GI23" s="208"/>
      <c r="GJ23" s="208"/>
      <c r="GK23" s="208"/>
      <c r="GL23" s="208"/>
      <c r="GM23" s="208"/>
      <c r="GN23" s="208"/>
      <c r="GO23" s="208"/>
      <c r="GP23" s="208"/>
      <c r="GQ23" s="208"/>
      <c r="GR23" s="208"/>
      <c r="GS23" s="208"/>
      <c r="GT23" s="208"/>
      <c r="GU23" s="208"/>
      <c r="GV23" s="208"/>
      <c r="GW23" s="208"/>
      <c r="GX23" s="208"/>
      <c r="GY23" s="208"/>
      <c r="GZ23" s="208"/>
      <c r="HA23" s="208"/>
      <c r="HB23" s="208"/>
      <c r="HC23" s="208"/>
      <c r="HD23" s="208"/>
      <c r="HE23" s="208"/>
      <c r="HF23" s="208"/>
      <c r="HG23" s="208"/>
      <c r="HH23" s="208"/>
      <c r="HI23" s="208"/>
      <c r="HJ23" s="208"/>
      <c r="HK23" s="208"/>
      <c r="HL23" s="208"/>
      <c r="HM23" s="208"/>
      <c r="HN23" s="208"/>
      <c r="HO23" s="208"/>
      <c r="HP23" s="208"/>
      <c r="HQ23" s="208"/>
      <c r="HR23" s="208"/>
      <c r="HS23" s="208"/>
      <c r="HT23" s="208"/>
      <c r="HU23" s="208"/>
      <c r="HV23" s="208"/>
      <c r="HW23" s="208"/>
      <c r="HX23" s="208"/>
      <c r="HY23" s="208"/>
      <c r="HZ23" s="208"/>
      <c r="IA23" s="208"/>
      <c r="IB23" s="208"/>
      <c r="IC23" s="208"/>
      <c r="ID23" s="208"/>
      <c r="IE23" s="208"/>
      <c r="IF23" s="208"/>
      <c r="IG23" s="208"/>
      <c r="IH23" s="208"/>
      <c r="II23" s="208"/>
      <c r="IJ23" s="208"/>
      <c r="IK23" s="208"/>
      <c r="IL23" s="208"/>
      <c r="IM23" s="208"/>
      <c r="IN23" s="208"/>
      <c r="IO23" s="208"/>
      <c r="IP23" s="208"/>
      <c r="IQ23" s="208"/>
      <c r="IR23" s="208"/>
      <c r="IS23" s="208"/>
      <c r="IT23" s="208"/>
      <c r="IU23" s="208"/>
      <c r="IV23" s="208"/>
      <c r="IW23" s="208"/>
      <c r="IX23" s="208"/>
      <c r="IY23" s="208"/>
      <c r="IZ23" s="208"/>
      <c r="JA23" s="208"/>
      <c r="JB23" s="208"/>
      <c r="JC23" s="208"/>
      <c r="JD23" s="208"/>
      <c r="JE23" s="208"/>
      <c r="JF23" s="208"/>
      <c r="JG23" s="208"/>
      <c r="JH23" s="208"/>
      <c r="JI23" s="208"/>
      <c r="JJ23" s="208"/>
      <c r="JK23" s="208"/>
      <c r="JL23" s="208"/>
      <c r="JM23" s="208"/>
      <c r="JN23" s="208"/>
      <c r="JO23" s="208"/>
      <c r="JP23" s="208"/>
      <c r="JQ23" s="208"/>
      <c r="JR23" s="208"/>
      <c r="JS23" s="208"/>
      <c r="JT23" s="208"/>
      <c r="JU23" s="208"/>
      <c r="JV23" s="208"/>
      <c r="JW23" s="208"/>
      <c r="JX23" s="208"/>
      <c r="JY23" s="208"/>
      <c r="JZ23" s="208"/>
      <c r="KA23" s="208"/>
      <c r="KB23" s="208"/>
      <c r="KC23" s="208"/>
      <c r="KD23" s="208"/>
      <c r="KE23" s="208"/>
      <c r="KF23" s="208"/>
      <c r="KG23" s="208"/>
      <c r="KH23" s="208"/>
      <c r="KI23" s="208"/>
      <c r="KJ23" s="208"/>
      <c r="KK23" s="208"/>
      <c r="KL23" s="208"/>
      <c r="KM23" s="208"/>
      <c r="KN23" s="208"/>
      <c r="KO23" s="208"/>
      <c r="KP23" s="208"/>
      <c r="KQ23" s="208"/>
      <c r="KR23" s="208"/>
      <c r="KS23" s="208"/>
      <c r="KT23" s="208"/>
      <c r="KU23" s="208"/>
      <c r="KV23" s="208"/>
      <c r="KW23" s="208"/>
      <c r="KX23" s="208"/>
      <c r="KY23" s="208"/>
      <c r="KZ23" s="208"/>
      <c r="LA23" s="208"/>
      <c r="LB23" s="208"/>
      <c r="LC23" s="208"/>
      <c r="LD23" s="208"/>
      <c r="LE23" s="208"/>
      <c r="LF23" s="208"/>
      <c r="LG23" s="208"/>
      <c r="LH23" s="208"/>
      <c r="LI23" s="208"/>
      <c r="LJ23" s="208"/>
      <c r="LK23" s="208"/>
      <c r="LL23" s="208"/>
      <c r="LM23" s="208"/>
      <c r="LN23" s="208"/>
      <c r="LO23" s="208"/>
      <c r="LP23" s="208"/>
      <c r="LQ23" s="208"/>
      <c r="LR23" s="208"/>
      <c r="LS23" s="208"/>
      <c r="LT23" s="208"/>
      <c r="LU23" s="208"/>
      <c r="LV23" s="208"/>
      <c r="LW23" s="208"/>
      <c r="LX23" s="208"/>
      <c r="LY23" s="208"/>
      <c r="LZ23" s="208"/>
      <c r="MA23" s="208"/>
      <c r="MB23" s="208"/>
      <c r="MC23" s="208"/>
      <c r="MD23" s="208"/>
      <c r="ME23" s="208"/>
      <c r="MF23" s="208"/>
      <c r="MG23" s="208"/>
      <c r="MH23" s="208"/>
      <c r="MI23" s="208"/>
      <c r="MJ23" s="208"/>
      <c r="MK23" s="208"/>
      <c r="ML23" s="208"/>
      <c r="MM23" s="208"/>
      <c r="MN23" s="208"/>
      <c r="MO23" s="208"/>
      <c r="MP23" s="208"/>
      <c r="MQ23" s="208"/>
      <c r="MR23" s="208"/>
      <c r="MS23" s="208"/>
      <c r="MT23" s="208"/>
      <c r="MU23" s="208"/>
      <c r="MV23" s="208"/>
      <c r="MW23" s="208"/>
      <c r="MX23" s="208"/>
      <c r="MY23" s="208"/>
      <c r="MZ23" s="208"/>
      <c r="NA23" s="208"/>
      <c r="NB23" s="208"/>
      <c r="NC23" s="208"/>
      <c r="ND23" s="208"/>
      <c r="NE23" s="208"/>
      <c r="NF23" s="208"/>
      <c r="NG23" s="208"/>
      <c r="NH23" s="208"/>
      <c r="NI23" s="208"/>
      <c r="NJ23" s="208"/>
      <c r="NK23" s="208"/>
      <c r="NL23" s="208"/>
      <c r="NM23" s="208"/>
      <c r="NN23" s="208"/>
      <c r="NO23" s="208"/>
      <c r="NP23" s="208"/>
      <c r="NQ23" s="208"/>
      <c r="NR23" s="208"/>
      <c r="NS23" s="208"/>
      <c r="NT23" s="208"/>
      <c r="NU23" s="208"/>
      <c r="NV23" s="208"/>
      <c r="NW23" s="208"/>
      <c r="NX23" s="208"/>
      <c r="NY23" s="208"/>
      <c r="NZ23" s="208"/>
      <c r="OA23" s="208"/>
      <c r="OB23" s="208"/>
      <c r="OC23" s="208"/>
      <c r="OD23" s="208"/>
      <c r="OE23" s="208"/>
      <c r="OF23" s="208"/>
      <c r="OG23" s="208"/>
      <c r="OH23" s="208"/>
      <c r="OI23" s="208"/>
      <c r="OJ23" s="208"/>
      <c r="OK23" s="208"/>
      <c r="OL23" s="208"/>
      <c r="OM23" s="208"/>
      <c r="ON23" s="208"/>
      <c r="OO23" s="208"/>
      <c r="OP23" s="208"/>
      <c r="OQ23" s="208"/>
      <c r="OR23" s="208"/>
      <c r="OS23" s="208"/>
      <c r="OT23" s="208"/>
      <c r="OU23" s="208"/>
      <c r="OV23" s="208"/>
      <c r="OW23" s="208"/>
      <c r="OX23" s="208"/>
      <c r="OY23" s="208"/>
      <c r="OZ23" s="208"/>
      <c r="PA23" s="208"/>
      <c r="PB23" s="208"/>
      <c r="PC23" s="208"/>
      <c r="PD23" s="208"/>
      <c r="PE23" s="208"/>
      <c r="PF23" s="208"/>
      <c r="PG23" s="208"/>
      <c r="PH23" s="208"/>
      <c r="PI23" s="208"/>
      <c r="PJ23" s="208"/>
      <c r="PK23" s="208"/>
      <c r="PL23" s="208"/>
      <c r="PM23" s="208"/>
      <c r="PN23" s="208"/>
      <c r="PO23" s="208"/>
      <c r="PP23" s="208"/>
      <c r="PQ23" s="208"/>
      <c r="PR23" s="208"/>
      <c r="PS23" s="208"/>
      <c r="PT23" s="208"/>
      <c r="PU23" s="208"/>
      <c r="PV23" s="208"/>
      <c r="PW23" s="208"/>
      <c r="PX23" s="208"/>
      <c r="PY23" s="208"/>
      <c r="PZ23" s="208"/>
      <c r="QA23" s="208"/>
      <c r="QB23" s="208"/>
      <c r="QC23" s="208"/>
      <c r="QD23" s="208"/>
      <c r="QE23" s="208"/>
      <c r="QF23" s="208"/>
      <c r="QG23" s="208"/>
      <c r="QH23" s="208"/>
      <c r="QI23" s="208"/>
      <c r="QJ23" s="208"/>
      <c r="QK23" s="208"/>
      <c r="QL23" s="208"/>
      <c r="QM23" s="208"/>
      <c r="QN23" s="208"/>
      <c r="QO23" s="208"/>
      <c r="QP23" s="208"/>
      <c r="QQ23" s="208"/>
      <c r="QR23" s="208"/>
      <c r="QS23" s="208"/>
      <c r="QT23" s="208"/>
      <c r="QU23" s="208"/>
      <c r="QV23" s="208"/>
      <c r="QW23" s="208"/>
      <c r="QX23" s="208"/>
      <c r="QY23" s="208"/>
      <c r="QZ23" s="208"/>
      <c r="RA23" s="208"/>
      <c r="RB23" s="208"/>
      <c r="RC23" s="208"/>
      <c r="RD23" s="208"/>
      <c r="RE23" s="208"/>
      <c r="RF23" s="208"/>
      <c r="RG23" s="208"/>
      <c r="RH23" s="208"/>
      <c r="RI23" s="208"/>
      <c r="RJ23" s="208"/>
      <c r="RK23" s="208"/>
      <c r="RL23" s="208"/>
      <c r="RM23" s="208"/>
      <c r="RN23" s="208"/>
      <c r="RO23" s="208"/>
      <c r="RP23" s="208"/>
      <c r="RQ23" s="208"/>
      <c r="RR23" s="208"/>
      <c r="RS23" s="208"/>
      <c r="RT23" s="208"/>
      <c r="RU23" s="208"/>
      <c r="RV23" s="208"/>
      <c r="RW23" s="208"/>
      <c r="RX23" s="208"/>
      <c r="RY23" s="208"/>
      <c r="RZ23" s="208"/>
      <c r="SA23" s="208"/>
      <c r="SB23" s="208"/>
      <c r="SC23" s="208"/>
      <c r="SD23" s="208"/>
      <c r="SE23" s="208"/>
      <c r="SF23" s="208"/>
      <c r="SG23" s="208"/>
      <c r="SH23" s="208"/>
      <c r="SI23" s="208"/>
      <c r="SJ23" s="208"/>
      <c r="SK23" s="208"/>
      <c r="SL23" s="208"/>
      <c r="SM23" s="208"/>
      <c r="SN23" s="208"/>
      <c r="SO23" s="208"/>
      <c r="SP23" s="208"/>
      <c r="SQ23" s="208"/>
      <c r="SR23" s="208"/>
      <c r="SS23" s="208"/>
      <c r="ST23" s="208"/>
      <c r="SU23" s="208"/>
      <c r="SV23" s="208"/>
      <c r="SW23" s="208"/>
      <c r="SX23" s="208"/>
      <c r="SY23" s="208"/>
      <c r="SZ23" s="208"/>
      <c r="TA23" s="208"/>
      <c r="TB23" s="208"/>
      <c r="TC23" s="208"/>
      <c r="TD23" s="208"/>
      <c r="TE23" s="208"/>
      <c r="TF23" s="208"/>
      <c r="TG23" s="208"/>
      <c r="TH23" s="208"/>
      <c r="TI23" s="208"/>
      <c r="TJ23" s="208"/>
      <c r="TK23" s="208"/>
      <c r="TL23" s="208"/>
      <c r="TM23" s="208"/>
      <c r="TN23" s="208"/>
      <c r="TO23" s="208"/>
      <c r="TP23" s="208"/>
      <c r="TQ23" s="208"/>
      <c r="TR23" s="208"/>
      <c r="TS23" s="208"/>
      <c r="TT23" s="208"/>
      <c r="TU23" s="208"/>
      <c r="TV23" s="208"/>
      <c r="TW23" s="208"/>
      <c r="TX23" s="208"/>
      <c r="TY23" s="208"/>
      <c r="TZ23" s="208"/>
      <c r="UA23" s="208"/>
      <c r="UB23" s="208"/>
      <c r="UC23" s="208"/>
      <c r="UD23" s="208"/>
      <c r="UE23" s="208"/>
      <c r="UF23" s="208"/>
      <c r="UG23" s="208"/>
      <c r="UH23" s="208"/>
      <c r="UI23" s="208"/>
      <c r="UJ23" s="208"/>
      <c r="UK23" s="208"/>
      <c r="UL23" s="208"/>
      <c r="UM23" s="208"/>
      <c r="UN23" s="208"/>
      <c r="UO23" s="208"/>
      <c r="UP23" s="208"/>
      <c r="UQ23" s="208"/>
      <c r="UR23" s="208"/>
      <c r="US23" s="208"/>
      <c r="UT23" s="208"/>
      <c r="UU23" s="208"/>
      <c r="UV23" s="208"/>
      <c r="UW23" s="208"/>
      <c r="UX23" s="208"/>
      <c r="UY23" s="208"/>
      <c r="UZ23" s="208"/>
      <c r="VA23" s="208"/>
      <c r="VB23" s="208"/>
      <c r="VC23" s="208"/>
      <c r="VD23" s="208"/>
      <c r="VE23" s="208"/>
      <c r="VF23" s="208"/>
      <c r="VG23" s="208"/>
      <c r="VH23" s="208"/>
      <c r="VI23" s="208"/>
      <c r="VJ23" s="208"/>
      <c r="VK23" s="208"/>
      <c r="VL23" s="208"/>
      <c r="VM23" s="208"/>
      <c r="VN23" s="208"/>
      <c r="VO23" s="208"/>
      <c r="VP23" s="208"/>
      <c r="VQ23" s="208"/>
      <c r="VR23" s="208"/>
      <c r="VS23" s="208"/>
      <c r="VT23" s="208"/>
      <c r="VU23" s="208"/>
      <c r="VV23" s="208"/>
      <c r="VW23" s="208"/>
      <c r="VX23" s="208"/>
      <c r="VY23" s="208"/>
      <c r="VZ23" s="208"/>
      <c r="WA23" s="208"/>
      <c r="WB23" s="208"/>
      <c r="WC23" s="208"/>
      <c r="WD23" s="208"/>
      <c r="WE23" s="208"/>
      <c r="WF23" s="208"/>
      <c r="WG23" s="208"/>
      <c r="WH23" s="208"/>
      <c r="WI23" s="208"/>
      <c r="WJ23" s="208"/>
      <c r="WK23" s="208"/>
      <c r="WL23" s="208"/>
      <c r="WM23" s="208"/>
      <c r="WN23" s="208"/>
      <c r="WO23" s="208"/>
      <c r="WP23" s="208"/>
      <c r="WQ23" s="208"/>
      <c r="WR23" s="208"/>
      <c r="WS23" s="208"/>
      <c r="WT23" s="208"/>
      <c r="WU23" s="208"/>
      <c r="WV23" s="208"/>
      <c r="WW23" s="208"/>
      <c r="WX23" s="208"/>
      <c r="WY23" s="208"/>
      <c r="WZ23" s="208"/>
      <c r="XA23" s="208"/>
      <c r="XB23" s="208"/>
      <c r="XC23" s="208"/>
      <c r="XD23" s="208"/>
      <c r="XE23" s="208"/>
      <c r="XF23" s="208"/>
      <c r="XG23" s="208"/>
      <c r="XH23" s="208"/>
      <c r="XI23" s="208"/>
      <c r="XJ23" s="208"/>
      <c r="XK23" s="208"/>
      <c r="XL23" s="208"/>
      <c r="XM23" s="208"/>
      <c r="XN23" s="208"/>
      <c r="XO23" s="208"/>
      <c r="XP23" s="208"/>
      <c r="XQ23" s="208"/>
      <c r="XR23" s="208"/>
      <c r="XS23" s="208"/>
      <c r="XT23" s="208"/>
      <c r="XU23" s="208"/>
      <c r="XV23" s="208"/>
      <c r="XW23" s="208"/>
      <c r="XX23" s="208"/>
      <c r="XY23" s="208"/>
      <c r="XZ23" s="208"/>
      <c r="YA23" s="208"/>
      <c r="YB23" s="208"/>
      <c r="YC23" s="208"/>
      <c r="YD23" s="208"/>
      <c r="YE23" s="208"/>
      <c r="YF23" s="208"/>
      <c r="YG23" s="208"/>
      <c r="YH23" s="208"/>
      <c r="YI23" s="208"/>
      <c r="YJ23" s="208"/>
      <c r="YK23" s="208"/>
      <c r="YL23" s="208"/>
      <c r="YM23" s="208"/>
      <c r="YN23" s="208"/>
      <c r="YO23" s="208"/>
      <c r="YP23" s="208"/>
      <c r="YQ23" s="208"/>
      <c r="YR23" s="208"/>
      <c r="YS23" s="208"/>
      <c r="YT23" s="208"/>
      <c r="YU23" s="208"/>
      <c r="YV23" s="208"/>
      <c r="YW23" s="208"/>
      <c r="YX23" s="208"/>
      <c r="YY23" s="208"/>
      <c r="YZ23" s="208"/>
      <c r="ZA23" s="208"/>
      <c r="ZB23" s="208"/>
      <c r="ZC23" s="208"/>
      <c r="ZD23" s="208"/>
      <c r="ZE23" s="208"/>
      <c r="ZF23" s="208"/>
      <c r="ZG23" s="208"/>
      <c r="ZH23" s="208"/>
      <c r="ZI23" s="208"/>
      <c r="ZJ23" s="208"/>
      <c r="ZK23" s="208"/>
      <c r="ZL23" s="208"/>
      <c r="ZM23" s="208"/>
      <c r="ZN23" s="208"/>
      <c r="ZO23" s="208"/>
      <c r="ZP23" s="208"/>
      <c r="ZQ23" s="208"/>
      <c r="ZR23" s="208"/>
      <c r="ZS23" s="208"/>
      <c r="ZT23" s="208"/>
      <c r="ZU23" s="208"/>
      <c r="ZV23" s="208"/>
      <c r="ZW23" s="208"/>
      <c r="ZX23" s="208"/>
      <c r="ZY23" s="208"/>
      <c r="ZZ23" s="208"/>
      <c r="AAA23" s="208"/>
      <c r="AAB23" s="208"/>
      <c r="AAC23" s="208"/>
      <c r="AAD23" s="208"/>
      <c r="AAE23" s="208"/>
      <c r="AAF23" s="208"/>
      <c r="AAG23" s="208"/>
      <c r="AAH23" s="208"/>
      <c r="AAI23" s="208"/>
      <c r="AAJ23" s="208"/>
      <c r="AAK23" s="208"/>
      <c r="AAL23" s="208"/>
      <c r="AAM23" s="208"/>
      <c r="AAN23" s="208"/>
      <c r="AAO23" s="208"/>
      <c r="AAP23" s="208"/>
      <c r="AAQ23" s="208"/>
      <c r="AAR23" s="208"/>
      <c r="AAS23" s="208"/>
      <c r="AAT23" s="208"/>
      <c r="AAU23" s="208"/>
      <c r="AAV23" s="208"/>
      <c r="AAW23" s="208"/>
      <c r="AAX23" s="208"/>
      <c r="AAY23" s="208"/>
      <c r="AAZ23" s="208"/>
      <c r="ABA23" s="208"/>
      <c r="ABB23" s="208"/>
      <c r="ABC23" s="208"/>
      <c r="ABD23" s="208"/>
      <c r="ABE23" s="208"/>
      <c r="ABF23" s="208"/>
      <c r="ABG23" s="208"/>
      <c r="ABH23" s="208"/>
      <c r="ABI23" s="208"/>
      <c r="ABJ23" s="208"/>
      <c r="ABK23" s="208"/>
      <c r="ABL23" s="208"/>
      <c r="ABM23" s="208"/>
      <c r="ABN23" s="208"/>
      <c r="ABO23" s="208"/>
      <c r="ABP23" s="208"/>
      <c r="ABQ23" s="208"/>
      <c r="ABR23" s="208"/>
      <c r="ABS23" s="208"/>
      <c r="ABT23" s="208"/>
      <c r="ABU23" s="208"/>
      <c r="ABV23" s="208"/>
      <c r="ABW23" s="208"/>
      <c r="ABX23" s="208"/>
      <c r="ABY23" s="208"/>
      <c r="ABZ23" s="208"/>
      <c r="ACA23" s="208"/>
      <c r="ACB23" s="208"/>
      <c r="ACC23" s="208"/>
      <c r="ACD23" s="208"/>
      <c r="ACE23" s="208"/>
      <c r="ACF23" s="208"/>
      <c r="ACG23" s="208"/>
      <c r="ACH23" s="208"/>
      <c r="ACI23" s="208"/>
      <c r="ACJ23" s="208"/>
      <c r="ACK23" s="208"/>
      <c r="ACL23" s="208"/>
      <c r="ACM23" s="208"/>
      <c r="ACN23" s="208"/>
      <c r="ACO23" s="208"/>
      <c r="ACP23" s="208"/>
      <c r="ACQ23" s="208"/>
      <c r="ACR23" s="208"/>
      <c r="ACS23" s="208"/>
      <c r="ACT23" s="208"/>
      <c r="ACU23" s="208"/>
      <c r="ACV23" s="208"/>
      <c r="ACW23" s="208"/>
      <c r="ACX23" s="208"/>
      <c r="ACY23" s="208"/>
      <c r="ACZ23" s="208"/>
      <c r="ADA23" s="208"/>
      <c r="ADB23" s="208"/>
      <c r="ADC23" s="208"/>
      <c r="ADD23" s="208"/>
      <c r="ADE23" s="208"/>
      <c r="ADF23" s="208"/>
      <c r="ADG23" s="208"/>
      <c r="ADH23" s="208"/>
      <c r="ADI23" s="208"/>
      <c r="ADJ23" s="208"/>
      <c r="ADK23" s="208"/>
      <c r="ADL23" s="208"/>
      <c r="ADM23" s="208"/>
      <c r="ADN23" s="208"/>
      <c r="ADO23" s="208"/>
      <c r="ADP23" s="208"/>
      <c r="ADQ23" s="208"/>
      <c r="ADR23" s="208"/>
      <c r="ADS23" s="208"/>
      <c r="ADT23" s="208"/>
      <c r="ADU23" s="208"/>
      <c r="ADV23" s="208"/>
      <c r="ADW23" s="208"/>
      <c r="ADX23" s="208"/>
      <c r="ADY23" s="208"/>
      <c r="ADZ23" s="208"/>
      <c r="AEA23" s="208"/>
      <c r="AEB23" s="208"/>
      <c r="AEC23" s="208"/>
      <c r="AED23" s="208"/>
      <c r="AEE23" s="208"/>
      <c r="AEF23" s="208"/>
      <c r="AEG23" s="208"/>
      <c r="AEH23" s="208"/>
      <c r="AEI23" s="208"/>
      <c r="AEJ23" s="208"/>
      <c r="AEK23" s="208"/>
      <c r="AEL23" s="208"/>
      <c r="AEM23" s="208"/>
      <c r="AEN23" s="208"/>
      <c r="AEO23" s="208"/>
      <c r="AEP23" s="208"/>
      <c r="AEQ23" s="208"/>
      <c r="AER23" s="208"/>
      <c r="AES23" s="208"/>
      <c r="AET23" s="208"/>
      <c r="AEU23" s="208"/>
      <c r="AEV23" s="208"/>
      <c r="AEW23" s="208"/>
      <c r="AEX23" s="208"/>
      <c r="AEY23" s="208"/>
      <c r="AEZ23" s="208"/>
      <c r="AFA23" s="208"/>
      <c r="AFB23" s="208"/>
      <c r="AFC23" s="208"/>
      <c r="AFD23" s="208"/>
      <c r="AFE23" s="208"/>
      <c r="AFF23" s="208"/>
      <c r="AFG23" s="208"/>
      <c r="AFH23" s="208"/>
      <c r="AFI23" s="208"/>
      <c r="AFJ23" s="208"/>
      <c r="AFK23" s="208"/>
      <c r="AFL23" s="208"/>
      <c r="AFM23" s="208"/>
      <c r="AFN23" s="208"/>
      <c r="AFO23" s="208"/>
      <c r="AFP23" s="208"/>
      <c r="AFQ23" s="208"/>
      <c r="AFR23" s="208"/>
      <c r="AFS23" s="208"/>
      <c r="AFT23" s="208"/>
      <c r="AFU23" s="208"/>
      <c r="AFV23" s="208"/>
      <c r="AFW23" s="208"/>
      <c r="AFX23" s="208"/>
      <c r="AFY23" s="208"/>
      <c r="AFZ23" s="208"/>
      <c r="AGA23" s="208"/>
      <c r="AGB23" s="208"/>
      <c r="AGC23" s="208"/>
      <c r="AGD23" s="208"/>
      <c r="AGE23" s="208"/>
      <c r="AGF23" s="208"/>
      <c r="AGG23" s="208"/>
      <c r="AGH23" s="208"/>
      <c r="AGI23" s="208"/>
      <c r="AGJ23" s="208"/>
      <c r="AGK23" s="208"/>
      <c r="AGL23" s="208"/>
      <c r="AGM23" s="208"/>
      <c r="AGN23" s="208"/>
      <c r="AGO23" s="208"/>
      <c r="AGP23" s="208"/>
      <c r="AGQ23" s="208"/>
      <c r="AGR23" s="208"/>
      <c r="AGS23" s="208"/>
      <c r="AGT23" s="208"/>
      <c r="AGU23" s="208"/>
      <c r="AGV23" s="208"/>
      <c r="AGW23" s="208"/>
      <c r="AGX23" s="208"/>
      <c r="AGY23" s="208"/>
      <c r="AGZ23" s="208"/>
      <c r="AHA23" s="208"/>
      <c r="AHB23" s="208"/>
      <c r="AHC23" s="208"/>
      <c r="AHD23" s="208"/>
      <c r="AHE23" s="208"/>
      <c r="AHF23" s="208"/>
      <c r="AHG23" s="208"/>
      <c r="AHH23" s="208"/>
      <c r="AHI23" s="208"/>
      <c r="AHJ23" s="208"/>
      <c r="AHK23" s="208"/>
      <c r="AHL23" s="208"/>
      <c r="AHM23" s="208"/>
      <c r="AHN23" s="208"/>
      <c r="AHO23" s="208"/>
      <c r="AHP23" s="208"/>
      <c r="AHQ23" s="208"/>
      <c r="AHR23" s="208"/>
      <c r="AHS23" s="208"/>
      <c r="AHT23" s="208"/>
      <c r="AHU23" s="208"/>
      <c r="AHV23" s="208"/>
      <c r="AHW23" s="208"/>
      <c r="AHX23" s="208"/>
      <c r="AHY23" s="208"/>
      <c r="AHZ23" s="208"/>
      <c r="AIA23" s="208"/>
      <c r="AIB23" s="208"/>
      <c r="AIC23" s="208"/>
      <c r="AID23" s="208"/>
      <c r="AIE23" s="208"/>
      <c r="AIF23" s="208"/>
      <c r="AIG23" s="208"/>
      <c r="AIH23" s="208"/>
      <c r="AII23" s="208"/>
      <c r="AIJ23" s="208"/>
      <c r="AIK23" s="208"/>
      <c r="AIL23" s="208"/>
      <c r="AIM23" s="208"/>
      <c r="AIN23" s="208"/>
      <c r="AIO23" s="208"/>
      <c r="AIP23" s="208"/>
      <c r="AIQ23" s="208"/>
      <c r="AIR23" s="208"/>
      <c r="AIS23" s="208"/>
      <c r="AIT23" s="208"/>
      <c r="AIU23" s="208"/>
      <c r="AIV23" s="208"/>
      <c r="AIW23" s="208"/>
      <c r="AIX23" s="208"/>
      <c r="AIY23" s="208"/>
      <c r="AIZ23" s="208"/>
      <c r="AJA23" s="208"/>
      <c r="AJB23" s="208"/>
      <c r="AJC23" s="208"/>
      <c r="AJD23" s="208"/>
      <c r="AJE23" s="208"/>
      <c r="AJF23" s="208"/>
      <c r="AJG23" s="208"/>
      <c r="AJH23" s="208"/>
      <c r="AJI23" s="208"/>
      <c r="AJJ23" s="208"/>
      <c r="AJK23" s="208"/>
      <c r="AJL23" s="208"/>
      <c r="AJM23" s="208"/>
      <c r="AJN23" s="208"/>
      <c r="AJO23" s="208"/>
      <c r="AJP23" s="208"/>
      <c r="AJQ23" s="208"/>
      <c r="AJR23" s="208"/>
      <c r="AJS23" s="208"/>
      <c r="AJT23" s="208"/>
      <c r="AJU23" s="208"/>
      <c r="AJV23" s="208"/>
      <c r="AJW23" s="208"/>
      <c r="AJX23" s="208"/>
      <c r="AJY23" s="208"/>
      <c r="AJZ23" s="208"/>
      <c r="AKA23" s="208"/>
      <c r="AKB23" s="208"/>
      <c r="AKC23" s="208"/>
      <c r="AKD23" s="208"/>
      <c r="AKE23" s="208"/>
      <c r="AKF23" s="208"/>
      <c r="AKG23" s="208"/>
      <c r="AKH23" s="208"/>
      <c r="AKI23" s="208"/>
      <c r="AKJ23" s="208"/>
      <c r="AKK23" s="208"/>
      <c r="AKL23" s="208"/>
      <c r="AKM23" s="208"/>
      <c r="AKN23" s="208"/>
      <c r="AKO23" s="208"/>
      <c r="AKP23" s="208"/>
      <c r="AKQ23" s="208"/>
      <c r="AKR23" s="208"/>
      <c r="AKS23" s="208"/>
      <c r="AKT23" s="208"/>
      <c r="AKU23" s="208"/>
      <c r="AKV23" s="208"/>
      <c r="AKW23" s="208"/>
      <c r="AKX23" s="208"/>
      <c r="AKY23" s="208"/>
      <c r="AKZ23" s="208"/>
      <c r="ALA23" s="208"/>
      <c r="ALB23" s="208"/>
      <c r="ALC23" s="208"/>
      <c r="ALD23" s="208"/>
      <c r="ALE23" s="208"/>
      <c r="ALF23" s="208"/>
      <c r="ALG23" s="208"/>
      <c r="ALH23" s="208"/>
      <c r="ALI23" s="208"/>
      <c r="ALJ23" s="208"/>
      <c r="ALK23" s="208"/>
      <c r="ALL23" s="208"/>
      <c r="ALM23" s="208"/>
      <c r="ALN23" s="208"/>
      <c r="ALO23" s="208"/>
      <c r="ALP23" s="208"/>
      <c r="ALQ23" s="208"/>
      <c r="ALR23" s="208"/>
      <c r="ALS23" s="208"/>
      <c r="ALT23" s="208"/>
      <c r="ALU23" s="208"/>
      <c r="ALV23" s="208"/>
      <c r="ALW23" s="208"/>
      <c r="ALX23" s="208"/>
      <c r="ALY23" s="208"/>
      <c r="ALZ23" s="208"/>
      <c r="AMA23" s="208"/>
      <c r="AMB23" s="208"/>
      <c r="AMC23" s="208"/>
      <c r="AMD23" s="208"/>
      <c r="AME23" s="208"/>
      <c r="AMF23" s="208"/>
      <c r="AMG23" s="208"/>
      <c r="AMH23" s="208"/>
      <c r="AMI23" s="208"/>
      <c r="AMJ23" s="208"/>
      <c r="AMK23" s="208"/>
      <c r="AML23" s="208"/>
      <c r="AMM23" s="208"/>
      <c r="AMN23" s="208"/>
      <c r="AMO23" s="208"/>
      <c r="AMP23" s="208"/>
      <c r="AMQ23" s="208"/>
      <c r="AMR23" s="208"/>
      <c r="AMS23" s="208"/>
      <c r="AMT23" s="208"/>
      <c r="AMU23" s="208"/>
      <c r="AMV23" s="208"/>
      <c r="AMW23" s="208"/>
      <c r="AMX23" s="208"/>
      <c r="AMY23" s="208"/>
      <c r="AMZ23" s="208"/>
      <c r="ANA23" s="208"/>
      <c r="ANB23" s="208"/>
      <c r="ANC23" s="208"/>
      <c r="AND23" s="208"/>
      <c r="ANE23" s="208"/>
      <c r="ANF23" s="208"/>
      <c r="ANG23" s="208"/>
      <c r="ANH23" s="208"/>
      <c r="ANI23" s="208"/>
      <c r="ANJ23" s="208"/>
      <c r="ANK23" s="208"/>
      <c r="ANL23" s="208"/>
      <c r="ANM23" s="208"/>
      <c r="ANN23" s="208"/>
      <c r="ANO23" s="208"/>
      <c r="ANP23" s="208"/>
      <c r="ANQ23" s="208"/>
      <c r="ANR23" s="208"/>
      <c r="ANS23" s="208"/>
      <c r="ANT23" s="208"/>
      <c r="ANU23" s="208"/>
      <c r="ANV23" s="208"/>
      <c r="ANW23" s="208"/>
      <c r="ANX23" s="208"/>
      <c r="ANY23" s="208"/>
      <c r="ANZ23" s="208"/>
      <c r="AOA23" s="208"/>
      <c r="AOB23" s="208"/>
      <c r="AOC23" s="208"/>
      <c r="AOD23" s="208"/>
      <c r="AOE23" s="208"/>
      <c r="AOF23" s="208"/>
      <c r="AOG23" s="208"/>
      <c r="AOH23" s="208"/>
      <c r="AOI23" s="208"/>
      <c r="AOJ23" s="208"/>
      <c r="AOK23" s="208"/>
      <c r="AOL23" s="208"/>
      <c r="AOM23" s="208"/>
      <c r="AON23" s="208"/>
      <c r="AOO23" s="208"/>
      <c r="AOP23" s="208"/>
      <c r="AOQ23" s="208"/>
      <c r="AOR23" s="208"/>
      <c r="AOS23" s="208"/>
      <c r="AOT23" s="208"/>
      <c r="AOU23" s="208"/>
      <c r="AOV23" s="208"/>
      <c r="AOW23" s="208"/>
      <c r="AOX23" s="208"/>
      <c r="AOY23" s="208"/>
      <c r="AOZ23" s="208"/>
      <c r="APA23" s="208"/>
      <c r="APB23" s="208"/>
      <c r="APC23" s="208"/>
      <c r="APD23" s="208"/>
      <c r="APE23" s="208"/>
      <c r="APF23" s="208"/>
      <c r="APG23" s="208"/>
      <c r="APH23" s="208"/>
      <c r="API23" s="208"/>
      <c r="APJ23" s="208"/>
      <c r="APK23" s="208"/>
      <c r="APL23" s="208"/>
      <c r="APM23" s="208"/>
      <c r="APN23" s="208"/>
      <c r="APO23" s="208"/>
      <c r="APP23" s="208"/>
      <c r="APQ23" s="208"/>
      <c r="APR23" s="208"/>
      <c r="APS23" s="208"/>
      <c r="APT23" s="208"/>
      <c r="APU23" s="208"/>
      <c r="APV23" s="208"/>
      <c r="APW23" s="208"/>
      <c r="APX23" s="208"/>
      <c r="APY23" s="208"/>
      <c r="APZ23" s="208"/>
      <c r="AQA23" s="208"/>
      <c r="AQB23" s="208"/>
      <c r="AQC23" s="208"/>
      <c r="AQD23" s="208"/>
      <c r="AQE23" s="208"/>
      <c r="AQF23" s="208"/>
      <c r="AQG23" s="208"/>
      <c r="AQH23" s="208"/>
      <c r="AQI23" s="208"/>
      <c r="AQJ23" s="208"/>
      <c r="AQK23" s="208"/>
      <c r="AQL23" s="208"/>
      <c r="AQM23" s="208"/>
      <c r="AQN23" s="208"/>
      <c r="AQO23" s="208"/>
      <c r="AQP23" s="208"/>
      <c r="AQQ23" s="208"/>
      <c r="AQR23" s="208"/>
      <c r="AQS23" s="208"/>
      <c r="AQT23" s="208"/>
      <c r="AQU23" s="208"/>
      <c r="AQV23" s="208"/>
      <c r="AQW23" s="208"/>
      <c r="AQX23" s="208"/>
      <c r="AQY23" s="208"/>
      <c r="AQZ23" s="208"/>
      <c r="ARA23" s="208"/>
      <c r="ARB23" s="208"/>
      <c r="ARC23" s="208"/>
      <c r="ARD23" s="208"/>
      <c r="ARE23" s="208"/>
      <c r="ARF23" s="208"/>
      <c r="ARG23" s="208"/>
      <c r="ARH23" s="208"/>
      <c r="ARI23" s="208"/>
      <c r="ARJ23" s="208"/>
      <c r="ARK23" s="208"/>
      <c r="ARL23" s="208"/>
      <c r="ARM23" s="208"/>
      <c r="ARN23" s="208"/>
      <c r="ARO23" s="208"/>
      <c r="ARP23" s="208"/>
      <c r="ARQ23" s="208"/>
      <c r="ARR23" s="208"/>
      <c r="ARS23" s="208"/>
      <c r="ART23" s="208"/>
      <c r="ARU23" s="208"/>
      <c r="ARV23" s="208"/>
      <c r="ARW23" s="208"/>
      <c r="ARX23" s="208"/>
      <c r="ARY23" s="208"/>
      <c r="ARZ23" s="208"/>
      <c r="ASA23" s="208"/>
      <c r="ASB23" s="208"/>
      <c r="ASC23" s="208"/>
      <c r="ASD23" s="208"/>
      <c r="ASE23" s="208"/>
      <c r="ASF23" s="208"/>
      <c r="ASG23" s="208"/>
      <c r="ASH23" s="208"/>
      <c r="ASI23" s="208"/>
      <c r="ASJ23" s="208"/>
      <c r="ASK23" s="208"/>
      <c r="ASL23" s="208"/>
      <c r="ASM23" s="208"/>
      <c r="ASN23" s="208"/>
      <c r="ASO23" s="208"/>
      <c r="ASP23" s="208"/>
      <c r="ASQ23" s="208"/>
      <c r="ASR23" s="208"/>
      <c r="ASS23" s="208"/>
      <c r="AST23" s="208"/>
      <c r="ASU23" s="208"/>
      <c r="ASV23" s="208"/>
      <c r="ASW23" s="208"/>
      <c r="ASX23" s="208"/>
      <c r="ASY23" s="208"/>
      <c r="ASZ23" s="208"/>
      <c r="ATA23" s="208"/>
      <c r="ATB23" s="208"/>
      <c r="ATC23" s="208"/>
      <c r="ATD23" s="208"/>
      <c r="ATE23" s="208"/>
      <c r="ATF23" s="208"/>
      <c r="ATG23" s="208"/>
      <c r="ATH23" s="208"/>
      <c r="ATI23" s="208"/>
      <c r="ATJ23" s="208"/>
      <c r="ATK23" s="208"/>
      <c r="ATL23" s="208"/>
      <c r="ATM23" s="208"/>
      <c r="ATN23" s="208"/>
      <c r="ATO23" s="208"/>
      <c r="ATP23" s="208"/>
      <c r="ATQ23" s="208"/>
      <c r="ATR23" s="208"/>
      <c r="ATS23" s="208"/>
      <c r="ATT23" s="208"/>
      <c r="ATU23" s="208"/>
      <c r="ATV23" s="208"/>
      <c r="ATW23" s="208"/>
      <c r="ATX23" s="208"/>
      <c r="ATY23" s="208"/>
      <c r="ATZ23" s="208"/>
      <c r="AUA23" s="208"/>
      <c r="AUB23" s="208"/>
      <c r="AUC23" s="208"/>
      <c r="AUD23" s="208"/>
      <c r="AUE23" s="208"/>
      <c r="AUF23" s="208"/>
      <c r="AUG23" s="208"/>
      <c r="AUH23" s="208"/>
      <c r="AUI23" s="208"/>
      <c r="AUJ23" s="208"/>
      <c r="AUK23" s="208"/>
      <c r="AUL23" s="208"/>
      <c r="AUM23" s="208"/>
      <c r="AUN23" s="208"/>
      <c r="AUO23" s="208"/>
      <c r="AUP23" s="208"/>
      <c r="AUQ23" s="208"/>
      <c r="AUR23" s="208"/>
      <c r="AUS23" s="208"/>
      <c r="AUT23" s="208"/>
      <c r="AUU23" s="208"/>
      <c r="AUV23" s="208"/>
      <c r="AUW23" s="208"/>
      <c r="AUX23" s="208"/>
      <c r="AUY23" s="208"/>
      <c r="AUZ23" s="208"/>
      <c r="AVA23" s="208"/>
      <c r="AVB23" s="208"/>
      <c r="AVC23" s="208"/>
      <c r="AVD23" s="208"/>
      <c r="AVE23" s="208"/>
      <c r="AVF23" s="208"/>
      <c r="AVG23" s="208"/>
      <c r="AVH23" s="208"/>
      <c r="AVI23" s="208"/>
      <c r="AVJ23" s="208"/>
      <c r="AVK23" s="208"/>
      <c r="AVL23" s="208"/>
      <c r="AVM23" s="208"/>
      <c r="AVN23" s="208"/>
      <c r="AVO23" s="208"/>
      <c r="AVP23" s="208"/>
      <c r="AVQ23" s="208"/>
      <c r="AVR23" s="208"/>
      <c r="AVS23" s="208"/>
      <c r="AVT23" s="208"/>
      <c r="AVU23" s="208"/>
      <c r="AVV23" s="208"/>
      <c r="AVW23" s="208"/>
      <c r="AVX23" s="208"/>
      <c r="AVY23" s="208"/>
      <c r="AVZ23" s="208"/>
      <c r="AWA23" s="208"/>
      <c r="AWB23" s="208"/>
      <c r="AWC23" s="208"/>
      <c r="AWD23" s="208"/>
      <c r="AWE23" s="208"/>
      <c r="AWF23" s="208"/>
      <c r="AWG23" s="208"/>
      <c r="AWH23" s="208"/>
      <c r="AWI23" s="208"/>
      <c r="AWJ23" s="208"/>
      <c r="AWK23" s="208"/>
      <c r="AWL23" s="208"/>
      <c r="AWM23" s="208"/>
      <c r="AWN23" s="208"/>
      <c r="AWO23" s="208"/>
      <c r="AWP23" s="208"/>
      <c r="AWQ23" s="208"/>
      <c r="AWR23" s="208"/>
      <c r="AWS23" s="208"/>
      <c r="AWT23" s="208"/>
      <c r="AWU23" s="208"/>
      <c r="AWV23" s="208"/>
      <c r="AWW23" s="208"/>
      <c r="AWX23" s="208"/>
      <c r="AWY23" s="208"/>
      <c r="AWZ23" s="208"/>
      <c r="AXA23" s="208"/>
      <c r="AXB23" s="208"/>
      <c r="AXC23" s="208"/>
      <c r="AXD23" s="208"/>
      <c r="AXE23" s="208"/>
      <c r="AXF23" s="208"/>
      <c r="AXG23" s="208"/>
      <c r="AXH23" s="208"/>
      <c r="AXI23" s="208"/>
      <c r="AXJ23" s="208"/>
      <c r="AXK23" s="208"/>
      <c r="AXL23" s="208"/>
      <c r="AXM23" s="208"/>
      <c r="AXN23" s="208"/>
      <c r="AXO23" s="208"/>
      <c r="AXP23" s="208"/>
      <c r="AXQ23" s="208"/>
      <c r="AXR23" s="208"/>
      <c r="AXS23" s="208"/>
      <c r="AXT23" s="208"/>
      <c r="AXU23" s="208"/>
      <c r="AXV23" s="208"/>
      <c r="AXW23" s="208"/>
      <c r="AXX23" s="208"/>
      <c r="AXY23" s="208"/>
      <c r="AXZ23" s="208"/>
      <c r="AYA23" s="208"/>
      <c r="AYB23" s="208"/>
      <c r="AYC23" s="208"/>
      <c r="AYD23" s="208"/>
      <c r="AYE23" s="208"/>
      <c r="AYF23" s="208"/>
      <c r="AYG23" s="208"/>
      <c r="AYH23" s="208"/>
      <c r="AYI23" s="208"/>
      <c r="AYJ23" s="208"/>
      <c r="AYK23" s="208"/>
      <c r="AYL23" s="208"/>
      <c r="AYM23" s="208"/>
      <c r="AYN23" s="208"/>
      <c r="AYO23" s="208"/>
      <c r="AYP23" s="208"/>
      <c r="AYQ23" s="208"/>
      <c r="AYR23" s="208"/>
      <c r="AYS23" s="208"/>
      <c r="AYT23" s="208"/>
      <c r="AYU23" s="208"/>
      <c r="AYV23" s="208"/>
      <c r="AYW23" s="208"/>
      <c r="AYX23" s="208"/>
      <c r="AYY23" s="208"/>
      <c r="AYZ23" s="208"/>
      <c r="AZA23" s="208"/>
      <c r="AZB23" s="208"/>
      <c r="AZC23" s="208"/>
      <c r="AZD23" s="208"/>
      <c r="AZE23" s="208"/>
      <c r="AZF23" s="208"/>
      <c r="AZG23" s="208"/>
      <c r="AZH23" s="208"/>
      <c r="AZI23" s="208"/>
      <c r="AZJ23" s="208"/>
      <c r="AZK23" s="208"/>
      <c r="AZL23" s="208"/>
      <c r="AZM23" s="208"/>
      <c r="AZN23" s="208"/>
      <c r="AZO23" s="208"/>
      <c r="AZP23" s="208"/>
      <c r="AZQ23" s="208"/>
      <c r="AZR23" s="208"/>
      <c r="AZS23" s="208"/>
      <c r="AZT23" s="208"/>
      <c r="AZU23" s="208"/>
      <c r="AZV23" s="208"/>
      <c r="AZW23" s="208"/>
      <c r="AZX23" s="208"/>
      <c r="AZY23" s="208"/>
      <c r="AZZ23" s="208"/>
      <c r="BAA23" s="208"/>
      <c r="BAB23" s="208"/>
      <c r="BAC23" s="208"/>
      <c r="BAD23" s="208"/>
      <c r="BAE23" s="208"/>
      <c r="BAF23" s="208"/>
      <c r="BAG23" s="208"/>
      <c r="BAH23" s="208"/>
      <c r="BAI23" s="208"/>
      <c r="BAJ23" s="208"/>
      <c r="BAK23" s="208"/>
      <c r="BAL23" s="208"/>
      <c r="BAM23" s="208"/>
      <c r="BAN23" s="208"/>
      <c r="BAO23" s="208"/>
      <c r="BAP23" s="208"/>
      <c r="BAQ23" s="208"/>
      <c r="BAR23" s="208"/>
      <c r="BAS23" s="208"/>
      <c r="BAT23" s="208"/>
      <c r="BAU23" s="208"/>
      <c r="BAV23" s="208"/>
      <c r="BAW23" s="208"/>
      <c r="BAX23" s="208"/>
      <c r="BAY23" s="208"/>
      <c r="BAZ23" s="208"/>
      <c r="BBA23" s="208"/>
      <c r="BBB23" s="208"/>
      <c r="BBC23" s="208"/>
      <c r="BBD23" s="208"/>
      <c r="BBE23" s="208"/>
      <c r="BBF23" s="208"/>
      <c r="BBG23" s="208"/>
      <c r="BBH23" s="208"/>
      <c r="BBI23" s="208"/>
      <c r="BBJ23" s="208"/>
      <c r="BBK23" s="208"/>
      <c r="BBL23" s="208"/>
      <c r="BBM23" s="208"/>
      <c r="BBN23" s="208"/>
      <c r="BBO23" s="208"/>
      <c r="BBP23" s="208"/>
      <c r="BBQ23" s="208"/>
      <c r="BBR23" s="208"/>
      <c r="BBS23" s="208"/>
      <c r="BBT23" s="208"/>
      <c r="BBU23" s="208"/>
      <c r="BBV23" s="208"/>
      <c r="BBW23" s="208"/>
      <c r="BBX23" s="208"/>
      <c r="BBY23" s="208"/>
      <c r="BBZ23" s="208"/>
      <c r="BCA23" s="208"/>
      <c r="BCB23" s="208"/>
      <c r="BCC23" s="208"/>
      <c r="BCD23" s="208"/>
      <c r="BCE23" s="208"/>
      <c r="BCF23" s="208"/>
      <c r="BCG23" s="208"/>
      <c r="BCH23" s="208"/>
      <c r="BCI23" s="208"/>
      <c r="BCJ23" s="208"/>
      <c r="BCK23" s="208"/>
      <c r="BCL23" s="208"/>
      <c r="BCM23" s="208"/>
      <c r="BCN23" s="208"/>
      <c r="BCO23" s="208"/>
      <c r="BCP23" s="208"/>
      <c r="BCQ23" s="208"/>
      <c r="BCR23" s="208"/>
      <c r="BCS23" s="208"/>
      <c r="BCT23" s="208"/>
      <c r="BCU23" s="208"/>
      <c r="BCV23" s="208"/>
      <c r="BCW23" s="208"/>
      <c r="BCX23" s="208"/>
      <c r="BCY23" s="208"/>
      <c r="BCZ23" s="208"/>
      <c r="BDA23" s="208"/>
      <c r="BDB23" s="208"/>
      <c r="BDC23" s="208"/>
      <c r="BDD23" s="208"/>
      <c r="BDE23" s="208"/>
      <c r="BDF23" s="208"/>
      <c r="BDG23" s="208"/>
      <c r="BDH23" s="208"/>
      <c r="BDI23" s="208"/>
      <c r="BDJ23" s="208"/>
      <c r="BDK23" s="208"/>
      <c r="BDL23" s="208"/>
      <c r="BDM23" s="208"/>
      <c r="BDN23" s="208"/>
      <c r="BDO23" s="208"/>
      <c r="BDP23" s="208"/>
      <c r="BDQ23" s="208"/>
      <c r="BDR23" s="208"/>
      <c r="BDS23" s="208"/>
      <c r="BDT23" s="208"/>
      <c r="BDU23" s="208"/>
      <c r="BDV23" s="208"/>
      <c r="BDW23" s="208"/>
      <c r="BDX23" s="208"/>
      <c r="BDY23" s="208"/>
      <c r="BDZ23" s="208"/>
      <c r="BEA23" s="208"/>
      <c r="BEB23" s="208"/>
      <c r="BEC23" s="208"/>
      <c r="BED23" s="208"/>
      <c r="BEE23" s="208"/>
      <c r="BEF23" s="208"/>
      <c r="BEG23" s="208"/>
      <c r="BEH23" s="208"/>
      <c r="BEI23" s="208"/>
      <c r="BEJ23" s="208"/>
      <c r="BEK23" s="208"/>
      <c r="BEL23" s="208"/>
      <c r="BEM23" s="208"/>
      <c r="BEN23" s="208"/>
      <c r="BEO23" s="208"/>
      <c r="BEP23" s="208"/>
      <c r="BEQ23" s="208"/>
      <c r="BER23" s="208"/>
      <c r="BES23" s="208"/>
      <c r="BET23" s="208"/>
      <c r="BEU23" s="208"/>
      <c r="BEV23" s="208"/>
      <c r="BEW23" s="208"/>
      <c r="BEX23" s="208"/>
      <c r="BEY23" s="208"/>
      <c r="BEZ23" s="208"/>
      <c r="BFA23" s="208"/>
      <c r="BFB23" s="208"/>
      <c r="BFC23" s="208"/>
      <c r="BFD23" s="208"/>
      <c r="BFE23" s="208"/>
      <c r="BFF23" s="208"/>
      <c r="BFG23" s="208"/>
      <c r="BFH23" s="208"/>
      <c r="BFI23" s="208"/>
      <c r="BFJ23" s="208"/>
      <c r="BFK23" s="208"/>
      <c r="BFL23" s="208"/>
      <c r="BFM23" s="208"/>
      <c r="BFN23" s="208"/>
      <c r="BFO23" s="208"/>
      <c r="BFP23" s="208"/>
      <c r="BFQ23" s="208"/>
      <c r="BFR23" s="208"/>
      <c r="BFS23" s="208"/>
      <c r="BFT23" s="208"/>
      <c r="BFU23" s="208"/>
      <c r="BFV23" s="208"/>
      <c r="BFW23" s="208"/>
      <c r="BFX23" s="208"/>
      <c r="BFY23" s="208"/>
      <c r="BFZ23" s="208"/>
      <c r="BGA23" s="208"/>
      <c r="BGB23" s="208"/>
      <c r="BGC23" s="208"/>
      <c r="BGD23" s="208"/>
      <c r="BGE23" s="208"/>
      <c r="BGF23" s="208"/>
      <c r="BGG23" s="208"/>
      <c r="BGH23" s="208"/>
      <c r="BGI23" s="208"/>
      <c r="BGJ23" s="208"/>
      <c r="BGK23" s="208"/>
      <c r="BGL23" s="208"/>
      <c r="BGM23" s="208"/>
      <c r="BGN23" s="208"/>
      <c r="BGO23" s="208"/>
      <c r="BGP23" s="208"/>
      <c r="BGQ23" s="208"/>
      <c r="BGR23" s="208"/>
      <c r="BGS23" s="208"/>
      <c r="BGT23" s="208"/>
      <c r="BGU23" s="208"/>
      <c r="BGV23" s="208"/>
      <c r="BGW23" s="208"/>
      <c r="BGX23" s="208"/>
      <c r="BGY23" s="208"/>
      <c r="BGZ23" s="208"/>
      <c r="BHA23" s="208"/>
      <c r="BHB23" s="208"/>
      <c r="BHC23" s="208"/>
      <c r="BHD23" s="208"/>
      <c r="BHE23" s="208"/>
      <c r="BHF23" s="208"/>
      <c r="BHG23" s="208"/>
      <c r="BHH23" s="208"/>
      <c r="BHI23" s="208"/>
      <c r="BHJ23" s="208"/>
      <c r="BHK23" s="208"/>
      <c r="BHL23" s="208"/>
      <c r="BHM23" s="208"/>
      <c r="BHN23" s="208"/>
      <c r="BHO23" s="208"/>
      <c r="BHP23" s="208"/>
      <c r="BHQ23" s="208"/>
      <c r="BHR23" s="208"/>
      <c r="BHS23" s="208"/>
      <c r="BHT23" s="208"/>
      <c r="BHU23" s="208"/>
      <c r="BHV23" s="208"/>
      <c r="BHW23" s="208"/>
      <c r="BHX23" s="208"/>
      <c r="BHY23" s="208"/>
      <c r="BHZ23" s="208"/>
      <c r="BIA23" s="208"/>
      <c r="BIB23" s="208"/>
      <c r="BIC23" s="208"/>
      <c r="BID23" s="208"/>
      <c r="BIE23" s="208"/>
      <c r="BIF23" s="208"/>
      <c r="BIG23" s="208"/>
      <c r="BIH23" s="208"/>
      <c r="BII23" s="208"/>
      <c r="BIJ23" s="208"/>
      <c r="BIK23" s="208"/>
      <c r="BIL23" s="208"/>
      <c r="BIM23" s="208"/>
      <c r="BIN23" s="208"/>
      <c r="BIO23" s="208"/>
      <c r="BIP23" s="208"/>
      <c r="BIQ23" s="208"/>
      <c r="BIR23" s="208"/>
      <c r="BIS23" s="208"/>
      <c r="BIT23" s="208"/>
      <c r="BIU23" s="208"/>
      <c r="BIV23" s="208"/>
      <c r="BIW23" s="208"/>
      <c r="BIX23" s="208"/>
      <c r="BIY23" s="208"/>
      <c r="BIZ23" s="208"/>
      <c r="BJA23" s="208"/>
      <c r="BJB23" s="208"/>
      <c r="BJC23" s="208"/>
      <c r="BJD23" s="208"/>
      <c r="BJE23" s="208"/>
      <c r="BJF23" s="208"/>
      <c r="BJG23" s="208"/>
      <c r="BJH23" s="208"/>
      <c r="BJI23" s="208"/>
      <c r="BJJ23" s="208"/>
      <c r="BJK23" s="208"/>
      <c r="BJL23" s="208"/>
      <c r="BJM23" s="208"/>
      <c r="BJN23" s="208"/>
      <c r="BJO23" s="208"/>
      <c r="BJP23" s="208"/>
      <c r="BJQ23" s="208"/>
      <c r="BJR23" s="208"/>
      <c r="BJS23" s="208"/>
      <c r="BJT23" s="208"/>
      <c r="BJU23" s="208"/>
      <c r="BJV23" s="208"/>
      <c r="BJW23" s="208"/>
      <c r="BJX23" s="208"/>
      <c r="BJY23" s="208"/>
      <c r="BJZ23" s="208"/>
      <c r="BKA23" s="208"/>
      <c r="BKB23" s="208"/>
      <c r="BKC23" s="208"/>
      <c r="BKD23" s="208"/>
      <c r="BKE23" s="208"/>
      <c r="BKF23" s="208"/>
      <c r="BKG23" s="208"/>
      <c r="BKH23" s="208"/>
      <c r="BKI23" s="208"/>
      <c r="BKJ23" s="208"/>
      <c r="BKK23" s="208"/>
      <c r="BKL23" s="208"/>
      <c r="BKM23" s="208"/>
      <c r="BKN23" s="208"/>
      <c r="BKO23" s="208"/>
      <c r="BKP23" s="208"/>
      <c r="BKQ23" s="208"/>
      <c r="BKR23" s="208"/>
      <c r="BKS23" s="208"/>
      <c r="BKT23" s="208"/>
      <c r="BKU23" s="208"/>
      <c r="BKV23" s="208"/>
      <c r="BKW23" s="208"/>
      <c r="BKX23" s="208"/>
      <c r="BKY23" s="208"/>
      <c r="BKZ23" s="208"/>
      <c r="BLA23" s="208"/>
      <c r="BLB23" s="208"/>
      <c r="BLC23" s="208"/>
      <c r="BLD23" s="208"/>
      <c r="BLE23" s="208"/>
      <c r="BLF23" s="208"/>
      <c r="BLG23" s="208"/>
      <c r="BLH23" s="208"/>
      <c r="BLI23" s="208"/>
      <c r="BLJ23" s="208"/>
      <c r="BLK23" s="208"/>
      <c r="BLL23" s="208"/>
      <c r="BLM23" s="208"/>
      <c r="BLN23" s="208"/>
      <c r="BLO23" s="208"/>
      <c r="BLP23" s="208"/>
      <c r="BLQ23" s="208"/>
      <c r="BLR23" s="208"/>
      <c r="BLS23" s="208"/>
      <c r="BLT23" s="208"/>
      <c r="BLU23" s="208"/>
      <c r="BLV23" s="208"/>
      <c r="BLW23" s="208"/>
      <c r="BLX23" s="208"/>
      <c r="BLY23" s="208"/>
      <c r="BLZ23" s="208"/>
      <c r="BMA23" s="208"/>
      <c r="BMB23" s="208"/>
      <c r="BMC23" s="208"/>
      <c r="BMD23" s="208"/>
      <c r="BME23" s="208"/>
      <c r="BMF23" s="208"/>
      <c r="BMG23" s="208"/>
      <c r="BMH23" s="208"/>
      <c r="BMI23" s="208"/>
      <c r="BMJ23" s="208"/>
      <c r="BMK23" s="208"/>
      <c r="BML23" s="208"/>
      <c r="BMM23" s="208"/>
      <c r="BMN23" s="208"/>
      <c r="BMO23" s="208"/>
      <c r="BMP23" s="208"/>
      <c r="BMQ23" s="208"/>
      <c r="BMR23" s="208"/>
      <c r="BMS23" s="208"/>
      <c r="BMT23" s="208"/>
      <c r="BMU23" s="208"/>
      <c r="BMV23" s="208"/>
      <c r="BMW23" s="208"/>
      <c r="BMX23" s="208"/>
      <c r="BMY23" s="208"/>
      <c r="BMZ23" s="208"/>
      <c r="BNA23" s="208"/>
      <c r="BNB23" s="208"/>
      <c r="BNC23" s="208"/>
      <c r="BND23" s="208"/>
      <c r="BNE23" s="208"/>
      <c r="BNF23" s="208"/>
      <c r="BNG23" s="208"/>
      <c r="BNH23" s="208"/>
      <c r="BNI23" s="208"/>
      <c r="BNJ23" s="208"/>
      <c r="BNK23" s="208"/>
      <c r="BNL23" s="208"/>
      <c r="BNM23" s="208"/>
      <c r="BNN23" s="208"/>
      <c r="BNO23" s="208"/>
      <c r="BNP23" s="208"/>
      <c r="BNQ23" s="208"/>
      <c r="BNR23" s="208"/>
      <c r="BNS23" s="208"/>
      <c r="BNT23" s="208"/>
      <c r="BNU23" s="208"/>
      <c r="BNV23" s="208"/>
      <c r="BNW23" s="208"/>
      <c r="BNX23" s="208"/>
      <c r="BNY23" s="208"/>
      <c r="BNZ23" s="208"/>
      <c r="BOA23" s="208"/>
      <c r="BOB23" s="208"/>
      <c r="BOC23" s="208"/>
      <c r="BOD23" s="208"/>
      <c r="BOE23" s="208"/>
      <c r="BOF23" s="208"/>
      <c r="BOG23" s="208"/>
      <c r="BOH23" s="208"/>
      <c r="BOI23" s="208"/>
      <c r="BOJ23" s="208"/>
      <c r="BOK23" s="208"/>
      <c r="BOL23" s="208"/>
      <c r="BOM23" s="208"/>
      <c r="BON23" s="208"/>
      <c r="BOO23" s="208"/>
      <c r="BOP23" s="208"/>
      <c r="BOQ23" s="208"/>
      <c r="BOR23" s="208"/>
      <c r="BOS23" s="208"/>
      <c r="BOT23" s="208"/>
      <c r="BOU23" s="208"/>
      <c r="BOV23" s="208"/>
      <c r="BOW23" s="208"/>
      <c r="BOX23" s="208"/>
      <c r="BOY23" s="208"/>
      <c r="BOZ23" s="208"/>
      <c r="BPA23" s="208"/>
      <c r="BPB23" s="208"/>
      <c r="BPC23" s="208"/>
      <c r="BPD23" s="208"/>
      <c r="BPE23" s="208"/>
      <c r="BPF23" s="208"/>
      <c r="BPG23" s="208"/>
      <c r="BPH23" s="208"/>
      <c r="BPI23" s="208"/>
      <c r="BPJ23" s="208"/>
      <c r="BPK23" s="208"/>
      <c r="BPL23" s="208"/>
      <c r="BPM23" s="208"/>
      <c r="BPN23" s="208"/>
      <c r="BPO23" s="208"/>
      <c r="BPP23" s="208"/>
      <c r="BPQ23" s="208"/>
      <c r="BPR23" s="208"/>
      <c r="BPS23" s="208"/>
      <c r="BPT23" s="208"/>
      <c r="BPU23" s="208"/>
      <c r="BPV23" s="208"/>
      <c r="BPW23" s="208"/>
      <c r="BPX23" s="208"/>
      <c r="BPY23" s="208"/>
      <c r="BPZ23" s="208"/>
      <c r="BQA23" s="208"/>
      <c r="BQB23" s="208"/>
      <c r="BQC23" s="208"/>
      <c r="BQD23" s="208"/>
      <c r="BQE23" s="208"/>
      <c r="BQF23" s="208"/>
      <c r="BQG23" s="208"/>
      <c r="BQH23" s="208"/>
      <c r="BQI23" s="208"/>
      <c r="BQJ23" s="208"/>
      <c r="BQK23" s="208"/>
      <c r="BQL23" s="208"/>
      <c r="BQM23" s="208"/>
      <c r="BQN23" s="208"/>
      <c r="BQO23" s="208"/>
      <c r="BQP23" s="208"/>
      <c r="BQQ23" s="208"/>
      <c r="BQR23" s="208"/>
      <c r="BQS23" s="208"/>
      <c r="BQT23" s="208"/>
      <c r="BQU23" s="208"/>
      <c r="BQV23" s="208"/>
      <c r="BQW23" s="208"/>
      <c r="BQX23" s="208"/>
      <c r="BQY23" s="208"/>
      <c r="BQZ23" s="208"/>
      <c r="BRA23" s="208"/>
      <c r="BRB23" s="208"/>
      <c r="BRC23" s="208"/>
      <c r="BRD23" s="208"/>
      <c r="BRE23" s="208"/>
      <c r="BRF23" s="208"/>
      <c r="BRG23" s="208"/>
      <c r="BRH23" s="208"/>
      <c r="BRI23" s="208"/>
      <c r="BRJ23" s="208"/>
      <c r="BRK23" s="208"/>
      <c r="BRL23" s="208"/>
      <c r="BRM23" s="208"/>
      <c r="BRN23" s="208"/>
      <c r="BRO23" s="208"/>
      <c r="BRP23" s="208"/>
      <c r="BRQ23" s="208"/>
      <c r="BRR23" s="208"/>
      <c r="BRS23" s="208"/>
      <c r="BRT23" s="208"/>
      <c r="BRU23" s="208"/>
      <c r="BRV23" s="208"/>
      <c r="BRW23" s="208"/>
      <c r="BRX23" s="208"/>
      <c r="BRY23" s="208"/>
      <c r="BRZ23" s="208"/>
      <c r="BSA23" s="208"/>
      <c r="BSB23" s="208"/>
      <c r="BSC23" s="208"/>
      <c r="BSD23" s="208"/>
      <c r="BSE23" s="208"/>
      <c r="BSF23" s="208"/>
      <c r="BSG23" s="208"/>
      <c r="BSH23" s="208"/>
      <c r="BSI23" s="208"/>
      <c r="BSJ23" s="208"/>
      <c r="BSK23" s="208"/>
      <c r="BSL23" s="208"/>
      <c r="BSM23" s="208"/>
      <c r="BSN23" s="208"/>
      <c r="BSO23" s="208"/>
      <c r="BSP23" s="208"/>
      <c r="BSQ23" s="208"/>
      <c r="BSR23" s="208"/>
      <c r="BSS23" s="208"/>
      <c r="BST23" s="208"/>
      <c r="BSU23" s="208"/>
      <c r="BSV23" s="208"/>
      <c r="BSW23" s="208"/>
      <c r="BSX23" s="208"/>
      <c r="BSY23" s="208"/>
      <c r="BSZ23" s="208"/>
      <c r="BTA23" s="208"/>
      <c r="BTB23" s="208"/>
      <c r="BTC23" s="208"/>
      <c r="BTD23" s="208"/>
      <c r="BTE23" s="208"/>
      <c r="BTF23" s="208"/>
      <c r="BTG23" s="208"/>
      <c r="BTH23" s="208"/>
      <c r="BTI23" s="208"/>
      <c r="BTJ23" s="208"/>
      <c r="BTK23" s="208"/>
      <c r="BTL23" s="208"/>
      <c r="BTM23" s="208"/>
      <c r="BTN23" s="208"/>
      <c r="BTO23" s="208"/>
      <c r="BTP23" s="208"/>
      <c r="BTQ23" s="208"/>
      <c r="BTR23" s="208"/>
      <c r="BTS23" s="208"/>
      <c r="BTT23" s="208"/>
      <c r="BTU23" s="208"/>
      <c r="BTV23" s="208"/>
      <c r="BTW23" s="208"/>
      <c r="BTX23" s="208"/>
      <c r="BTY23" s="208"/>
      <c r="BTZ23" s="208"/>
      <c r="BUA23" s="208"/>
      <c r="BUB23" s="208"/>
      <c r="BUC23" s="208"/>
      <c r="BUD23" s="208"/>
      <c r="BUE23" s="208"/>
      <c r="BUF23" s="208"/>
      <c r="BUG23" s="208"/>
      <c r="BUH23" s="208"/>
      <c r="BUI23" s="208"/>
      <c r="BUJ23" s="208"/>
      <c r="BUK23" s="208"/>
      <c r="BUL23" s="208"/>
      <c r="BUM23" s="208"/>
      <c r="BUN23" s="208"/>
      <c r="BUO23" s="208"/>
      <c r="BUP23" s="208"/>
      <c r="BUQ23" s="208"/>
      <c r="BUR23" s="208"/>
      <c r="BUS23" s="208"/>
      <c r="BUT23" s="208"/>
      <c r="BUU23" s="208"/>
      <c r="BUV23" s="208"/>
      <c r="BUW23" s="208"/>
      <c r="BUX23" s="208"/>
      <c r="BUY23" s="208"/>
      <c r="BUZ23" s="208"/>
      <c r="BVA23" s="208"/>
      <c r="BVB23" s="208"/>
      <c r="BVC23" s="208"/>
      <c r="BVD23" s="208"/>
      <c r="BVE23" s="208"/>
      <c r="BVF23" s="208"/>
      <c r="BVG23" s="208"/>
      <c r="BVH23" s="208"/>
      <c r="BVI23" s="208"/>
      <c r="BVJ23" s="208"/>
      <c r="BVK23" s="208"/>
      <c r="BVL23" s="208"/>
      <c r="BVM23" s="208"/>
      <c r="BVN23" s="208"/>
      <c r="BVO23" s="208"/>
      <c r="BVP23" s="208"/>
      <c r="BVQ23" s="208"/>
      <c r="BVR23" s="208"/>
      <c r="BVS23" s="208"/>
      <c r="BVT23" s="208"/>
      <c r="BVU23" s="208"/>
      <c r="BVV23" s="208"/>
      <c r="BVW23" s="208"/>
      <c r="BVX23" s="208"/>
      <c r="BVY23" s="208"/>
      <c r="BVZ23" s="208"/>
      <c r="BWA23" s="208"/>
      <c r="BWB23" s="208"/>
      <c r="BWC23" s="208"/>
      <c r="BWD23" s="208"/>
      <c r="BWE23" s="208"/>
      <c r="BWF23" s="208"/>
      <c r="BWG23" s="208"/>
      <c r="BWH23" s="208"/>
      <c r="BWI23" s="208"/>
      <c r="BWJ23" s="208"/>
      <c r="BWK23" s="208"/>
      <c r="BWL23" s="208"/>
      <c r="BWM23" s="208"/>
      <c r="BWN23" s="208"/>
      <c r="BWO23" s="208"/>
      <c r="BWP23" s="208"/>
      <c r="BWQ23" s="208"/>
      <c r="BWR23" s="208"/>
      <c r="BWS23" s="208"/>
      <c r="BWT23" s="208"/>
      <c r="BWU23" s="208"/>
      <c r="BWV23" s="208"/>
      <c r="BWW23" s="208"/>
      <c r="BWX23" s="208"/>
      <c r="BWY23" s="208"/>
      <c r="BWZ23" s="208"/>
      <c r="BXA23" s="208"/>
      <c r="BXB23" s="208"/>
      <c r="BXC23" s="208"/>
      <c r="BXD23" s="208"/>
      <c r="BXE23" s="208"/>
      <c r="BXF23" s="208"/>
      <c r="BXG23" s="208"/>
      <c r="BXH23" s="208"/>
      <c r="BXI23" s="208"/>
      <c r="BXJ23" s="208"/>
      <c r="BXK23" s="208"/>
      <c r="BXL23" s="208"/>
      <c r="BXM23" s="208"/>
      <c r="BXN23" s="208"/>
      <c r="BXO23" s="208"/>
      <c r="BXP23" s="208"/>
      <c r="BXQ23" s="208"/>
      <c r="BXR23" s="208"/>
      <c r="BXS23" s="208"/>
      <c r="BXT23" s="208"/>
      <c r="BXU23" s="208"/>
      <c r="BXV23" s="208"/>
      <c r="BXW23" s="208"/>
      <c r="BXX23" s="208"/>
      <c r="BXY23" s="208"/>
      <c r="BXZ23" s="208"/>
      <c r="BYA23" s="208"/>
      <c r="BYB23" s="208"/>
      <c r="BYC23" s="208"/>
      <c r="BYD23" s="208"/>
      <c r="BYE23" s="208"/>
      <c r="BYF23" s="208"/>
      <c r="BYG23" s="208"/>
    </row>
    <row r="24" spans="1:2009" s="100" customFormat="1" ht="12.75" hidden="1" customHeight="1" thickBot="1" x14ac:dyDescent="0.3">
      <c r="A24" s="107"/>
      <c r="B24" s="108"/>
      <c r="C24" s="176"/>
      <c r="D24" s="176"/>
      <c r="E24" s="176"/>
      <c r="F24" s="176"/>
      <c r="G24" s="715"/>
      <c r="H24" s="99"/>
      <c r="I24" s="99"/>
      <c r="J24" s="99"/>
      <c r="K24" s="437"/>
      <c r="L24" s="436">
        <v>5.54</v>
      </c>
      <c r="M24"/>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2009" s="109" customFormat="1" ht="24.95" hidden="1" customHeight="1" x14ac:dyDescent="0.25">
      <c r="A25" s="138" t="s">
        <v>99</v>
      </c>
      <c r="B25" s="139"/>
      <c r="C25" s="177"/>
      <c r="D25" s="177"/>
      <c r="E25" s="178"/>
      <c r="F25" s="178"/>
      <c r="G25" s="716"/>
      <c r="H25" s="94"/>
      <c r="I25" s="94"/>
      <c r="J25" s="94"/>
      <c r="K25" s="437"/>
      <c r="L25" s="437" t="s">
        <v>210</v>
      </c>
      <c r="M2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109" customFormat="1" ht="24.95" hidden="1" customHeight="1" x14ac:dyDescent="0.25">
      <c r="A26" s="140"/>
      <c r="B26" s="127" t="s">
        <v>163</v>
      </c>
      <c r="C26" s="179"/>
      <c r="D26" s="179"/>
      <c r="E26" s="180"/>
      <c r="F26" s="180"/>
      <c r="G26" s="717"/>
      <c r="H26" s="94"/>
      <c r="I26" s="94"/>
      <c r="J26" s="94"/>
      <c r="K26" s="438"/>
      <c r="L26"/>
      <c r="M26" s="439">
        <v>12.3</v>
      </c>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5"/>
      <c r="SD26" s="95"/>
      <c r="SE26" s="95"/>
      <c r="SF26" s="95"/>
      <c r="SG26" s="95"/>
      <c r="SH26" s="95"/>
      <c r="SI26" s="95"/>
      <c r="SJ26" s="95"/>
      <c r="SK26" s="95"/>
      <c r="SL26" s="95"/>
      <c r="SM26" s="95"/>
      <c r="SN26" s="95"/>
      <c r="SO26" s="95"/>
      <c r="SP26" s="95"/>
      <c r="SQ26" s="95"/>
      <c r="SR26" s="95"/>
      <c r="SS26" s="95"/>
      <c r="ST26" s="95"/>
      <c r="SU26" s="95"/>
      <c r="SV26" s="95"/>
      <c r="SW26" s="95"/>
      <c r="SX26" s="95"/>
      <c r="SY26" s="95"/>
      <c r="SZ26" s="95"/>
      <c r="TA26" s="95"/>
      <c r="TB26" s="95"/>
      <c r="TC26" s="95"/>
      <c r="TD26" s="95"/>
      <c r="TE26" s="95"/>
      <c r="TF26" s="95"/>
      <c r="TG26" s="95"/>
      <c r="TH26" s="95"/>
      <c r="TI26" s="95"/>
      <c r="TJ26" s="95"/>
      <c r="TK26" s="95"/>
      <c r="TL26" s="95"/>
      <c r="TM26" s="95"/>
      <c r="TN26" s="95"/>
      <c r="TO26" s="95"/>
      <c r="TP26" s="95"/>
      <c r="TQ26" s="95"/>
      <c r="TR26" s="95"/>
      <c r="TS26" s="95"/>
      <c r="TT26" s="95"/>
      <c r="TU26" s="95"/>
      <c r="TV26" s="95"/>
      <c r="TW26" s="95"/>
      <c r="TX26" s="95"/>
      <c r="TY26" s="95"/>
      <c r="TZ26" s="95"/>
      <c r="UA26" s="95"/>
      <c r="UB26" s="95"/>
      <c r="UC26" s="95"/>
      <c r="UD26" s="95"/>
      <c r="UE26" s="95"/>
      <c r="UF26" s="95"/>
      <c r="UG26" s="95"/>
      <c r="UH26" s="95"/>
      <c r="UI26" s="95"/>
      <c r="UJ26" s="95"/>
      <c r="UK26" s="95"/>
      <c r="UL26" s="95"/>
      <c r="UM26" s="95"/>
      <c r="UN26" s="95"/>
      <c r="UO26" s="95"/>
      <c r="UP26" s="95"/>
      <c r="UQ26" s="95"/>
      <c r="UR26" s="95"/>
      <c r="US26" s="95"/>
      <c r="UT26" s="95"/>
      <c r="UU26" s="95"/>
      <c r="UV26" s="95"/>
      <c r="UW26" s="95"/>
      <c r="UX26" s="95"/>
      <c r="UY26" s="95"/>
      <c r="UZ26" s="95"/>
      <c r="VA26" s="95"/>
      <c r="VB26" s="95"/>
      <c r="VC26" s="95"/>
      <c r="VD26" s="95"/>
      <c r="VE26" s="95"/>
      <c r="VF26" s="95"/>
      <c r="VG26" s="95"/>
      <c r="VH26" s="95"/>
      <c r="VI26" s="95"/>
      <c r="VJ26" s="95"/>
      <c r="VK26" s="95"/>
      <c r="VL26" s="95"/>
      <c r="VM26" s="95"/>
      <c r="VN26" s="95"/>
      <c r="VO26" s="95"/>
      <c r="VP26" s="95"/>
      <c r="VQ26" s="95"/>
      <c r="VR26" s="95"/>
      <c r="VS26" s="95"/>
      <c r="VT26" s="95"/>
      <c r="VU26" s="95"/>
      <c r="VV26" s="95"/>
      <c r="VW26" s="95"/>
      <c r="VX26" s="95"/>
      <c r="VY26" s="95"/>
      <c r="VZ26" s="95"/>
      <c r="WA26" s="95"/>
      <c r="WB26" s="95"/>
      <c r="WC26" s="95"/>
      <c r="WD26" s="95"/>
      <c r="WE26" s="95"/>
      <c r="WF26" s="95"/>
      <c r="WG26" s="95"/>
      <c r="WH26" s="95"/>
      <c r="WI26" s="95"/>
      <c r="WJ26" s="95"/>
      <c r="WK26" s="95"/>
      <c r="WL26" s="95"/>
      <c r="WM26" s="95"/>
      <c r="WN26" s="95"/>
      <c r="WO26" s="95"/>
      <c r="WP26" s="95"/>
      <c r="WQ26" s="95"/>
      <c r="WR26" s="95"/>
      <c r="WS26" s="95"/>
      <c r="WT26" s="95"/>
      <c r="WU26" s="95"/>
      <c r="WV26" s="95"/>
      <c r="WW26" s="95"/>
      <c r="WX26" s="95"/>
      <c r="WY26" s="95"/>
      <c r="WZ26" s="95"/>
      <c r="XA26" s="95"/>
      <c r="XB26" s="95"/>
      <c r="XC26" s="95"/>
      <c r="XD26" s="95"/>
      <c r="XE26" s="95"/>
      <c r="XF26" s="95"/>
      <c r="XG26" s="95"/>
      <c r="XH26" s="95"/>
      <c r="XI26" s="95"/>
      <c r="XJ26" s="95"/>
      <c r="XK26" s="95"/>
      <c r="XL26" s="95"/>
      <c r="XM26" s="95"/>
      <c r="XN26" s="95"/>
      <c r="XO26" s="95"/>
      <c r="XP26" s="95"/>
      <c r="XQ26" s="95"/>
      <c r="XR26" s="95"/>
      <c r="XS26" s="95"/>
      <c r="XT26" s="95"/>
      <c r="XU26" s="95"/>
      <c r="XV26" s="95"/>
      <c r="XW26" s="95"/>
      <c r="XX26" s="95"/>
      <c r="XY26" s="95"/>
      <c r="XZ26" s="95"/>
      <c r="YA26" s="95"/>
      <c r="YB26" s="95"/>
      <c r="YC26" s="95"/>
      <c r="YD26" s="95"/>
      <c r="YE26" s="95"/>
      <c r="YF26" s="95"/>
      <c r="YG26" s="95"/>
      <c r="YH26" s="95"/>
      <c r="YI26" s="95"/>
      <c r="YJ26" s="95"/>
      <c r="YK26" s="95"/>
      <c r="YL26" s="95"/>
      <c r="YM26" s="95"/>
      <c r="YN26" s="95"/>
      <c r="YO26" s="95"/>
      <c r="YP26" s="95"/>
      <c r="YQ26" s="95"/>
      <c r="YR26" s="95"/>
      <c r="YS26" s="95"/>
      <c r="YT26" s="95"/>
      <c r="YU26" s="95"/>
      <c r="YV26" s="95"/>
      <c r="YW26" s="95"/>
      <c r="YX26" s="95"/>
      <c r="YY26" s="95"/>
      <c r="YZ26" s="95"/>
      <c r="ZA26" s="95"/>
      <c r="ZB26" s="95"/>
      <c r="ZC26" s="95"/>
      <c r="ZD26" s="95"/>
      <c r="ZE26" s="95"/>
      <c r="ZF26" s="95"/>
      <c r="ZG26" s="95"/>
      <c r="ZH26" s="95"/>
      <c r="ZI26" s="95"/>
      <c r="ZJ26" s="95"/>
      <c r="ZK26" s="95"/>
      <c r="ZL26" s="95"/>
      <c r="ZM26" s="95"/>
      <c r="ZN26" s="95"/>
      <c r="ZO26" s="95"/>
      <c r="ZP26" s="95"/>
      <c r="ZQ26" s="95"/>
      <c r="ZR26" s="95"/>
      <c r="ZS26" s="95"/>
      <c r="ZT26" s="95"/>
      <c r="ZU26" s="95"/>
      <c r="ZV26" s="95"/>
      <c r="ZW26" s="95"/>
      <c r="ZX26" s="95"/>
      <c r="ZY26" s="95"/>
      <c r="ZZ26" s="95"/>
      <c r="AAA26" s="95"/>
      <c r="AAB26" s="95"/>
      <c r="AAC26" s="95"/>
      <c r="AAD26" s="95"/>
      <c r="AAE26" s="95"/>
      <c r="AAF26" s="95"/>
      <c r="AAG26" s="95"/>
      <c r="AAH26" s="95"/>
      <c r="AAI26" s="95"/>
      <c r="AAJ26" s="95"/>
      <c r="AAK26" s="95"/>
      <c r="AAL26" s="95"/>
      <c r="AAM26" s="95"/>
      <c r="AAN26" s="95"/>
      <c r="AAO26" s="95"/>
      <c r="AAP26" s="95"/>
      <c r="AAQ26" s="95"/>
      <c r="AAR26" s="95"/>
      <c r="AAS26" s="95"/>
      <c r="AAT26" s="95"/>
      <c r="AAU26" s="95"/>
      <c r="AAV26" s="95"/>
      <c r="AAW26" s="95"/>
      <c r="AAX26" s="95"/>
      <c r="AAY26" s="95"/>
      <c r="AAZ26" s="95"/>
      <c r="ABA26" s="95"/>
      <c r="ABB26" s="95"/>
      <c r="ABC26" s="95"/>
      <c r="ABD26" s="95"/>
      <c r="ABE26" s="95"/>
      <c r="ABF26" s="95"/>
      <c r="ABG26" s="95"/>
      <c r="ABH26" s="95"/>
      <c r="ABI26" s="95"/>
      <c r="ABJ26" s="95"/>
      <c r="ABK26" s="95"/>
      <c r="ABL26" s="95"/>
      <c r="ABM26" s="95"/>
      <c r="ABN26" s="95"/>
      <c r="ABO26" s="95"/>
      <c r="ABP26" s="95"/>
      <c r="ABQ26" s="95"/>
      <c r="ABR26" s="95"/>
      <c r="ABS26" s="95"/>
      <c r="ABT26" s="95"/>
      <c r="ABU26" s="95"/>
      <c r="ABV26" s="95"/>
      <c r="ABW26" s="95"/>
      <c r="ABX26" s="95"/>
      <c r="ABY26" s="95"/>
      <c r="ABZ26" s="95"/>
      <c r="ACA26" s="95"/>
      <c r="ACB26" s="95"/>
      <c r="ACC26" s="95"/>
      <c r="ACD26" s="95"/>
      <c r="ACE26" s="95"/>
      <c r="ACF26" s="95"/>
      <c r="ACG26" s="95"/>
      <c r="ACH26" s="95"/>
      <c r="ACI26" s="95"/>
      <c r="ACJ26" s="95"/>
      <c r="ACK26" s="95"/>
      <c r="ACL26" s="95"/>
      <c r="ACM26" s="95"/>
      <c r="ACN26" s="95"/>
      <c r="ACO26" s="95"/>
      <c r="ACP26" s="95"/>
      <c r="ACQ26" s="95"/>
      <c r="ACR26" s="95"/>
      <c r="ACS26" s="95"/>
      <c r="ACT26" s="95"/>
      <c r="ACU26" s="95"/>
      <c r="ACV26" s="95"/>
      <c r="ACW26" s="95"/>
      <c r="ACX26" s="95"/>
      <c r="ACY26" s="95"/>
      <c r="ACZ26" s="95"/>
      <c r="ADA26" s="95"/>
      <c r="ADB26" s="95"/>
      <c r="ADC26" s="95"/>
      <c r="ADD26" s="95"/>
      <c r="ADE26" s="95"/>
      <c r="ADF26" s="95"/>
      <c r="ADG26" s="95"/>
      <c r="ADH26" s="95"/>
      <c r="ADI26" s="95"/>
      <c r="ADJ26" s="95"/>
      <c r="ADK26" s="95"/>
      <c r="ADL26" s="95"/>
      <c r="ADM26" s="95"/>
      <c r="ADN26" s="95"/>
      <c r="ADO26" s="95"/>
      <c r="ADP26" s="95"/>
      <c r="ADQ26" s="95"/>
      <c r="ADR26" s="95"/>
      <c r="ADS26" s="95"/>
      <c r="ADT26" s="95"/>
      <c r="ADU26" s="95"/>
      <c r="ADV26" s="95"/>
      <c r="ADW26" s="95"/>
      <c r="ADX26" s="95"/>
      <c r="ADY26" s="95"/>
      <c r="ADZ26" s="95"/>
      <c r="AEA26" s="95"/>
      <c r="AEB26" s="95"/>
      <c r="AEC26" s="95"/>
      <c r="AED26" s="95"/>
      <c r="AEE26" s="95"/>
      <c r="AEF26" s="95"/>
      <c r="AEG26" s="95"/>
      <c r="AEH26" s="95"/>
      <c r="AEI26" s="95"/>
      <c r="AEJ26" s="95"/>
      <c r="AEK26" s="95"/>
      <c r="AEL26" s="95"/>
      <c r="AEM26" s="95"/>
      <c r="AEN26" s="95"/>
      <c r="AEO26" s="95"/>
      <c r="AEP26" s="95"/>
      <c r="AEQ26" s="95"/>
      <c r="AER26" s="95"/>
      <c r="AES26" s="95"/>
      <c r="AET26" s="95"/>
      <c r="AEU26" s="95"/>
      <c r="AEV26" s="95"/>
      <c r="AEW26" s="95"/>
      <c r="AEX26" s="95"/>
      <c r="AEY26" s="95"/>
      <c r="AEZ26" s="95"/>
      <c r="AFA26" s="95"/>
      <c r="AFB26" s="95"/>
      <c r="AFC26" s="95"/>
      <c r="AFD26" s="95"/>
      <c r="AFE26" s="95"/>
      <c r="AFF26" s="95"/>
      <c r="AFG26" s="95"/>
      <c r="AFH26" s="95"/>
      <c r="AFI26" s="95"/>
      <c r="AFJ26" s="95"/>
      <c r="AFK26" s="95"/>
      <c r="AFL26" s="95"/>
      <c r="AFM26" s="95"/>
      <c r="AFN26" s="95"/>
      <c r="AFO26" s="95"/>
      <c r="AFP26" s="95"/>
      <c r="AFQ26" s="95"/>
      <c r="AFR26" s="95"/>
      <c r="AFS26" s="95"/>
      <c r="AFT26" s="95"/>
      <c r="AFU26" s="95"/>
      <c r="AFV26" s="95"/>
      <c r="AFW26" s="95"/>
      <c r="AFX26" s="95"/>
      <c r="AFY26" s="95"/>
      <c r="AFZ26" s="95"/>
      <c r="AGA26" s="95"/>
      <c r="AGB26" s="95"/>
      <c r="AGC26" s="95"/>
      <c r="AGD26" s="95"/>
      <c r="AGE26" s="95"/>
      <c r="AGF26" s="95"/>
      <c r="AGG26" s="95"/>
      <c r="AGH26" s="95"/>
      <c r="AGI26" s="95"/>
      <c r="AGJ26" s="95"/>
      <c r="AGK26" s="95"/>
      <c r="AGL26" s="95"/>
      <c r="AGM26" s="95"/>
      <c r="AGN26" s="95"/>
      <c r="AGO26" s="95"/>
      <c r="AGP26" s="95"/>
      <c r="AGQ26" s="95"/>
      <c r="AGR26" s="95"/>
      <c r="AGS26" s="95"/>
      <c r="AGT26" s="95"/>
      <c r="AGU26" s="95"/>
      <c r="AGV26" s="95"/>
      <c r="AGW26" s="95"/>
      <c r="AGX26" s="95"/>
      <c r="AGY26" s="95"/>
      <c r="AGZ26" s="95"/>
      <c r="AHA26" s="95"/>
      <c r="AHB26" s="95"/>
      <c r="AHC26" s="95"/>
      <c r="AHD26" s="95"/>
      <c r="AHE26" s="95"/>
      <c r="AHF26" s="95"/>
      <c r="AHG26" s="95"/>
      <c r="AHH26" s="95"/>
      <c r="AHI26" s="95"/>
      <c r="AHJ26" s="95"/>
      <c r="AHK26" s="95"/>
      <c r="AHL26" s="95"/>
      <c r="AHM26" s="95"/>
      <c r="AHN26" s="95"/>
      <c r="AHO26" s="95"/>
      <c r="AHP26" s="95"/>
      <c r="AHQ26" s="95"/>
      <c r="AHR26" s="95"/>
      <c r="AHS26" s="95"/>
      <c r="AHT26" s="95"/>
      <c r="AHU26" s="95"/>
      <c r="AHV26" s="95"/>
      <c r="AHW26" s="95"/>
      <c r="AHX26" s="95"/>
      <c r="AHY26" s="95"/>
      <c r="AHZ26" s="95"/>
      <c r="AIA26" s="95"/>
      <c r="AIB26" s="95"/>
      <c r="AIC26" s="95"/>
      <c r="AID26" s="95"/>
      <c r="AIE26" s="95"/>
      <c r="AIF26" s="95"/>
      <c r="AIG26" s="95"/>
      <c r="AIH26" s="95"/>
      <c r="AII26" s="95"/>
      <c r="AIJ26" s="95"/>
      <c r="AIK26" s="95"/>
      <c r="AIL26" s="95"/>
      <c r="AIM26" s="95"/>
      <c r="AIN26" s="95"/>
      <c r="AIO26" s="95"/>
      <c r="AIP26" s="95"/>
      <c r="AIQ26" s="95"/>
      <c r="AIR26" s="95"/>
      <c r="AIS26" s="95"/>
      <c r="AIT26" s="95"/>
      <c r="AIU26" s="95"/>
      <c r="AIV26" s="95"/>
      <c r="AIW26" s="95"/>
      <c r="AIX26" s="95"/>
      <c r="AIY26" s="95"/>
      <c r="AIZ26" s="95"/>
      <c r="AJA26" s="95"/>
      <c r="AJB26" s="95"/>
      <c r="AJC26" s="95"/>
      <c r="AJD26" s="95"/>
      <c r="AJE26" s="95"/>
      <c r="AJF26" s="95"/>
      <c r="AJG26" s="95"/>
      <c r="AJH26" s="95"/>
      <c r="AJI26" s="95"/>
      <c r="AJJ26" s="95"/>
      <c r="AJK26" s="95"/>
      <c r="AJL26" s="95"/>
      <c r="AJM26" s="95"/>
      <c r="AJN26" s="95"/>
      <c r="AJO26" s="95"/>
      <c r="AJP26" s="95"/>
      <c r="AJQ26" s="95"/>
      <c r="AJR26" s="95"/>
      <c r="AJS26" s="95"/>
      <c r="AJT26" s="95"/>
      <c r="AJU26" s="95"/>
      <c r="AJV26" s="95"/>
      <c r="AJW26" s="95"/>
      <c r="AJX26" s="95"/>
      <c r="AJY26" s="95"/>
      <c r="AJZ26" s="95"/>
      <c r="AKA26" s="95"/>
      <c r="AKB26" s="95"/>
      <c r="AKC26" s="95"/>
      <c r="AKD26" s="95"/>
      <c r="AKE26" s="95"/>
      <c r="AKF26" s="95"/>
      <c r="AKG26" s="95"/>
      <c r="AKH26" s="95"/>
      <c r="AKI26" s="95"/>
      <c r="AKJ26" s="95"/>
      <c r="AKK26" s="95"/>
      <c r="AKL26" s="95"/>
      <c r="AKM26" s="95"/>
      <c r="AKN26" s="95"/>
      <c r="AKO26" s="95"/>
      <c r="AKP26" s="95"/>
      <c r="AKQ26" s="95"/>
      <c r="AKR26" s="95"/>
      <c r="AKS26" s="95"/>
      <c r="AKT26" s="95"/>
      <c r="AKU26" s="95"/>
      <c r="AKV26" s="95"/>
      <c r="AKW26" s="95"/>
      <c r="AKX26" s="95"/>
      <c r="AKY26" s="95"/>
      <c r="AKZ26" s="95"/>
      <c r="ALA26" s="95"/>
      <c r="ALB26" s="95"/>
      <c r="ALC26" s="95"/>
      <c r="ALD26" s="95"/>
      <c r="ALE26" s="95"/>
      <c r="ALF26" s="95"/>
      <c r="ALG26" s="95"/>
      <c r="ALH26" s="95"/>
      <c r="ALI26" s="95"/>
      <c r="ALJ26" s="95"/>
      <c r="ALK26" s="95"/>
      <c r="ALL26" s="95"/>
      <c r="ALM26" s="95"/>
      <c r="ALN26" s="95"/>
      <c r="ALO26" s="95"/>
      <c r="ALP26" s="95"/>
      <c r="ALQ26" s="95"/>
      <c r="ALR26" s="95"/>
      <c r="ALS26" s="95"/>
      <c r="ALT26" s="95"/>
      <c r="ALU26" s="95"/>
      <c r="ALV26" s="95"/>
      <c r="ALW26" s="95"/>
      <c r="ALX26" s="95"/>
      <c r="ALY26" s="95"/>
      <c r="ALZ26" s="95"/>
      <c r="AMA26" s="95"/>
      <c r="AMB26" s="95"/>
      <c r="AMC26" s="95"/>
      <c r="AMD26" s="95"/>
      <c r="AME26" s="95"/>
      <c r="AMF26" s="95"/>
      <c r="AMG26" s="95"/>
      <c r="AMH26" s="95"/>
      <c r="AMI26" s="95"/>
      <c r="AMJ26" s="95"/>
      <c r="AMK26" s="95"/>
      <c r="AML26" s="95"/>
      <c r="AMM26" s="95"/>
      <c r="AMN26" s="95"/>
      <c r="AMO26" s="95"/>
      <c r="AMP26" s="95"/>
      <c r="AMQ26" s="95"/>
      <c r="AMR26" s="95"/>
      <c r="AMS26" s="95"/>
      <c r="AMT26" s="95"/>
      <c r="AMU26" s="95"/>
      <c r="AMV26" s="95"/>
      <c r="AMW26" s="95"/>
      <c r="AMX26" s="95"/>
      <c r="AMY26" s="95"/>
      <c r="AMZ26" s="95"/>
      <c r="ANA26" s="95"/>
      <c r="ANB26" s="95"/>
      <c r="ANC26" s="95"/>
      <c r="AND26" s="95"/>
      <c r="ANE26" s="95"/>
      <c r="ANF26" s="95"/>
      <c r="ANG26" s="95"/>
      <c r="ANH26" s="95"/>
      <c r="ANI26" s="95"/>
      <c r="ANJ26" s="95"/>
      <c r="ANK26" s="95"/>
      <c r="ANL26" s="95"/>
      <c r="ANM26" s="95"/>
      <c r="ANN26" s="95"/>
      <c r="ANO26" s="95"/>
      <c r="ANP26" s="95"/>
      <c r="ANQ26" s="95"/>
      <c r="ANR26" s="95"/>
      <c r="ANS26" s="95"/>
      <c r="ANT26" s="95"/>
      <c r="ANU26" s="95"/>
      <c r="ANV26" s="95"/>
      <c r="ANW26" s="95"/>
      <c r="ANX26" s="95"/>
      <c r="ANY26" s="95"/>
      <c r="ANZ26" s="95"/>
      <c r="AOA26" s="95"/>
      <c r="AOB26" s="95"/>
      <c r="AOC26" s="95"/>
      <c r="AOD26" s="95"/>
      <c r="AOE26" s="95"/>
      <c r="AOF26" s="95"/>
      <c r="AOG26" s="95"/>
      <c r="AOH26" s="95"/>
      <c r="AOI26" s="95"/>
      <c r="AOJ26" s="95"/>
      <c r="AOK26" s="95"/>
      <c r="AOL26" s="95"/>
      <c r="AOM26" s="95"/>
      <c r="AON26" s="95"/>
      <c r="AOO26" s="95"/>
      <c r="AOP26" s="95"/>
      <c r="AOQ26" s="95"/>
      <c r="AOR26" s="95"/>
      <c r="AOS26" s="95"/>
      <c r="AOT26" s="95"/>
      <c r="AOU26" s="95"/>
      <c r="AOV26" s="95"/>
      <c r="AOW26" s="95"/>
      <c r="AOX26" s="95"/>
      <c r="AOY26" s="95"/>
      <c r="AOZ26" s="95"/>
      <c r="APA26" s="95"/>
      <c r="APB26" s="95"/>
      <c r="APC26" s="95"/>
      <c r="APD26" s="95"/>
      <c r="APE26" s="95"/>
      <c r="APF26" s="95"/>
      <c r="APG26" s="95"/>
      <c r="APH26" s="95"/>
      <c r="API26" s="95"/>
      <c r="APJ26" s="95"/>
      <c r="APK26" s="95"/>
      <c r="APL26" s="95"/>
      <c r="APM26" s="95"/>
      <c r="APN26" s="95"/>
      <c r="APO26" s="95"/>
      <c r="APP26" s="95"/>
      <c r="APQ26" s="95"/>
      <c r="APR26" s="95"/>
      <c r="APS26" s="95"/>
      <c r="APT26" s="95"/>
      <c r="APU26" s="95"/>
      <c r="APV26" s="95"/>
      <c r="APW26" s="95"/>
      <c r="APX26" s="95"/>
      <c r="APY26" s="95"/>
      <c r="APZ26" s="95"/>
      <c r="AQA26" s="95"/>
      <c r="AQB26" s="95"/>
      <c r="AQC26" s="95"/>
      <c r="AQD26" s="95"/>
      <c r="AQE26" s="95"/>
      <c r="AQF26" s="95"/>
      <c r="AQG26" s="95"/>
      <c r="AQH26" s="95"/>
      <c r="AQI26" s="95"/>
      <c r="AQJ26" s="95"/>
      <c r="AQK26" s="95"/>
      <c r="AQL26" s="95"/>
      <c r="AQM26" s="95"/>
      <c r="AQN26" s="95"/>
      <c r="AQO26" s="95"/>
      <c r="AQP26" s="95"/>
      <c r="AQQ26" s="95"/>
      <c r="AQR26" s="95"/>
      <c r="AQS26" s="95"/>
      <c r="AQT26" s="95"/>
      <c r="AQU26" s="95"/>
      <c r="AQV26" s="95"/>
      <c r="AQW26" s="95"/>
      <c r="AQX26" s="95"/>
      <c r="AQY26" s="95"/>
      <c r="AQZ26" s="95"/>
      <c r="ARA26" s="95"/>
      <c r="ARB26" s="95"/>
      <c r="ARC26" s="95"/>
      <c r="ARD26" s="95"/>
      <c r="ARE26" s="95"/>
      <c r="ARF26" s="95"/>
      <c r="ARG26" s="95"/>
      <c r="ARH26" s="95"/>
      <c r="ARI26" s="95"/>
      <c r="ARJ26" s="95"/>
      <c r="ARK26" s="95"/>
      <c r="ARL26" s="95"/>
      <c r="ARM26" s="95"/>
      <c r="ARN26" s="95"/>
      <c r="ARO26" s="95"/>
      <c r="ARP26" s="95"/>
      <c r="ARQ26" s="95"/>
      <c r="ARR26" s="95"/>
      <c r="ARS26" s="95"/>
      <c r="ART26" s="95"/>
      <c r="ARU26" s="95"/>
      <c r="ARV26" s="95"/>
      <c r="ARW26" s="95"/>
      <c r="ARX26" s="95"/>
      <c r="ARY26" s="95"/>
      <c r="ARZ26" s="95"/>
      <c r="ASA26" s="95"/>
      <c r="ASB26" s="95"/>
      <c r="ASC26" s="95"/>
      <c r="ASD26" s="95"/>
      <c r="ASE26" s="95"/>
      <c r="ASF26" s="95"/>
      <c r="ASG26" s="95"/>
      <c r="ASH26" s="95"/>
      <c r="ASI26" s="95"/>
      <c r="ASJ26" s="95"/>
      <c r="ASK26" s="95"/>
      <c r="ASL26" s="95"/>
      <c r="ASM26" s="95"/>
      <c r="ASN26" s="95"/>
      <c r="ASO26" s="95"/>
      <c r="ASP26" s="95"/>
      <c r="ASQ26" s="95"/>
      <c r="ASR26" s="95"/>
      <c r="ASS26" s="95"/>
      <c r="AST26" s="95"/>
      <c r="ASU26" s="95"/>
      <c r="ASV26" s="95"/>
      <c r="ASW26" s="95"/>
      <c r="ASX26" s="95"/>
      <c r="ASY26" s="95"/>
      <c r="ASZ26" s="95"/>
      <c r="ATA26" s="95"/>
      <c r="ATB26" s="95"/>
      <c r="ATC26" s="95"/>
      <c r="ATD26" s="95"/>
      <c r="ATE26" s="95"/>
      <c r="ATF26" s="95"/>
      <c r="ATG26" s="95"/>
      <c r="ATH26" s="95"/>
      <c r="ATI26" s="95"/>
      <c r="ATJ26" s="95"/>
      <c r="ATK26" s="95"/>
      <c r="ATL26" s="95"/>
      <c r="ATM26" s="95"/>
      <c r="ATN26" s="95"/>
      <c r="ATO26" s="95"/>
      <c r="ATP26" s="95"/>
      <c r="ATQ26" s="95"/>
      <c r="ATR26" s="95"/>
      <c r="ATS26" s="95"/>
      <c r="ATT26" s="95"/>
      <c r="ATU26" s="95"/>
      <c r="ATV26" s="95"/>
      <c r="ATW26" s="95"/>
      <c r="ATX26" s="95"/>
      <c r="ATY26" s="95"/>
      <c r="ATZ26" s="95"/>
      <c r="AUA26" s="95"/>
      <c r="AUB26" s="95"/>
      <c r="AUC26" s="95"/>
      <c r="AUD26" s="95"/>
      <c r="AUE26" s="95"/>
      <c r="AUF26" s="95"/>
      <c r="AUG26" s="95"/>
      <c r="AUH26" s="95"/>
      <c r="AUI26" s="95"/>
      <c r="AUJ26" s="95"/>
      <c r="AUK26" s="95"/>
      <c r="AUL26" s="95"/>
      <c r="AUM26" s="95"/>
      <c r="AUN26" s="95"/>
      <c r="AUO26" s="95"/>
      <c r="AUP26" s="95"/>
      <c r="AUQ26" s="95"/>
      <c r="AUR26" s="95"/>
      <c r="AUS26" s="95"/>
      <c r="AUT26" s="95"/>
      <c r="AUU26" s="95"/>
      <c r="AUV26" s="95"/>
      <c r="AUW26" s="95"/>
      <c r="AUX26" s="95"/>
      <c r="AUY26" s="95"/>
      <c r="AUZ26" s="95"/>
      <c r="AVA26" s="95"/>
      <c r="AVB26" s="95"/>
      <c r="AVC26" s="95"/>
      <c r="AVD26" s="95"/>
      <c r="AVE26" s="95"/>
      <c r="AVF26" s="95"/>
      <c r="AVG26" s="95"/>
      <c r="AVH26" s="95"/>
      <c r="AVI26" s="95"/>
      <c r="AVJ26" s="95"/>
      <c r="AVK26" s="95"/>
      <c r="AVL26" s="95"/>
      <c r="AVM26" s="95"/>
      <c r="AVN26" s="95"/>
      <c r="AVO26" s="95"/>
      <c r="AVP26" s="95"/>
      <c r="AVQ26" s="95"/>
      <c r="AVR26" s="95"/>
      <c r="AVS26" s="95"/>
      <c r="AVT26" s="95"/>
      <c r="AVU26" s="95"/>
      <c r="AVV26" s="95"/>
      <c r="AVW26" s="95"/>
      <c r="AVX26" s="95"/>
      <c r="AVY26" s="95"/>
      <c r="AVZ26" s="95"/>
      <c r="AWA26" s="95"/>
      <c r="AWB26" s="95"/>
      <c r="AWC26" s="95"/>
      <c r="AWD26" s="95"/>
      <c r="AWE26" s="95"/>
      <c r="AWF26" s="95"/>
      <c r="AWG26" s="95"/>
      <c r="AWH26" s="95"/>
      <c r="AWI26" s="95"/>
      <c r="AWJ26" s="95"/>
      <c r="AWK26" s="95"/>
      <c r="AWL26" s="95"/>
      <c r="AWM26" s="95"/>
      <c r="AWN26" s="95"/>
      <c r="AWO26" s="95"/>
      <c r="AWP26" s="95"/>
      <c r="AWQ26" s="95"/>
      <c r="AWR26" s="95"/>
      <c r="AWS26" s="95"/>
      <c r="AWT26" s="95"/>
      <c r="AWU26" s="95"/>
      <c r="AWV26" s="95"/>
      <c r="AWW26" s="95"/>
      <c r="AWX26" s="95"/>
      <c r="AWY26" s="95"/>
      <c r="AWZ26" s="95"/>
      <c r="AXA26" s="95"/>
      <c r="AXB26" s="95"/>
      <c r="AXC26" s="95"/>
      <c r="AXD26" s="95"/>
      <c r="AXE26" s="95"/>
      <c r="AXF26" s="95"/>
      <c r="AXG26" s="95"/>
      <c r="AXH26" s="95"/>
      <c r="AXI26" s="95"/>
      <c r="AXJ26" s="95"/>
      <c r="AXK26" s="95"/>
      <c r="AXL26" s="95"/>
      <c r="AXM26" s="95"/>
      <c r="AXN26" s="95"/>
      <c r="AXO26" s="95"/>
      <c r="AXP26" s="95"/>
      <c r="AXQ26" s="95"/>
      <c r="AXR26" s="95"/>
      <c r="AXS26" s="95"/>
      <c r="AXT26" s="95"/>
      <c r="AXU26" s="95"/>
      <c r="AXV26" s="95"/>
      <c r="AXW26" s="95"/>
      <c r="AXX26" s="95"/>
      <c r="AXY26" s="95"/>
      <c r="AXZ26" s="95"/>
      <c r="AYA26" s="95"/>
      <c r="AYB26" s="95"/>
      <c r="AYC26" s="95"/>
      <c r="AYD26" s="95"/>
      <c r="AYE26" s="95"/>
      <c r="AYF26" s="95"/>
      <c r="AYG26" s="95"/>
      <c r="AYH26" s="95"/>
      <c r="AYI26" s="95"/>
      <c r="AYJ26" s="95"/>
      <c r="AYK26" s="95"/>
      <c r="AYL26" s="95"/>
      <c r="AYM26" s="95"/>
      <c r="AYN26" s="95"/>
      <c r="AYO26" s="95"/>
      <c r="AYP26" s="95"/>
      <c r="AYQ26" s="95"/>
      <c r="AYR26" s="95"/>
      <c r="AYS26" s="95"/>
      <c r="AYT26" s="95"/>
      <c r="AYU26" s="95"/>
      <c r="AYV26" s="95"/>
      <c r="AYW26" s="95"/>
      <c r="AYX26" s="95"/>
      <c r="AYY26" s="95"/>
      <c r="AYZ26" s="95"/>
      <c r="AZA26" s="95"/>
      <c r="AZB26" s="95"/>
      <c r="AZC26" s="95"/>
      <c r="AZD26" s="95"/>
      <c r="AZE26" s="95"/>
      <c r="AZF26" s="95"/>
      <c r="AZG26" s="95"/>
      <c r="AZH26" s="95"/>
      <c r="AZI26" s="95"/>
      <c r="AZJ26" s="95"/>
      <c r="AZK26" s="95"/>
      <c r="AZL26" s="95"/>
      <c r="AZM26" s="95"/>
      <c r="AZN26" s="95"/>
      <c r="AZO26" s="95"/>
      <c r="AZP26" s="95"/>
      <c r="AZQ26" s="95"/>
      <c r="AZR26" s="95"/>
      <c r="AZS26" s="95"/>
      <c r="AZT26" s="95"/>
      <c r="AZU26" s="95"/>
      <c r="AZV26" s="95"/>
      <c r="AZW26" s="95"/>
      <c r="AZX26" s="95"/>
      <c r="AZY26" s="95"/>
      <c r="AZZ26" s="95"/>
      <c r="BAA26" s="95"/>
      <c r="BAB26" s="95"/>
      <c r="BAC26" s="95"/>
      <c r="BAD26" s="95"/>
      <c r="BAE26" s="95"/>
      <c r="BAF26" s="95"/>
      <c r="BAG26" s="95"/>
      <c r="BAH26" s="95"/>
      <c r="BAI26" s="95"/>
      <c r="BAJ26" s="95"/>
      <c r="BAK26" s="95"/>
      <c r="BAL26" s="95"/>
      <c r="BAM26" s="95"/>
      <c r="BAN26" s="95"/>
      <c r="BAO26" s="95"/>
      <c r="BAP26" s="95"/>
      <c r="BAQ26" s="95"/>
      <c r="BAR26" s="95"/>
      <c r="BAS26" s="95"/>
      <c r="BAT26" s="95"/>
      <c r="BAU26" s="95"/>
      <c r="BAV26" s="95"/>
      <c r="BAW26" s="95"/>
      <c r="BAX26" s="95"/>
      <c r="BAY26" s="95"/>
      <c r="BAZ26" s="95"/>
      <c r="BBA26" s="95"/>
      <c r="BBB26" s="95"/>
      <c r="BBC26" s="95"/>
      <c r="BBD26" s="95"/>
      <c r="BBE26" s="95"/>
      <c r="BBF26" s="95"/>
      <c r="BBG26" s="95"/>
      <c r="BBH26" s="95"/>
      <c r="BBI26" s="95"/>
      <c r="BBJ26" s="95"/>
      <c r="BBK26" s="95"/>
      <c r="BBL26" s="95"/>
      <c r="BBM26" s="95"/>
      <c r="BBN26" s="95"/>
      <c r="BBO26" s="95"/>
      <c r="BBP26" s="95"/>
      <c r="BBQ26" s="95"/>
      <c r="BBR26" s="95"/>
      <c r="BBS26" s="95"/>
      <c r="BBT26" s="95"/>
      <c r="BBU26" s="95"/>
      <c r="BBV26" s="95"/>
      <c r="BBW26" s="95"/>
      <c r="BBX26" s="95"/>
      <c r="BBY26" s="95"/>
      <c r="BBZ26" s="95"/>
      <c r="BCA26" s="95"/>
      <c r="BCB26" s="95"/>
      <c r="BCC26" s="95"/>
      <c r="BCD26" s="95"/>
      <c r="BCE26" s="95"/>
      <c r="BCF26" s="95"/>
      <c r="BCG26" s="95"/>
      <c r="BCH26" s="95"/>
      <c r="BCI26" s="95"/>
      <c r="BCJ26" s="95"/>
      <c r="BCK26" s="95"/>
      <c r="BCL26" s="95"/>
      <c r="BCM26" s="95"/>
      <c r="BCN26" s="95"/>
      <c r="BCO26" s="95"/>
      <c r="BCP26" s="95"/>
      <c r="BCQ26" s="95"/>
      <c r="BCR26" s="95"/>
      <c r="BCS26" s="95"/>
      <c r="BCT26" s="95"/>
      <c r="BCU26" s="95"/>
      <c r="BCV26" s="95"/>
      <c r="BCW26" s="95"/>
      <c r="BCX26" s="95"/>
      <c r="BCY26" s="95"/>
      <c r="BCZ26" s="95"/>
      <c r="BDA26" s="95"/>
      <c r="BDB26" s="95"/>
      <c r="BDC26" s="95"/>
      <c r="BDD26" s="95"/>
      <c r="BDE26" s="95"/>
      <c r="BDF26" s="95"/>
      <c r="BDG26" s="95"/>
      <c r="BDH26" s="95"/>
      <c r="BDI26" s="95"/>
      <c r="BDJ26" s="95"/>
      <c r="BDK26" s="95"/>
      <c r="BDL26" s="95"/>
      <c r="BDM26" s="95"/>
      <c r="BDN26" s="95"/>
      <c r="BDO26" s="95"/>
      <c r="BDP26" s="95"/>
      <c r="BDQ26" s="95"/>
      <c r="BDR26" s="95"/>
      <c r="BDS26" s="95"/>
      <c r="BDT26" s="95"/>
      <c r="BDU26" s="95"/>
      <c r="BDV26" s="95"/>
      <c r="BDW26" s="95"/>
      <c r="BDX26" s="95"/>
      <c r="BDY26" s="95"/>
      <c r="BDZ26" s="95"/>
      <c r="BEA26" s="95"/>
      <c r="BEB26" s="95"/>
      <c r="BEC26" s="95"/>
      <c r="BED26" s="95"/>
      <c r="BEE26" s="95"/>
      <c r="BEF26" s="95"/>
      <c r="BEG26" s="95"/>
      <c r="BEH26" s="95"/>
      <c r="BEI26" s="95"/>
      <c r="BEJ26" s="95"/>
      <c r="BEK26" s="95"/>
      <c r="BEL26" s="95"/>
      <c r="BEM26" s="95"/>
      <c r="BEN26" s="95"/>
      <c r="BEO26" s="95"/>
      <c r="BEP26" s="95"/>
      <c r="BEQ26" s="95"/>
      <c r="BER26" s="95"/>
      <c r="BES26" s="95"/>
      <c r="BET26" s="95"/>
      <c r="BEU26" s="95"/>
      <c r="BEV26" s="95"/>
      <c r="BEW26" s="95"/>
      <c r="BEX26" s="95"/>
      <c r="BEY26" s="95"/>
      <c r="BEZ26" s="95"/>
      <c r="BFA26" s="95"/>
      <c r="BFB26" s="95"/>
      <c r="BFC26" s="95"/>
      <c r="BFD26" s="95"/>
      <c r="BFE26" s="95"/>
      <c r="BFF26" s="95"/>
      <c r="BFG26" s="95"/>
      <c r="BFH26" s="95"/>
      <c r="BFI26" s="95"/>
      <c r="BFJ26" s="95"/>
      <c r="BFK26" s="95"/>
      <c r="BFL26" s="95"/>
      <c r="BFM26" s="95"/>
      <c r="BFN26" s="95"/>
      <c r="BFO26" s="95"/>
      <c r="BFP26" s="95"/>
      <c r="BFQ26" s="95"/>
      <c r="BFR26" s="95"/>
      <c r="BFS26" s="95"/>
      <c r="BFT26" s="95"/>
      <c r="BFU26" s="95"/>
      <c r="BFV26" s="95"/>
      <c r="BFW26" s="95"/>
      <c r="BFX26" s="95"/>
      <c r="BFY26" s="95"/>
      <c r="BFZ26" s="95"/>
      <c r="BGA26" s="95"/>
      <c r="BGB26" s="95"/>
      <c r="BGC26" s="95"/>
      <c r="BGD26" s="95"/>
      <c r="BGE26" s="95"/>
      <c r="BGF26" s="95"/>
      <c r="BGG26" s="95"/>
      <c r="BGH26" s="95"/>
      <c r="BGI26" s="95"/>
      <c r="BGJ26" s="95"/>
      <c r="BGK26" s="95"/>
      <c r="BGL26" s="95"/>
      <c r="BGM26" s="95"/>
      <c r="BGN26" s="95"/>
      <c r="BGO26" s="95"/>
      <c r="BGP26" s="95"/>
      <c r="BGQ26" s="95"/>
      <c r="BGR26" s="95"/>
      <c r="BGS26" s="95"/>
      <c r="BGT26" s="95"/>
      <c r="BGU26" s="95"/>
      <c r="BGV26" s="95"/>
      <c r="BGW26" s="95"/>
      <c r="BGX26" s="95"/>
      <c r="BGY26" s="95"/>
      <c r="BGZ26" s="95"/>
      <c r="BHA26" s="95"/>
      <c r="BHB26" s="95"/>
      <c r="BHC26" s="95"/>
      <c r="BHD26" s="95"/>
      <c r="BHE26" s="95"/>
      <c r="BHF26" s="95"/>
      <c r="BHG26" s="95"/>
      <c r="BHH26" s="95"/>
      <c r="BHI26" s="95"/>
      <c r="BHJ26" s="95"/>
      <c r="BHK26" s="95"/>
      <c r="BHL26" s="95"/>
      <c r="BHM26" s="95"/>
      <c r="BHN26" s="95"/>
      <c r="BHO26" s="95"/>
      <c r="BHP26" s="95"/>
      <c r="BHQ26" s="95"/>
      <c r="BHR26" s="95"/>
      <c r="BHS26" s="95"/>
      <c r="BHT26" s="95"/>
      <c r="BHU26" s="95"/>
      <c r="BHV26" s="95"/>
      <c r="BHW26" s="95"/>
      <c r="BHX26" s="95"/>
      <c r="BHY26" s="95"/>
      <c r="BHZ26" s="95"/>
      <c r="BIA26" s="95"/>
      <c r="BIB26" s="95"/>
      <c r="BIC26" s="95"/>
      <c r="BID26" s="95"/>
      <c r="BIE26" s="95"/>
      <c r="BIF26" s="95"/>
      <c r="BIG26" s="95"/>
      <c r="BIH26" s="95"/>
      <c r="BII26" s="95"/>
      <c r="BIJ26" s="95"/>
      <c r="BIK26" s="95"/>
      <c r="BIL26" s="95"/>
      <c r="BIM26" s="95"/>
      <c r="BIN26" s="95"/>
      <c r="BIO26" s="95"/>
      <c r="BIP26" s="95"/>
      <c r="BIQ26" s="95"/>
      <c r="BIR26" s="95"/>
      <c r="BIS26" s="95"/>
      <c r="BIT26" s="95"/>
      <c r="BIU26" s="95"/>
      <c r="BIV26" s="95"/>
      <c r="BIW26" s="95"/>
      <c r="BIX26" s="95"/>
      <c r="BIY26" s="95"/>
      <c r="BIZ26" s="95"/>
      <c r="BJA26" s="95"/>
      <c r="BJB26" s="95"/>
      <c r="BJC26" s="95"/>
      <c r="BJD26" s="95"/>
      <c r="BJE26" s="95"/>
      <c r="BJF26" s="95"/>
      <c r="BJG26" s="95"/>
      <c r="BJH26" s="95"/>
      <c r="BJI26" s="95"/>
      <c r="BJJ26" s="95"/>
      <c r="BJK26" s="95"/>
      <c r="BJL26" s="95"/>
      <c r="BJM26" s="95"/>
      <c r="BJN26" s="95"/>
      <c r="BJO26" s="95"/>
      <c r="BJP26" s="95"/>
      <c r="BJQ26" s="95"/>
      <c r="BJR26" s="95"/>
      <c r="BJS26" s="95"/>
      <c r="BJT26" s="95"/>
      <c r="BJU26" s="95"/>
      <c r="BJV26" s="95"/>
      <c r="BJW26" s="95"/>
      <c r="BJX26" s="95"/>
      <c r="BJY26" s="95"/>
      <c r="BJZ26" s="95"/>
      <c r="BKA26" s="95"/>
      <c r="BKB26" s="95"/>
      <c r="BKC26" s="95"/>
      <c r="BKD26" s="95"/>
      <c r="BKE26" s="95"/>
      <c r="BKF26" s="95"/>
      <c r="BKG26" s="95"/>
      <c r="BKH26" s="95"/>
      <c r="BKI26" s="95"/>
      <c r="BKJ26" s="95"/>
      <c r="BKK26" s="95"/>
      <c r="BKL26" s="95"/>
      <c r="BKM26" s="95"/>
      <c r="BKN26" s="95"/>
      <c r="BKO26" s="95"/>
      <c r="BKP26" s="95"/>
      <c r="BKQ26" s="95"/>
      <c r="BKR26" s="95"/>
      <c r="BKS26" s="95"/>
      <c r="BKT26" s="95"/>
      <c r="BKU26" s="95"/>
      <c r="BKV26" s="95"/>
      <c r="BKW26" s="95"/>
      <c r="BKX26" s="95"/>
      <c r="BKY26" s="95"/>
      <c r="BKZ26" s="95"/>
      <c r="BLA26" s="95"/>
      <c r="BLB26" s="95"/>
      <c r="BLC26" s="95"/>
      <c r="BLD26" s="95"/>
      <c r="BLE26" s="95"/>
      <c r="BLF26" s="95"/>
      <c r="BLG26" s="95"/>
      <c r="BLH26" s="95"/>
      <c r="BLI26" s="95"/>
      <c r="BLJ26" s="95"/>
      <c r="BLK26" s="95"/>
      <c r="BLL26" s="95"/>
      <c r="BLM26" s="95"/>
      <c r="BLN26" s="95"/>
      <c r="BLO26" s="95"/>
      <c r="BLP26" s="95"/>
      <c r="BLQ26" s="95"/>
      <c r="BLR26" s="95"/>
      <c r="BLS26" s="95"/>
      <c r="BLT26" s="95"/>
      <c r="BLU26" s="95"/>
      <c r="BLV26" s="95"/>
      <c r="BLW26" s="95"/>
      <c r="BLX26" s="95"/>
      <c r="BLY26" s="95"/>
      <c r="BLZ26" s="95"/>
      <c r="BMA26" s="95"/>
      <c r="BMB26" s="95"/>
      <c r="BMC26" s="95"/>
      <c r="BMD26" s="95"/>
      <c r="BME26" s="95"/>
      <c r="BMF26" s="95"/>
      <c r="BMG26" s="95"/>
      <c r="BMH26" s="95"/>
      <c r="BMI26" s="95"/>
      <c r="BMJ26" s="95"/>
      <c r="BMK26" s="95"/>
      <c r="BML26" s="95"/>
      <c r="BMM26" s="95"/>
      <c r="BMN26" s="95"/>
      <c r="BMO26" s="95"/>
      <c r="BMP26" s="95"/>
      <c r="BMQ26" s="95"/>
      <c r="BMR26" s="95"/>
      <c r="BMS26" s="95"/>
      <c r="BMT26" s="95"/>
      <c r="BMU26" s="95"/>
      <c r="BMV26" s="95"/>
      <c r="BMW26" s="95"/>
      <c r="BMX26" s="95"/>
      <c r="BMY26" s="95"/>
      <c r="BMZ26" s="95"/>
      <c r="BNA26" s="95"/>
      <c r="BNB26" s="95"/>
      <c r="BNC26" s="95"/>
      <c r="BND26" s="95"/>
      <c r="BNE26" s="95"/>
      <c r="BNF26" s="95"/>
      <c r="BNG26" s="95"/>
      <c r="BNH26" s="95"/>
      <c r="BNI26" s="95"/>
      <c r="BNJ26" s="95"/>
      <c r="BNK26" s="95"/>
      <c r="BNL26" s="95"/>
      <c r="BNM26" s="95"/>
      <c r="BNN26" s="95"/>
      <c r="BNO26" s="95"/>
      <c r="BNP26" s="95"/>
      <c r="BNQ26" s="95"/>
      <c r="BNR26" s="95"/>
      <c r="BNS26" s="95"/>
      <c r="BNT26" s="95"/>
      <c r="BNU26" s="95"/>
      <c r="BNV26" s="95"/>
      <c r="BNW26" s="95"/>
      <c r="BNX26" s="95"/>
      <c r="BNY26" s="95"/>
      <c r="BNZ26" s="95"/>
      <c r="BOA26" s="95"/>
      <c r="BOB26" s="95"/>
      <c r="BOC26" s="95"/>
      <c r="BOD26" s="95"/>
      <c r="BOE26" s="95"/>
      <c r="BOF26" s="95"/>
      <c r="BOG26" s="95"/>
      <c r="BOH26" s="95"/>
      <c r="BOI26" s="95"/>
      <c r="BOJ26" s="95"/>
      <c r="BOK26" s="95"/>
      <c r="BOL26" s="95"/>
      <c r="BOM26" s="95"/>
      <c r="BON26" s="95"/>
      <c r="BOO26" s="95"/>
      <c r="BOP26" s="95"/>
      <c r="BOQ26" s="95"/>
      <c r="BOR26" s="95"/>
      <c r="BOS26" s="95"/>
      <c r="BOT26" s="95"/>
      <c r="BOU26" s="95"/>
      <c r="BOV26" s="95"/>
      <c r="BOW26" s="95"/>
      <c r="BOX26" s="95"/>
      <c r="BOY26" s="95"/>
      <c r="BOZ26" s="95"/>
      <c r="BPA26" s="95"/>
      <c r="BPB26" s="95"/>
      <c r="BPC26" s="95"/>
      <c r="BPD26" s="95"/>
      <c r="BPE26" s="95"/>
      <c r="BPF26" s="95"/>
      <c r="BPG26" s="95"/>
      <c r="BPH26" s="95"/>
      <c r="BPI26" s="95"/>
      <c r="BPJ26" s="95"/>
      <c r="BPK26" s="95"/>
      <c r="BPL26" s="95"/>
      <c r="BPM26" s="95"/>
      <c r="BPN26" s="95"/>
      <c r="BPO26" s="95"/>
      <c r="BPP26" s="95"/>
      <c r="BPQ26" s="95"/>
      <c r="BPR26" s="95"/>
      <c r="BPS26" s="95"/>
      <c r="BPT26" s="95"/>
      <c r="BPU26" s="95"/>
      <c r="BPV26" s="95"/>
      <c r="BPW26" s="95"/>
      <c r="BPX26" s="95"/>
      <c r="BPY26" s="95"/>
      <c r="BPZ26" s="95"/>
      <c r="BQA26" s="95"/>
      <c r="BQB26" s="95"/>
      <c r="BQC26" s="95"/>
      <c r="BQD26" s="95"/>
      <c r="BQE26" s="95"/>
      <c r="BQF26" s="95"/>
      <c r="BQG26" s="95"/>
      <c r="BQH26" s="95"/>
      <c r="BQI26" s="95"/>
      <c r="BQJ26" s="95"/>
      <c r="BQK26" s="95"/>
      <c r="BQL26" s="95"/>
      <c r="BQM26" s="95"/>
      <c r="BQN26" s="95"/>
      <c r="BQO26" s="95"/>
      <c r="BQP26" s="95"/>
      <c r="BQQ26" s="95"/>
      <c r="BQR26" s="95"/>
      <c r="BQS26" s="95"/>
      <c r="BQT26" s="95"/>
      <c r="BQU26" s="95"/>
      <c r="BQV26" s="95"/>
      <c r="BQW26" s="95"/>
      <c r="BQX26" s="95"/>
      <c r="BQY26" s="95"/>
      <c r="BQZ26" s="95"/>
      <c r="BRA26" s="95"/>
      <c r="BRB26" s="95"/>
      <c r="BRC26" s="95"/>
      <c r="BRD26" s="95"/>
      <c r="BRE26" s="95"/>
      <c r="BRF26" s="95"/>
      <c r="BRG26" s="95"/>
      <c r="BRH26" s="95"/>
      <c r="BRI26" s="95"/>
      <c r="BRJ26" s="95"/>
      <c r="BRK26" s="95"/>
      <c r="BRL26" s="95"/>
      <c r="BRM26" s="95"/>
      <c r="BRN26" s="95"/>
      <c r="BRO26" s="95"/>
      <c r="BRP26" s="95"/>
      <c r="BRQ26" s="95"/>
      <c r="BRR26" s="95"/>
      <c r="BRS26" s="95"/>
      <c r="BRT26" s="95"/>
      <c r="BRU26" s="95"/>
      <c r="BRV26" s="95"/>
      <c r="BRW26" s="95"/>
      <c r="BRX26" s="95"/>
      <c r="BRY26" s="95"/>
      <c r="BRZ26" s="95"/>
      <c r="BSA26" s="95"/>
      <c r="BSB26" s="95"/>
      <c r="BSC26" s="95"/>
      <c r="BSD26" s="95"/>
      <c r="BSE26" s="95"/>
      <c r="BSF26" s="95"/>
      <c r="BSG26" s="95"/>
      <c r="BSH26" s="95"/>
      <c r="BSI26" s="95"/>
      <c r="BSJ26" s="95"/>
      <c r="BSK26" s="95"/>
      <c r="BSL26" s="95"/>
      <c r="BSM26" s="95"/>
      <c r="BSN26" s="95"/>
      <c r="BSO26" s="95"/>
      <c r="BSP26" s="95"/>
      <c r="BSQ26" s="95"/>
      <c r="BSR26" s="95"/>
      <c r="BSS26" s="95"/>
      <c r="BST26" s="95"/>
      <c r="BSU26" s="95"/>
      <c r="BSV26" s="95"/>
      <c r="BSW26" s="95"/>
      <c r="BSX26" s="95"/>
      <c r="BSY26" s="95"/>
      <c r="BSZ26" s="95"/>
      <c r="BTA26" s="95"/>
      <c r="BTB26" s="95"/>
      <c r="BTC26" s="95"/>
      <c r="BTD26" s="95"/>
      <c r="BTE26" s="95"/>
      <c r="BTF26" s="95"/>
      <c r="BTG26" s="95"/>
      <c r="BTH26" s="95"/>
      <c r="BTI26" s="95"/>
      <c r="BTJ26" s="95"/>
      <c r="BTK26" s="95"/>
      <c r="BTL26" s="95"/>
      <c r="BTM26" s="95"/>
      <c r="BTN26" s="95"/>
      <c r="BTO26" s="95"/>
      <c r="BTP26" s="95"/>
      <c r="BTQ26" s="95"/>
      <c r="BTR26" s="95"/>
      <c r="BTS26" s="95"/>
      <c r="BTT26" s="95"/>
      <c r="BTU26" s="95"/>
      <c r="BTV26" s="95"/>
      <c r="BTW26" s="95"/>
      <c r="BTX26" s="95"/>
      <c r="BTY26" s="95"/>
      <c r="BTZ26" s="95"/>
      <c r="BUA26" s="95"/>
      <c r="BUB26" s="95"/>
      <c r="BUC26" s="95"/>
      <c r="BUD26" s="95"/>
      <c r="BUE26" s="95"/>
      <c r="BUF26" s="95"/>
      <c r="BUG26" s="95"/>
      <c r="BUH26" s="95"/>
      <c r="BUI26" s="95"/>
      <c r="BUJ26" s="95"/>
      <c r="BUK26" s="95"/>
      <c r="BUL26" s="95"/>
      <c r="BUM26" s="95"/>
      <c r="BUN26" s="95"/>
      <c r="BUO26" s="95"/>
      <c r="BUP26" s="95"/>
      <c r="BUQ26" s="95"/>
      <c r="BUR26" s="95"/>
      <c r="BUS26" s="95"/>
      <c r="BUT26" s="95"/>
      <c r="BUU26" s="95"/>
      <c r="BUV26" s="95"/>
      <c r="BUW26" s="95"/>
      <c r="BUX26" s="95"/>
      <c r="BUY26" s="95"/>
      <c r="BUZ26" s="95"/>
      <c r="BVA26" s="95"/>
      <c r="BVB26" s="95"/>
      <c r="BVC26" s="95"/>
      <c r="BVD26" s="95"/>
      <c r="BVE26" s="95"/>
      <c r="BVF26" s="95"/>
      <c r="BVG26" s="95"/>
      <c r="BVH26" s="95"/>
      <c r="BVI26" s="95"/>
      <c r="BVJ26" s="95"/>
      <c r="BVK26" s="95"/>
      <c r="BVL26" s="95"/>
      <c r="BVM26" s="95"/>
      <c r="BVN26" s="95"/>
      <c r="BVO26" s="95"/>
      <c r="BVP26" s="95"/>
      <c r="BVQ26" s="95"/>
      <c r="BVR26" s="95"/>
      <c r="BVS26" s="95"/>
      <c r="BVT26" s="95"/>
      <c r="BVU26" s="95"/>
      <c r="BVV26" s="95"/>
      <c r="BVW26" s="95"/>
      <c r="BVX26" s="95"/>
      <c r="BVY26" s="95"/>
      <c r="BVZ26" s="95"/>
      <c r="BWA26" s="95"/>
      <c r="BWB26" s="95"/>
      <c r="BWC26" s="95"/>
      <c r="BWD26" s="95"/>
      <c r="BWE26" s="95"/>
      <c r="BWF26" s="95"/>
      <c r="BWG26" s="95"/>
      <c r="BWH26" s="95"/>
      <c r="BWI26" s="95"/>
      <c r="BWJ26" s="95"/>
      <c r="BWK26" s="95"/>
      <c r="BWL26" s="95"/>
      <c r="BWM26" s="95"/>
      <c r="BWN26" s="95"/>
      <c r="BWO26" s="95"/>
      <c r="BWP26" s="95"/>
      <c r="BWQ26" s="95"/>
      <c r="BWR26" s="95"/>
      <c r="BWS26" s="95"/>
      <c r="BWT26" s="95"/>
      <c r="BWU26" s="95"/>
      <c r="BWV26" s="95"/>
      <c r="BWW26" s="95"/>
      <c r="BWX26" s="95"/>
      <c r="BWY26" s="95"/>
      <c r="BWZ26" s="95"/>
      <c r="BXA26" s="95"/>
      <c r="BXB26" s="95"/>
      <c r="BXC26" s="95"/>
      <c r="BXD26" s="95"/>
      <c r="BXE26" s="95"/>
      <c r="BXF26" s="95"/>
      <c r="BXG26" s="95"/>
      <c r="BXH26" s="95"/>
      <c r="BXI26" s="95"/>
      <c r="BXJ26" s="95"/>
      <c r="BXK26" s="95"/>
      <c r="BXL26" s="95"/>
      <c r="BXM26" s="95"/>
      <c r="BXN26" s="95"/>
      <c r="BXO26" s="95"/>
      <c r="BXP26" s="95"/>
      <c r="BXQ26" s="95"/>
      <c r="BXR26" s="95"/>
      <c r="BXS26" s="95"/>
      <c r="BXT26" s="95"/>
      <c r="BXU26" s="95"/>
      <c r="BXV26" s="95"/>
      <c r="BXW26" s="95"/>
      <c r="BXX26" s="95"/>
      <c r="BXY26" s="95"/>
      <c r="BXZ26" s="95"/>
      <c r="BYA26" s="95"/>
      <c r="BYB26" s="95"/>
      <c r="BYC26" s="95"/>
      <c r="BYD26" s="95"/>
      <c r="BYE26" s="95"/>
      <c r="BYF26" s="95"/>
      <c r="BYG26" s="95"/>
    </row>
    <row r="27" spans="1:2009" s="214" customFormat="1" ht="24.95" hidden="1" customHeight="1" thickBot="1" x14ac:dyDescent="0.3">
      <c r="A27" s="210"/>
      <c r="B27" s="211" t="s">
        <v>145</v>
      </c>
      <c r="C27" s="212"/>
      <c r="D27" s="213"/>
      <c r="E27" s="213"/>
      <c r="F27" s="213">
        <f>SUM(F25:F26)</f>
        <v>0</v>
      </c>
      <c r="G27" s="718">
        <f>ROUND(SUM(C27:F27),5)</f>
        <v>0</v>
      </c>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c r="HO27" s="198"/>
      <c r="HP27" s="198"/>
      <c r="HQ27" s="198"/>
      <c r="HR27" s="198"/>
      <c r="HS27" s="198"/>
      <c r="HT27" s="198"/>
      <c r="HU27" s="198"/>
      <c r="HV27" s="198"/>
      <c r="HW27" s="198"/>
      <c r="HX27" s="198"/>
      <c r="HY27" s="198"/>
      <c r="HZ27" s="198"/>
      <c r="IA27" s="198"/>
      <c r="IB27" s="198"/>
      <c r="IC27" s="198"/>
      <c r="ID27" s="198"/>
      <c r="IE27" s="198"/>
      <c r="IF27" s="198"/>
      <c r="IG27" s="198"/>
      <c r="IH27" s="198"/>
      <c r="II27" s="198"/>
      <c r="IJ27" s="198"/>
      <c r="IK27" s="198"/>
      <c r="IL27" s="198"/>
      <c r="IM27" s="198"/>
      <c r="IN27" s="198"/>
      <c r="IO27" s="198"/>
      <c r="IP27" s="198"/>
      <c r="IQ27" s="198"/>
      <c r="IR27" s="198"/>
      <c r="IS27" s="198"/>
      <c r="IT27" s="198"/>
      <c r="IU27" s="198"/>
      <c r="IV27" s="198"/>
      <c r="IW27" s="198"/>
      <c r="IX27" s="198"/>
      <c r="IY27" s="198"/>
      <c r="IZ27" s="198"/>
      <c r="JA27" s="198"/>
      <c r="JB27" s="198"/>
      <c r="JC27" s="198"/>
      <c r="JD27" s="198"/>
      <c r="JE27" s="198"/>
      <c r="JF27" s="198"/>
      <c r="JG27" s="198"/>
      <c r="JH27" s="198"/>
      <c r="JI27" s="198"/>
      <c r="JJ27" s="198"/>
      <c r="JK27" s="198"/>
      <c r="JL27" s="198"/>
      <c r="JM27" s="198"/>
      <c r="JN27" s="198"/>
      <c r="JO27" s="198"/>
      <c r="JP27" s="198"/>
      <c r="JQ27" s="198"/>
      <c r="JR27" s="198"/>
      <c r="JS27" s="198"/>
      <c r="JT27" s="198"/>
      <c r="JU27" s="198"/>
      <c r="JV27" s="198"/>
      <c r="JW27" s="198"/>
      <c r="JX27" s="198"/>
      <c r="JY27" s="198"/>
      <c r="JZ27" s="198"/>
      <c r="KA27" s="198"/>
      <c r="KB27" s="198"/>
      <c r="KC27" s="198"/>
      <c r="KD27" s="198"/>
      <c r="KE27" s="198"/>
      <c r="KF27" s="198"/>
      <c r="KG27" s="198"/>
      <c r="KH27" s="198"/>
      <c r="KI27" s="198"/>
      <c r="KJ27" s="198"/>
      <c r="KK27" s="198"/>
      <c r="KL27" s="198"/>
      <c r="KM27" s="198"/>
      <c r="KN27" s="198"/>
      <c r="KO27" s="198"/>
      <c r="KP27" s="198"/>
      <c r="KQ27" s="198"/>
      <c r="KR27" s="198"/>
      <c r="KS27" s="198"/>
      <c r="KT27" s="198"/>
      <c r="KU27" s="198"/>
      <c r="KV27" s="198"/>
      <c r="KW27" s="198"/>
      <c r="KX27" s="198"/>
      <c r="KY27" s="198"/>
      <c r="KZ27" s="198"/>
      <c r="LA27" s="198"/>
      <c r="LB27" s="198"/>
      <c r="LC27" s="198"/>
      <c r="LD27" s="198"/>
      <c r="LE27" s="198"/>
      <c r="LF27" s="198"/>
      <c r="LG27" s="198"/>
      <c r="LH27" s="198"/>
      <c r="LI27" s="198"/>
      <c r="LJ27" s="198"/>
      <c r="LK27" s="198"/>
      <c r="LL27" s="198"/>
      <c r="LM27" s="198"/>
      <c r="LN27" s="198"/>
      <c r="LO27" s="198"/>
      <c r="LP27" s="198"/>
      <c r="LQ27" s="198"/>
      <c r="LR27" s="198"/>
      <c r="LS27" s="198"/>
      <c r="LT27" s="198"/>
      <c r="LU27" s="198"/>
      <c r="LV27" s="198"/>
      <c r="LW27" s="198"/>
      <c r="LX27" s="198"/>
      <c r="LY27" s="198"/>
      <c r="LZ27" s="198"/>
      <c r="MA27" s="198"/>
      <c r="MB27" s="198"/>
      <c r="MC27" s="198"/>
      <c r="MD27" s="198"/>
      <c r="ME27" s="198"/>
      <c r="MF27" s="198"/>
      <c r="MG27" s="198"/>
      <c r="MH27" s="198"/>
      <c r="MI27" s="198"/>
      <c r="MJ27" s="198"/>
      <c r="MK27" s="198"/>
      <c r="ML27" s="198"/>
      <c r="MM27" s="198"/>
      <c r="MN27" s="198"/>
      <c r="MO27" s="198"/>
      <c r="MP27" s="198"/>
      <c r="MQ27" s="198"/>
      <c r="MR27" s="198"/>
      <c r="MS27" s="198"/>
      <c r="MT27" s="198"/>
      <c r="MU27" s="198"/>
      <c r="MV27" s="198"/>
      <c r="MW27" s="198"/>
      <c r="MX27" s="198"/>
      <c r="MY27" s="198"/>
      <c r="MZ27" s="198"/>
      <c r="NA27" s="198"/>
      <c r="NB27" s="198"/>
      <c r="NC27" s="198"/>
      <c r="ND27" s="198"/>
      <c r="NE27" s="198"/>
      <c r="NF27" s="198"/>
      <c r="NG27" s="198"/>
      <c r="NH27" s="198"/>
      <c r="NI27" s="198"/>
      <c r="NJ27" s="198"/>
      <c r="NK27" s="198"/>
      <c r="NL27" s="198"/>
      <c r="NM27" s="198"/>
      <c r="NN27" s="198"/>
      <c r="NO27" s="198"/>
      <c r="NP27" s="198"/>
      <c r="NQ27" s="198"/>
      <c r="NR27" s="198"/>
      <c r="NS27" s="198"/>
      <c r="NT27" s="198"/>
      <c r="NU27" s="198"/>
      <c r="NV27" s="198"/>
      <c r="NW27" s="198"/>
      <c r="NX27" s="198"/>
      <c r="NY27" s="198"/>
      <c r="NZ27" s="198"/>
      <c r="OA27" s="198"/>
      <c r="OB27" s="198"/>
      <c r="OC27" s="198"/>
      <c r="OD27" s="198"/>
      <c r="OE27" s="198"/>
      <c r="OF27" s="198"/>
      <c r="OG27" s="198"/>
      <c r="OH27" s="198"/>
      <c r="OI27" s="198"/>
      <c r="OJ27" s="198"/>
      <c r="OK27" s="198"/>
      <c r="OL27" s="198"/>
      <c r="OM27" s="198"/>
      <c r="ON27" s="198"/>
      <c r="OO27" s="198"/>
      <c r="OP27" s="198"/>
      <c r="OQ27" s="198"/>
      <c r="OR27" s="198"/>
      <c r="OS27" s="198"/>
      <c r="OT27" s="198"/>
      <c r="OU27" s="198"/>
      <c r="OV27" s="198"/>
      <c r="OW27" s="198"/>
      <c r="OX27" s="198"/>
      <c r="OY27" s="198"/>
      <c r="OZ27" s="198"/>
      <c r="PA27" s="198"/>
      <c r="PB27" s="198"/>
      <c r="PC27" s="198"/>
      <c r="PD27" s="198"/>
      <c r="PE27" s="198"/>
      <c r="PF27" s="198"/>
      <c r="PG27" s="198"/>
      <c r="PH27" s="198"/>
      <c r="PI27" s="198"/>
      <c r="PJ27" s="198"/>
      <c r="PK27" s="198"/>
      <c r="PL27" s="198"/>
      <c r="PM27" s="198"/>
      <c r="PN27" s="198"/>
      <c r="PO27" s="198"/>
      <c r="PP27" s="198"/>
      <c r="PQ27" s="198"/>
      <c r="PR27" s="198"/>
      <c r="PS27" s="198"/>
      <c r="PT27" s="198"/>
      <c r="PU27" s="198"/>
      <c r="PV27" s="198"/>
      <c r="PW27" s="198"/>
      <c r="PX27" s="198"/>
      <c r="PY27" s="198"/>
      <c r="PZ27" s="198"/>
      <c r="QA27" s="198"/>
      <c r="QB27" s="198"/>
      <c r="QC27" s="198"/>
      <c r="QD27" s="198"/>
      <c r="QE27" s="198"/>
      <c r="QF27" s="198"/>
      <c r="QG27" s="198"/>
      <c r="QH27" s="198"/>
      <c r="QI27" s="198"/>
      <c r="QJ27" s="198"/>
      <c r="QK27" s="198"/>
      <c r="QL27" s="198"/>
      <c r="QM27" s="198"/>
      <c r="QN27" s="198"/>
      <c r="QO27" s="198"/>
      <c r="QP27" s="198"/>
      <c r="QQ27" s="198"/>
      <c r="QR27" s="198"/>
      <c r="QS27" s="198"/>
      <c r="QT27" s="198"/>
      <c r="QU27" s="198"/>
      <c r="QV27" s="198"/>
      <c r="QW27" s="198"/>
      <c r="QX27" s="198"/>
      <c r="QY27" s="198"/>
      <c r="QZ27" s="198"/>
      <c r="RA27" s="198"/>
      <c r="RB27" s="198"/>
      <c r="RC27" s="198"/>
      <c r="RD27" s="198"/>
      <c r="RE27" s="198"/>
      <c r="RF27" s="198"/>
      <c r="RG27" s="198"/>
      <c r="RH27" s="198"/>
      <c r="RI27" s="198"/>
      <c r="RJ27" s="198"/>
      <c r="RK27" s="198"/>
      <c r="RL27" s="198"/>
      <c r="RM27" s="198"/>
      <c r="RN27" s="198"/>
      <c r="RO27" s="198"/>
      <c r="RP27" s="198"/>
      <c r="RQ27" s="198"/>
      <c r="RR27" s="198"/>
      <c r="RS27" s="198"/>
      <c r="RT27" s="198"/>
      <c r="RU27" s="198"/>
      <c r="RV27" s="198"/>
      <c r="RW27" s="198"/>
      <c r="RX27" s="198"/>
      <c r="RY27" s="198"/>
      <c r="RZ27" s="198"/>
      <c r="SA27" s="198"/>
      <c r="SB27" s="198"/>
      <c r="SC27" s="198"/>
      <c r="SD27" s="198"/>
      <c r="SE27" s="198"/>
      <c r="SF27" s="198"/>
      <c r="SG27" s="198"/>
      <c r="SH27" s="198"/>
      <c r="SI27" s="198"/>
      <c r="SJ27" s="198"/>
      <c r="SK27" s="198"/>
      <c r="SL27" s="198"/>
      <c r="SM27" s="198"/>
      <c r="SN27" s="198"/>
      <c r="SO27" s="198"/>
      <c r="SP27" s="198"/>
      <c r="SQ27" s="198"/>
      <c r="SR27" s="198"/>
      <c r="SS27" s="198"/>
      <c r="ST27" s="198"/>
      <c r="SU27" s="198"/>
      <c r="SV27" s="198"/>
      <c r="SW27" s="198"/>
      <c r="SX27" s="198"/>
      <c r="SY27" s="198"/>
      <c r="SZ27" s="198"/>
      <c r="TA27" s="198"/>
      <c r="TB27" s="198"/>
      <c r="TC27" s="198"/>
      <c r="TD27" s="198"/>
      <c r="TE27" s="198"/>
      <c r="TF27" s="198"/>
      <c r="TG27" s="198"/>
      <c r="TH27" s="198"/>
      <c r="TI27" s="198"/>
      <c r="TJ27" s="198"/>
      <c r="TK27" s="198"/>
      <c r="TL27" s="198"/>
      <c r="TM27" s="198"/>
      <c r="TN27" s="198"/>
      <c r="TO27" s="198"/>
      <c r="TP27" s="198"/>
      <c r="TQ27" s="198"/>
      <c r="TR27" s="198"/>
      <c r="TS27" s="198"/>
      <c r="TT27" s="198"/>
      <c r="TU27" s="198"/>
      <c r="TV27" s="198"/>
      <c r="TW27" s="198"/>
      <c r="TX27" s="198"/>
      <c r="TY27" s="198"/>
      <c r="TZ27" s="198"/>
      <c r="UA27" s="198"/>
      <c r="UB27" s="198"/>
      <c r="UC27" s="198"/>
      <c r="UD27" s="198"/>
      <c r="UE27" s="198"/>
      <c r="UF27" s="198"/>
      <c r="UG27" s="198"/>
      <c r="UH27" s="198"/>
      <c r="UI27" s="198"/>
      <c r="UJ27" s="198"/>
      <c r="UK27" s="198"/>
      <c r="UL27" s="198"/>
      <c r="UM27" s="198"/>
      <c r="UN27" s="198"/>
      <c r="UO27" s="198"/>
      <c r="UP27" s="198"/>
      <c r="UQ27" s="198"/>
      <c r="UR27" s="198"/>
      <c r="US27" s="198"/>
      <c r="UT27" s="198"/>
      <c r="UU27" s="198"/>
      <c r="UV27" s="198"/>
      <c r="UW27" s="198"/>
      <c r="UX27" s="198"/>
      <c r="UY27" s="198"/>
      <c r="UZ27" s="198"/>
      <c r="VA27" s="198"/>
      <c r="VB27" s="198"/>
      <c r="VC27" s="198"/>
      <c r="VD27" s="198"/>
      <c r="VE27" s="198"/>
      <c r="VF27" s="198"/>
      <c r="VG27" s="198"/>
      <c r="VH27" s="198"/>
      <c r="VI27" s="198"/>
      <c r="VJ27" s="198"/>
      <c r="VK27" s="198"/>
      <c r="VL27" s="198"/>
      <c r="VM27" s="198"/>
      <c r="VN27" s="198"/>
      <c r="VO27" s="198"/>
      <c r="VP27" s="198"/>
      <c r="VQ27" s="198"/>
      <c r="VR27" s="198"/>
      <c r="VS27" s="198"/>
      <c r="VT27" s="198"/>
      <c r="VU27" s="198"/>
      <c r="VV27" s="198"/>
      <c r="VW27" s="198"/>
      <c r="VX27" s="198"/>
      <c r="VY27" s="198"/>
      <c r="VZ27" s="198"/>
      <c r="WA27" s="198"/>
      <c r="WB27" s="198"/>
      <c r="WC27" s="198"/>
      <c r="WD27" s="198"/>
      <c r="WE27" s="198"/>
      <c r="WF27" s="198"/>
      <c r="WG27" s="198"/>
      <c r="WH27" s="198"/>
      <c r="WI27" s="198"/>
      <c r="WJ27" s="198"/>
      <c r="WK27" s="198"/>
      <c r="WL27" s="198"/>
      <c r="WM27" s="198"/>
      <c r="WN27" s="198"/>
      <c r="WO27" s="198"/>
      <c r="WP27" s="198"/>
      <c r="WQ27" s="198"/>
      <c r="WR27" s="198"/>
      <c r="WS27" s="198"/>
      <c r="WT27" s="198"/>
      <c r="WU27" s="198"/>
      <c r="WV27" s="198"/>
      <c r="WW27" s="198"/>
      <c r="WX27" s="198"/>
      <c r="WY27" s="198"/>
      <c r="WZ27" s="198"/>
      <c r="XA27" s="198"/>
      <c r="XB27" s="198"/>
      <c r="XC27" s="198"/>
      <c r="XD27" s="198"/>
      <c r="XE27" s="198"/>
      <c r="XF27" s="198"/>
      <c r="XG27" s="198"/>
      <c r="XH27" s="198"/>
      <c r="XI27" s="198"/>
      <c r="XJ27" s="198"/>
      <c r="XK27" s="198"/>
      <c r="XL27" s="198"/>
      <c r="XM27" s="198"/>
      <c r="XN27" s="198"/>
      <c r="XO27" s="198"/>
      <c r="XP27" s="198"/>
      <c r="XQ27" s="198"/>
      <c r="XR27" s="198"/>
      <c r="XS27" s="198"/>
      <c r="XT27" s="198"/>
      <c r="XU27" s="198"/>
      <c r="XV27" s="198"/>
      <c r="XW27" s="198"/>
      <c r="XX27" s="198"/>
      <c r="XY27" s="198"/>
      <c r="XZ27" s="198"/>
      <c r="YA27" s="198"/>
      <c r="YB27" s="198"/>
      <c r="YC27" s="198"/>
      <c r="YD27" s="198"/>
      <c r="YE27" s="198"/>
      <c r="YF27" s="198"/>
      <c r="YG27" s="198"/>
      <c r="YH27" s="198"/>
      <c r="YI27" s="198"/>
      <c r="YJ27" s="198"/>
      <c r="YK27" s="198"/>
      <c r="YL27" s="198"/>
      <c r="YM27" s="198"/>
      <c r="YN27" s="198"/>
      <c r="YO27" s="198"/>
      <c r="YP27" s="198"/>
      <c r="YQ27" s="198"/>
      <c r="YR27" s="198"/>
      <c r="YS27" s="198"/>
      <c r="YT27" s="198"/>
      <c r="YU27" s="198"/>
      <c r="YV27" s="198"/>
      <c r="YW27" s="198"/>
      <c r="YX27" s="198"/>
      <c r="YY27" s="198"/>
      <c r="YZ27" s="198"/>
      <c r="ZA27" s="198"/>
      <c r="ZB27" s="198"/>
      <c r="ZC27" s="198"/>
      <c r="ZD27" s="198"/>
      <c r="ZE27" s="198"/>
      <c r="ZF27" s="198"/>
      <c r="ZG27" s="198"/>
      <c r="ZH27" s="198"/>
      <c r="ZI27" s="198"/>
      <c r="ZJ27" s="198"/>
      <c r="ZK27" s="198"/>
      <c r="ZL27" s="198"/>
      <c r="ZM27" s="198"/>
      <c r="ZN27" s="198"/>
      <c r="ZO27" s="198"/>
      <c r="ZP27" s="198"/>
      <c r="ZQ27" s="198"/>
      <c r="ZR27" s="198"/>
      <c r="ZS27" s="198"/>
      <c r="ZT27" s="198"/>
      <c r="ZU27" s="198"/>
      <c r="ZV27" s="198"/>
      <c r="ZW27" s="198"/>
      <c r="ZX27" s="198"/>
      <c r="ZY27" s="198"/>
      <c r="ZZ27" s="198"/>
      <c r="AAA27" s="198"/>
      <c r="AAB27" s="198"/>
      <c r="AAC27" s="198"/>
      <c r="AAD27" s="198"/>
      <c r="AAE27" s="198"/>
      <c r="AAF27" s="198"/>
      <c r="AAG27" s="198"/>
      <c r="AAH27" s="198"/>
      <c r="AAI27" s="198"/>
      <c r="AAJ27" s="198"/>
      <c r="AAK27" s="198"/>
      <c r="AAL27" s="198"/>
      <c r="AAM27" s="198"/>
      <c r="AAN27" s="198"/>
      <c r="AAO27" s="198"/>
      <c r="AAP27" s="198"/>
      <c r="AAQ27" s="198"/>
      <c r="AAR27" s="198"/>
      <c r="AAS27" s="198"/>
      <c r="AAT27" s="198"/>
      <c r="AAU27" s="198"/>
      <c r="AAV27" s="198"/>
      <c r="AAW27" s="198"/>
      <c r="AAX27" s="198"/>
      <c r="AAY27" s="198"/>
      <c r="AAZ27" s="198"/>
      <c r="ABA27" s="198"/>
      <c r="ABB27" s="198"/>
      <c r="ABC27" s="198"/>
      <c r="ABD27" s="198"/>
      <c r="ABE27" s="198"/>
      <c r="ABF27" s="198"/>
      <c r="ABG27" s="198"/>
      <c r="ABH27" s="198"/>
      <c r="ABI27" s="198"/>
      <c r="ABJ27" s="198"/>
      <c r="ABK27" s="198"/>
      <c r="ABL27" s="198"/>
      <c r="ABM27" s="198"/>
      <c r="ABN27" s="198"/>
      <c r="ABO27" s="198"/>
      <c r="ABP27" s="198"/>
      <c r="ABQ27" s="198"/>
      <c r="ABR27" s="198"/>
      <c r="ABS27" s="198"/>
      <c r="ABT27" s="198"/>
      <c r="ABU27" s="198"/>
      <c r="ABV27" s="198"/>
      <c r="ABW27" s="198"/>
      <c r="ABX27" s="198"/>
      <c r="ABY27" s="198"/>
      <c r="ABZ27" s="198"/>
      <c r="ACA27" s="198"/>
      <c r="ACB27" s="198"/>
      <c r="ACC27" s="198"/>
      <c r="ACD27" s="198"/>
      <c r="ACE27" s="198"/>
      <c r="ACF27" s="198"/>
      <c r="ACG27" s="198"/>
      <c r="ACH27" s="198"/>
      <c r="ACI27" s="198"/>
      <c r="ACJ27" s="198"/>
      <c r="ACK27" s="198"/>
      <c r="ACL27" s="198"/>
      <c r="ACM27" s="198"/>
      <c r="ACN27" s="198"/>
      <c r="ACO27" s="198"/>
      <c r="ACP27" s="198"/>
      <c r="ACQ27" s="198"/>
      <c r="ACR27" s="198"/>
      <c r="ACS27" s="198"/>
      <c r="ACT27" s="198"/>
      <c r="ACU27" s="198"/>
      <c r="ACV27" s="198"/>
      <c r="ACW27" s="198"/>
      <c r="ACX27" s="198"/>
      <c r="ACY27" s="198"/>
      <c r="ACZ27" s="198"/>
      <c r="ADA27" s="198"/>
      <c r="ADB27" s="198"/>
      <c r="ADC27" s="198"/>
      <c r="ADD27" s="198"/>
      <c r="ADE27" s="198"/>
      <c r="ADF27" s="198"/>
      <c r="ADG27" s="198"/>
      <c r="ADH27" s="198"/>
      <c r="ADI27" s="198"/>
      <c r="ADJ27" s="198"/>
      <c r="ADK27" s="198"/>
      <c r="ADL27" s="198"/>
      <c r="ADM27" s="198"/>
      <c r="ADN27" s="198"/>
      <c r="ADO27" s="198"/>
      <c r="ADP27" s="198"/>
      <c r="ADQ27" s="198"/>
      <c r="ADR27" s="198"/>
      <c r="ADS27" s="198"/>
      <c r="ADT27" s="198"/>
      <c r="ADU27" s="198"/>
      <c r="ADV27" s="198"/>
      <c r="ADW27" s="198"/>
      <c r="ADX27" s="198"/>
      <c r="ADY27" s="198"/>
      <c r="ADZ27" s="198"/>
      <c r="AEA27" s="198"/>
      <c r="AEB27" s="198"/>
      <c r="AEC27" s="198"/>
      <c r="AED27" s="198"/>
      <c r="AEE27" s="198"/>
      <c r="AEF27" s="198"/>
      <c r="AEG27" s="198"/>
      <c r="AEH27" s="198"/>
      <c r="AEI27" s="198"/>
      <c r="AEJ27" s="198"/>
      <c r="AEK27" s="198"/>
      <c r="AEL27" s="198"/>
      <c r="AEM27" s="198"/>
      <c r="AEN27" s="198"/>
      <c r="AEO27" s="198"/>
      <c r="AEP27" s="198"/>
      <c r="AEQ27" s="198"/>
      <c r="AER27" s="198"/>
      <c r="AES27" s="198"/>
      <c r="AET27" s="198"/>
      <c r="AEU27" s="198"/>
      <c r="AEV27" s="198"/>
      <c r="AEW27" s="198"/>
      <c r="AEX27" s="198"/>
      <c r="AEY27" s="198"/>
      <c r="AEZ27" s="198"/>
      <c r="AFA27" s="198"/>
      <c r="AFB27" s="198"/>
      <c r="AFC27" s="198"/>
      <c r="AFD27" s="198"/>
      <c r="AFE27" s="198"/>
      <c r="AFF27" s="198"/>
      <c r="AFG27" s="198"/>
      <c r="AFH27" s="198"/>
      <c r="AFI27" s="198"/>
      <c r="AFJ27" s="198"/>
      <c r="AFK27" s="198"/>
      <c r="AFL27" s="198"/>
      <c r="AFM27" s="198"/>
      <c r="AFN27" s="198"/>
      <c r="AFO27" s="198"/>
      <c r="AFP27" s="198"/>
      <c r="AFQ27" s="198"/>
      <c r="AFR27" s="198"/>
      <c r="AFS27" s="198"/>
      <c r="AFT27" s="198"/>
      <c r="AFU27" s="198"/>
      <c r="AFV27" s="198"/>
      <c r="AFW27" s="198"/>
      <c r="AFX27" s="198"/>
      <c r="AFY27" s="198"/>
      <c r="AFZ27" s="198"/>
      <c r="AGA27" s="198"/>
      <c r="AGB27" s="198"/>
      <c r="AGC27" s="198"/>
      <c r="AGD27" s="198"/>
      <c r="AGE27" s="198"/>
      <c r="AGF27" s="198"/>
      <c r="AGG27" s="198"/>
      <c r="AGH27" s="198"/>
      <c r="AGI27" s="198"/>
      <c r="AGJ27" s="198"/>
      <c r="AGK27" s="198"/>
      <c r="AGL27" s="198"/>
      <c r="AGM27" s="198"/>
      <c r="AGN27" s="198"/>
      <c r="AGO27" s="198"/>
      <c r="AGP27" s="198"/>
      <c r="AGQ27" s="198"/>
      <c r="AGR27" s="198"/>
      <c r="AGS27" s="198"/>
      <c r="AGT27" s="198"/>
      <c r="AGU27" s="198"/>
      <c r="AGV27" s="198"/>
      <c r="AGW27" s="198"/>
      <c r="AGX27" s="198"/>
      <c r="AGY27" s="198"/>
      <c r="AGZ27" s="198"/>
      <c r="AHA27" s="198"/>
      <c r="AHB27" s="198"/>
      <c r="AHC27" s="198"/>
      <c r="AHD27" s="198"/>
      <c r="AHE27" s="198"/>
      <c r="AHF27" s="198"/>
      <c r="AHG27" s="198"/>
      <c r="AHH27" s="198"/>
      <c r="AHI27" s="198"/>
      <c r="AHJ27" s="198"/>
      <c r="AHK27" s="198"/>
      <c r="AHL27" s="198"/>
      <c r="AHM27" s="198"/>
      <c r="AHN27" s="198"/>
      <c r="AHO27" s="198"/>
      <c r="AHP27" s="198"/>
      <c r="AHQ27" s="198"/>
      <c r="AHR27" s="198"/>
      <c r="AHS27" s="198"/>
      <c r="AHT27" s="198"/>
      <c r="AHU27" s="198"/>
      <c r="AHV27" s="198"/>
      <c r="AHW27" s="198"/>
      <c r="AHX27" s="198"/>
      <c r="AHY27" s="198"/>
      <c r="AHZ27" s="198"/>
      <c r="AIA27" s="198"/>
      <c r="AIB27" s="198"/>
      <c r="AIC27" s="198"/>
      <c r="AID27" s="198"/>
      <c r="AIE27" s="198"/>
      <c r="AIF27" s="198"/>
      <c r="AIG27" s="198"/>
      <c r="AIH27" s="198"/>
      <c r="AII27" s="198"/>
      <c r="AIJ27" s="198"/>
      <c r="AIK27" s="198"/>
      <c r="AIL27" s="198"/>
      <c r="AIM27" s="198"/>
      <c r="AIN27" s="198"/>
      <c r="AIO27" s="198"/>
      <c r="AIP27" s="198"/>
      <c r="AIQ27" s="198"/>
      <c r="AIR27" s="198"/>
      <c r="AIS27" s="198"/>
      <c r="AIT27" s="198"/>
      <c r="AIU27" s="198"/>
      <c r="AIV27" s="198"/>
      <c r="AIW27" s="198"/>
      <c r="AIX27" s="198"/>
      <c r="AIY27" s="198"/>
      <c r="AIZ27" s="198"/>
      <c r="AJA27" s="198"/>
      <c r="AJB27" s="198"/>
      <c r="AJC27" s="198"/>
      <c r="AJD27" s="198"/>
      <c r="AJE27" s="198"/>
      <c r="AJF27" s="198"/>
      <c r="AJG27" s="198"/>
      <c r="AJH27" s="198"/>
      <c r="AJI27" s="198"/>
      <c r="AJJ27" s="198"/>
      <c r="AJK27" s="198"/>
      <c r="AJL27" s="198"/>
      <c r="AJM27" s="198"/>
      <c r="AJN27" s="198"/>
      <c r="AJO27" s="198"/>
      <c r="AJP27" s="198"/>
      <c r="AJQ27" s="198"/>
      <c r="AJR27" s="198"/>
      <c r="AJS27" s="198"/>
      <c r="AJT27" s="198"/>
      <c r="AJU27" s="198"/>
      <c r="AJV27" s="198"/>
      <c r="AJW27" s="198"/>
      <c r="AJX27" s="198"/>
      <c r="AJY27" s="198"/>
      <c r="AJZ27" s="198"/>
      <c r="AKA27" s="198"/>
      <c r="AKB27" s="198"/>
      <c r="AKC27" s="198"/>
      <c r="AKD27" s="198"/>
      <c r="AKE27" s="198"/>
      <c r="AKF27" s="198"/>
      <c r="AKG27" s="198"/>
      <c r="AKH27" s="198"/>
      <c r="AKI27" s="198"/>
      <c r="AKJ27" s="198"/>
      <c r="AKK27" s="198"/>
      <c r="AKL27" s="198"/>
      <c r="AKM27" s="198"/>
      <c r="AKN27" s="198"/>
      <c r="AKO27" s="198"/>
      <c r="AKP27" s="198"/>
      <c r="AKQ27" s="198"/>
      <c r="AKR27" s="198"/>
      <c r="AKS27" s="198"/>
      <c r="AKT27" s="198"/>
      <c r="AKU27" s="198"/>
      <c r="AKV27" s="198"/>
      <c r="AKW27" s="198"/>
      <c r="AKX27" s="198"/>
      <c r="AKY27" s="198"/>
      <c r="AKZ27" s="198"/>
      <c r="ALA27" s="198"/>
      <c r="ALB27" s="198"/>
      <c r="ALC27" s="198"/>
      <c r="ALD27" s="198"/>
      <c r="ALE27" s="198"/>
      <c r="ALF27" s="198"/>
      <c r="ALG27" s="198"/>
      <c r="ALH27" s="198"/>
      <c r="ALI27" s="198"/>
      <c r="ALJ27" s="198"/>
      <c r="ALK27" s="198"/>
      <c r="ALL27" s="198"/>
      <c r="ALM27" s="198"/>
      <c r="ALN27" s="198"/>
      <c r="ALO27" s="198"/>
      <c r="ALP27" s="198"/>
      <c r="ALQ27" s="198"/>
      <c r="ALR27" s="198"/>
      <c r="ALS27" s="198"/>
      <c r="ALT27" s="198"/>
      <c r="ALU27" s="198"/>
      <c r="ALV27" s="198"/>
      <c r="ALW27" s="198"/>
      <c r="ALX27" s="198"/>
      <c r="ALY27" s="198"/>
      <c r="ALZ27" s="198"/>
      <c r="AMA27" s="198"/>
      <c r="AMB27" s="198"/>
      <c r="AMC27" s="198"/>
      <c r="AMD27" s="198"/>
      <c r="AME27" s="198"/>
      <c r="AMF27" s="198"/>
      <c r="AMG27" s="198"/>
      <c r="AMH27" s="198"/>
      <c r="AMI27" s="198"/>
      <c r="AMJ27" s="198"/>
      <c r="AMK27" s="198"/>
      <c r="AML27" s="198"/>
      <c r="AMM27" s="198"/>
      <c r="AMN27" s="198"/>
      <c r="AMO27" s="198"/>
      <c r="AMP27" s="198"/>
      <c r="AMQ27" s="198"/>
      <c r="AMR27" s="198"/>
      <c r="AMS27" s="198"/>
      <c r="AMT27" s="198"/>
      <c r="AMU27" s="198"/>
      <c r="AMV27" s="198"/>
      <c r="AMW27" s="198"/>
      <c r="AMX27" s="198"/>
      <c r="AMY27" s="198"/>
      <c r="AMZ27" s="198"/>
      <c r="ANA27" s="198"/>
      <c r="ANB27" s="198"/>
      <c r="ANC27" s="198"/>
      <c r="AND27" s="198"/>
      <c r="ANE27" s="198"/>
      <c r="ANF27" s="198"/>
      <c r="ANG27" s="198"/>
      <c r="ANH27" s="198"/>
      <c r="ANI27" s="198"/>
      <c r="ANJ27" s="198"/>
      <c r="ANK27" s="198"/>
      <c r="ANL27" s="198"/>
      <c r="ANM27" s="198"/>
      <c r="ANN27" s="198"/>
      <c r="ANO27" s="198"/>
      <c r="ANP27" s="198"/>
      <c r="ANQ27" s="198"/>
      <c r="ANR27" s="198"/>
      <c r="ANS27" s="198"/>
      <c r="ANT27" s="198"/>
      <c r="ANU27" s="198"/>
      <c r="ANV27" s="198"/>
      <c r="ANW27" s="198"/>
      <c r="ANX27" s="198"/>
      <c r="ANY27" s="198"/>
      <c r="ANZ27" s="198"/>
      <c r="AOA27" s="198"/>
      <c r="AOB27" s="198"/>
      <c r="AOC27" s="198"/>
      <c r="AOD27" s="198"/>
      <c r="AOE27" s="198"/>
      <c r="AOF27" s="198"/>
      <c r="AOG27" s="198"/>
      <c r="AOH27" s="198"/>
      <c r="AOI27" s="198"/>
      <c r="AOJ27" s="198"/>
      <c r="AOK27" s="198"/>
      <c r="AOL27" s="198"/>
      <c r="AOM27" s="198"/>
      <c r="AON27" s="198"/>
      <c r="AOO27" s="198"/>
      <c r="AOP27" s="198"/>
      <c r="AOQ27" s="198"/>
      <c r="AOR27" s="198"/>
      <c r="AOS27" s="198"/>
      <c r="AOT27" s="198"/>
      <c r="AOU27" s="198"/>
      <c r="AOV27" s="198"/>
      <c r="AOW27" s="198"/>
      <c r="AOX27" s="198"/>
      <c r="AOY27" s="198"/>
      <c r="AOZ27" s="198"/>
      <c r="APA27" s="198"/>
      <c r="APB27" s="198"/>
      <c r="APC27" s="198"/>
      <c r="APD27" s="198"/>
      <c r="APE27" s="198"/>
      <c r="APF27" s="198"/>
      <c r="APG27" s="198"/>
      <c r="APH27" s="198"/>
      <c r="API27" s="198"/>
      <c r="APJ27" s="198"/>
      <c r="APK27" s="198"/>
      <c r="APL27" s="198"/>
      <c r="APM27" s="198"/>
      <c r="APN27" s="198"/>
      <c r="APO27" s="198"/>
      <c r="APP27" s="198"/>
      <c r="APQ27" s="198"/>
      <c r="APR27" s="198"/>
      <c r="APS27" s="198"/>
      <c r="APT27" s="198"/>
      <c r="APU27" s="198"/>
      <c r="APV27" s="198"/>
      <c r="APW27" s="198"/>
      <c r="APX27" s="198"/>
      <c r="APY27" s="198"/>
      <c r="APZ27" s="198"/>
      <c r="AQA27" s="198"/>
      <c r="AQB27" s="198"/>
      <c r="AQC27" s="198"/>
      <c r="AQD27" s="198"/>
      <c r="AQE27" s="198"/>
      <c r="AQF27" s="198"/>
      <c r="AQG27" s="198"/>
      <c r="AQH27" s="198"/>
      <c r="AQI27" s="198"/>
      <c r="AQJ27" s="198"/>
      <c r="AQK27" s="198"/>
      <c r="AQL27" s="198"/>
      <c r="AQM27" s="198"/>
      <c r="AQN27" s="198"/>
      <c r="AQO27" s="198"/>
      <c r="AQP27" s="198"/>
      <c r="AQQ27" s="198"/>
      <c r="AQR27" s="198"/>
      <c r="AQS27" s="198"/>
      <c r="AQT27" s="198"/>
      <c r="AQU27" s="198"/>
      <c r="AQV27" s="198"/>
      <c r="AQW27" s="198"/>
      <c r="AQX27" s="198"/>
      <c r="AQY27" s="198"/>
      <c r="AQZ27" s="198"/>
      <c r="ARA27" s="198"/>
      <c r="ARB27" s="198"/>
      <c r="ARC27" s="198"/>
      <c r="ARD27" s="198"/>
      <c r="ARE27" s="198"/>
      <c r="ARF27" s="198"/>
      <c r="ARG27" s="198"/>
      <c r="ARH27" s="198"/>
      <c r="ARI27" s="198"/>
      <c r="ARJ27" s="198"/>
      <c r="ARK27" s="198"/>
      <c r="ARL27" s="198"/>
      <c r="ARM27" s="198"/>
      <c r="ARN27" s="198"/>
      <c r="ARO27" s="198"/>
      <c r="ARP27" s="198"/>
      <c r="ARQ27" s="198"/>
      <c r="ARR27" s="198"/>
      <c r="ARS27" s="198"/>
      <c r="ART27" s="198"/>
      <c r="ARU27" s="198"/>
      <c r="ARV27" s="198"/>
      <c r="ARW27" s="198"/>
      <c r="ARX27" s="198"/>
      <c r="ARY27" s="198"/>
      <c r="ARZ27" s="198"/>
      <c r="ASA27" s="198"/>
      <c r="ASB27" s="198"/>
      <c r="ASC27" s="198"/>
      <c r="ASD27" s="198"/>
      <c r="ASE27" s="198"/>
      <c r="ASF27" s="198"/>
      <c r="ASG27" s="198"/>
      <c r="ASH27" s="198"/>
      <c r="ASI27" s="198"/>
      <c r="ASJ27" s="198"/>
      <c r="ASK27" s="198"/>
      <c r="ASL27" s="198"/>
      <c r="ASM27" s="198"/>
      <c r="ASN27" s="198"/>
      <c r="ASO27" s="198"/>
      <c r="ASP27" s="198"/>
      <c r="ASQ27" s="198"/>
      <c r="ASR27" s="198"/>
      <c r="ASS27" s="198"/>
      <c r="AST27" s="198"/>
      <c r="ASU27" s="198"/>
      <c r="ASV27" s="198"/>
      <c r="ASW27" s="198"/>
      <c r="ASX27" s="198"/>
      <c r="ASY27" s="198"/>
      <c r="ASZ27" s="198"/>
      <c r="ATA27" s="198"/>
      <c r="ATB27" s="198"/>
      <c r="ATC27" s="198"/>
      <c r="ATD27" s="198"/>
      <c r="ATE27" s="198"/>
      <c r="ATF27" s="198"/>
      <c r="ATG27" s="198"/>
      <c r="ATH27" s="198"/>
      <c r="ATI27" s="198"/>
      <c r="ATJ27" s="198"/>
      <c r="ATK27" s="198"/>
      <c r="ATL27" s="198"/>
      <c r="ATM27" s="198"/>
      <c r="ATN27" s="198"/>
      <c r="ATO27" s="198"/>
      <c r="ATP27" s="198"/>
      <c r="ATQ27" s="198"/>
      <c r="ATR27" s="198"/>
      <c r="ATS27" s="198"/>
      <c r="ATT27" s="198"/>
      <c r="ATU27" s="198"/>
      <c r="ATV27" s="198"/>
      <c r="ATW27" s="198"/>
      <c r="ATX27" s="198"/>
      <c r="ATY27" s="198"/>
      <c r="ATZ27" s="198"/>
      <c r="AUA27" s="198"/>
      <c r="AUB27" s="198"/>
      <c r="AUC27" s="198"/>
      <c r="AUD27" s="198"/>
      <c r="AUE27" s="198"/>
      <c r="AUF27" s="198"/>
      <c r="AUG27" s="198"/>
      <c r="AUH27" s="198"/>
      <c r="AUI27" s="198"/>
      <c r="AUJ27" s="198"/>
      <c r="AUK27" s="198"/>
      <c r="AUL27" s="198"/>
      <c r="AUM27" s="198"/>
      <c r="AUN27" s="198"/>
      <c r="AUO27" s="198"/>
      <c r="AUP27" s="198"/>
      <c r="AUQ27" s="198"/>
      <c r="AUR27" s="198"/>
      <c r="AUS27" s="198"/>
      <c r="AUT27" s="198"/>
      <c r="AUU27" s="198"/>
      <c r="AUV27" s="198"/>
      <c r="AUW27" s="198"/>
      <c r="AUX27" s="198"/>
      <c r="AUY27" s="198"/>
      <c r="AUZ27" s="198"/>
      <c r="AVA27" s="198"/>
      <c r="AVB27" s="198"/>
      <c r="AVC27" s="198"/>
      <c r="AVD27" s="198"/>
      <c r="AVE27" s="198"/>
      <c r="AVF27" s="198"/>
      <c r="AVG27" s="198"/>
      <c r="AVH27" s="198"/>
      <c r="AVI27" s="198"/>
      <c r="AVJ27" s="198"/>
      <c r="AVK27" s="198"/>
      <c r="AVL27" s="198"/>
      <c r="AVM27" s="198"/>
      <c r="AVN27" s="198"/>
      <c r="AVO27" s="198"/>
      <c r="AVP27" s="198"/>
      <c r="AVQ27" s="198"/>
      <c r="AVR27" s="198"/>
      <c r="AVS27" s="198"/>
      <c r="AVT27" s="198"/>
      <c r="AVU27" s="198"/>
      <c r="AVV27" s="198"/>
      <c r="AVW27" s="198"/>
      <c r="AVX27" s="198"/>
      <c r="AVY27" s="198"/>
      <c r="AVZ27" s="198"/>
      <c r="AWA27" s="198"/>
      <c r="AWB27" s="198"/>
      <c r="AWC27" s="198"/>
      <c r="AWD27" s="198"/>
      <c r="AWE27" s="198"/>
      <c r="AWF27" s="198"/>
      <c r="AWG27" s="198"/>
      <c r="AWH27" s="198"/>
      <c r="AWI27" s="198"/>
      <c r="AWJ27" s="198"/>
      <c r="AWK27" s="198"/>
      <c r="AWL27" s="198"/>
      <c r="AWM27" s="198"/>
      <c r="AWN27" s="198"/>
      <c r="AWO27" s="198"/>
      <c r="AWP27" s="198"/>
      <c r="AWQ27" s="198"/>
      <c r="AWR27" s="198"/>
      <c r="AWS27" s="198"/>
      <c r="AWT27" s="198"/>
      <c r="AWU27" s="198"/>
      <c r="AWV27" s="198"/>
      <c r="AWW27" s="198"/>
      <c r="AWX27" s="198"/>
      <c r="AWY27" s="198"/>
      <c r="AWZ27" s="198"/>
      <c r="AXA27" s="198"/>
      <c r="AXB27" s="198"/>
      <c r="AXC27" s="198"/>
      <c r="AXD27" s="198"/>
      <c r="AXE27" s="198"/>
      <c r="AXF27" s="198"/>
      <c r="AXG27" s="198"/>
      <c r="AXH27" s="198"/>
      <c r="AXI27" s="198"/>
      <c r="AXJ27" s="198"/>
      <c r="AXK27" s="198"/>
      <c r="AXL27" s="198"/>
      <c r="AXM27" s="198"/>
      <c r="AXN27" s="198"/>
      <c r="AXO27" s="198"/>
      <c r="AXP27" s="198"/>
      <c r="AXQ27" s="198"/>
      <c r="AXR27" s="198"/>
      <c r="AXS27" s="198"/>
      <c r="AXT27" s="198"/>
      <c r="AXU27" s="198"/>
      <c r="AXV27" s="198"/>
      <c r="AXW27" s="198"/>
      <c r="AXX27" s="198"/>
      <c r="AXY27" s="198"/>
      <c r="AXZ27" s="198"/>
      <c r="AYA27" s="198"/>
      <c r="AYB27" s="198"/>
      <c r="AYC27" s="198"/>
      <c r="AYD27" s="198"/>
      <c r="AYE27" s="198"/>
      <c r="AYF27" s="198"/>
      <c r="AYG27" s="198"/>
      <c r="AYH27" s="198"/>
      <c r="AYI27" s="198"/>
      <c r="AYJ27" s="198"/>
      <c r="AYK27" s="198"/>
      <c r="AYL27" s="198"/>
      <c r="AYM27" s="198"/>
      <c r="AYN27" s="198"/>
      <c r="AYO27" s="198"/>
      <c r="AYP27" s="198"/>
      <c r="AYQ27" s="198"/>
      <c r="AYR27" s="198"/>
      <c r="AYS27" s="198"/>
      <c r="AYT27" s="198"/>
      <c r="AYU27" s="198"/>
      <c r="AYV27" s="198"/>
      <c r="AYW27" s="198"/>
      <c r="AYX27" s="198"/>
      <c r="AYY27" s="198"/>
      <c r="AYZ27" s="198"/>
      <c r="AZA27" s="198"/>
      <c r="AZB27" s="198"/>
      <c r="AZC27" s="198"/>
      <c r="AZD27" s="198"/>
      <c r="AZE27" s="198"/>
      <c r="AZF27" s="198"/>
      <c r="AZG27" s="198"/>
      <c r="AZH27" s="198"/>
      <c r="AZI27" s="198"/>
      <c r="AZJ27" s="198"/>
      <c r="AZK27" s="198"/>
      <c r="AZL27" s="198"/>
      <c r="AZM27" s="198"/>
      <c r="AZN27" s="198"/>
      <c r="AZO27" s="198"/>
      <c r="AZP27" s="198"/>
      <c r="AZQ27" s="198"/>
      <c r="AZR27" s="198"/>
      <c r="AZS27" s="198"/>
      <c r="AZT27" s="198"/>
      <c r="AZU27" s="198"/>
      <c r="AZV27" s="198"/>
      <c r="AZW27" s="198"/>
      <c r="AZX27" s="198"/>
      <c r="AZY27" s="198"/>
      <c r="AZZ27" s="198"/>
      <c r="BAA27" s="198"/>
      <c r="BAB27" s="198"/>
      <c r="BAC27" s="198"/>
      <c r="BAD27" s="198"/>
      <c r="BAE27" s="198"/>
      <c r="BAF27" s="198"/>
      <c r="BAG27" s="198"/>
      <c r="BAH27" s="198"/>
      <c r="BAI27" s="198"/>
      <c r="BAJ27" s="198"/>
      <c r="BAK27" s="198"/>
      <c r="BAL27" s="198"/>
      <c r="BAM27" s="198"/>
      <c r="BAN27" s="198"/>
      <c r="BAO27" s="198"/>
      <c r="BAP27" s="198"/>
      <c r="BAQ27" s="198"/>
      <c r="BAR27" s="198"/>
      <c r="BAS27" s="198"/>
      <c r="BAT27" s="198"/>
      <c r="BAU27" s="198"/>
      <c r="BAV27" s="198"/>
      <c r="BAW27" s="198"/>
      <c r="BAX27" s="198"/>
      <c r="BAY27" s="198"/>
      <c r="BAZ27" s="198"/>
      <c r="BBA27" s="198"/>
      <c r="BBB27" s="198"/>
      <c r="BBC27" s="198"/>
      <c r="BBD27" s="198"/>
      <c r="BBE27" s="198"/>
      <c r="BBF27" s="198"/>
      <c r="BBG27" s="198"/>
      <c r="BBH27" s="198"/>
      <c r="BBI27" s="198"/>
      <c r="BBJ27" s="198"/>
      <c r="BBK27" s="198"/>
      <c r="BBL27" s="198"/>
      <c r="BBM27" s="198"/>
      <c r="BBN27" s="198"/>
      <c r="BBO27" s="198"/>
      <c r="BBP27" s="198"/>
      <c r="BBQ27" s="198"/>
      <c r="BBR27" s="198"/>
      <c r="BBS27" s="198"/>
      <c r="BBT27" s="198"/>
      <c r="BBU27" s="198"/>
      <c r="BBV27" s="198"/>
      <c r="BBW27" s="198"/>
      <c r="BBX27" s="198"/>
      <c r="BBY27" s="198"/>
      <c r="BBZ27" s="198"/>
      <c r="BCA27" s="198"/>
      <c r="BCB27" s="198"/>
      <c r="BCC27" s="198"/>
      <c r="BCD27" s="198"/>
      <c r="BCE27" s="198"/>
      <c r="BCF27" s="198"/>
      <c r="BCG27" s="198"/>
      <c r="BCH27" s="198"/>
      <c r="BCI27" s="198"/>
      <c r="BCJ27" s="198"/>
      <c r="BCK27" s="198"/>
      <c r="BCL27" s="198"/>
      <c r="BCM27" s="198"/>
      <c r="BCN27" s="198"/>
      <c r="BCO27" s="198"/>
      <c r="BCP27" s="198"/>
      <c r="BCQ27" s="198"/>
      <c r="BCR27" s="198"/>
      <c r="BCS27" s="198"/>
      <c r="BCT27" s="198"/>
      <c r="BCU27" s="198"/>
      <c r="BCV27" s="198"/>
      <c r="BCW27" s="198"/>
      <c r="BCX27" s="198"/>
      <c r="BCY27" s="198"/>
      <c r="BCZ27" s="198"/>
      <c r="BDA27" s="198"/>
      <c r="BDB27" s="198"/>
      <c r="BDC27" s="198"/>
      <c r="BDD27" s="198"/>
      <c r="BDE27" s="198"/>
      <c r="BDF27" s="198"/>
      <c r="BDG27" s="198"/>
      <c r="BDH27" s="198"/>
      <c r="BDI27" s="198"/>
      <c r="BDJ27" s="198"/>
      <c r="BDK27" s="198"/>
      <c r="BDL27" s="198"/>
      <c r="BDM27" s="198"/>
      <c r="BDN27" s="198"/>
      <c r="BDO27" s="198"/>
      <c r="BDP27" s="198"/>
      <c r="BDQ27" s="198"/>
      <c r="BDR27" s="198"/>
      <c r="BDS27" s="198"/>
      <c r="BDT27" s="198"/>
      <c r="BDU27" s="198"/>
      <c r="BDV27" s="198"/>
      <c r="BDW27" s="198"/>
      <c r="BDX27" s="198"/>
      <c r="BDY27" s="198"/>
      <c r="BDZ27" s="198"/>
      <c r="BEA27" s="198"/>
      <c r="BEB27" s="198"/>
      <c r="BEC27" s="198"/>
      <c r="BED27" s="198"/>
      <c r="BEE27" s="198"/>
      <c r="BEF27" s="198"/>
      <c r="BEG27" s="198"/>
      <c r="BEH27" s="198"/>
      <c r="BEI27" s="198"/>
      <c r="BEJ27" s="198"/>
      <c r="BEK27" s="198"/>
      <c r="BEL27" s="198"/>
      <c r="BEM27" s="198"/>
      <c r="BEN27" s="198"/>
      <c r="BEO27" s="198"/>
      <c r="BEP27" s="198"/>
      <c r="BEQ27" s="198"/>
      <c r="BER27" s="198"/>
      <c r="BES27" s="198"/>
      <c r="BET27" s="198"/>
      <c r="BEU27" s="198"/>
      <c r="BEV27" s="198"/>
      <c r="BEW27" s="198"/>
      <c r="BEX27" s="198"/>
      <c r="BEY27" s="198"/>
      <c r="BEZ27" s="198"/>
      <c r="BFA27" s="198"/>
      <c r="BFB27" s="198"/>
      <c r="BFC27" s="198"/>
      <c r="BFD27" s="198"/>
      <c r="BFE27" s="198"/>
      <c r="BFF27" s="198"/>
      <c r="BFG27" s="198"/>
      <c r="BFH27" s="198"/>
      <c r="BFI27" s="198"/>
      <c r="BFJ27" s="198"/>
      <c r="BFK27" s="198"/>
      <c r="BFL27" s="198"/>
      <c r="BFM27" s="198"/>
      <c r="BFN27" s="198"/>
      <c r="BFO27" s="198"/>
      <c r="BFP27" s="198"/>
      <c r="BFQ27" s="198"/>
      <c r="BFR27" s="198"/>
      <c r="BFS27" s="198"/>
      <c r="BFT27" s="198"/>
      <c r="BFU27" s="198"/>
      <c r="BFV27" s="198"/>
      <c r="BFW27" s="198"/>
      <c r="BFX27" s="198"/>
      <c r="BFY27" s="198"/>
      <c r="BFZ27" s="198"/>
      <c r="BGA27" s="198"/>
      <c r="BGB27" s="198"/>
      <c r="BGC27" s="198"/>
      <c r="BGD27" s="198"/>
      <c r="BGE27" s="198"/>
      <c r="BGF27" s="198"/>
      <c r="BGG27" s="198"/>
      <c r="BGH27" s="198"/>
      <c r="BGI27" s="198"/>
      <c r="BGJ27" s="198"/>
      <c r="BGK27" s="198"/>
      <c r="BGL27" s="198"/>
      <c r="BGM27" s="198"/>
      <c r="BGN27" s="198"/>
      <c r="BGO27" s="198"/>
      <c r="BGP27" s="198"/>
      <c r="BGQ27" s="198"/>
      <c r="BGR27" s="198"/>
      <c r="BGS27" s="198"/>
      <c r="BGT27" s="198"/>
      <c r="BGU27" s="198"/>
      <c r="BGV27" s="198"/>
      <c r="BGW27" s="198"/>
      <c r="BGX27" s="198"/>
      <c r="BGY27" s="198"/>
      <c r="BGZ27" s="198"/>
      <c r="BHA27" s="198"/>
      <c r="BHB27" s="198"/>
      <c r="BHC27" s="198"/>
      <c r="BHD27" s="198"/>
      <c r="BHE27" s="198"/>
      <c r="BHF27" s="198"/>
      <c r="BHG27" s="198"/>
      <c r="BHH27" s="198"/>
      <c r="BHI27" s="198"/>
      <c r="BHJ27" s="198"/>
      <c r="BHK27" s="198"/>
      <c r="BHL27" s="198"/>
      <c r="BHM27" s="198"/>
      <c r="BHN27" s="198"/>
      <c r="BHO27" s="198"/>
      <c r="BHP27" s="198"/>
      <c r="BHQ27" s="198"/>
      <c r="BHR27" s="198"/>
      <c r="BHS27" s="198"/>
      <c r="BHT27" s="198"/>
      <c r="BHU27" s="198"/>
      <c r="BHV27" s="198"/>
      <c r="BHW27" s="198"/>
      <c r="BHX27" s="198"/>
      <c r="BHY27" s="198"/>
      <c r="BHZ27" s="198"/>
      <c r="BIA27" s="198"/>
      <c r="BIB27" s="198"/>
      <c r="BIC27" s="198"/>
      <c r="BID27" s="198"/>
      <c r="BIE27" s="198"/>
      <c r="BIF27" s="198"/>
      <c r="BIG27" s="198"/>
      <c r="BIH27" s="198"/>
      <c r="BII27" s="198"/>
      <c r="BIJ27" s="198"/>
      <c r="BIK27" s="198"/>
      <c r="BIL27" s="198"/>
      <c r="BIM27" s="198"/>
      <c r="BIN27" s="198"/>
      <c r="BIO27" s="198"/>
      <c r="BIP27" s="198"/>
      <c r="BIQ27" s="198"/>
      <c r="BIR27" s="198"/>
      <c r="BIS27" s="198"/>
      <c r="BIT27" s="198"/>
      <c r="BIU27" s="198"/>
      <c r="BIV27" s="198"/>
      <c r="BIW27" s="198"/>
      <c r="BIX27" s="198"/>
      <c r="BIY27" s="198"/>
      <c r="BIZ27" s="198"/>
      <c r="BJA27" s="198"/>
      <c r="BJB27" s="198"/>
      <c r="BJC27" s="198"/>
      <c r="BJD27" s="198"/>
      <c r="BJE27" s="198"/>
      <c r="BJF27" s="198"/>
      <c r="BJG27" s="198"/>
      <c r="BJH27" s="198"/>
      <c r="BJI27" s="198"/>
      <c r="BJJ27" s="198"/>
      <c r="BJK27" s="198"/>
      <c r="BJL27" s="198"/>
      <c r="BJM27" s="198"/>
      <c r="BJN27" s="198"/>
      <c r="BJO27" s="198"/>
      <c r="BJP27" s="198"/>
      <c r="BJQ27" s="198"/>
      <c r="BJR27" s="198"/>
      <c r="BJS27" s="198"/>
      <c r="BJT27" s="198"/>
      <c r="BJU27" s="198"/>
      <c r="BJV27" s="198"/>
      <c r="BJW27" s="198"/>
      <c r="BJX27" s="198"/>
      <c r="BJY27" s="198"/>
      <c r="BJZ27" s="198"/>
      <c r="BKA27" s="198"/>
      <c r="BKB27" s="198"/>
      <c r="BKC27" s="198"/>
      <c r="BKD27" s="198"/>
      <c r="BKE27" s="198"/>
      <c r="BKF27" s="198"/>
      <c r="BKG27" s="198"/>
      <c r="BKH27" s="198"/>
      <c r="BKI27" s="198"/>
      <c r="BKJ27" s="198"/>
      <c r="BKK27" s="198"/>
      <c r="BKL27" s="198"/>
      <c r="BKM27" s="198"/>
      <c r="BKN27" s="198"/>
      <c r="BKO27" s="198"/>
      <c r="BKP27" s="198"/>
      <c r="BKQ27" s="198"/>
      <c r="BKR27" s="198"/>
      <c r="BKS27" s="198"/>
      <c r="BKT27" s="198"/>
      <c r="BKU27" s="198"/>
      <c r="BKV27" s="198"/>
      <c r="BKW27" s="198"/>
      <c r="BKX27" s="198"/>
      <c r="BKY27" s="198"/>
      <c r="BKZ27" s="198"/>
      <c r="BLA27" s="198"/>
      <c r="BLB27" s="198"/>
      <c r="BLC27" s="198"/>
      <c r="BLD27" s="198"/>
      <c r="BLE27" s="198"/>
      <c r="BLF27" s="198"/>
      <c r="BLG27" s="198"/>
      <c r="BLH27" s="198"/>
      <c r="BLI27" s="198"/>
      <c r="BLJ27" s="198"/>
      <c r="BLK27" s="198"/>
      <c r="BLL27" s="198"/>
      <c r="BLM27" s="198"/>
      <c r="BLN27" s="198"/>
      <c r="BLO27" s="198"/>
      <c r="BLP27" s="198"/>
      <c r="BLQ27" s="198"/>
      <c r="BLR27" s="198"/>
      <c r="BLS27" s="198"/>
      <c r="BLT27" s="198"/>
      <c r="BLU27" s="198"/>
      <c r="BLV27" s="198"/>
      <c r="BLW27" s="198"/>
      <c r="BLX27" s="198"/>
      <c r="BLY27" s="198"/>
      <c r="BLZ27" s="198"/>
      <c r="BMA27" s="198"/>
      <c r="BMB27" s="198"/>
      <c r="BMC27" s="198"/>
      <c r="BMD27" s="198"/>
      <c r="BME27" s="198"/>
      <c r="BMF27" s="198"/>
      <c r="BMG27" s="198"/>
      <c r="BMH27" s="198"/>
      <c r="BMI27" s="198"/>
      <c r="BMJ27" s="198"/>
      <c r="BMK27" s="198"/>
      <c r="BML27" s="198"/>
      <c r="BMM27" s="198"/>
      <c r="BMN27" s="198"/>
      <c r="BMO27" s="198"/>
      <c r="BMP27" s="198"/>
      <c r="BMQ27" s="198"/>
      <c r="BMR27" s="198"/>
      <c r="BMS27" s="198"/>
      <c r="BMT27" s="198"/>
      <c r="BMU27" s="198"/>
      <c r="BMV27" s="198"/>
      <c r="BMW27" s="198"/>
      <c r="BMX27" s="198"/>
      <c r="BMY27" s="198"/>
      <c r="BMZ27" s="198"/>
      <c r="BNA27" s="198"/>
      <c r="BNB27" s="198"/>
      <c r="BNC27" s="198"/>
      <c r="BND27" s="198"/>
      <c r="BNE27" s="198"/>
      <c r="BNF27" s="198"/>
      <c r="BNG27" s="198"/>
      <c r="BNH27" s="198"/>
      <c r="BNI27" s="198"/>
      <c r="BNJ27" s="198"/>
      <c r="BNK27" s="198"/>
      <c r="BNL27" s="198"/>
      <c r="BNM27" s="198"/>
      <c r="BNN27" s="198"/>
      <c r="BNO27" s="198"/>
      <c r="BNP27" s="198"/>
      <c r="BNQ27" s="198"/>
      <c r="BNR27" s="198"/>
      <c r="BNS27" s="198"/>
      <c r="BNT27" s="198"/>
      <c r="BNU27" s="198"/>
      <c r="BNV27" s="198"/>
      <c r="BNW27" s="198"/>
      <c r="BNX27" s="198"/>
      <c r="BNY27" s="198"/>
      <c r="BNZ27" s="198"/>
      <c r="BOA27" s="198"/>
      <c r="BOB27" s="198"/>
      <c r="BOC27" s="198"/>
      <c r="BOD27" s="198"/>
      <c r="BOE27" s="198"/>
      <c r="BOF27" s="198"/>
      <c r="BOG27" s="198"/>
      <c r="BOH27" s="198"/>
      <c r="BOI27" s="198"/>
      <c r="BOJ27" s="198"/>
      <c r="BOK27" s="198"/>
      <c r="BOL27" s="198"/>
      <c r="BOM27" s="198"/>
      <c r="BON27" s="198"/>
      <c r="BOO27" s="198"/>
      <c r="BOP27" s="198"/>
      <c r="BOQ27" s="198"/>
      <c r="BOR27" s="198"/>
      <c r="BOS27" s="198"/>
      <c r="BOT27" s="198"/>
      <c r="BOU27" s="198"/>
      <c r="BOV27" s="198"/>
      <c r="BOW27" s="198"/>
      <c r="BOX27" s="198"/>
      <c r="BOY27" s="198"/>
      <c r="BOZ27" s="198"/>
      <c r="BPA27" s="198"/>
      <c r="BPB27" s="198"/>
      <c r="BPC27" s="198"/>
      <c r="BPD27" s="198"/>
      <c r="BPE27" s="198"/>
      <c r="BPF27" s="198"/>
      <c r="BPG27" s="198"/>
      <c r="BPH27" s="198"/>
      <c r="BPI27" s="198"/>
      <c r="BPJ27" s="198"/>
      <c r="BPK27" s="198"/>
      <c r="BPL27" s="198"/>
      <c r="BPM27" s="198"/>
      <c r="BPN27" s="198"/>
      <c r="BPO27" s="198"/>
      <c r="BPP27" s="198"/>
      <c r="BPQ27" s="198"/>
      <c r="BPR27" s="198"/>
      <c r="BPS27" s="198"/>
      <c r="BPT27" s="198"/>
      <c r="BPU27" s="198"/>
      <c r="BPV27" s="198"/>
      <c r="BPW27" s="198"/>
      <c r="BPX27" s="198"/>
      <c r="BPY27" s="198"/>
      <c r="BPZ27" s="198"/>
      <c r="BQA27" s="198"/>
      <c r="BQB27" s="198"/>
      <c r="BQC27" s="198"/>
      <c r="BQD27" s="198"/>
      <c r="BQE27" s="198"/>
      <c r="BQF27" s="198"/>
      <c r="BQG27" s="198"/>
      <c r="BQH27" s="198"/>
      <c r="BQI27" s="198"/>
      <c r="BQJ27" s="198"/>
      <c r="BQK27" s="198"/>
      <c r="BQL27" s="198"/>
      <c r="BQM27" s="198"/>
      <c r="BQN27" s="198"/>
      <c r="BQO27" s="198"/>
      <c r="BQP27" s="198"/>
      <c r="BQQ27" s="198"/>
      <c r="BQR27" s="198"/>
      <c r="BQS27" s="198"/>
      <c r="BQT27" s="198"/>
      <c r="BQU27" s="198"/>
      <c r="BQV27" s="198"/>
      <c r="BQW27" s="198"/>
      <c r="BQX27" s="198"/>
      <c r="BQY27" s="198"/>
      <c r="BQZ27" s="198"/>
      <c r="BRA27" s="198"/>
      <c r="BRB27" s="198"/>
      <c r="BRC27" s="198"/>
      <c r="BRD27" s="198"/>
      <c r="BRE27" s="198"/>
      <c r="BRF27" s="198"/>
      <c r="BRG27" s="198"/>
      <c r="BRH27" s="198"/>
      <c r="BRI27" s="198"/>
      <c r="BRJ27" s="198"/>
      <c r="BRK27" s="198"/>
      <c r="BRL27" s="198"/>
      <c r="BRM27" s="198"/>
      <c r="BRN27" s="198"/>
      <c r="BRO27" s="198"/>
      <c r="BRP27" s="198"/>
      <c r="BRQ27" s="198"/>
      <c r="BRR27" s="198"/>
      <c r="BRS27" s="198"/>
      <c r="BRT27" s="198"/>
      <c r="BRU27" s="198"/>
      <c r="BRV27" s="198"/>
      <c r="BRW27" s="198"/>
      <c r="BRX27" s="198"/>
      <c r="BRY27" s="198"/>
      <c r="BRZ27" s="198"/>
      <c r="BSA27" s="198"/>
      <c r="BSB27" s="198"/>
      <c r="BSC27" s="198"/>
      <c r="BSD27" s="198"/>
      <c r="BSE27" s="198"/>
      <c r="BSF27" s="198"/>
      <c r="BSG27" s="198"/>
      <c r="BSH27" s="198"/>
      <c r="BSI27" s="198"/>
      <c r="BSJ27" s="198"/>
      <c r="BSK27" s="198"/>
      <c r="BSL27" s="198"/>
      <c r="BSM27" s="198"/>
      <c r="BSN27" s="198"/>
      <c r="BSO27" s="198"/>
      <c r="BSP27" s="198"/>
      <c r="BSQ27" s="198"/>
      <c r="BSR27" s="198"/>
      <c r="BSS27" s="198"/>
      <c r="BST27" s="198"/>
      <c r="BSU27" s="198"/>
      <c r="BSV27" s="198"/>
      <c r="BSW27" s="198"/>
      <c r="BSX27" s="198"/>
      <c r="BSY27" s="198"/>
      <c r="BSZ27" s="198"/>
      <c r="BTA27" s="198"/>
      <c r="BTB27" s="198"/>
      <c r="BTC27" s="198"/>
      <c r="BTD27" s="198"/>
      <c r="BTE27" s="198"/>
      <c r="BTF27" s="198"/>
      <c r="BTG27" s="198"/>
      <c r="BTH27" s="198"/>
      <c r="BTI27" s="198"/>
      <c r="BTJ27" s="198"/>
      <c r="BTK27" s="198"/>
      <c r="BTL27" s="198"/>
      <c r="BTM27" s="198"/>
      <c r="BTN27" s="198"/>
      <c r="BTO27" s="198"/>
      <c r="BTP27" s="198"/>
      <c r="BTQ27" s="198"/>
      <c r="BTR27" s="198"/>
      <c r="BTS27" s="198"/>
      <c r="BTT27" s="198"/>
      <c r="BTU27" s="198"/>
      <c r="BTV27" s="198"/>
      <c r="BTW27" s="198"/>
      <c r="BTX27" s="198"/>
      <c r="BTY27" s="198"/>
      <c r="BTZ27" s="198"/>
      <c r="BUA27" s="198"/>
      <c r="BUB27" s="198"/>
      <c r="BUC27" s="198"/>
      <c r="BUD27" s="198"/>
      <c r="BUE27" s="198"/>
      <c r="BUF27" s="198"/>
      <c r="BUG27" s="198"/>
      <c r="BUH27" s="198"/>
      <c r="BUI27" s="198"/>
      <c r="BUJ27" s="198"/>
      <c r="BUK27" s="198"/>
      <c r="BUL27" s="198"/>
      <c r="BUM27" s="198"/>
      <c r="BUN27" s="198"/>
      <c r="BUO27" s="198"/>
      <c r="BUP27" s="198"/>
      <c r="BUQ27" s="198"/>
      <c r="BUR27" s="198"/>
      <c r="BUS27" s="198"/>
      <c r="BUT27" s="198"/>
      <c r="BUU27" s="198"/>
      <c r="BUV27" s="198"/>
      <c r="BUW27" s="198"/>
      <c r="BUX27" s="198"/>
      <c r="BUY27" s="198"/>
      <c r="BUZ27" s="198"/>
      <c r="BVA27" s="198"/>
      <c r="BVB27" s="198"/>
      <c r="BVC27" s="198"/>
      <c r="BVD27" s="198"/>
      <c r="BVE27" s="198"/>
      <c r="BVF27" s="198"/>
      <c r="BVG27" s="198"/>
      <c r="BVH27" s="198"/>
      <c r="BVI27" s="198"/>
      <c r="BVJ27" s="198"/>
      <c r="BVK27" s="198"/>
      <c r="BVL27" s="198"/>
      <c r="BVM27" s="198"/>
      <c r="BVN27" s="198"/>
      <c r="BVO27" s="198"/>
      <c r="BVP27" s="198"/>
      <c r="BVQ27" s="198"/>
      <c r="BVR27" s="198"/>
      <c r="BVS27" s="198"/>
      <c r="BVT27" s="198"/>
      <c r="BVU27" s="198"/>
      <c r="BVV27" s="198"/>
      <c r="BVW27" s="198"/>
      <c r="BVX27" s="198"/>
      <c r="BVY27" s="198"/>
      <c r="BVZ27" s="198"/>
      <c r="BWA27" s="198"/>
      <c r="BWB27" s="198"/>
      <c r="BWC27" s="198"/>
      <c r="BWD27" s="198"/>
      <c r="BWE27" s="198"/>
      <c r="BWF27" s="198"/>
      <c r="BWG27" s="198"/>
      <c r="BWH27" s="198"/>
      <c r="BWI27" s="198"/>
      <c r="BWJ27" s="198"/>
      <c r="BWK27" s="198"/>
      <c r="BWL27" s="198"/>
      <c r="BWM27" s="198"/>
      <c r="BWN27" s="198"/>
      <c r="BWO27" s="198"/>
      <c r="BWP27" s="198"/>
      <c r="BWQ27" s="198"/>
      <c r="BWR27" s="198"/>
      <c r="BWS27" s="198"/>
      <c r="BWT27" s="198"/>
      <c r="BWU27" s="198"/>
      <c r="BWV27" s="198"/>
      <c r="BWW27" s="198"/>
      <c r="BWX27" s="198"/>
      <c r="BWY27" s="198"/>
      <c r="BWZ27" s="198"/>
      <c r="BXA27" s="198"/>
      <c r="BXB27" s="198"/>
      <c r="BXC27" s="198"/>
      <c r="BXD27" s="198"/>
      <c r="BXE27" s="198"/>
      <c r="BXF27" s="198"/>
      <c r="BXG27" s="198"/>
      <c r="BXH27" s="198"/>
      <c r="BXI27" s="198"/>
      <c r="BXJ27" s="198"/>
      <c r="BXK27" s="198"/>
      <c r="BXL27" s="198"/>
      <c r="BXM27" s="198"/>
      <c r="BXN27" s="198"/>
      <c r="BXO27" s="198"/>
      <c r="BXP27" s="198"/>
      <c r="BXQ27" s="198"/>
      <c r="BXR27" s="198"/>
      <c r="BXS27" s="198"/>
      <c r="BXT27" s="198"/>
      <c r="BXU27" s="198"/>
      <c r="BXV27" s="198"/>
      <c r="BXW27" s="198"/>
      <c r="BXX27" s="198"/>
      <c r="BXY27" s="198"/>
      <c r="BXZ27" s="198"/>
      <c r="BYA27" s="198"/>
      <c r="BYB27" s="198"/>
      <c r="BYC27" s="198"/>
      <c r="BYD27" s="198"/>
      <c r="BYE27" s="198"/>
      <c r="BYF27" s="198"/>
      <c r="BYG27" s="198"/>
    </row>
    <row r="28" spans="1:2009" s="101" customFormat="1" ht="12.75" hidden="1" customHeight="1" thickBot="1" x14ac:dyDescent="0.3">
      <c r="A28" s="98"/>
      <c r="B28" s="98"/>
      <c r="C28" s="170"/>
      <c r="D28" s="170"/>
      <c r="E28" s="170"/>
      <c r="F28" s="170"/>
      <c r="G28" s="711"/>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c r="AIV28" s="100"/>
      <c r="AIW28" s="100"/>
      <c r="AIX28" s="100"/>
      <c r="AIY28" s="100"/>
      <c r="AIZ28" s="100"/>
      <c r="AJA28" s="100"/>
      <c r="AJB28" s="100"/>
      <c r="AJC28" s="100"/>
      <c r="AJD28" s="100"/>
      <c r="AJE28" s="100"/>
      <c r="AJF28" s="100"/>
      <c r="AJG28" s="100"/>
      <c r="AJH28" s="100"/>
      <c r="AJI28" s="100"/>
      <c r="AJJ28" s="100"/>
      <c r="AJK28" s="100"/>
      <c r="AJL28" s="100"/>
      <c r="AJM28" s="100"/>
      <c r="AJN28" s="100"/>
      <c r="AJO28" s="100"/>
      <c r="AJP28" s="100"/>
      <c r="AJQ28" s="100"/>
      <c r="AJR28" s="100"/>
      <c r="AJS28" s="100"/>
      <c r="AJT28" s="100"/>
      <c r="AJU28" s="100"/>
      <c r="AJV28" s="100"/>
      <c r="AJW28" s="100"/>
      <c r="AJX28" s="100"/>
      <c r="AJY28" s="100"/>
      <c r="AJZ28" s="100"/>
      <c r="AKA28" s="100"/>
      <c r="AKB28" s="100"/>
      <c r="AKC28" s="100"/>
      <c r="AKD28" s="100"/>
      <c r="AKE28" s="100"/>
      <c r="AKF28" s="100"/>
      <c r="AKG28" s="100"/>
      <c r="AKH28" s="100"/>
      <c r="AKI28" s="100"/>
      <c r="AKJ28" s="100"/>
      <c r="AKK28" s="100"/>
      <c r="AKL28" s="100"/>
      <c r="AKM28" s="100"/>
      <c r="AKN28" s="100"/>
      <c r="AKO28" s="100"/>
      <c r="AKP28" s="100"/>
      <c r="AKQ28" s="100"/>
      <c r="AKR28" s="100"/>
      <c r="AKS28" s="100"/>
      <c r="AKT28" s="100"/>
      <c r="AKU28" s="100"/>
      <c r="AKV28" s="100"/>
      <c r="AKW28" s="100"/>
      <c r="AKX28" s="100"/>
      <c r="AKY28" s="100"/>
      <c r="AKZ28" s="100"/>
      <c r="ALA28" s="100"/>
      <c r="ALB28" s="100"/>
      <c r="ALC28" s="100"/>
      <c r="ALD28" s="100"/>
      <c r="ALE28" s="100"/>
      <c r="ALF28" s="100"/>
      <c r="ALG28" s="100"/>
      <c r="ALH28" s="100"/>
      <c r="ALI28" s="100"/>
      <c r="ALJ28" s="100"/>
      <c r="ALK28" s="100"/>
      <c r="ALL28" s="100"/>
      <c r="ALM28" s="100"/>
      <c r="ALN28" s="100"/>
      <c r="ALO28" s="100"/>
      <c r="ALP28" s="100"/>
      <c r="ALQ28" s="100"/>
      <c r="ALR28" s="100"/>
      <c r="ALS28" s="100"/>
      <c r="ALT28" s="100"/>
      <c r="ALU28" s="100"/>
      <c r="ALV28" s="100"/>
      <c r="ALW28" s="100"/>
      <c r="ALX28" s="100"/>
      <c r="ALY28" s="100"/>
      <c r="ALZ28" s="100"/>
      <c r="AMA28" s="100"/>
      <c r="AMB28" s="100"/>
      <c r="AMC28" s="100"/>
      <c r="AMD28" s="100"/>
      <c r="AME28" s="100"/>
      <c r="AMF28" s="100"/>
      <c r="AMG28" s="100"/>
      <c r="AMH28" s="100"/>
      <c r="AMI28" s="100"/>
      <c r="AMJ28" s="100"/>
      <c r="AMK28" s="100"/>
      <c r="AML28" s="100"/>
      <c r="AMM28" s="100"/>
      <c r="AMN28" s="100"/>
      <c r="AMO28" s="100"/>
      <c r="AMP28" s="100"/>
      <c r="AMQ28" s="100"/>
      <c r="AMR28" s="100"/>
      <c r="AMS28" s="100"/>
      <c r="AMT28" s="100"/>
      <c r="AMU28" s="100"/>
      <c r="AMV28" s="100"/>
      <c r="AMW28" s="100"/>
      <c r="AMX28" s="100"/>
      <c r="AMY28" s="100"/>
      <c r="AMZ28" s="100"/>
      <c r="ANA28" s="100"/>
      <c r="ANB28" s="100"/>
      <c r="ANC28" s="100"/>
      <c r="AND28" s="100"/>
      <c r="ANE28" s="100"/>
      <c r="ANF28" s="100"/>
      <c r="ANG28" s="100"/>
      <c r="ANH28" s="100"/>
      <c r="ANI28" s="100"/>
      <c r="ANJ28" s="100"/>
      <c r="ANK28" s="100"/>
      <c r="ANL28" s="100"/>
      <c r="ANM28" s="100"/>
      <c r="ANN28" s="100"/>
      <c r="ANO28" s="100"/>
      <c r="ANP28" s="100"/>
      <c r="ANQ28" s="100"/>
      <c r="ANR28" s="100"/>
      <c r="ANS28" s="100"/>
      <c r="ANT28" s="100"/>
      <c r="ANU28" s="100"/>
      <c r="ANV28" s="100"/>
      <c r="ANW28" s="100"/>
      <c r="ANX28" s="100"/>
      <c r="ANY28" s="100"/>
      <c r="ANZ28" s="100"/>
      <c r="AOA28" s="100"/>
      <c r="AOB28" s="100"/>
      <c r="AOC28" s="100"/>
      <c r="AOD28" s="100"/>
      <c r="AOE28" s="100"/>
      <c r="AOF28" s="100"/>
      <c r="AOG28" s="100"/>
      <c r="AOH28" s="100"/>
      <c r="AOI28" s="100"/>
      <c r="AOJ28" s="100"/>
      <c r="AOK28" s="100"/>
      <c r="AOL28" s="100"/>
      <c r="AOM28" s="100"/>
      <c r="AON28" s="100"/>
      <c r="AOO28" s="100"/>
      <c r="AOP28" s="100"/>
      <c r="AOQ28" s="100"/>
      <c r="AOR28" s="100"/>
      <c r="AOS28" s="100"/>
      <c r="AOT28" s="100"/>
      <c r="AOU28" s="100"/>
      <c r="AOV28" s="100"/>
      <c r="AOW28" s="100"/>
      <c r="AOX28" s="100"/>
      <c r="AOY28" s="100"/>
      <c r="AOZ28" s="100"/>
      <c r="APA28" s="100"/>
      <c r="APB28" s="100"/>
      <c r="APC28" s="100"/>
      <c r="APD28" s="100"/>
      <c r="APE28" s="100"/>
      <c r="APF28" s="100"/>
      <c r="APG28" s="100"/>
      <c r="APH28" s="100"/>
      <c r="API28" s="100"/>
      <c r="APJ28" s="100"/>
      <c r="APK28" s="100"/>
      <c r="APL28" s="100"/>
      <c r="APM28" s="100"/>
      <c r="APN28" s="100"/>
      <c r="APO28" s="100"/>
      <c r="APP28" s="100"/>
      <c r="APQ28" s="100"/>
      <c r="APR28" s="100"/>
      <c r="APS28" s="100"/>
      <c r="APT28" s="100"/>
      <c r="APU28" s="100"/>
      <c r="APV28" s="100"/>
      <c r="APW28" s="100"/>
      <c r="APX28" s="100"/>
      <c r="APY28" s="100"/>
      <c r="APZ28" s="100"/>
      <c r="AQA28" s="100"/>
      <c r="AQB28" s="100"/>
      <c r="AQC28" s="100"/>
      <c r="AQD28" s="100"/>
      <c r="AQE28" s="100"/>
      <c r="AQF28" s="100"/>
      <c r="AQG28" s="100"/>
      <c r="AQH28" s="100"/>
      <c r="AQI28" s="100"/>
      <c r="AQJ28" s="100"/>
      <c r="AQK28" s="100"/>
      <c r="AQL28" s="100"/>
      <c r="AQM28" s="100"/>
      <c r="AQN28" s="100"/>
      <c r="AQO28" s="100"/>
      <c r="AQP28" s="100"/>
      <c r="AQQ28" s="100"/>
      <c r="AQR28" s="100"/>
      <c r="AQS28" s="100"/>
      <c r="AQT28" s="100"/>
      <c r="AQU28" s="100"/>
      <c r="AQV28" s="100"/>
      <c r="AQW28" s="100"/>
      <c r="AQX28" s="100"/>
      <c r="AQY28" s="100"/>
      <c r="AQZ28" s="100"/>
      <c r="ARA28" s="100"/>
      <c r="ARB28" s="100"/>
      <c r="ARC28" s="100"/>
      <c r="ARD28" s="100"/>
      <c r="ARE28" s="100"/>
      <c r="ARF28" s="100"/>
      <c r="ARG28" s="100"/>
      <c r="ARH28" s="100"/>
      <c r="ARI28" s="100"/>
      <c r="ARJ28" s="100"/>
      <c r="ARK28" s="100"/>
      <c r="ARL28" s="100"/>
      <c r="ARM28" s="100"/>
      <c r="ARN28" s="100"/>
      <c r="ARO28" s="100"/>
      <c r="ARP28" s="100"/>
      <c r="ARQ28" s="100"/>
      <c r="ARR28" s="100"/>
      <c r="ARS28" s="100"/>
      <c r="ART28" s="100"/>
      <c r="ARU28" s="100"/>
      <c r="ARV28" s="100"/>
      <c r="ARW28" s="100"/>
      <c r="ARX28" s="100"/>
      <c r="ARY28" s="100"/>
      <c r="ARZ28" s="100"/>
      <c r="ASA28" s="100"/>
      <c r="ASB28" s="100"/>
      <c r="ASC28" s="100"/>
      <c r="ASD28" s="100"/>
      <c r="ASE28" s="100"/>
      <c r="ASF28" s="100"/>
      <c r="ASG28" s="100"/>
      <c r="ASH28" s="100"/>
      <c r="ASI28" s="100"/>
      <c r="ASJ28" s="100"/>
      <c r="ASK28" s="100"/>
      <c r="ASL28" s="100"/>
      <c r="ASM28" s="100"/>
      <c r="ASN28" s="100"/>
      <c r="ASO28" s="100"/>
      <c r="ASP28" s="100"/>
      <c r="ASQ28" s="100"/>
      <c r="ASR28" s="100"/>
      <c r="ASS28" s="100"/>
      <c r="AST28" s="100"/>
      <c r="ASU28" s="100"/>
      <c r="ASV28" s="100"/>
      <c r="ASW28" s="100"/>
      <c r="ASX28" s="100"/>
      <c r="ASY28" s="100"/>
      <c r="ASZ28" s="100"/>
      <c r="ATA28" s="100"/>
      <c r="ATB28" s="100"/>
      <c r="ATC28" s="100"/>
      <c r="ATD28" s="100"/>
      <c r="ATE28" s="100"/>
      <c r="ATF28" s="100"/>
      <c r="ATG28" s="100"/>
      <c r="ATH28" s="100"/>
      <c r="ATI28" s="100"/>
      <c r="ATJ28" s="100"/>
      <c r="ATK28" s="100"/>
      <c r="ATL28" s="100"/>
      <c r="ATM28" s="100"/>
      <c r="ATN28" s="100"/>
      <c r="ATO28" s="100"/>
      <c r="ATP28" s="100"/>
      <c r="ATQ28" s="100"/>
      <c r="ATR28" s="100"/>
      <c r="ATS28" s="100"/>
      <c r="ATT28" s="100"/>
      <c r="ATU28" s="100"/>
      <c r="ATV28" s="100"/>
      <c r="ATW28" s="100"/>
      <c r="ATX28" s="100"/>
      <c r="ATY28" s="100"/>
      <c r="ATZ28" s="100"/>
      <c r="AUA28" s="100"/>
      <c r="AUB28" s="100"/>
      <c r="AUC28" s="100"/>
      <c r="AUD28" s="100"/>
      <c r="AUE28" s="100"/>
      <c r="AUF28" s="100"/>
      <c r="AUG28" s="100"/>
      <c r="AUH28" s="100"/>
      <c r="AUI28" s="100"/>
      <c r="AUJ28" s="100"/>
      <c r="AUK28" s="100"/>
      <c r="AUL28" s="100"/>
      <c r="AUM28" s="100"/>
      <c r="AUN28" s="100"/>
      <c r="AUO28" s="100"/>
      <c r="AUP28" s="100"/>
      <c r="AUQ28" s="100"/>
      <c r="AUR28" s="100"/>
      <c r="AUS28" s="100"/>
      <c r="AUT28" s="100"/>
      <c r="AUU28" s="100"/>
      <c r="AUV28" s="100"/>
      <c r="AUW28" s="100"/>
      <c r="AUX28" s="100"/>
      <c r="AUY28" s="100"/>
      <c r="AUZ28" s="100"/>
      <c r="AVA28" s="100"/>
      <c r="AVB28" s="100"/>
      <c r="AVC28" s="100"/>
      <c r="AVD28" s="100"/>
      <c r="AVE28" s="100"/>
      <c r="AVF28" s="100"/>
      <c r="AVG28" s="100"/>
      <c r="AVH28" s="100"/>
      <c r="AVI28" s="100"/>
      <c r="AVJ28" s="100"/>
      <c r="AVK28" s="100"/>
      <c r="AVL28" s="100"/>
      <c r="AVM28" s="100"/>
      <c r="AVN28" s="100"/>
      <c r="AVO28" s="100"/>
      <c r="AVP28" s="100"/>
      <c r="AVQ28" s="100"/>
      <c r="AVR28" s="100"/>
      <c r="AVS28" s="100"/>
      <c r="AVT28" s="100"/>
      <c r="AVU28" s="100"/>
      <c r="AVV28" s="100"/>
      <c r="AVW28" s="100"/>
      <c r="AVX28" s="100"/>
      <c r="AVY28" s="100"/>
      <c r="AVZ28" s="100"/>
      <c r="AWA28" s="100"/>
      <c r="AWB28" s="100"/>
      <c r="AWC28" s="100"/>
      <c r="AWD28" s="100"/>
      <c r="AWE28" s="100"/>
      <c r="AWF28" s="100"/>
      <c r="AWG28" s="100"/>
      <c r="AWH28" s="100"/>
      <c r="AWI28" s="100"/>
      <c r="AWJ28" s="100"/>
      <c r="AWK28" s="100"/>
      <c r="AWL28" s="100"/>
      <c r="AWM28" s="100"/>
      <c r="AWN28" s="100"/>
      <c r="AWO28" s="100"/>
      <c r="AWP28" s="100"/>
      <c r="AWQ28" s="100"/>
      <c r="AWR28" s="100"/>
      <c r="AWS28" s="100"/>
      <c r="AWT28" s="100"/>
      <c r="AWU28" s="100"/>
      <c r="AWV28" s="100"/>
      <c r="AWW28" s="100"/>
      <c r="AWX28" s="100"/>
      <c r="AWY28" s="100"/>
      <c r="AWZ28" s="100"/>
      <c r="AXA28" s="100"/>
      <c r="AXB28" s="100"/>
      <c r="AXC28" s="100"/>
      <c r="AXD28" s="100"/>
      <c r="AXE28" s="100"/>
      <c r="AXF28" s="100"/>
      <c r="AXG28" s="100"/>
      <c r="AXH28" s="100"/>
      <c r="AXI28" s="100"/>
      <c r="AXJ28" s="100"/>
      <c r="AXK28" s="100"/>
      <c r="AXL28" s="100"/>
      <c r="AXM28" s="100"/>
      <c r="AXN28" s="100"/>
      <c r="AXO28" s="100"/>
      <c r="AXP28" s="100"/>
      <c r="AXQ28" s="100"/>
      <c r="AXR28" s="100"/>
      <c r="AXS28" s="100"/>
      <c r="AXT28" s="100"/>
      <c r="AXU28" s="100"/>
      <c r="AXV28" s="100"/>
      <c r="AXW28" s="100"/>
      <c r="AXX28" s="100"/>
      <c r="AXY28" s="100"/>
      <c r="AXZ28" s="100"/>
      <c r="AYA28" s="100"/>
      <c r="AYB28" s="100"/>
      <c r="AYC28" s="100"/>
      <c r="AYD28" s="100"/>
      <c r="AYE28" s="100"/>
      <c r="AYF28" s="100"/>
      <c r="AYG28" s="100"/>
      <c r="AYH28" s="100"/>
      <c r="AYI28" s="100"/>
      <c r="AYJ28" s="100"/>
      <c r="AYK28" s="100"/>
      <c r="AYL28" s="100"/>
      <c r="AYM28" s="100"/>
      <c r="AYN28" s="100"/>
      <c r="AYO28" s="100"/>
      <c r="AYP28" s="100"/>
      <c r="AYQ28" s="100"/>
      <c r="AYR28" s="100"/>
      <c r="AYS28" s="100"/>
      <c r="AYT28" s="100"/>
      <c r="AYU28" s="100"/>
      <c r="AYV28" s="100"/>
      <c r="AYW28" s="100"/>
      <c r="AYX28" s="100"/>
      <c r="AYY28" s="100"/>
      <c r="AYZ28" s="100"/>
      <c r="AZA28" s="100"/>
      <c r="AZB28" s="100"/>
      <c r="AZC28" s="100"/>
      <c r="AZD28" s="100"/>
      <c r="AZE28" s="100"/>
      <c r="AZF28" s="100"/>
      <c r="AZG28" s="100"/>
      <c r="AZH28" s="100"/>
      <c r="AZI28" s="100"/>
      <c r="AZJ28" s="100"/>
      <c r="AZK28" s="100"/>
      <c r="AZL28" s="100"/>
      <c r="AZM28" s="100"/>
      <c r="AZN28" s="100"/>
      <c r="AZO28" s="100"/>
      <c r="AZP28" s="100"/>
      <c r="AZQ28" s="100"/>
      <c r="AZR28" s="100"/>
      <c r="AZS28" s="100"/>
      <c r="AZT28" s="100"/>
      <c r="AZU28" s="100"/>
      <c r="AZV28" s="100"/>
      <c r="AZW28" s="100"/>
      <c r="AZX28" s="100"/>
      <c r="AZY28" s="100"/>
      <c r="AZZ28" s="100"/>
      <c r="BAA28" s="100"/>
      <c r="BAB28" s="100"/>
      <c r="BAC28" s="100"/>
      <c r="BAD28" s="100"/>
      <c r="BAE28" s="100"/>
      <c r="BAF28" s="100"/>
      <c r="BAG28" s="100"/>
      <c r="BAH28" s="100"/>
      <c r="BAI28" s="100"/>
      <c r="BAJ28" s="100"/>
      <c r="BAK28" s="100"/>
      <c r="BAL28" s="100"/>
      <c r="BAM28" s="100"/>
      <c r="BAN28" s="100"/>
      <c r="BAO28" s="100"/>
      <c r="BAP28" s="100"/>
      <c r="BAQ28" s="100"/>
      <c r="BAR28" s="100"/>
      <c r="BAS28" s="100"/>
      <c r="BAT28" s="100"/>
      <c r="BAU28" s="100"/>
      <c r="BAV28" s="100"/>
      <c r="BAW28" s="100"/>
      <c r="BAX28" s="100"/>
      <c r="BAY28" s="100"/>
      <c r="BAZ28" s="100"/>
      <c r="BBA28" s="100"/>
      <c r="BBB28" s="100"/>
      <c r="BBC28" s="100"/>
      <c r="BBD28" s="100"/>
      <c r="BBE28" s="100"/>
      <c r="BBF28" s="100"/>
      <c r="BBG28" s="100"/>
      <c r="BBH28" s="100"/>
      <c r="BBI28" s="100"/>
      <c r="BBJ28" s="100"/>
      <c r="BBK28" s="100"/>
      <c r="BBL28" s="100"/>
      <c r="BBM28" s="100"/>
      <c r="BBN28" s="100"/>
      <c r="BBO28" s="100"/>
      <c r="BBP28" s="100"/>
      <c r="BBQ28" s="100"/>
      <c r="BBR28" s="100"/>
      <c r="BBS28" s="100"/>
      <c r="BBT28" s="100"/>
      <c r="BBU28" s="100"/>
      <c r="BBV28" s="100"/>
      <c r="BBW28" s="100"/>
      <c r="BBX28" s="100"/>
      <c r="BBY28" s="100"/>
      <c r="BBZ28" s="100"/>
      <c r="BCA28" s="100"/>
      <c r="BCB28" s="100"/>
      <c r="BCC28" s="100"/>
      <c r="BCD28" s="100"/>
      <c r="BCE28" s="100"/>
      <c r="BCF28" s="100"/>
      <c r="BCG28" s="100"/>
      <c r="BCH28" s="100"/>
      <c r="BCI28" s="100"/>
      <c r="BCJ28" s="100"/>
      <c r="BCK28" s="100"/>
      <c r="BCL28" s="100"/>
      <c r="BCM28" s="100"/>
      <c r="BCN28" s="100"/>
      <c r="BCO28" s="100"/>
      <c r="BCP28" s="100"/>
      <c r="BCQ28" s="100"/>
      <c r="BCR28" s="100"/>
      <c r="BCS28" s="100"/>
      <c r="BCT28" s="100"/>
      <c r="BCU28" s="100"/>
      <c r="BCV28" s="100"/>
      <c r="BCW28" s="100"/>
      <c r="BCX28" s="100"/>
      <c r="BCY28" s="100"/>
      <c r="BCZ28" s="100"/>
      <c r="BDA28" s="100"/>
      <c r="BDB28" s="100"/>
      <c r="BDC28" s="100"/>
      <c r="BDD28" s="100"/>
      <c r="BDE28" s="100"/>
      <c r="BDF28" s="100"/>
      <c r="BDG28" s="100"/>
      <c r="BDH28" s="100"/>
      <c r="BDI28" s="100"/>
      <c r="BDJ28" s="100"/>
      <c r="BDK28" s="100"/>
      <c r="BDL28" s="100"/>
      <c r="BDM28" s="100"/>
      <c r="BDN28" s="100"/>
      <c r="BDO28" s="100"/>
      <c r="BDP28" s="100"/>
      <c r="BDQ28" s="100"/>
      <c r="BDR28" s="100"/>
      <c r="BDS28" s="100"/>
      <c r="BDT28" s="100"/>
      <c r="BDU28" s="100"/>
      <c r="BDV28" s="100"/>
      <c r="BDW28" s="100"/>
      <c r="BDX28" s="100"/>
      <c r="BDY28" s="100"/>
      <c r="BDZ28" s="100"/>
      <c r="BEA28" s="100"/>
      <c r="BEB28" s="100"/>
      <c r="BEC28" s="100"/>
      <c r="BED28" s="100"/>
      <c r="BEE28" s="100"/>
      <c r="BEF28" s="100"/>
      <c r="BEG28" s="100"/>
      <c r="BEH28" s="100"/>
      <c r="BEI28" s="100"/>
      <c r="BEJ28" s="100"/>
      <c r="BEK28" s="100"/>
      <c r="BEL28" s="100"/>
      <c r="BEM28" s="100"/>
      <c r="BEN28" s="100"/>
      <c r="BEO28" s="100"/>
      <c r="BEP28" s="100"/>
      <c r="BEQ28" s="100"/>
      <c r="BER28" s="100"/>
      <c r="BES28" s="100"/>
      <c r="BET28" s="100"/>
      <c r="BEU28" s="100"/>
      <c r="BEV28" s="100"/>
      <c r="BEW28" s="100"/>
      <c r="BEX28" s="100"/>
      <c r="BEY28" s="100"/>
      <c r="BEZ28" s="100"/>
      <c r="BFA28" s="100"/>
      <c r="BFB28" s="100"/>
      <c r="BFC28" s="100"/>
      <c r="BFD28" s="100"/>
      <c r="BFE28" s="100"/>
      <c r="BFF28" s="100"/>
      <c r="BFG28" s="100"/>
      <c r="BFH28" s="100"/>
      <c r="BFI28" s="100"/>
      <c r="BFJ28" s="100"/>
      <c r="BFK28" s="100"/>
      <c r="BFL28" s="100"/>
      <c r="BFM28" s="100"/>
      <c r="BFN28" s="100"/>
      <c r="BFO28" s="100"/>
      <c r="BFP28" s="100"/>
      <c r="BFQ28" s="100"/>
      <c r="BFR28" s="100"/>
      <c r="BFS28" s="100"/>
      <c r="BFT28" s="100"/>
      <c r="BFU28" s="100"/>
      <c r="BFV28" s="100"/>
      <c r="BFW28" s="100"/>
      <c r="BFX28" s="100"/>
      <c r="BFY28" s="100"/>
      <c r="BFZ28" s="100"/>
      <c r="BGA28" s="100"/>
      <c r="BGB28" s="100"/>
      <c r="BGC28" s="100"/>
      <c r="BGD28" s="100"/>
      <c r="BGE28" s="100"/>
      <c r="BGF28" s="100"/>
      <c r="BGG28" s="100"/>
      <c r="BGH28" s="100"/>
      <c r="BGI28" s="100"/>
      <c r="BGJ28" s="100"/>
      <c r="BGK28" s="100"/>
      <c r="BGL28" s="100"/>
      <c r="BGM28" s="100"/>
      <c r="BGN28" s="100"/>
      <c r="BGO28" s="100"/>
      <c r="BGP28" s="100"/>
      <c r="BGQ28" s="100"/>
      <c r="BGR28" s="100"/>
      <c r="BGS28" s="100"/>
      <c r="BGT28" s="100"/>
      <c r="BGU28" s="100"/>
      <c r="BGV28" s="100"/>
      <c r="BGW28" s="100"/>
      <c r="BGX28" s="100"/>
      <c r="BGY28" s="100"/>
      <c r="BGZ28" s="100"/>
      <c r="BHA28" s="100"/>
      <c r="BHB28" s="100"/>
      <c r="BHC28" s="100"/>
      <c r="BHD28" s="100"/>
      <c r="BHE28" s="100"/>
      <c r="BHF28" s="100"/>
      <c r="BHG28" s="100"/>
      <c r="BHH28" s="100"/>
      <c r="BHI28" s="100"/>
      <c r="BHJ28" s="100"/>
      <c r="BHK28" s="100"/>
      <c r="BHL28" s="100"/>
      <c r="BHM28" s="100"/>
      <c r="BHN28" s="100"/>
      <c r="BHO28" s="100"/>
      <c r="BHP28" s="100"/>
      <c r="BHQ28" s="100"/>
      <c r="BHR28" s="100"/>
      <c r="BHS28" s="100"/>
      <c r="BHT28" s="100"/>
      <c r="BHU28" s="100"/>
      <c r="BHV28" s="100"/>
      <c r="BHW28" s="100"/>
      <c r="BHX28" s="100"/>
      <c r="BHY28" s="100"/>
      <c r="BHZ28" s="100"/>
      <c r="BIA28" s="100"/>
      <c r="BIB28" s="100"/>
      <c r="BIC28" s="100"/>
      <c r="BID28" s="100"/>
      <c r="BIE28" s="100"/>
      <c r="BIF28" s="100"/>
      <c r="BIG28" s="100"/>
      <c r="BIH28" s="100"/>
      <c r="BII28" s="100"/>
      <c r="BIJ28" s="100"/>
      <c r="BIK28" s="100"/>
      <c r="BIL28" s="100"/>
      <c r="BIM28" s="100"/>
      <c r="BIN28" s="100"/>
      <c r="BIO28" s="100"/>
      <c r="BIP28" s="100"/>
      <c r="BIQ28" s="100"/>
      <c r="BIR28" s="100"/>
      <c r="BIS28" s="100"/>
      <c r="BIT28" s="100"/>
      <c r="BIU28" s="100"/>
      <c r="BIV28" s="100"/>
      <c r="BIW28" s="100"/>
      <c r="BIX28" s="100"/>
      <c r="BIY28" s="100"/>
      <c r="BIZ28" s="100"/>
      <c r="BJA28" s="100"/>
      <c r="BJB28" s="100"/>
      <c r="BJC28" s="100"/>
      <c r="BJD28" s="100"/>
      <c r="BJE28" s="100"/>
      <c r="BJF28" s="100"/>
      <c r="BJG28" s="100"/>
      <c r="BJH28" s="100"/>
      <c r="BJI28" s="100"/>
      <c r="BJJ28" s="100"/>
      <c r="BJK28" s="100"/>
      <c r="BJL28" s="100"/>
      <c r="BJM28" s="100"/>
      <c r="BJN28" s="100"/>
      <c r="BJO28" s="100"/>
      <c r="BJP28" s="100"/>
      <c r="BJQ28" s="100"/>
      <c r="BJR28" s="100"/>
      <c r="BJS28" s="100"/>
      <c r="BJT28" s="100"/>
      <c r="BJU28" s="100"/>
      <c r="BJV28" s="100"/>
      <c r="BJW28" s="100"/>
      <c r="BJX28" s="100"/>
      <c r="BJY28" s="100"/>
      <c r="BJZ28" s="100"/>
      <c r="BKA28" s="100"/>
      <c r="BKB28" s="100"/>
      <c r="BKC28" s="100"/>
      <c r="BKD28" s="100"/>
      <c r="BKE28" s="100"/>
      <c r="BKF28" s="100"/>
      <c r="BKG28" s="100"/>
      <c r="BKH28" s="100"/>
      <c r="BKI28" s="100"/>
      <c r="BKJ28" s="100"/>
      <c r="BKK28" s="100"/>
      <c r="BKL28" s="100"/>
      <c r="BKM28" s="100"/>
      <c r="BKN28" s="100"/>
      <c r="BKO28" s="100"/>
      <c r="BKP28" s="100"/>
      <c r="BKQ28" s="100"/>
      <c r="BKR28" s="100"/>
      <c r="BKS28" s="100"/>
      <c r="BKT28" s="100"/>
      <c r="BKU28" s="100"/>
      <c r="BKV28" s="100"/>
      <c r="BKW28" s="100"/>
      <c r="BKX28" s="100"/>
      <c r="BKY28" s="100"/>
      <c r="BKZ28" s="100"/>
      <c r="BLA28" s="100"/>
      <c r="BLB28" s="100"/>
      <c r="BLC28" s="100"/>
      <c r="BLD28" s="100"/>
      <c r="BLE28" s="100"/>
      <c r="BLF28" s="100"/>
      <c r="BLG28" s="100"/>
      <c r="BLH28" s="100"/>
      <c r="BLI28" s="100"/>
      <c r="BLJ28" s="100"/>
      <c r="BLK28" s="100"/>
      <c r="BLL28" s="100"/>
      <c r="BLM28" s="100"/>
      <c r="BLN28" s="100"/>
      <c r="BLO28" s="100"/>
      <c r="BLP28" s="100"/>
      <c r="BLQ28" s="100"/>
      <c r="BLR28" s="100"/>
      <c r="BLS28" s="100"/>
      <c r="BLT28" s="100"/>
      <c r="BLU28" s="100"/>
      <c r="BLV28" s="100"/>
      <c r="BLW28" s="100"/>
      <c r="BLX28" s="100"/>
      <c r="BLY28" s="100"/>
      <c r="BLZ28" s="100"/>
      <c r="BMA28" s="100"/>
      <c r="BMB28" s="100"/>
      <c r="BMC28" s="100"/>
      <c r="BMD28" s="100"/>
      <c r="BME28" s="100"/>
      <c r="BMF28" s="100"/>
      <c r="BMG28" s="100"/>
      <c r="BMH28" s="100"/>
      <c r="BMI28" s="100"/>
      <c r="BMJ28" s="100"/>
      <c r="BMK28" s="100"/>
      <c r="BML28" s="100"/>
      <c r="BMM28" s="100"/>
      <c r="BMN28" s="100"/>
      <c r="BMO28" s="100"/>
      <c r="BMP28" s="100"/>
      <c r="BMQ28" s="100"/>
      <c r="BMR28" s="100"/>
      <c r="BMS28" s="100"/>
      <c r="BMT28" s="100"/>
      <c r="BMU28" s="100"/>
      <c r="BMV28" s="100"/>
      <c r="BMW28" s="100"/>
      <c r="BMX28" s="100"/>
      <c r="BMY28" s="100"/>
      <c r="BMZ28" s="100"/>
      <c r="BNA28" s="100"/>
      <c r="BNB28" s="100"/>
      <c r="BNC28" s="100"/>
      <c r="BND28" s="100"/>
      <c r="BNE28" s="100"/>
      <c r="BNF28" s="100"/>
      <c r="BNG28" s="100"/>
      <c r="BNH28" s="100"/>
      <c r="BNI28" s="100"/>
      <c r="BNJ28" s="100"/>
      <c r="BNK28" s="100"/>
      <c r="BNL28" s="100"/>
      <c r="BNM28" s="100"/>
      <c r="BNN28" s="100"/>
      <c r="BNO28" s="100"/>
      <c r="BNP28" s="100"/>
      <c r="BNQ28" s="100"/>
      <c r="BNR28" s="100"/>
      <c r="BNS28" s="100"/>
      <c r="BNT28" s="100"/>
      <c r="BNU28" s="100"/>
      <c r="BNV28" s="100"/>
      <c r="BNW28" s="100"/>
      <c r="BNX28" s="100"/>
      <c r="BNY28" s="100"/>
      <c r="BNZ28" s="100"/>
      <c r="BOA28" s="100"/>
      <c r="BOB28" s="100"/>
      <c r="BOC28" s="100"/>
      <c r="BOD28" s="100"/>
      <c r="BOE28" s="100"/>
      <c r="BOF28" s="100"/>
      <c r="BOG28" s="100"/>
      <c r="BOH28" s="100"/>
      <c r="BOI28" s="100"/>
      <c r="BOJ28" s="100"/>
      <c r="BOK28" s="100"/>
      <c r="BOL28" s="100"/>
      <c r="BOM28" s="100"/>
      <c r="BON28" s="100"/>
      <c r="BOO28" s="100"/>
      <c r="BOP28" s="100"/>
      <c r="BOQ28" s="100"/>
      <c r="BOR28" s="100"/>
      <c r="BOS28" s="100"/>
      <c r="BOT28" s="100"/>
      <c r="BOU28" s="100"/>
      <c r="BOV28" s="100"/>
      <c r="BOW28" s="100"/>
      <c r="BOX28" s="100"/>
      <c r="BOY28" s="100"/>
      <c r="BOZ28" s="100"/>
      <c r="BPA28" s="100"/>
      <c r="BPB28" s="100"/>
      <c r="BPC28" s="100"/>
      <c r="BPD28" s="100"/>
      <c r="BPE28" s="100"/>
      <c r="BPF28" s="100"/>
      <c r="BPG28" s="100"/>
      <c r="BPH28" s="100"/>
      <c r="BPI28" s="100"/>
      <c r="BPJ28" s="100"/>
      <c r="BPK28" s="100"/>
      <c r="BPL28" s="100"/>
      <c r="BPM28" s="100"/>
      <c r="BPN28" s="100"/>
      <c r="BPO28" s="100"/>
      <c r="BPP28" s="100"/>
      <c r="BPQ28" s="100"/>
      <c r="BPR28" s="100"/>
      <c r="BPS28" s="100"/>
      <c r="BPT28" s="100"/>
      <c r="BPU28" s="100"/>
      <c r="BPV28" s="100"/>
      <c r="BPW28" s="100"/>
      <c r="BPX28" s="100"/>
      <c r="BPY28" s="100"/>
      <c r="BPZ28" s="100"/>
      <c r="BQA28" s="100"/>
      <c r="BQB28" s="100"/>
      <c r="BQC28" s="100"/>
      <c r="BQD28" s="100"/>
      <c r="BQE28" s="100"/>
      <c r="BQF28" s="100"/>
      <c r="BQG28" s="100"/>
      <c r="BQH28" s="100"/>
      <c r="BQI28" s="100"/>
      <c r="BQJ28" s="100"/>
      <c r="BQK28" s="100"/>
      <c r="BQL28" s="100"/>
      <c r="BQM28" s="100"/>
      <c r="BQN28" s="100"/>
      <c r="BQO28" s="100"/>
      <c r="BQP28" s="100"/>
      <c r="BQQ28" s="100"/>
      <c r="BQR28" s="100"/>
      <c r="BQS28" s="100"/>
      <c r="BQT28" s="100"/>
      <c r="BQU28" s="100"/>
      <c r="BQV28" s="100"/>
      <c r="BQW28" s="100"/>
      <c r="BQX28" s="100"/>
      <c r="BQY28" s="100"/>
      <c r="BQZ28" s="100"/>
      <c r="BRA28" s="100"/>
      <c r="BRB28" s="100"/>
      <c r="BRC28" s="100"/>
      <c r="BRD28" s="100"/>
      <c r="BRE28" s="100"/>
      <c r="BRF28" s="100"/>
      <c r="BRG28" s="100"/>
      <c r="BRH28" s="100"/>
      <c r="BRI28" s="100"/>
      <c r="BRJ28" s="100"/>
      <c r="BRK28" s="100"/>
      <c r="BRL28" s="100"/>
      <c r="BRM28" s="100"/>
      <c r="BRN28" s="100"/>
      <c r="BRO28" s="100"/>
      <c r="BRP28" s="100"/>
      <c r="BRQ28" s="100"/>
      <c r="BRR28" s="100"/>
      <c r="BRS28" s="100"/>
      <c r="BRT28" s="100"/>
      <c r="BRU28" s="100"/>
      <c r="BRV28" s="100"/>
      <c r="BRW28" s="100"/>
      <c r="BRX28" s="100"/>
      <c r="BRY28" s="100"/>
      <c r="BRZ28" s="100"/>
      <c r="BSA28" s="100"/>
      <c r="BSB28" s="100"/>
      <c r="BSC28" s="100"/>
      <c r="BSD28" s="100"/>
      <c r="BSE28" s="100"/>
      <c r="BSF28" s="100"/>
      <c r="BSG28" s="100"/>
      <c r="BSH28" s="100"/>
      <c r="BSI28" s="100"/>
      <c r="BSJ28" s="100"/>
      <c r="BSK28" s="100"/>
      <c r="BSL28" s="100"/>
      <c r="BSM28" s="100"/>
      <c r="BSN28" s="100"/>
      <c r="BSO28" s="100"/>
      <c r="BSP28" s="100"/>
      <c r="BSQ28" s="100"/>
      <c r="BSR28" s="100"/>
      <c r="BSS28" s="100"/>
      <c r="BST28" s="100"/>
      <c r="BSU28" s="100"/>
      <c r="BSV28" s="100"/>
      <c r="BSW28" s="100"/>
      <c r="BSX28" s="100"/>
      <c r="BSY28" s="100"/>
      <c r="BSZ28" s="100"/>
      <c r="BTA28" s="100"/>
      <c r="BTB28" s="100"/>
      <c r="BTC28" s="100"/>
      <c r="BTD28" s="100"/>
      <c r="BTE28" s="100"/>
      <c r="BTF28" s="100"/>
      <c r="BTG28" s="100"/>
      <c r="BTH28" s="100"/>
      <c r="BTI28" s="100"/>
      <c r="BTJ28" s="100"/>
      <c r="BTK28" s="100"/>
      <c r="BTL28" s="100"/>
      <c r="BTM28" s="100"/>
      <c r="BTN28" s="100"/>
      <c r="BTO28" s="100"/>
      <c r="BTP28" s="100"/>
      <c r="BTQ28" s="100"/>
      <c r="BTR28" s="100"/>
      <c r="BTS28" s="100"/>
      <c r="BTT28" s="100"/>
      <c r="BTU28" s="100"/>
      <c r="BTV28" s="100"/>
      <c r="BTW28" s="100"/>
      <c r="BTX28" s="100"/>
      <c r="BTY28" s="100"/>
      <c r="BTZ28" s="100"/>
      <c r="BUA28" s="100"/>
      <c r="BUB28" s="100"/>
      <c r="BUC28" s="100"/>
      <c r="BUD28" s="100"/>
      <c r="BUE28" s="100"/>
      <c r="BUF28" s="100"/>
      <c r="BUG28" s="100"/>
      <c r="BUH28" s="100"/>
      <c r="BUI28" s="100"/>
      <c r="BUJ28" s="100"/>
      <c r="BUK28" s="100"/>
      <c r="BUL28" s="100"/>
      <c r="BUM28" s="100"/>
      <c r="BUN28" s="100"/>
      <c r="BUO28" s="100"/>
      <c r="BUP28" s="100"/>
      <c r="BUQ28" s="100"/>
      <c r="BUR28" s="100"/>
      <c r="BUS28" s="100"/>
      <c r="BUT28" s="100"/>
      <c r="BUU28" s="100"/>
      <c r="BUV28" s="100"/>
      <c r="BUW28" s="100"/>
      <c r="BUX28" s="100"/>
      <c r="BUY28" s="100"/>
      <c r="BUZ28" s="100"/>
      <c r="BVA28" s="100"/>
      <c r="BVB28" s="100"/>
      <c r="BVC28" s="100"/>
      <c r="BVD28" s="100"/>
      <c r="BVE28" s="100"/>
      <c r="BVF28" s="100"/>
      <c r="BVG28" s="100"/>
      <c r="BVH28" s="100"/>
      <c r="BVI28" s="100"/>
      <c r="BVJ28" s="100"/>
      <c r="BVK28" s="100"/>
      <c r="BVL28" s="100"/>
      <c r="BVM28" s="100"/>
      <c r="BVN28" s="100"/>
      <c r="BVO28" s="100"/>
      <c r="BVP28" s="100"/>
      <c r="BVQ28" s="100"/>
      <c r="BVR28" s="100"/>
      <c r="BVS28" s="100"/>
      <c r="BVT28" s="100"/>
      <c r="BVU28" s="100"/>
      <c r="BVV28" s="100"/>
      <c r="BVW28" s="100"/>
      <c r="BVX28" s="100"/>
      <c r="BVY28" s="100"/>
      <c r="BVZ28" s="100"/>
      <c r="BWA28" s="100"/>
      <c r="BWB28" s="100"/>
      <c r="BWC28" s="100"/>
      <c r="BWD28" s="100"/>
      <c r="BWE28" s="100"/>
      <c r="BWF28" s="100"/>
      <c r="BWG28" s="100"/>
      <c r="BWH28" s="100"/>
      <c r="BWI28" s="100"/>
      <c r="BWJ28" s="100"/>
      <c r="BWK28" s="100"/>
      <c r="BWL28" s="100"/>
      <c r="BWM28" s="100"/>
      <c r="BWN28" s="100"/>
      <c r="BWO28" s="100"/>
      <c r="BWP28" s="100"/>
      <c r="BWQ28" s="100"/>
      <c r="BWR28" s="100"/>
      <c r="BWS28" s="100"/>
      <c r="BWT28" s="100"/>
      <c r="BWU28" s="100"/>
      <c r="BWV28" s="100"/>
      <c r="BWW28" s="100"/>
      <c r="BWX28" s="100"/>
      <c r="BWY28" s="100"/>
      <c r="BWZ28" s="100"/>
      <c r="BXA28" s="100"/>
      <c r="BXB28" s="100"/>
      <c r="BXC28" s="100"/>
      <c r="BXD28" s="100"/>
      <c r="BXE28" s="100"/>
      <c r="BXF28" s="100"/>
      <c r="BXG28" s="100"/>
      <c r="BXH28" s="100"/>
      <c r="BXI28" s="100"/>
      <c r="BXJ28" s="100"/>
      <c r="BXK28" s="100"/>
      <c r="BXL28" s="100"/>
      <c r="BXM28" s="100"/>
      <c r="BXN28" s="100"/>
      <c r="BXO28" s="100"/>
      <c r="BXP28" s="100"/>
      <c r="BXQ28" s="100"/>
      <c r="BXR28" s="100"/>
      <c r="BXS28" s="100"/>
      <c r="BXT28" s="100"/>
      <c r="BXU28" s="100"/>
      <c r="BXV28" s="100"/>
      <c r="BXW28" s="100"/>
      <c r="BXX28" s="100"/>
      <c r="BXY28" s="100"/>
      <c r="BXZ28" s="100"/>
      <c r="BYA28" s="100"/>
      <c r="BYB28" s="100"/>
      <c r="BYC28" s="100"/>
      <c r="BYD28" s="100"/>
      <c r="BYE28" s="100"/>
      <c r="BYF28" s="100"/>
      <c r="BYG28" s="100"/>
    </row>
    <row r="29" spans="1:2009" s="110" customFormat="1" ht="24.95" customHeight="1" x14ac:dyDescent="0.25">
      <c r="A29" s="141" t="s">
        <v>161</v>
      </c>
      <c r="B29" s="142"/>
      <c r="C29" s="181"/>
      <c r="D29" s="181"/>
      <c r="E29" s="182"/>
      <c r="F29" s="182"/>
      <c r="G29" s="719"/>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hidden="1" customHeight="1" x14ac:dyDescent="0.25">
      <c r="A30" s="373"/>
      <c r="B30" s="114" t="s">
        <v>313</v>
      </c>
      <c r="C30" s="183"/>
      <c r="D30" s="183"/>
      <c r="E30" s="184"/>
      <c r="F30" s="184"/>
      <c r="G30" s="720"/>
      <c r="H30" s="94"/>
      <c r="I30" s="675"/>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110" customFormat="1" ht="24.95" customHeight="1" x14ac:dyDescent="0.25">
      <c r="A31" s="149"/>
      <c r="B31" s="114" t="s">
        <v>404</v>
      </c>
      <c r="C31" s="183">
        <v>27501.62</v>
      </c>
      <c r="D31" s="183">
        <v>27718.12</v>
      </c>
      <c r="E31" s="184"/>
      <c r="F31" s="184"/>
      <c r="G31" s="720">
        <f>SUM(C31:F31)</f>
        <v>55219.74</v>
      </c>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95"/>
      <c r="IG31" s="95"/>
      <c r="IH31" s="95"/>
      <c r="II31" s="95"/>
      <c r="IJ31" s="95"/>
      <c r="IK31" s="95"/>
      <c r="IL31" s="95"/>
      <c r="IM31" s="95"/>
      <c r="IN31" s="95"/>
      <c r="IO31" s="95"/>
      <c r="IP31" s="95"/>
      <c r="IQ31" s="95"/>
      <c r="IR31" s="95"/>
      <c r="IS31" s="95"/>
      <c r="IT31" s="95"/>
      <c r="IU31" s="95"/>
      <c r="IV31" s="95"/>
      <c r="IW31" s="95"/>
      <c r="IX31" s="95"/>
      <c r="IY31" s="95"/>
      <c r="IZ31" s="95"/>
      <c r="JA31" s="95"/>
      <c r="JB31" s="95"/>
      <c r="JC31" s="95"/>
      <c r="JD31" s="95"/>
      <c r="JE31" s="95"/>
      <c r="JF31" s="95"/>
      <c r="JG31" s="95"/>
      <c r="JH31" s="95"/>
      <c r="JI31" s="95"/>
      <c r="JJ31" s="95"/>
      <c r="JK31" s="95"/>
      <c r="JL31" s="95"/>
      <c r="JM31" s="95"/>
      <c r="JN31" s="95"/>
      <c r="JO31" s="95"/>
      <c r="JP31" s="95"/>
      <c r="JQ31" s="95"/>
      <c r="JR31" s="95"/>
      <c r="JS31" s="95"/>
      <c r="JT31" s="95"/>
      <c r="JU31" s="95"/>
      <c r="JV31" s="95"/>
      <c r="JW31" s="95"/>
      <c r="JX31" s="95"/>
      <c r="JY31" s="95"/>
      <c r="JZ31" s="95"/>
      <c r="KA31" s="95"/>
      <c r="KB31" s="95"/>
      <c r="KC31" s="95"/>
      <c r="KD31" s="95"/>
      <c r="KE31" s="95"/>
      <c r="KF31" s="95"/>
      <c r="KG31" s="95"/>
      <c r="KH31" s="95"/>
      <c r="KI31" s="95"/>
      <c r="KJ31" s="95"/>
      <c r="KK31" s="95"/>
      <c r="KL31" s="95"/>
      <c r="KM31" s="95"/>
      <c r="KN31" s="95"/>
      <c r="KO31" s="95"/>
      <c r="KP31" s="95"/>
      <c r="KQ31" s="95"/>
      <c r="KR31" s="95"/>
      <c r="KS31" s="95"/>
      <c r="KT31" s="95"/>
      <c r="KU31" s="95"/>
      <c r="KV31" s="95"/>
      <c r="KW31" s="95"/>
      <c r="KX31" s="95"/>
      <c r="KY31" s="95"/>
      <c r="KZ31" s="95"/>
      <c r="LA31" s="95"/>
      <c r="LB31" s="95"/>
      <c r="LC31" s="95"/>
      <c r="LD31" s="95"/>
      <c r="LE31" s="95"/>
      <c r="LF31" s="95"/>
      <c r="LG31" s="95"/>
      <c r="LH31" s="95"/>
      <c r="LI31" s="95"/>
      <c r="LJ31" s="95"/>
      <c r="LK31" s="95"/>
      <c r="LL31" s="95"/>
      <c r="LM31" s="95"/>
      <c r="LN31" s="95"/>
      <c r="LO31" s="95"/>
      <c r="LP31" s="95"/>
      <c r="LQ31" s="95"/>
      <c r="LR31" s="95"/>
      <c r="LS31" s="95"/>
      <c r="LT31" s="95"/>
      <c r="LU31" s="95"/>
      <c r="LV31" s="95"/>
      <c r="LW31" s="95"/>
      <c r="LX31" s="95"/>
      <c r="LY31" s="95"/>
      <c r="LZ31" s="95"/>
      <c r="MA31" s="95"/>
      <c r="MB31" s="95"/>
      <c r="MC31" s="95"/>
      <c r="MD31" s="95"/>
      <c r="ME31" s="95"/>
      <c r="MF31" s="95"/>
      <c r="MG31" s="95"/>
      <c r="MH31" s="95"/>
      <c r="MI31" s="95"/>
      <c r="MJ31" s="95"/>
      <c r="MK31" s="95"/>
      <c r="ML31" s="95"/>
      <c r="MM31" s="95"/>
      <c r="MN31" s="95"/>
      <c r="MO31" s="95"/>
      <c r="MP31" s="95"/>
      <c r="MQ31" s="95"/>
      <c r="MR31" s="95"/>
      <c r="MS31" s="95"/>
      <c r="MT31" s="95"/>
      <c r="MU31" s="95"/>
      <c r="MV31" s="95"/>
      <c r="MW31" s="95"/>
      <c r="MX31" s="95"/>
      <c r="MY31" s="95"/>
      <c r="MZ31" s="95"/>
      <c r="NA31" s="95"/>
      <c r="NB31" s="95"/>
      <c r="NC31" s="95"/>
      <c r="ND31" s="95"/>
      <c r="NE31" s="95"/>
      <c r="NF31" s="95"/>
      <c r="NG31" s="95"/>
      <c r="NH31" s="95"/>
      <c r="NI31" s="95"/>
      <c r="NJ31" s="95"/>
      <c r="NK31" s="95"/>
      <c r="NL31" s="95"/>
      <c r="NM31" s="95"/>
      <c r="NN31" s="95"/>
      <c r="NO31" s="95"/>
      <c r="NP31" s="95"/>
      <c r="NQ31" s="95"/>
      <c r="NR31" s="95"/>
      <c r="NS31" s="95"/>
      <c r="NT31" s="95"/>
      <c r="NU31" s="95"/>
      <c r="NV31" s="95"/>
      <c r="NW31" s="95"/>
      <c r="NX31" s="95"/>
      <c r="NY31" s="95"/>
      <c r="NZ31" s="95"/>
      <c r="OA31" s="95"/>
      <c r="OB31" s="95"/>
      <c r="OC31" s="95"/>
      <c r="OD31" s="95"/>
      <c r="OE31" s="95"/>
      <c r="OF31" s="95"/>
      <c r="OG31" s="95"/>
      <c r="OH31" s="95"/>
      <c r="OI31" s="95"/>
      <c r="OJ31" s="95"/>
      <c r="OK31" s="95"/>
      <c r="OL31" s="95"/>
      <c r="OM31" s="95"/>
      <c r="ON31" s="95"/>
      <c r="OO31" s="95"/>
      <c r="OP31" s="95"/>
      <c r="OQ31" s="95"/>
      <c r="OR31" s="95"/>
      <c r="OS31" s="95"/>
      <c r="OT31" s="95"/>
      <c r="OU31" s="95"/>
      <c r="OV31" s="95"/>
      <c r="OW31" s="95"/>
      <c r="OX31" s="95"/>
      <c r="OY31" s="95"/>
      <c r="OZ31" s="95"/>
      <c r="PA31" s="95"/>
      <c r="PB31" s="95"/>
      <c r="PC31" s="95"/>
      <c r="PD31" s="95"/>
      <c r="PE31" s="95"/>
      <c r="PF31" s="95"/>
      <c r="PG31" s="95"/>
      <c r="PH31" s="95"/>
      <c r="PI31" s="95"/>
      <c r="PJ31" s="95"/>
      <c r="PK31" s="95"/>
      <c r="PL31" s="95"/>
      <c r="PM31" s="95"/>
      <c r="PN31" s="95"/>
      <c r="PO31" s="95"/>
      <c r="PP31" s="95"/>
      <c r="PQ31" s="95"/>
      <c r="PR31" s="95"/>
      <c r="PS31" s="95"/>
      <c r="PT31" s="95"/>
      <c r="PU31" s="95"/>
      <c r="PV31" s="95"/>
      <c r="PW31" s="95"/>
      <c r="PX31" s="95"/>
      <c r="PY31" s="95"/>
      <c r="PZ31" s="95"/>
      <c r="QA31" s="95"/>
      <c r="QB31" s="95"/>
      <c r="QC31" s="95"/>
      <c r="QD31" s="95"/>
      <c r="QE31" s="95"/>
      <c r="QF31" s="95"/>
      <c r="QG31" s="95"/>
      <c r="QH31" s="95"/>
      <c r="QI31" s="95"/>
      <c r="QJ31" s="95"/>
      <c r="QK31" s="95"/>
      <c r="QL31" s="95"/>
      <c r="QM31" s="95"/>
      <c r="QN31" s="95"/>
      <c r="QO31" s="95"/>
      <c r="QP31" s="95"/>
      <c r="QQ31" s="95"/>
      <c r="QR31" s="95"/>
      <c r="QS31" s="95"/>
      <c r="QT31" s="95"/>
      <c r="QU31" s="95"/>
      <c r="QV31" s="95"/>
      <c r="QW31" s="95"/>
      <c r="QX31" s="95"/>
      <c r="QY31" s="95"/>
      <c r="QZ31" s="95"/>
      <c r="RA31" s="95"/>
      <c r="RB31" s="95"/>
      <c r="RC31" s="95"/>
      <c r="RD31" s="95"/>
      <c r="RE31" s="95"/>
      <c r="RF31" s="95"/>
      <c r="RG31" s="95"/>
      <c r="RH31" s="95"/>
      <c r="RI31" s="95"/>
      <c r="RJ31" s="95"/>
      <c r="RK31" s="95"/>
      <c r="RL31" s="95"/>
      <c r="RM31" s="95"/>
      <c r="RN31" s="95"/>
      <c r="RO31" s="95"/>
      <c r="RP31" s="95"/>
      <c r="RQ31" s="95"/>
      <c r="RR31" s="95"/>
      <c r="RS31" s="95"/>
      <c r="RT31" s="95"/>
      <c r="RU31" s="95"/>
      <c r="RV31" s="95"/>
      <c r="RW31" s="95"/>
      <c r="RX31" s="95"/>
      <c r="RY31" s="95"/>
      <c r="RZ31" s="95"/>
      <c r="SA31" s="95"/>
      <c r="SB31" s="95"/>
      <c r="SC31" s="95"/>
      <c r="SD31" s="95"/>
      <c r="SE31" s="95"/>
      <c r="SF31" s="95"/>
      <c r="SG31" s="95"/>
      <c r="SH31" s="95"/>
      <c r="SI31" s="95"/>
      <c r="SJ31" s="95"/>
      <c r="SK31" s="95"/>
      <c r="SL31" s="95"/>
      <c r="SM31" s="95"/>
      <c r="SN31" s="95"/>
      <c r="SO31" s="95"/>
      <c r="SP31" s="95"/>
      <c r="SQ31" s="95"/>
      <c r="SR31" s="95"/>
      <c r="SS31" s="95"/>
      <c r="ST31" s="95"/>
      <c r="SU31" s="95"/>
      <c r="SV31" s="95"/>
      <c r="SW31" s="95"/>
      <c r="SX31" s="95"/>
      <c r="SY31" s="95"/>
      <c r="SZ31" s="95"/>
      <c r="TA31" s="95"/>
      <c r="TB31" s="95"/>
      <c r="TC31" s="95"/>
      <c r="TD31" s="95"/>
      <c r="TE31" s="95"/>
      <c r="TF31" s="95"/>
      <c r="TG31" s="95"/>
      <c r="TH31" s="95"/>
      <c r="TI31" s="95"/>
      <c r="TJ31" s="95"/>
      <c r="TK31" s="95"/>
      <c r="TL31" s="95"/>
      <c r="TM31" s="95"/>
      <c r="TN31" s="95"/>
      <c r="TO31" s="95"/>
      <c r="TP31" s="95"/>
      <c r="TQ31" s="95"/>
      <c r="TR31" s="95"/>
      <c r="TS31" s="95"/>
      <c r="TT31" s="95"/>
      <c r="TU31" s="95"/>
      <c r="TV31" s="95"/>
      <c r="TW31" s="95"/>
      <c r="TX31" s="95"/>
      <c r="TY31" s="95"/>
      <c r="TZ31" s="95"/>
      <c r="UA31" s="95"/>
      <c r="UB31" s="95"/>
      <c r="UC31" s="95"/>
      <c r="UD31" s="95"/>
      <c r="UE31" s="95"/>
      <c r="UF31" s="95"/>
      <c r="UG31" s="95"/>
      <c r="UH31" s="95"/>
      <c r="UI31" s="95"/>
      <c r="UJ31" s="95"/>
      <c r="UK31" s="95"/>
      <c r="UL31" s="95"/>
      <c r="UM31" s="95"/>
      <c r="UN31" s="95"/>
      <c r="UO31" s="95"/>
      <c r="UP31" s="95"/>
      <c r="UQ31" s="95"/>
      <c r="UR31" s="95"/>
      <c r="US31" s="95"/>
      <c r="UT31" s="95"/>
      <c r="UU31" s="95"/>
      <c r="UV31" s="95"/>
      <c r="UW31" s="95"/>
      <c r="UX31" s="95"/>
      <c r="UY31" s="95"/>
      <c r="UZ31" s="95"/>
      <c r="VA31" s="95"/>
      <c r="VB31" s="95"/>
      <c r="VC31" s="95"/>
      <c r="VD31" s="95"/>
      <c r="VE31" s="95"/>
      <c r="VF31" s="95"/>
      <c r="VG31" s="95"/>
      <c r="VH31" s="95"/>
      <c r="VI31" s="95"/>
      <c r="VJ31" s="95"/>
      <c r="VK31" s="95"/>
      <c r="VL31" s="95"/>
      <c r="VM31" s="95"/>
      <c r="VN31" s="95"/>
      <c r="VO31" s="95"/>
      <c r="VP31" s="95"/>
      <c r="VQ31" s="95"/>
      <c r="VR31" s="95"/>
      <c r="VS31" s="95"/>
      <c r="VT31" s="95"/>
      <c r="VU31" s="95"/>
      <c r="VV31" s="95"/>
      <c r="VW31" s="95"/>
      <c r="VX31" s="95"/>
      <c r="VY31" s="95"/>
      <c r="VZ31" s="95"/>
      <c r="WA31" s="95"/>
      <c r="WB31" s="95"/>
      <c r="WC31" s="95"/>
      <c r="WD31" s="95"/>
      <c r="WE31" s="95"/>
      <c r="WF31" s="95"/>
      <c r="WG31" s="95"/>
      <c r="WH31" s="95"/>
      <c r="WI31" s="95"/>
      <c r="WJ31" s="95"/>
      <c r="WK31" s="95"/>
      <c r="WL31" s="95"/>
      <c r="WM31" s="95"/>
      <c r="WN31" s="95"/>
      <c r="WO31" s="95"/>
      <c r="WP31" s="95"/>
      <c r="WQ31" s="95"/>
      <c r="WR31" s="95"/>
      <c r="WS31" s="95"/>
      <c r="WT31" s="95"/>
      <c r="WU31" s="95"/>
      <c r="WV31" s="95"/>
      <c r="WW31" s="95"/>
      <c r="WX31" s="95"/>
      <c r="WY31" s="95"/>
      <c r="WZ31" s="95"/>
      <c r="XA31" s="95"/>
      <c r="XB31" s="95"/>
      <c r="XC31" s="95"/>
      <c r="XD31" s="95"/>
      <c r="XE31" s="95"/>
      <c r="XF31" s="95"/>
      <c r="XG31" s="95"/>
      <c r="XH31" s="95"/>
      <c r="XI31" s="95"/>
      <c r="XJ31" s="95"/>
      <c r="XK31" s="95"/>
      <c r="XL31" s="95"/>
      <c r="XM31" s="95"/>
      <c r="XN31" s="95"/>
      <c r="XO31" s="95"/>
      <c r="XP31" s="95"/>
      <c r="XQ31" s="95"/>
      <c r="XR31" s="95"/>
      <c r="XS31" s="95"/>
      <c r="XT31" s="95"/>
      <c r="XU31" s="95"/>
      <c r="XV31" s="95"/>
      <c r="XW31" s="95"/>
      <c r="XX31" s="95"/>
      <c r="XY31" s="95"/>
      <c r="XZ31" s="95"/>
      <c r="YA31" s="95"/>
      <c r="YB31" s="95"/>
      <c r="YC31" s="95"/>
      <c r="YD31" s="95"/>
      <c r="YE31" s="95"/>
      <c r="YF31" s="95"/>
      <c r="YG31" s="95"/>
      <c r="YH31" s="95"/>
      <c r="YI31" s="95"/>
      <c r="YJ31" s="95"/>
      <c r="YK31" s="95"/>
      <c r="YL31" s="95"/>
      <c r="YM31" s="95"/>
      <c r="YN31" s="95"/>
      <c r="YO31" s="95"/>
      <c r="YP31" s="95"/>
      <c r="YQ31" s="95"/>
      <c r="YR31" s="95"/>
      <c r="YS31" s="95"/>
      <c r="YT31" s="95"/>
      <c r="YU31" s="95"/>
      <c r="YV31" s="95"/>
      <c r="YW31" s="95"/>
      <c r="YX31" s="95"/>
      <c r="YY31" s="95"/>
      <c r="YZ31" s="95"/>
      <c r="ZA31" s="95"/>
      <c r="ZB31" s="95"/>
      <c r="ZC31" s="95"/>
      <c r="ZD31" s="95"/>
      <c r="ZE31" s="95"/>
      <c r="ZF31" s="95"/>
      <c r="ZG31" s="95"/>
      <c r="ZH31" s="95"/>
      <c r="ZI31" s="95"/>
      <c r="ZJ31" s="95"/>
      <c r="ZK31" s="95"/>
      <c r="ZL31" s="95"/>
      <c r="ZM31" s="95"/>
      <c r="ZN31" s="95"/>
      <c r="ZO31" s="95"/>
      <c r="ZP31" s="95"/>
      <c r="ZQ31" s="95"/>
      <c r="ZR31" s="95"/>
      <c r="ZS31" s="95"/>
      <c r="ZT31" s="95"/>
      <c r="ZU31" s="95"/>
      <c r="ZV31" s="95"/>
      <c r="ZW31" s="95"/>
      <c r="ZX31" s="95"/>
      <c r="ZY31" s="95"/>
      <c r="ZZ31" s="95"/>
      <c r="AAA31" s="95"/>
      <c r="AAB31" s="95"/>
      <c r="AAC31" s="95"/>
      <c r="AAD31" s="95"/>
      <c r="AAE31" s="95"/>
      <c r="AAF31" s="95"/>
      <c r="AAG31" s="95"/>
      <c r="AAH31" s="95"/>
      <c r="AAI31" s="95"/>
      <c r="AAJ31" s="95"/>
      <c r="AAK31" s="95"/>
      <c r="AAL31" s="95"/>
      <c r="AAM31" s="95"/>
      <c r="AAN31" s="95"/>
      <c r="AAO31" s="95"/>
      <c r="AAP31" s="95"/>
      <c r="AAQ31" s="95"/>
      <c r="AAR31" s="95"/>
      <c r="AAS31" s="95"/>
      <c r="AAT31" s="95"/>
      <c r="AAU31" s="95"/>
      <c r="AAV31" s="95"/>
      <c r="AAW31" s="95"/>
      <c r="AAX31" s="95"/>
      <c r="AAY31" s="95"/>
      <c r="AAZ31" s="95"/>
      <c r="ABA31" s="95"/>
      <c r="ABB31" s="95"/>
      <c r="ABC31" s="95"/>
      <c r="ABD31" s="95"/>
      <c r="ABE31" s="95"/>
      <c r="ABF31" s="95"/>
      <c r="ABG31" s="95"/>
      <c r="ABH31" s="95"/>
      <c r="ABI31" s="95"/>
      <c r="ABJ31" s="95"/>
      <c r="ABK31" s="95"/>
      <c r="ABL31" s="95"/>
      <c r="ABM31" s="95"/>
      <c r="ABN31" s="95"/>
      <c r="ABO31" s="95"/>
      <c r="ABP31" s="95"/>
      <c r="ABQ31" s="95"/>
      <c r="ABR31" s="95"/>
      <c r="ABS31" s="95"/>
      <c r="ABT31" s="95"/>
      <c r="ABU31" s="95"/>
      <c r="ABV31" s="95"/>
      <c r="ABW31" s="95"/>
      <c r="ABX31" s="95"/>
      <c r="ABY31" s="95"/>
      <c r="ABZ31" s="95"/>
      <c r="ACA31" s="95"/>
      <c r="ACB31" s="95"/>
      <c r="ACC31" s="95"/>
      <c r="ACD31" s="95"/>
      <c r="ACE31" s="95"/>
      <c r="ACF31" s="95"/>
      <c r="ACG31" s="95"/>
      <c r="ACH31" s="95"/>
      <c r="ACI31" s="95"/>
      <c r="ACJ31" s="95"/>
      <c r="ACK31" s="95"/>
      <c r="ACL31" s="95"/>
      <c r="ACM31" s="95"/>
      <c r="ACN31" s="95"/>
      <c r="ACO31" s="95"/>
      <c r="ACP31" s="95"/>
      <c r="ACQ31" s="95"/>
      <c r="ACR31" s="95"/>
      <c r="ACS31" s="95"/>
      <c r="ACT31" s="95"/>
      <c r="ACU31" s="95"/>
      <c r="ACV31" s="95"/>
      <c r="ACW31" s="95"/>
      <c r="ACX31" s="95"/>
      <c r="ACY31" s="95"/>
      <c r="ACZ31" s="95"/>
      <c r="ADA31" s="95"/>
      <c r="ADB31" s="95"/>
      <c r="ADC31" s="95"/>
      <c r="ADD31" s="95"/>
      <c r="ADE31" s="95"/>
      <c r="ADF31" s="95"/>
      <c r="ADG31" s="95"/>
      <c r="ADH31" s="95"/>
      <c r="ADI31" s="95"/>
      <c r="ADJ31" s="95"/>
      <c r="ADK31" s="95"/>
      <c r="ADL31" s="95"/>
      <c r="ADM31" s="95"/>
      <c r="ADN31" s="95"/>
      <c r="ADO31" s="95"/>
      <c r="ADP31" s="95"/>
      <c r="ADQ31" s="95"/>
      <c r="ADR31" s="95"/>
      <c r="ADS31" s="95"/>
      <c r="ADT31" s="95"/>
      <c r="ADU31" s="95"/>
      <c r="ADV31" s="95"/>
      <c r="ADW31" s="95"/>
      <c r="ADX31" s="95"/>
      <c r="ADY31" s="95"/>
      <c r="ADZ31" s="95"/>
      <c r="AEA31" s="95"/>
      <c r="AEB31" s="95"/>
      <c r="AEC31" s="95"/>
      <c r="AED31" s="95"/>
      <c r="AEE31" s="95"/>
      <c r="AEF31" s="95"/>
      <c r="AEG31" s="95"/>
      <c r="AEH31" s="95"/>
      <c r="AEI31" s="95"/>
      <c r="AEJ31" s="95"/>
      <c r="AEK31" s="95"/>
      <c r="AEL31" s="95"/>
      <c r="AEM31" s="95"/>
      <c r="AEN31" s="95"/>
      <c r="AEO31" s="95"/>
      <c r="AEP31" s="95"/>
      <c r="AEQ31" s="95"/>
      <c r="AER31" s="95"/>
      <c r="AES31" s="95"/>
      <c r="AET31" s="95"/>
      <c r="AEU31" s="95"/>
      <c r="AEV31" s="95"/>
      <c r="AEW31" s="95"/>
      <c r="AEX31" s="95"/>
      <c r="AEY31" s="95"/>
      <c r="AEZ31" s="95"/>
      <c r="AFA31" s="95"/>
      <c r="AFB31" s="95"/>
      <c r="AFC31" s="95"/>
      <c r="AFD31" s="95"/>
      <c r="AFE31" s="95"/>
      <c r="AFF31" s="95"/>
      <c r="AFG31" s="95"/>
      <c r="AFH31" s="95"/>
      <c r="AFI31" s="95"/>
      <c r="AFJ31" s="95"/>
      <c r="AFK31" s="95"/>
      <c r="AFL31" s="95"/>
      <c r="AFM31" s="95"/>
      <c r="AFN31" s="95"/>
      <c r="AFO31" s="95"/>
      <c r="AFP31" s="95"/>
      <c r="AFQ31" s="95"/>
      <c r="AFR31" s="95"/>
      <c r="AFS31" s="95"/>
      <c r="AFT31" s="95"/>
      <c r="AFU31" s="95"/>
      <c r="AFV31" s="95"/>
      <c r="AFW31" s="95"/>
      <c r="AFX31" s="95"/>
      <c r="AFY31" s="95"/>
      <c r="AFZ31" s="95"/>
      <c r="AGA31" s="95"/>
      <c r="AGB31" s="95"/>
      <c r="AGC31" s="95"/>
      <c r="AGD31" s="95"/>
      <c r="AGE31" s="95"/>
      <c r="AGF31" s="95"/>
      <c r="AGG31" s="95"/>
      <c r="AGH31" s="95"/>
      <c r="AGI31" s="95"/>
      <c r="AGJ31" s="95"/>
      <c r="AGK31" s="95"/>
      <c r="AGL31" s="95"/>
      <c r="AGM31" s="95"/>
      <c r="AGN31" s="95"/>
      <c r="AGO31" s="95"/>
      <c r="AGP31" s="95"/>
      <c r="AGQ31" s="95"/>
      <c r="AGR31" s="95"/>
      <c r="AGS31" s="95"/>
      <c r="AGT31" s="95"/>
      <c r="AGU31" s="95"/>
      <c r="AGV31" s="95"/>
      <c r="AGW31" s="95"/>
      <c r="AGX31" s="95"/>
      <c r="AGY31" s="95"/>
      <c r="AGZ31" s="95"/>
      <c r="AHA31" s="95"/>
      <c r="AHB31" s="95"/>
      <c r="AHC31" s="95"/>
      <c r="AHD31" s="95"/>
      <c r="AHE31" s="95"/>
      <c r="AHF31" s="95"/>
      <c r="AHG31" s="95"/>
      <c r="AHH31" s="95"/>
      <c r="AHI31" s="95"/>
      <c r="AHJ31" s="95"/>
      <c r="AHK31" s="95"/>
      <c r="AHL31" s="95"/>
      <c r="AHM31" s="95"/>
      <c r="AHN31" s="95"/>
      <c r="AHO31" s="95"/>
      <c r="AHP31" s="95"/>
      <c r="AHQ31" s="95"/>
      <c r="AHR31" s="95"/>
      <c r="AHS31" s="95"/>
      <c r="AHT31" s="95"/>
      <c r="AHU31" s="95"/>
      <c r="AHV31" s="95"/>
      <c r="AHW31" s="95"/>
      <c r="AHX31" s="95"/>
      <c r="AHY31" s="95"/>
      <c r="AHZ31" s="95"/>
      <c r="AIA31" s="95"/>
      <c r="AIB31" s="95"/>
      <c r="AIC31" s="95"/>
      <c r="AID31" s="95"/>
      <c r="AIE31" s="95"/>
      <c r="AIF31" s="95"/>
      <c r="AIG31" s="95"/>
      <c r="AIH31" s="95"/>
      <c r="AII31" s="95"/>
      <c r="AIJ31" s="95"/>
      <c r="AIK31" s="95"/>
      <c r="AIL31" s="95"/>
      <c r="AIM31" s="95"/>
      <c r="AIN31" s="95"/>
      <c r="AIO31" s="95"/>
      <c r="AIP31" s="95"/>
      <c r="AIQ31" s="95"/>
      <c r="AIR31" s="95"/>
      <c r="AIS31" s="95"/>
      <c r="AIT31" s="95"/>
      <c r="AIU31" s="95"/>
      <c r="AIV31" s="95"/>
      <c r="AIW31" s="95"/>
      <c r="AIX31" s="95"/>
      <c r="AIY31" s="95"/>
      <c r="AIZ31" s="95"/>
      <c r="AJA31" s="95"/>
      <c r="AJB31" s="95"/>
      <c r="AJC31" s="95"/>
      <c r="AJD31" s="95"/>
      <c r="AJE31" s="95"/>
      <c r="AJF31" s="95"/>
      <c r="AJG31" s="95"/>
      <c r="AJH31" s="95"/>
      <c r="AJI31" s="95"/>
      <c r="AJJ31" s="95"/>
      <c r="AJK31" s="95"/>
      <c r="AJL31" s="95"/>
      <c r="AJM31" s="95"/>
      <c r="AJN31" s="95"/>
      <c r="AJO31" s="95"/>
      <c r="AJP31" s="95"/>
      <c r="AJQ31" s="95"/>
      <c r="AJR31" s="95"/>
      <c r="AJS31" s="95"/>
      <c r="AJT31" s="95"/>
      <c r="AJU31" s="95"/>
      <c r="AJV31" s="95"/>
      <c r="AJW31" s="95"/>
      <c r="AJX31" s="95"/>
      <c r="AJY31" s="95"/>
      <c r="AJZ31" s="95"/>
      <c r="AKA31" s="95"/>
      <c r="AKB31" s="95"/>
      <c r="AKC31" s="95"/>
      <c r="AKD31" s="95"/>
      <c r="AKE31" s="95"/>
      <c r="AKF31" s="95"/>
      <c r="AKG31" s="95"/>
      <c r="AKH31" s="95"/>
      <c r="AKI31" s="95"/>
      <c r="AKJ31" s="95"/>
      <c r="AKK31" s="95"/>
      <c r="AKL31" s="95"/>
      <c r="AKM31" s="95"/>
      <c r="AKN31" s="95"/>
      <c r="AKO31" s="95"/>
      <c r="AKP31" s="95"/>
      <c r="AKQ31" s="95"/>
      <c r="AKR31" s="95"/>
      <c r="AKS31" s="95"/>
      <c r="AKT31" s="95"/>
      <c r="AKU31" s="95"/>
      <c r="AKV31" s="95"/>
      <c r="AKW31" s="95"/>
      <c r="AKX31" s="95"/>
      <c r="AKY31" s="95"/>
      <c r="AKZ31" s="95"/>
      <c r="ALA31" s="95"/>
      <c r="ALB31" s="95"/>
      <c r="ALC31" s="95"/>
      <c r="ALD31" s="95"/>
      <c r="ALE31" s="95"/>
      <c r="ALF31" s="95"/>
      <c r="ALG31" s="95"/>
      <c r="ALH31" s="95"/>
      <c r="ALI31" s="95"/>
      <c r="ALJ31" s="95"/>
      <c r="ALK31" s="95"/>
      <c r="ALL31" s="95"/>
      <c r="ALM31" s="95"/>
      <c r="ALN31" s="95"/>
      <c r="ALO31" s="95"/>
      <c r="ALP31" s="95"/>
      <c r="ALQ31" s="95"/>
      <c r="ALR31" s="95"/>
      <c r="ALS31" s="95"/>
      <c r="ALT31" s="95"/>
      <c r="ALU31" s="95"/>
      <c r="ALV31" s="95"/>
      <c r="ALW31" s="95"/>
      <c r="ALX31" s="95"/>
      <c r="ALY31" s="95"/>
      <c r="ALZ31" s="95"/>
      <c r="AMA31" s="95"/>
      <c r="AMB31" s="95"/>
      <c r="AMC31" s="95"/>
      <c r="AMD31" s="95"/>
      <c r="AME31" s="95"/>
      <c r="AMF31" s="95"/>
      <c r="AMG31" s="95"/>
      <c r="AMH31" s="95"/>
      <c r="AMI31" s="95"/>
      <c r="AMJ31" s="95"/>
      <c r="AMK31" s="95"/>
      <c r="AML31" s="95"/>
      <c r="AMM31" s="95"/>
      <c r="AMN31" s="95"/>
      <c r="AMO31" s="95"/>
      <c r="AMP31" s="95"/>
      <c r="AMQ31" s="95"/>
      <c r="AMR31" s="95"/>
      <c r="AMS31" s="95"/>
      <c r="AMT31" s="95"/>
      <c r="AMU31" s="95"/>
      <c r="AMV31" s="95"/>
      <c r="AMW31" s="95"/>
      <c r="AMX31" s="95"/>
      <c r="AMY31" s="95"/>
      <c r="AMZ31" s="95"/>
      <c r="ANA31" s="95"/>
      <c r="ANB31" s="95"/>
      <c r="ANC31" s="95"/>
      <c r="AND31" s="95"/>
      <c r="ANE31" s="95"/>
      <c r="ANF31" s="95"/>
      <c r="ANG31" s="95"/>
      <c r="ANH31" s="95"/>
      <c r="ANI31" s="95"/>
      <c r="ANJ31" s="95"/>
      <c r="ANK31" s="95"/>
      <c r="ANL31" s="95"/>
      <c r="ANM31" s="95"/>
      <c r="ANN31" s="95"/>
      <c r="ANO31" s="95"/>
      <c r="ANP31" s="95"/>
      <c r="ANQ31" s="95"/>
      <c r="ANR31" s="95"/>
      <c r="ANS31" s="95"/>
      <c r="ANT31" s="95"/>
      <c r="ANU31" s="95"/>
      <c r="ANV31" s="95"/>
      <c r="ANW31" s="95"/>
      <c r="ANX31" s="95"/>
      <c r="ANY31" s="95"/>
      <c r="ANZ31" s="95"/>
      <c r="AOA31" s="95"/>
      <c r="AOB31" s="95"/>
      <c r="AOC31" s="95"/>
      <c r="AOD31" s="95"/>
      <c r="AOE31" s="95"/>
      <c r="AOF31" s="95"/>
      <c r="AOG31" s="95"/>
      <c r="AOH31" s="95"/>
      <c r="AOI31" s="95"/>
      <c r="AOJ31" s="95"/>
      <c r="AOK31" s="95"/>
      <c r="AOL31" s="95"/>
      <c r="AOM31" s="95"/>
      <c r="AON31" s="95"/>
      <c r="AOO31" s="95"/>
      <c r="AOP31" s="95"/>
      <c r="AOQ31" s="95"/>
      <c r="AOR31" s="95"/>
      <c r="AOS31" s="95"/>
      <c r="AOT31" s="95"/>
      <c r="AOU31" s="95"/>
      <c r="AOV31" s="95"/>
      <c r="AOW31" s="95"/>
      <c r="AOX31" s="95"/>
      <c r="AOY31" s="95"/>
      <c r="AOZ31" s="95"/>
      <c r="APA31" s="95"/>
      <c r="APB31" s="95"/>
      <c r="APC31" s="95"/>
      <c r="APD31" s="95"/>
      <c r="APE31" s="95"/>
      <c r="APF31" s="95"/>
      <c r="APG31" s="95"/>
      <c r="APH31" s="95"/>
      <c r="API31" s="95"/>
      <c r="APJ31" s="95"/>
      <c r="APK31" s="95"/>
      <c r="APL31" s="95"/>
      <c r="APM31" s="95"/>
      <c r="APN31" s="95"/>
      <c r="APO31" s="95"/>
      <c r="APP31" s="95"/>
      <c r="APQ31" s="95"/>
      <c r="APR31" s="95"/>
      <c r="APS31" s="95"/>
      <c r="APT31" s="95"/>
      <c r="APU31" s="95"/>
      <c r="APV31" s="95"/>
      <c r="APW31" s="95"/>
      <c r="APX31" s="95"/>
      <c r="APY31" s="95"/>
      <c r="APZ31" s="95"/>
      <c r="AQA31" s="95"/>
      <c r="AQB31" s="95"/>
      <c r="AQC31" s="95"/>
      <c r="AQD31" s="95"/>
      <c r="AQE31" s="95"/>
      <c r="AQF31" s="95"/>
      <c r="AQG31" s="95"/>
      <c r="AQH31" s="95"/>
      <c r="AQI31" s="95"/>
      <c r="AQJ31" s="95"/>
      <c r="AQK31" s="95"/>
      <c r="AQL31" s="95"/>
      <c r="AQM31" s="95"/>
      <c r="AQN31" s="95"/>
      <c r="AQO31" s="95"/>
      <c r="AQP31" s="95"/>
      <c r="AQQ31" s="95"/>
      <c r="AQR31" s="95"/>
      <c r="AQS31" s="95"/>
      <c r="AQT31" s="95"/>
      <c r="AQU31" s="95"/>
      <c r="AQV31" s="95"/>
      <c r="AQW31" s="95"/>
      <c r="AQX31" s="95"/>
      <c r="AQY31" s="95"/>
      <c r="AQZ31" s="95"/>
      <c r="ARA31" s="95"/>
      <c r="ARB31" s="95"/>
      <c r="ARC31" s="95"/>
      <c r="ARD31" s="95"/>
      <c r="ARE31" s="95"/>
      <c r="ARF31" s="95"/>
      <c r="ARG31" s="95"/>
      <c r="ARH31" s="95"/>
      <c r="ARI31" s="95"/>
      <c r="ARJ31" s="95"/>
      <c r="ARK31" s="95"/>
      <c r="ARL31" s="95"/>
      <c r="ARM31" s="95"/>
      <c r="ARN31" s="95"/>
      <c r="ARO31" s="95"/>
      <c r="ARP31" s="95"/>
      <c r="ARQ31" s="95"/>
      <c r="ARR31" s="95"/>
      <c r="ARS31" s="95"/>
      <c r="ART31" s="95"/>
      <c r="ARU31" s="95"/>
      <c r="ARV31" s="95"/>
      <c r="ARW31" s="95"/>
      <c r="ARX31" s="95"/>
      <c r="ARY31" s="95"/>
      <c r="ARZ31" s="95"/>
      <c r="ASA31" s="95"/>
      <c r="ASB31" s="95"/>
      <c r="ASC31" s="95"/>
      <c r="ASD31" s="95"/>
      <c r="ASE31" s="95"/>
      <c r="ASF31" s="95"/>
      <c r="ASG31" s="95"/>
      <c r="ASH31" s="95"/>
      <c r="ASI31" s="95"/>
      <c r="ASJ31" s="95"/>
      <c r="ASK31" s="95"/>
      <c r="ASL31" s="95"/>
      <c r="ASM31" s="95"/>
      <c r="ASN31" s="95"/>
      <c r="ASO31" s="95"/>
      <c r="ASP31" s="95"/>
      <c r="ASQ31" s="95"/>
      <c r="ASR31" s="95"/>
      <c r="ASS31" s="95"/>
      <c r="AST31" s="95"/>
      <c r="ASU31" s="95"/>
      <c r="ASV31" s="95"/>
      <c r="ASW31" s="95"/>
      <c r="ASX31" s="95"/>
      <c r="ASY31" s="95"/>
      <c r="ASZ31" s="95"/>
      <c r="ATA31" s="95"/>
      <c r="ATB31" s="95"/>
      <c r="ATC31" s="95"/>
      <c r="ATD31" s="95"/>
      <c r="ATE31" s="95"/>
      <c r="ATF31" s="95"/>
      <c r="ATG31" s="95"/>
      <c r="ATH31" s="95"/>
      <c r="ATI31" s="95"/>
      <c r="ATJ31" s="95"/>
      <c r="ATK31" s="95"/>
      <c r="ATL31" s="95"/>
      <c r="ATM31" s="95"/>
      <c r="ATN31" s="95"/>
      <c r="ATO31" s="95"/>
      <c r="ATP31" s="95"/>
      <c r="ATQ31" s="95"/>
      <c r="ATR31" s="95"/>
      <c r="ATS31" s="95"/>
      <c r="ATT31" s="95"/>
      <c r="ATU31" s="95"/>
      <c r="ATV31" s="95"/>
      <c r="ATW31" s="95"/>
      <c r="ATX31" s="95"/>
      <c r="ATY31" s="95"/>
      <c r="ATZ31" s="95"/>
      <c r="AUA31" s="95"/>
      <c r="AUB31" s="95"/>
      <c r="AUC31" s="95"/>
      <c r="AUD31" s="95"/>
      <c r="AUE31" s="95"/>
      <c r="AUF31" s="95"/>
      <c r="AUG31" s="95"/>
      <c r="AUH31" s="95"/>
      <c r="AUI31" s="95"/>
      <c r="AUJ31" s="95"/>
      <c r="AUK31" s="95"/>
      <c r="AUL31" s="95"/>
      <c r="AUM31" s="95"/>
      <c r="AUN31" s="95"/>
      <c r="AUO31" s="95"/>
      <c r="AUP31" s="95"/>
      <c r="AUQ31" s="95"/>
      <c r="AUR31" s="95"/>
      <c r="AUS31" s="95"/>
      <c r="AUT31" s="95"/>
      <c r="AUU31" s="95"/>
      <c r="AUV31" s="95"/>
      <c r="AUW31" s="95"/>
      <c r="AUX31" s="95"/>
      <c r="AUY31" s="95"/>
      <c r="AUZ31" s="95"/>
      <c r="AVA31" s="95"/>
      <c r="AVB31" s="95"/>
      <c r="AVC31" s="95"/>
      <c r="AVD31" s="95"/>
      <c r="AVE31" s="95"/>
      <c r="AVF31" s="95"/>
      <c r="AVG31" s="95"/>
      <c r="AVH31" s="95"/>
      <c r="AVI31" s="95"/>
      <c r="AVJ31" s="95"/>
      <c r="AVK31" s="95"/>
      <c r="AVL31" s="95"/>
      <c r="AVM31" s="95"/>
      <c r="AVN31" s="95"/>
      <c r="AVO31" s="95"/>
      <c r="AVP31" s="95"/>
      <c r="AVQ31" s="95"/>
      <c r="AVR31" s="95"/>
      <c r="AVS31" s="95"/>
      <c r="AVT31" s="95"/>
      <c r="AVU31" s="95"/>
      <c r="AVV31" s="95"/>
      <c r="AVW31" s="95"/>
      <c r="AVX31" s="95"/>
      <c r="AVY31" s="95"/>
      <c r="AVZ31" s="95"/>
      <c r="AWA31" s="95"/>
      <c r="AWB31" s="95"/>
      <c r="AWC31" s="95"/>
      <c r="AWD31" s="95"/>
      <c r="AWE31" s="95"/>
      <c r="AWF31" s="95"/>
      <c r="AWG31" s="95"/>
      <c r="AWH31" s="95"/>
      <c r="AWI31" s="95"/>
      <c r="AWJ31" s="95"/>
      <c r="AWK31" s="95"/>
      <c r="AWL31" s="95"/>
      <c r="AWM31" s="95"/>
      <c r="AWN31" s="95"/>
      <c r="AWO31" s="95"/>
      <c r="AWP31" s="95"/>
      <c r="AWQ31" s="95"/>
      <c r="AWR31" s="95"/>
      <c r="AWS31" s="95"/>
      <c r="AWT31" s="95"/>
      <c r="AWU31" s="95"/>
      <c r="AWV31" s="95"/>
      <c r="AWW31" s="95"/>
      <c r="AWX31" s="95"/>
      <c r="AWY31" s="95"/>
      <c r="AWZ31" s="95"/>
      <c r="AXA31" s="95"/>
      <c r="AXB31" s="95"/>
      <c r="AXC31" s="95"/>
      <c r="AXD31" s="95"/>
      <c r="AXE31" s="95"/>
      <c r="AXF31" s="95"/>
      <c r="AXG31" s="95"/>
      <c r="AXH31" s="95"/>
      <c r="AXI31" s="95"/>
      <c r="AXJ31" s="95"/>
      <c r="AXK31" s="95"/>
      <c r="AXL31" s="95"/>
      <c r="AXM31" s="95"/>
      <c r="AXN31" s="95"/>
      <c r="AXO31" s="95"/>
      <c r="AXP31" s="95"/>
      <c r="AXQ31" s="95"/>
      <c r="AXR31" s="95"/>
      <c r="AXS31" s="95"/>
      <c r="AXT31" s="95"/>
      <c r="AXU31" s="95"/>
      <c r="AXV31" s="95"/>
      <c r="AXW31" s="95"/>
      <c r="AXX31" s="95"/>
      <c r="AXY31" s="95"/>
      <c r="AXZ31" s="95"/>
      <c r="AYA31" s="95"/>
      <c r="AYB31" s="95"/>
      <c r="AYC31" s="95"/>
      <c r="AYD31" s="95"/>
      <c r="AYE31" s="95"/>
      <c r="AYF31" s="95"/>
      <c r="AYG31" s="95"/>
      <c r="AYH31" s="95"/>
      <c r="AYI31" s="95"/>
      <c r="AYJ31" s="95"/>
      <c r="AYK31" s="95"/>
      <c r="AYL31" s="95"/>
      <c r="AYM31" s="95"/>
      <c r="AYN31" s="95"/>
      <c r="AYO31" s="95"/>
      <c r="AYP31" s="95"/>
      <c r="AYQ31" s="95"/>
      <c r="AYR31" s="95"/>
      <c r="AYS31" s="95"/>
      <c r="AYT31" s="95"/>
      <c r="AYU31" s="95"/>
      <c r="AYV31" s="95"/>
      <c r="AYW31" s="95"/>
      <c r="AYX31" s="95"/>
      <c r="AYY31" s="95"/>
      <c r="AYZ31" s="95"/>
      <c r="AZA31" s="95"/>
      <c r="AZB31" s="95"/>
      <c r="AZC31" s="95"/>
      <c r="AZD31" s="95"/>
      <c r="AZE31" s="95"/>
      <c r="AZF31" s="95"/>
      <c r="AZG31" s="95"/>
      <c r="AZH31" s="95"/>
      <c r="AZI31" s="95"/>
      <c r="AZJ31" s="95"/>
      <c r="AZK31" s="95"/>
      <c r="AZL31" s="95"/>
      <c r="AZM31" s="95"/>
      <c r="AZN31" s="95"/>
      <c r="AZO31" s="95"/>
      <c r="AZP31" s="95"/>
      <c r="AZQ31" s="95"/>
      <c r="AZR31" s="95"/>
      <c r="AZS31" s="95"/>
      <c r="AZT31" s="95"/>
      <c r="AZU31" s="95"/>
      <c r="AZV31" s="95"/>
      <c r="AZW31" s="95"/>
      <c r="AZX31" s="95"/>
      <c r="AZY31" s="95"/>
      <c r="AZZ31" s="95"/>
      <c r="BAA31" s="95"/>
      <c r="BAB31" s="95"/>
      <c r="BAC31" s="95"/>
      <c r="BAD31" s="95"/>
      <c r="BAE31" s="95"/>
      <c r="BAF31" s="95"/>
      <c r="BAG31" s="95"/>
      <c r="BAH31" s="95"/>
      <c r="BAI31" s="95"/>
      <c r="BAJ31" s="95"/>
      <c r="BAK31" s="95"/>
      <c r="BAL31" s="95"/>
      <c r="BAM31" s="95"/>
      <c r="BAN31" s="95"/>
      <c r="BAO31" s="95"/>
      <c r="BAP31" s="95"/>
      <c r="BAQ31" s="95"/>
      <c r="BAR31" s="95"/>
      <c r="BAS31" s="95"/>
      <c r="BAT31" s="95"/>
      <c r="BAU31" s="95"/>
      <c r="BAV31" s="95"/>
      <c r="BAW31" s="95"/>
      <c r="BAX31" s="95"/>
      <c r="BAY31" s="95"/>
      <c r="BAZ31" s="95"/>
      <c r="BBA31" s="95"/>
      <c r="BBB31" s="95"/>
      <c r="BBC31" s="95"/>
      <c r="BBD31" s="95"/>
      <c r="BBE31" s="95"/>
      <c r="BBF31" s="95"/>
      <c r="BBG31" s="95"/>
      <c r="BBH31" s="95"/>
      <c r="BBI31" s="95"/>
      <c r="BBJ31" s="95"/>
      <c r="BBK31" s="95"/>
      <c r="BBL31" s="95"/>
      <c r="BBM31" s="95"/>
      <c r="BBN31" s="95"/>
      <c r="BBO31" s="95"/>
      <c r="BBP31" s="95"/>
      <c r="BBQ31" s="95"/>
      <c r="BBR31" s="95"/>
      <c r="BBS31" s="95"/>
      <c r="BBT31" s="95"/>
      <c r="BBU31" s="95"/>
      <c r="BBV31" s="95"/>
      <c r="BBW31" s="95"/>
      <c r="BBX31" s="95"/>
      <c r="BBY31" s="95"/>
      <c r="BBZ31" s="95"/>
      <c r="BCA31" s="95"/>
      <c r="BCB31" s="95"/>
      <c r="BCC31" s="95"/>
      <c r="BCD31" s="95"/>
      <c r="BCE31" s="95"/>
      <c r="BCF31" s="95"/>
      <c r="BCG31" s="95"/>
      <c r="BCH31" s="95"/>
      <c r="BCI31" s="95"/>
      <c r="BCJ31" s="95"/>
      <c r="BCK31" s="95"/>
      <c r="BCL31" s="95"/>
      <c r="BCM31" s="95"/>
      <c r="BCN31" s="95"/>
      <c r="BCO31" s="95"/>
      <c r="BCP31" s="95"/>
      <c r="BCQ31" s="95"/>
      <c r="BCR31" s="95"/>
      <c r="BCS31" s="95"/>
      <c r="BCT31" s="95"/>
      <c r="BCU31" s="95"/>
      <c r="BCV31" s="95"/>
      <c r="BCW31" s="95"/>
      <c r="BCX31" s="95"/>
      <c r="BCY31" s="95"/>
      <c r="BCZ31" s="95"/>
      <c r="BDA31" s="95"/>
      <c r="BDB31" s="95"/>
      <c r="BDC31" s="95"/>
      <c r="BDD31" s="95"/>
      <c r="BDE31" s="95"/>
      <c r="BDF31" s="95"/>
      <c r="BDG31" s="95"/>
      <c r="BDH31" s="95"/>
      <c r="BDI31" s="95"/>
      <c r="BDJ31" s="95"/>
      <c r="BDK31" s="95"/>
      <c r="BDL31" s="95"/>
      <c r="BDM31" s="95"/>
      <c r="BDN31" s="95"/>
      <c r="BDO31" s="95"/>
      <c r="BDP31" s="95"/>
      <c r="BDQ31" s="95"/>
      <c r="BDR31" s="95"/>
      <c r="BDS31" s="95"/>
      <c r="BDT31" s="95"/>
      <c r="BDU31" s="95"/>
      <c r="BDV31" s="95"/>
      <c r="BDW31" s="95"/>
      <c r="BDX31" s="95"/>
      <c r="BDY31" s="95"/>
      <c r="BDZ31" s="95"/>
      <c r="BEA31" s="95"/>
      <c r="BEB31" s="95"/>
      <c r="BEC31" s="95"/>
      <c r="BED31" s="95"/>
      <c r="BEE31" s="95"/>
      <c r="BEF31" s="95"/>
      <c r="BEG31" s="95"/>
      <c r="BEH31" s="95"/>
      <c r="BEI31" s="95"/>
      <c r="BEJ31" s="95"/>
      <c r="BEK31" s="95"/>
      <c r="BEL31" s="95"/>
      <c r="BEM31" s="95"/>
      <c r="BEN31" s="95"/>
      <c r="BEO31" s="95"/>
      <c r="BEP31" s="95"/>
      <c r="BEQ31" s="95"/>
      <c r="BER31" s="95"/>
      <c r="BES31" s="95"/>
      <c r="BET31" s="95"/>
      <c r="BEU31" s="95"/>
      <c r="BEV31" s="95"/>
      <c r="BEW31" s="95"/>
      <c r="BEX31" s="95"/>
      <c r="BEY31" s="95"/>
      <c r="BEZ31" s="95"/>
      <c r="BFA31" s="95"/>
      <c r="BFB31" s="95"/>
      <c r="BFC31" s="95"/>
      <c r="BFD31" s="95"/>
      <c r="BFE31" s="95"/>
      <c r="BFF31" s="95"/>
      <c r="BFG31" s="95"/>
      <c r="BFH31" s="95"/>
      <c r="BFI31" s="95"/>
      <c r="BFJ31" s="95"/>
      <c r="BFK31" s="95"/>
      <c r="BFL31" s="95"/>
      <c r="BFM31" s="95"/>
      <c r="BFN31" s="95"/>
      <c r="BFO31" s="95"/>
      <c r="BFP31" s="95"/>
      <c r="BFQ31" s="95"/>
      <c r="BFR31" s="95"/>
      <c r="BFS31" s="95"/>
      <c r="BFT31" s="95"/>
      <c r="BFU31" s="95"/>
      <c r="BFV31" s="95"/>
      <c r="BFW31" s="95"/>
      <c r="BFX31" s="95"/>
      <c r="BFY31" s="95"/>
      <c r="BFZ31" s="95"/>
      <c r="BGA31" s="95"/>
      <c r="BGB31" s="95"/>
      <c r="BGC31" s="95"/>
      <c r="BGD31" s="95"/>
      <c r="BGE31" s="95"/>
      <c r="BGF31" s="95"/>
      <c r="BGG31" s="95"/>
      <c r="BGH31" s="95"/>
      <c r="BGI31" s="95"/>
      <c r="BGJ31" s="95"/>
      <c r="BGK31" s="95"/>
      <c r="BGL31" s="95"/>
      <c r="BGM31" s="95"/>
      <c r="BGN31" s="95"/>
      <c r="BGO31" s="95"/>
      <c r="BGP31" s="95"/>
      <c r="BGQ31" s="95"/>
      <c r="BGR31" s="95"/>
      <c r="BGS31" s="95"/>
      <c r="BGT31" s="95"/>
      <c r="BGU31" s="95"/>
      <c r="BGV31" s="95"/>
      <c r="BGW31" s="95"/>
      <c r="BGX31" s="95"/>
      <c r="BGY31" s="95"/>
      <c r="BGZ31" s="95"/>
      <c r="BHA31" s="95"/>
      <c r="BHB31" s="95"/>
      <c r="BHC31" s="95"/>
      <c r="BHD31" s="95"/>
      <c r="BHE31" s="95"/>
      <c r="BHF31" s="95"/>
      <c r="BHG31" s="95"/>
      <c r="BHH31" s="95"/>
      <c r="BHI31" s="95"/>
      <c r="BHJ31" s="95"/>
      <c r="BHK31" s="95"/>
      <c r="BHL31" s="95"/>
      <c r="BHM31" s="95"/>
      <c r="BHN31" s="95"/>
      <c r="BHO31" s="95"/>
      <c r="BHP31" s="95"/>
      <c r="BHQ31" s="95"/>
      <c r="BHR31" s="95"/>
      <c r="BHS31" s="95"/>
      <c r="BHT31" s="95"/>
      <c r="BHU31" s="95"/>
      <c r="BHV31" s="95"/>
      <c r="BHW31" s="95"/>
      <c r="BHX31" s="95"/>
      <c r="BHY31" s="95"/>
      <c r="BHZ31" s="95"/>
      <c r="BIA31" s="95"/>
      <c r="BIB31" s="95"/>
      <c r="BIC31" s="95"/>
      <c r="BID31" s="95"/>
      <c r="BIE31" s="95"/>
      <c r="BIF31" s="95"/>
      <c r="BIG31" s="95"/>
      <c r="BIH31" s="95"/>
      <c r="BII31" s="95"/>
      <c r="BIJ31" s="95"/>
      <c r="BIK31" s="95"/>
      <c r="BIL31" s="95"/>
      <c r="BIM31" s="95"/>
      <c r="BIN31" s="95"/>
      <c r="BIO31" s="95"/>
      <c r="BIP31" s="95"/>
      <c r="BIQ31" s="95"/>
      <c r="BIR31" s="95"/>
      <c r="BIS31" s="95"/>
      <c r="BIT31" s="95"/>
      <c r="BIU31" s="95"/>
      <c r="BIV31" s="95"/>
      <c r="BIW31" s="95"/>
      <c r="BIX31" s="95"/>
      <c r="BIY31" s="95"/>
      <c r="BIZ31" s="95"/>
      <c r="BJA31" s="95"/>
      <c r="BJB31" s="95"/>
      <c r="BJC31" s="95"/>
      <c r="BJD31" s="95"/>
      <c r="BJE31" s="95"/>
      <c r="BJF31" s="95"/>
      <c r="BJG31" s="95"/>
      <c r="BJH31" s="95"/>
      <c r="BJI31" s="95"/>
      <c r="BJJ31" s="95"/>
      <c r="BJK31" s="95"/>
      <c r="BJL31" s="95"/>
      <c r="BJM31" s="95"/>
      <c r="BJN31" s="95"/>
      <c r="BJO31" s="95"/>
      <c r="BJP31" s="95"/>
      <c r="BJQ31" s="95"/>
      <c r="BJR31" s="95"/>
      <c r="BJS31" s="95"/>
      <c r="BJT31" s="95"/>
      <c r="BJU31" s="95"/>
      <c r="BJV31" s="95"/>
      <c r="BJW31" s="95"/>
      <c r="BJX31" s="95"/>
      <c r="BJY31" s="95"/>
      <c r="BJZ31" s="95"/>
      <c r="BKA31" s="95"/>
      <c r="BKB31" s="95"/>
      <c r="BKC31" s="95"/>
      <c r="BKD31" s="95"/>
      <c r="BKE31" s="95"/>
      <c r="BKF31" s="95"/>
      <c r="BKG31" s="95"/>
      <c r="BKH31" s="95"/>
      <c r="BKI31" s="95"/>
      <c r="BKJ31" s="95"/>
      <c r="BKK31" s="95"/>
      <c r="BKL31" s="95"/>
      <c r="BKM31" s="95"/>
      <c r="BKN31" s="95"/>
      <c r="BKO31" s="95"/>
      <c r="BKP31" s="95"/>
      <c r="BKQ31" s="95"/>
      <c r="BKR31" s="95"/>
      <c r="BKS31" s="95"/>
      <c r="BKT31" s="95"/>
      <c r="BKU31" s="95"/>
      <c r="BKV31" s="95"/>
      <c r="BKW31" s="95"/>
      <c r="BKX31" s="95"/>
      <c r="BKY31" s="95"/>
      <c r="BKZ31" s="95"/>
      <c r="BLA31" s="95"/>
      <c r="BLB31" s="95"/>
      <c r="BLC31" s="95"/>
      <c r="BLD31" s="95"/>
      <c r="BLE31" s="95"/>
      <c r="BLF31" s="95"/>
      <c r="BLG31" s="95"/>
      <c r="BLH31" s="95"/>
      <c r="BLI31" s="95"/>
      <c r="BLJ31" s="95"/>
      <c r="BLK31" s="95"/>
      <c r="BLL31" s="95"/>
      <c r="BLM31" s="95"/>
      <c r="BLN31" s="95"/>
      <c r="BLO31" s="95"/>
      <c r="BLP31" s="95"/>
      <c r="BLQ31" s="95"/>
      <c r="BLR31" s="95"/>
      <c r="BLS31" s="95"/>
      <c r="BLT31" s="95"/>
      <c r="BLU31" s="95"/>
      <c r="BLV31" s="95"/>
      <c r="BLW31" s="95"/>
      <c r="BLX31" s="95"/>
      <c r="BLY31" s="95"/>
      <c r="BLZ31" s="95"/>
      <c r="BMA31" s="95"/>
      <c r="BMB31" s="95"/>
      <c r="BMC31" s="95"/>
      <c r="BMD31" s="95"/>
      <c r="BME31" s="95"/>
      <c r="BMF31" s="95"/>
      <c r="BMG31" s="95"/>
      <c r="BMH31" s="95"/>
      <c r="BMI31" s="95"/>
      <c r="BMJ31" s="95"/>
      <c r="BMK31" s="95"/>
      <c r="BML31" s="95"/>
      <c r="BMM31" s="95"/>
      <c r="BMN31" s="95"/>
      <c r="BMO31" s="95"/>
      <c r="BMP31" s="95"/>
      <c r="BMQ31" s="95"/>
      <c r="BMR31" s="95"/>
      <c r="BMS31" s="95"/>
      <c r="BMT31" s="95"/>
      <c r="BMU31" s="95"/>
      <c r="BMV31" s="95"/>
      <c r="BMW31" s="95"/>
      <c r="BMX31" s="95"/>
      <c r="BMY31" s="95"/>
      <c r="BMZ31" s="95"/>
      <c r="BNA31" s="95"/>
      <c r="BNB31" s="95"/>
      <c r="BNC31" s="95"/>
      <c r="BND31" s="95"/>
      <c r="BNE31" s="95"/>
      <c r="BNF31" s="95"/>
      <c r="BNG31" s="95"/>
      <c r="BNH31" s="95"/>
      <c r="BNI31" s="95"/>
      <c r="BNJ31" s="95"/>
      <c r="BNK31" s="95"/>
      <c r="BNL31" s="95"/>
      <c r="BNM31" s="95"/>
      <c r="BNN31" s="95"/>
      <c r="BNO31" s="95"/>
      <c r="BNP31" s="95"/>
      <c r="BNQ31" s="95"/>
      <c r="BNR31" s="95"/>
      <c r="BNS31" s="95"/>
      <c r="BNT31" s="95"/>
      <c r="BNU31" s="95"/>
      <c r="BNV31" s="95"/>
      <c r="BNW31" s="95"/>
      <c r="BNX31" s="95"/>
      <c r="BNY31" s="95"/>
      <c r="BNZ31" s="95"/>
      <c r="BOA31" s="95"/>
      <c r="BOB31" s="95"/>
      <c r="BOC31" s="95"/>
      <c r="BOD31" s="95"/>
      <c r="BOE31" s="95"/>
      <c r="BOF31" s="95"/>
      <c r="BOG31" s="95"/>
      <c r="BOH31" s="95"/>
      <c r="BOI31" s="95"/>
      <c r="BOJ31" s="95"/>
      <c r="BOK31" s="95"/>
      <c r="BOL31" s="95"/>
      <c r="BOM31" s="95"/>
      <c r="BON31" s="95"/>
      <c r="BOO31" s="95"/>
      <c r="BOP31" s="95"/>
      <c r="BOQ31" s="95"/>
      <c r="BOR31" s="95"/>
      <c r="BOS31" s="95"/>
      <c r="BOT31" s="95"/>
      <c r="BOU31" s="95"/>
      <c r="BOV31" s="95"/>
      <c r="BOW31" s="95"/>
      <c r="BOX31" s="95"/>
      <c r="BOY31" s="95"/>
      <c r="BOZ31" s="95"/>
      <c r="BPA31" s="95"/>
      <c r="BPB31" s="95"/>
      <c r="BPC31" s="95"/>
      <c r="BPD31" s="95"/>
      <c r="BPE31" s="95"/>
      <c r="BPF31" s="95"/>
      <c r="BPG31" s="95"/>
      <c r="BPH31" s="95"/>
      <c r="BPI31" s="95"/>
      <c r="BPJ31" s="95"/>
      <c r="BPK31" s="95"/>
      <c r="BPL31" s="95"/>
      <c r="BPM31" s="95"/>
      <c r="BPN31" s="95"/>
      <c r="BPO31" s="95"/>
      <c r="BPP31" s="95"/>
      <c r="BPQ31" s="95"/>
      <c r="BPR31" s="95"/>
      <c r="BPS31" s="95"/>
      <c r="BPT31" s="95"/>
      <c r="BPU31" s="95"/>
      <c r="BPV31" s="95"/>
      <c r="BPW31" s="95"/>
      <c r="BPX31" s="95"/>
      <c r="BPY31" s="95"/>
      <c r="BPZ31" s="95"/>
      <c r="BQA31" s="95"/>
      <c r="BQB31" s="95"/>
      <c r="BQC31" s="95"/>
      <c r="BQD31" s="95"/>
      <c r="BQE31" s="95"/>
      <c r="BQF31" s="95"/>
      <c r="BQG31" s="95"/>
      <c r="BQH31" s="95"/>
      <c r="BQI31" s="95"/>
      <c r="BQJ31" s="95"/>
      <c r="BQK31" s="95"/>
      <c r="BQL31" s="95"/>
      <c r="BQM31" s="95"/>
      <c r="BQN31" s="95"/>
      <c r="BQO31" s="95"/>
      <c r="BQP31" s="95"/>
      <c r="BQQ31" s="95"/>
      <c r="BQR31" s="95"/>
      <c r="BQS31" s="95"/>
      <c r="BQT31" s="95"/>
      <c r="BQU31" s="95"/>
      <c r="BQV31" s="95"/>
      <c r="BQW31" s="95"/>
      <c r="BQX31" s="95"/>
      <c r="BQY31" s="95"/>
      <c r="BQZ31" s="95"/>
      <c r="BRA31" s="95"/>
      <c r="BRB31" s="95"/>
      <c r="BRC31" s="95"/>
      <c r="BRD31" s="95"/>
      <c r="BRE31" s="95"/>
      <c r="BRF31" s="95"/>
      <c r="BRG31" s="95"/>
      <c r="BRH31" s="95"/>
      <c r="BRI31" s="95"/>
      <c r="BRJ31" s="95"/>
      <c r="BRK31" s="95"/>
      <c r="BRL31" s="95"/>
      <c r="BRM31" s="95"/>
      <c r="BRN31" s="95"/>
      <c r="BRO31" s="95"/>
      <c r="BRP31" s="95"/>
      <c r="BRQ31" s="95"/>
      <c r="BRR31" s="95"/>
      <c r="BRS31" s="95"/>
      <c r="BRT31" s="95"/>
      <c r="BRU31" s="95"/>
      <c r="BRV31" s="95"/>
      <c r="BRW31" s="95"/>
      <c r="BRX31" s="95"/>
      <c r="BRY31" s="95"/>
      <c r="BRZ31" s="95"/>
      <c r="BSA31" s="95"/>
      <c r="BSB31" s="95"/>
      <c r="BSC31" s="95"/>
      <c r="BSD31" s="95"/>
      <c r="BSE31" s="95"/>
      <c r="BSF31" s="95"/>
      <c r="BSG31" s="95"/>
      <c r="BSH31" s="95"/>
      <c r="BSI31" s="95"/>
      <c r="BSJ31" s="95"/>
      <c r="BSK31" s="95"/>
      <c r="BSL31" s="95"/>
      <c r="BSM31" s="95"/>
      <c r="BSN31" s="95"/>
      <c r="BSO31" s="95"/>
      <c r="BSP31" s="95"/>
      <c r="BSQ31" s="95"/>
      <c r="BSR31" s="95"/>
      <c r="BSS31" s="95"/>
      <c r="BST31" s="95"/>
      <c r="BSU31" s="95"/>
      <c r="BSV31" s="95"/>
      <c r="BSW31" s="95"/>
      <c r="BSX31" s="95"/>
      <c r="BSY31" s="95"/>
      <c r="BSZ31" s="95"/>
      <c r="BTA31" s="95"/>
      <c r="BTB31" s="95"/>
      <c r="BTC31" s="95"/>
      <c r="BTD31" s="95"/>
      <c r="BTE31" s="95"/>
      <c r="BTF31" s="95"/>
      <c r="BTG31" s="95"/>
      <c r="BTH31" s="95"/>
      <c r="BTI31" s="95"/>
      <c r="BTJ31" s="95"/>
      <c r="BTK31" s="95"/>
      <c r="BTL31" s="95"/>
      <c r="BTM31" s="95"/>
      <c r="BTN31" s="95"/>
      <c r="BTO31" s="95"/>
      <c r="BTP31" s="95"/>
      <c r="BTQ31" s="95"/>
      <c r="BTR31" s="95"/>
      <c r="BTS31" s="95"/>
      <c r="BTT31" s="95"/>
      <c r="BTU31" s="95"/>
      <c r="BTV31" s="95"/>
      <c r="BTW31" s="95"/>
      <c r="BTX31" s="95"/>
      <c r="BTY31" s="95"/>
      <c r="BTZ31" s="95"/>
      <c r="BUA31" s="95"/>
      <c r="BUB31" s="95"/>
      <c r="BUC31" s="95"/>
      <c r="BUD31" s="95"/>
      <c r="BUE31" s="95"/>
      <c r="BUF31" s="95"/>
      <c r="BUG31" s="95"/>
      <c r="BUH31" s="95"/>
      <c r="BUI31" s="95"/>
      <c r="BUJ31" s="95"/>
      <c r="BUK31" s="95"/>
      <c r="BUL31" s="95"/>
      <c r="BUM31" s="95"/>
      <c r="BUN31" s="95"/>
      <c r="BUO31" s="95"/>
      <c r="BUP31" s="95"/>
      <c r="BUQ31" s="95"/>
      <c r="BUR31" s="95"/>
      <c r="BUS31" s="95"/>
      <c r="BUT31" s="95"/>
      <c r="BUU31" s="95"/>
      <c r="BUV31" s="95"/>
      <c r="BUW31" s="95"/>
      <c r="BUX31" s="95"/>
      <c r="BUY31" s="95"/>
      <c r="BUZ31" s="95"/>
      <c r="BVA31" s="95"/>
      <c r="BVB31" s="95"/>
      <c r="BVC31" s="95"/>
      <c r="BVD31" s="95"/>
      <c r="BVE31" s="95"/>
      <c r="BVF31" s="95"/>
      <c r="BVG31" s="95"/>
      <c r="BVH31" s="95"/>
      <c r="BVI31" s="95"/>
      <c r="BVJ31" s="95"/>
      <c r="BVK31" s="95"/>
      <c r="BVL31" s="95"/>
      <c r="BVM31" s="95"/>
      <c r="BVN31" s="95"/>
      <c r="BVO31" s="95"/>
      <c r="BVP31" s="95"/>
      <c r="BVQ31" s="95"/>
      <c r="BVR31" s="95"/>
      <c r="BVS31" s="95"/>
      <c r="BVT31" s="95"/>
      <c r="BVU31" s="95"/>
      <c r="BVV31" s="95"/>
      <c r="BVW31" s="95"/>
      <c r="BVX31" s="95"/>
      <c r="BVY31" s="95"/>
      <c r="BVZ31" s="95"/>
      <c r="BWA31" s="95"/>
      <c r="BWB31" s="95"/>
      <c r="BWC31" s="95"/>
      <c r="BWD31" s="95"/>
      <c r="BWE31" s="95"/>
      <c r="BWF31" s="95"/>
      <c r="BWG31" s="95"/>
      <c r="BWH31" s="95"/>
      <c r="BWI31" s="95"/>
      <c r="BWJ31" s="95"/>
      <c r="BWK31" s="95"/>
      <c r="BWL31" s="95"/>
      <c r="BWM31" s="95"/>
      <c r="BWN31" s="95"/>
      <c r="BWO31" s="95"/>
      <c r="BWP31" s="95"/>
      <c r="BWQ31" s="95"/>
      <c r="BWR31" s="95"/>
      <c r="BWS31" s="95"/>
      <c r="BWT31" s="95"/>
      <c r="BWU31" s="95"/>
      <c r="BWV31" s="95"/>
      <c r="BWW31" s="95"/>
      <c r="BWX31" s="95"/>
      <c r="BWY31" s="95"/>
      <c r="BWZ31" s="95"/>
      <c r="BXA31" s="95"/>
      <c r="BXB31" s="95"/>
      <c r="BXC31" s="95"/>
      <c r="BXD31" s="95"/>
      <c r="BXE31" s="95"/>
      <c r="BXF31" s="95"/>
      <c r="BXG31" s="95"/>
      <c r="BXH31" s="95"/>
      <c r="BXI31" s="95"/>
      <c r="BXJ31" s="95"/>
      <c r="BXK31" s="95"/>
      <c r="BXL31" s="95"/>
      <c r="BXM31" s="95"/>
      <c r="BXN31" s="95"/>
      <c r="BXO31" s="95"/>
      <c r="BXP31" s="95"/>
      <c r="BXQ31" s="95"/>
      <c r="BXR31" s="95"/>
      <c r="BXS31" s="95"/>
      <c r="BXT31" s="95"/>
      <c r="BXU31" s="95"/>
      <c r="BXV31" s="95"/>
      <c r="BXW31" s="95"/>
      <c r="BXX31" s="95"/>
      <c r="BXY31" s="95"/>
      <c r="BXZ31" s="95"/>
      <c r="BYA31" s="95"/>
      <c r="BYB31" s="95"/>
      <c r="BYC31" s="95"/>
      <c r="BYD31" s="95"/>
      <c r="BYE31" s="95"/>
      <c r="BYF31" s="95"/>
      <c r="BYG31" s="95"/>
    </row>
    <row r="32" spans="1:2009" s="220" customFormat="1" ht="24.95" customHeight="1" thickBot="1" x14ac:dyDescent="0.3">
      <c r="A32" s="215"/>
      <c r="B32" s="216" t="s">
        <v>162</v>
      </c>
      <c r="C32" s="217">
        <f>SUM(C30:C31)</f>
        <v>27501.62</v>
      </c>
      <c r="D32" s="217">
        <f>D30+D31</f>
        <v>27718.12</v>
      </c>
      <c r="E32" s="217"/>
      <c r="F32" s="218"/>
      <c r="G32" s="721">
        <f>SUM(G30:G31)</f>
        <v>55219.74</v>
      </c>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c r="EH32" s="219"/>
      <c r="EI32" s="219"/>
      <c r="EJ32" s="219"/>
      <c r="EK32" s="219"/>
      <c r="EL32" s="219"/>
      <c r="EM32" s="219"/>
      <c r="EN32" s="219"/>
      <c r="EO32" s="219"/>
      <c r="EP32" s="219"/>
      <c r="EQ32" s="219"/>
      <c r="ER32" s="219"/>
      <c r="ES32" s="219"/>
      <c r="ET32" s="219"/>
      <c r="EU32" s="219"/>
      <c r="EV32" s="219"/>
      <c r="EW32" s="219"/>
      <c r="EX32" s="219"/>
      <c r="EY32" s="219"/>
      <c r="EZ32" s="219"/>
      <c r="FA32" s="219"/>
      <c r="FB32" s="219"/>
      <c r="FC32" s="219"/>
      <c r="FD32" s="219"/>
      <c r="FE32" s="219"/>
      <c r="FF32" s="219"/>
      <c r="FG32" s="219"/>
      <c r="FH32" s="219"/>
      <c r="FI32" s="219"/>
      <c r="FJ32" s="219"/>
      <c r="FK32" s="219"/>
      <c r="FL32" s="219"/>
      <c r="FM32" s="219"/>
      <c r="FN32" s="219"/>
      <c r="FO32" s="219"/>
      <c r="FP32" s="219"/>
      <c r="FQ32" s="219"/>
      <c r="FR32" s="219"/>
      <c r="FS32" s="219"/>
      <c r="FT32" s="219"/>
      <c r="FU32" s="219"/>
      <c r="FV32" s="219"/>
      <c r="FW32" s="219"/>
      <c r="FX32" s="219"/>
      <c r="FY32" s="219"/>
      <c r="FZ32" s="219"/>
      <c r="GA32" s="219"/>
      <c r="GB32" s="219"/>
      <c r="GC32" s="219"/>
      <c r="GD32" s="219"/>
      <c r="GE32" s="219"/>
      <c r="GF32" s="219"/>
      <c r="GG32" s="219"/>
      <c r="GH32" s="219"/>
      <c r="GI32" s="219"/>
      <c r="GJ32" s="219"/>
      <c r="GK32" s="219"/>
      <c r="GL32" s="219"/>
      <c r="GM32" s="219"/>
      <c r="GN32" s="219"/>
      <c r="GO32" s="219"/>
      <c r="GP32" s="219"/>
      <c r="GQ32" s="219"/>
      <c r="GR32" s="219"/>
      <c r="GS32" s="219"/>
      <c r="GT32" s="219"/>
      <c r="GU32" s="219"/>
      <c r="GV32" s="219"/>
      <c r="GW32" s="219"/>
      <c r="GX32" s="219"/>
      <c r="GY32" s="219"/>
      <c r="GZ32" s="219"/>
      <c r="HA32" s="219"/>
      <c r="HB32" s="219"/>
      <c r="HC32" s="219"/>
      <c r="HD32" s="219"/>
      <c r="HE32" s="219"/>
      <c r="HF32" s="219"/>
      <c r="HG32" s="219"/>
      <c r="HH32" s="219"/>
      <c r="HI32" s="219"/>
      <c r="HJ32" s="219"/>
      <c r="HK32" s="219"/>
      <c r="HL32" s="219"/>
      <c r="HM32" s="219"/>
      <c r="HN32" s="219"/>
      <c r="HO32" s="219"/>
      <c r="HP32" s="219"/>
      <c r="HQ32" s="219"/>
      <c r="HR32" s="219"/>
      <c r="HS32" s="219"/>
      <c r="HT32" s="219"/>
      <c r="HU32" s="219"/>
      <c r="HV32" s="219"/>
      <c r="HW32" s="219"/>
      <c r="HX32" s="219"/>
      <c r="HY32" s="219"/>
      <c r="HZ32" s="219"/>
      <c r="IA32" s="219"/>
      <c r="IB32" s="219"/>
      <c r="IC32" s="219"/>
      <c r="ID32" s="219"/>
      <c r="IE32" s="219"/>
      <c r="IF32" s="219"/>
      <c r="IG32" s="219"/>
      <c r="IH32" s="219"/>
      <c r="II32" s="219"/>
      <c r="IJ32" s="219"/>
      <c r="IK32" s="219"/>
      <c r="IL32" s="219"/>
      <c r="IM32" s="219"/>
      <c r="IN32" s="219"/>
      <c r="IO32" s="219"/>
      <c r="IP32" s="219"/>
      <c r="IQ32" s="219"/>
      <c r="IR32" s="219"/>
      <c r="IS32" s="219"/>
      <c r="IT32" s="219"/>
      <c r="IU32" s="219"/>
      <c r="IV32" s="219"/>
      <c r="IW32" s="219"/>
      <c r="IX32" s="219"/>
      <c r="IY32" s="219"/>
      <c r="IZ32" s="219"/>
      <c r="JA32" s="219"/>
      <c r="JB32" s="219"/>
      <c r="JC32" s="219"/>
      <c r="JD32" s="219"/>
      <c r="JE32" s="219"/>
      <c r="JF32" s="219"/>
      <c r="JG32" s="219"/>
      <c r="JH32" s="219"/>
      <c r="JI32" s="219"/>
      <c r="JJ32" s="219"/>
      <c r="JK32" s="219"/>
      <c r="JL32" s="219"/>
      <c r="JM32" s="219"/>
      <c r="JN32" s="219"/>
      <c r="JO32" s="219"/>
      <c r="JP32" s="219"/>
      <c r="JQ32" s="219"/>
      <c r="JR32" s="219"/>
      <c r="JS32" s="219"/>
      <c r="JT32" s="219"/>
      <c r="JU32" s="219"/>
      <c r="JV32" s="219"/>
      <c r="JW32" s="219"/>
      <c r="JX32" s="219"/>
      <c r="JY32" s="219"/>
      <c r="JZ32" s="219"/>
      <c r="KA32" s="219"/>
      <c r="KB32" s="219"/>
      <c r="KC32" s="219"/>
      <c r="KD32" s="219"/>
      <c r="KE32" s="219"/>
      <c r="KF32" s="219"/>
      <c r="KG32" s="219"/>
      <c r="KH32" s="219"/>
      <c r="KI32" s="219"/>
      <c r="KJ32" s="219"/>
      <c r="KK32" s="219"/>
      <c r="KL32" s="219"/>
      <c r="KM32" s="219"/>
      <c r="KN32" s="219"/>
      <c r="KO32" s="219"/>
      <c r="KP32" s="219"/>
      <c r="KQ32" s="219"/>
      <c r="KR32" s="219"/>
      <c r="KS32" s="219"/>
      <c r="KT32" s="219"/>
      <c r="KU32" s="219"/>
      <c r="KV32" s="219"/>
      <c r="KW32" s="219"/>
      <c r="KX32" s="219"/>
      <c r="KY32" s="219"/>
      <c r="KZ32" s="219"/>
      <c r="LA32" s="219"/>
      <c r="LB32" s="219"/>
      <c r="LC32" s="219"/>
      <c r="LD32" s="219"/>
      <c r="LE32" s="219"/>
      <c r="LF32" s="219"/>
      <c r="LG32" s="219"/>
      <c r="LH32" s="219"/>
      <c r="LI32" s="219"/>
      <c r="LJ32" s="219"/>
      <c r="LK32" s="219"/>
      <c r="LL32" s="219"/>
      <c r="LM32" s="219"/>
      <c r="LN32" s="219"/>
      <c r="LO32" s="219"/>
      <c r="LP32" s="219"/>
      <c r="LQ32" s="219"/>
      <c r="LR32" s="219"/>
      <c r="LS32" s="219"/>
      <c r="LT32" s="219"/>
      <c r="LU32" s="219"/>
      <c r="LV32" s="219"/>
      <c r="LW32" s="219"/>
      <c r="LX32" s="219"/>
      <c r="LY32" s="219"/>
      <c r="LZ32" s="219"/>
      <c r="MA32" s="219"/>
      <c r="MB32" s="219"/>
      <c r="MC32" s="219"/>
      <c r="MD32" s="219"/>
      <c r="ME32" s="219"/>
      <c r="MF32" s="219"/>
      <c r="MG32" s="219"/>
      <c r="MH32" s="219"/>
      <c r="MI32" s="219"/>
      <c r="MJ32" s="219"/>
      <c r="MK32" s="219"/>
      <c r="ML32" s="219"/>
      <c r="MM32" s="219"/>
      <c r="MN32" s="219"/>
      <c r="MO32" s="219"/>
      <c r="MP32" s="219"/>
      <c r="MQ32" s="219"/>
      <c r="MR32" s="219"/>
      <c r="MS32" s="219"/>
      <c r="MT32" s="219"/>
      <c r="MU32" s="219"/>
      <c r="MV32" s="219"/>
      <c r="MW32" s="219"/>
      <c r="MX32" s="219"/>
      <c r="MY32" s="219"/>
      <c r="MZ32" s="219"/>
      <c r="NA32" s="219"/>
      <c r="NB32" s="219"/>
      <c r="NC32" s="219"/>
      <c r="ND32" s="219"/>
      <c r="NE32" s="219"/>
      <c r="NF32" s="219"/>
      <c r="NG32" s="219"/>
      <c r="NH32" s="219"/>
      <c r="NI32" s="219"/>
      <c r="NJ32" s="219"/>
      <c r="NK32" s="219"/>
      <c r="NL32" s="219"/>
      <c r="NM32" s="219"/>
      <c r="NN32" s="219"/>
      <c r="NO32" s="219"/>
      <c r="NP32" s="219"/>
      <c r="NQ32" s="219"/>
      <c r="NR32" s="219"/>
      <c r="NS32" s="219"/>
      <c r="NT32" s="219"/>
      <c r="NU32" s="219"/>
      <c r="NV32" s="219"/>
      <c r="NW32" s="219"/>
      <c r="NX32" s="219"/>
      <c r="NY32" s="219"/>
      <c r="NZ32" s="219"/>
      <c r="OA32" s="219"/>
      <c r="OB32" s="219"/>
      <c r="OC32" s="219"/>
      <c r="OD32" s="219"/>
      <c r="OE32" s="219"/>
      <c r="OF32" s="219"/>
      <c r="OG32" s="219"/>
      <c r="OH32" s="219"/>
      <c r="OI32" s="219"/>
      <c r="OJ32" s="219"/>
      <c r="OK32" s="219"/>
      <c r="OL32" s="219"/>
      <c r="OM32" s="219"/>
      <c r="ON32" s="219"/>
      <c r="OO32" s="219"/>
      <c r="OP32" s="219"/>
      <c r="OQ32" s="219"/>
      <c r="OR32" s="219"/>
      <c r="OS32" s="219"/>
      <c r="OT32" s="219"/>
      <c r="OU32" s="219"/>
      <c r="OV32" s="219"/>
      <c r="OW32" s="219"/>
      <c r="OX32" s="219"/>
      <c r="OY32" s="219"/>
      <c r="OZ32" s="219"/>
      <c r="PA32" s="219"/>
      <c r="PB32" s="219"/>
      <c r="PC32" s="219"/>
      <c r="PD32" s="219"/>
      <c r="PE32" s="219"/>
      <c r="PF32" s="219"/>
      <c r="PG32" s="219"/>
      <c r="PH32" s="219"/>
      <c r="PI32" s="219"/>
      <c r="PJ32" s="219"/>
      <c r="PK32" s="219"/>
      <c r="PL32" s="219"/>
      <c r="PM32" s="219"/>
      <c r="PN32" s="219"/>
      <c r="PO32" s="219"/>
      <c r="PP32" s="219"/>
      <c r="PQ32" s="219"/>
      <c r="PR32" s="219"/>
      <c r="PS32" s="219"/>
      <c r="PT32" s="219"/>
      <c r="PU32" s="219"/>
      <c r="PV32" s="219"/>
      <c r="PW32" s="219"/>
      <c r="PX32" s="219"/>
      <c r="PY32" s="219"/>
      <c r="PZ32" s="219"/>
      <c r="QA32" s="219"/>
      <c r="QB32" s="219"/>
      <c r="QC32" s="219"/>
      <c r="QD32" s="219"/>
      <c r="QE32" s="219"/>
      <c r="QF32" s="219"/>
      <c r="QG32" s="219"/>
      <c r="QH32" s="219"/>
      <c r="QI32" s="219"/>
      <c r="QJ32" s="219"/>
      <c r="QK32" s="219"/>
      <c r="QL32" s="219"/>
      <c r="QM32" s="219"/>
      <c r="QN32" s="219"/>
      <c r="QO32" s="219"/>
      <c r="QP32" s="219"/>
      <c r="QQ32" s="219"/>
      <c r="QR32" s="219"/>
      <c r="QS32" s="219"/>
      <c r="QT32" s="219"/>
      <c r="QU32" s="219"/>
      <c r="QV32" s="219"/>
      <c r="QW32" s="219"/>
      <c r="QX32" s="219"/>
      <c r="QY32" s="219"/>
      <c r="QZ32" s="219"/>
      <c r="RA32" s="219"/>
      <c r="RB32" s="219"/>
      <c r="RC32" s="219"/>
      <c r="RD32" s="219"/>
      <c r="RE32" s="219"/>
      <c r="RF32" s="219"/>
      <c r="RG32" s="219"/>
      <c r="RH32" s="219"/>
      <c r="RI32" s="219"/>
      <c r="RJ32" s="219"/>
      <c r="RK32" s="219"/>
      <c r="RL32" s="219"/>
      <c r="RM32" s="219"/>
      <c r="RN32" s="219"/>
      <c r="RO32" s="219"/>
      <c r="RP32" s="219"/>
      <c r="RQ32" s="219"/>
      <c r="RR32" s="219"/>
      <c r="RS32" s="219"/>
      <c r="RT32" s="219"/>
      <c r="RU32" s="219"/>
      <c r="RV32" s="219"/>
      <c r="RW32" s="219"/>
      <c r="RX32" s="219"/>
      <c r="RY32" s="219"/>
      <c r="RZ32" s="219"/>
      <c r="SA32" s="219"/>
      <c r="SB32" s="219"/>
      <c r="SC32" s="219"/>
      <c r="SD32" s="219"/>
      <c r="SE32" s="219"/>
      <c r="SF32" s="219"/>
      <c r="SG32" s="219"/>
      <c r="SH32" s="219"/>
      <c r="SI32" s="219"/>
      <c r="SJ32" s="219"/>
      <c r="SK32" s="219"/>
      <c r="SL32" s="219"/>
      <c r="SM32" s="219"/>
      <c r="SN32" s="219"/>
      <c r="SO32" s="219"/>
      <c r="SP32" s="219"/>
      <c r="SQ32" s="219"/>
      <c r="SR32" s="219"/>
      <c r="SS32" s="219"/>
      <c r="ST32" s="219"/>
      <c r="SU32" s="219"/>
      <c r="SV32" s="219"/>
      <c r="SW32" s="219"/>
      <c r="SX32" s="219"/>
      <c r="SY32" s="219"/>
      <c r="SZ32" s="219"/>
      <c r="TA32" s="219"/>
      <c r="TB32" s="219"/>
      <c r="TC32" s="219"/>
      <c r="TD32" s="219"/>
      <c r="TE32" s="219"/>
      <c r="TF32" s="219"/>
      <c r="TG32" s="219"/>
      <c r="TH32" s="219"/>
      <c r="TI32" s="219"/>
      <c r="TJ32" s="219"/>
      <c r="TK32" s="219"/>
      <c r="TL32" s="219"/>
      <c r="TM32" s="219"/>
      <c r="TN32" s="219"/>
      <c r="TO32" s="219"/>
      <c r="TP32" s="219"/>
      <c r="TQ32" s="219"/>
      <c r="TR32" s="219"/>
      <c r="TS32" s="219"/>
      <c r="TT32" s="219"/>
      <c r="TU32" s="219"/>
      <c r="TV32" s="219"/>
      <c r="TW32" s="219"/>
      <c r="TX32" s="219"/>
      <c r="TY32" s="219"/>
      <c r="TZ32" s="219"/>
      <c r="UA32" s="219"/>
      <c r="UB32" s="219"/>
      <c r="UC32" s="219"/>
      <c r="UD32" s="219"/>
      <c r="UE32" s="219"/>
      <c r="UF32" s="219"/>
      <c r="UG32" s="219"/>
      <c r="UH32" s="219"/>
      <c r="UI32" s="219"/>
      <c r="UJ32" s="219"/>
      <c r="UK32" s="219"/>
      <c r="UL32" s="219"/>
      <c r="UM32" s="219"/>
      <c r="UN32" s="219"/>
      <c r="UO32" s="219"/>
      <c r="UP32" s="219"/>
      <c r="UQ32" s="219"/>
      <c r="UR32" s="219"/>
      <c r="US32" s="219"/>
      <c r="UT32" s="219"/>
      <c r="UU32" s="219"/>
      <c r="UV32" s="219"/>
      <c r="UW32" s="219"/>
      <c r="UX32" s="219"/>
      <c r="UY32" s="219"/>
      <c r="UZ32" s="219"/>
      <c r="VA32" s="219"/>
      <c r="VB32" s="219"/>
      <c r="VC32" s="219"/>
      <c r="VD32" s="219"/>
      <c r="VE32" s="219"/>
      <c r="VF32" s="219"/>
      <c r="VG32" s="219"/>
      <c r="VH32" s="219"/>
      <c r="VI32" s="219"/>
      <c r="VJ32" s="219"/>
      <c r="VK32" s="219"/>
      <c r="VL32" s="219"/>
      <c r="VM32" s="219"/>
      <c r="VN32" s="219"/>
      <c r="VO32" s="219"/>
      <c r="VP32" s="219"/>
      <c r="VQ32" s="219"/>
      <c r="VR32" s="219"/>
      <c r="VS32" s="219"/>
      <c r="VT32" s="219"/>
      <c r="VU32" s="219"/>
      <c r="VV32" s="219"/>
      <c r="VW32" s="219"/>
      <c r="VX32" s="219"/>
      <c r="VY32" s="219"/>
      <c r="VZ32" s="219"/>
      <c r="WA32" s="219"/>
      <c r="WB32" s="219"/>
      <c r="WC32" s="219"/>
      <c r="WD32" s="219"/>
      <c r="WE32" s="219"/>
      <c r="WF32" s="219"/>
      <c r="WG32" s="219"/>
      <c r="WH32" s="219"/>
      <c r="WI32" s="219"/>
      <c r="WJ32" s="219"/>
      <c r="WK32" s="219"/>
      <c r="WL32" s="219"/>
      <c r="WM32" s="219"/>
      <c r="WN32" s="219"/>
      <c r="WO32" s="219"/>
      <c r="WP32" s="219"/>
      <c r="WQ32" s="219"/>
      <c r="WR32" s="219"/>
      <c r="WS32" s="219"/>
      <c r="WT32" s="219"/>
      <c r="WU32" s="219"/>
      <c r="WV32" s="219"/>
      <c r="WW32" s="219"/>
      <c r="WX32" s="219"/>
      <c r="WY32" s="219"/>
      <c r="WZ32" s="219"/>
      <c r="XA32" s="219"/>
      <c r="XB32" s="219"/>
      <c r="XC32" s="219"/>
      <c r="XD32" s="219"/>
      <c r="XE32" s="219"/>
      <c r="XF32" s="219"/>
      <c r="XG32" s="219"/>
      <c r="XH32" s="219"/>
      <c r="XI32" s="219"/>
      <c r="XJ32" s="219"/>
      <c r="XK32" s="219"/>
      <c r="XL32" s="219"/>
      <c r="XM32" s="219"/>
      <c r="XN32" s="219"/>
      <c r="XO32" s="219"/>
      <c r="XP32" s="219"/>
      <c r="XQ32" s="219"/>
      <c r="XR32" s="219"/>
      <c r="XS32" s="219"/>
      <c r="XT32" s="219"/>
      <c r="XU32" s="219"/>
      <c r="XV32" s="219"/>
      <c r="XW32" s="219"/>
      <c r="XX32" s="219"/>
      <c r="XY32" s="219"/>
      <c r="XZ32" s="219"/>
      <c r="YA32" s="219"/>
      <c r="YB32" s="219"/>
      <c r="YC32" s="219"/>
      <c r="YD32" s="219"/>
      <c r="YE32" s="219"/>
      <c r="YF32" s="219"/>
      <c r="YG32" s="219"/>
      <c r="YH32" s="219"/>
      <c r="YI32" s="219"/>
      <c r="YJ32" s="219"/>
      <c r="YK32" s="219"/>
      <c r="YL32" s="219"/>
      <c r="YM32" s="219"/>
      <c r="YN32" s="219"/>
      <c r="YO32" s="219"/>
      <c r="YP32" s="219"/>
      <c r="YQ32" s="219"/>
      <c r="YR32" s="219"/>
      <c r="YS32" s="219"/>
      <c r="YT32" s="219"/>
      <c r="YU32" s="219"/>
      <c r="YV32" s="219"/>
      <c r="YW32" s="219"/>
      <c r="YX32" s="219"/>
      <c r="YY32" s="219"/>
      <c r="YZ32" s="219"/>
      <c r="ZA32" s="219"/>
      <c r="ZB32" s="219"/>
      <c r="ZC32" s="219"/>
      <c r="ZD32" s="219"/>
      <c r="ZE32" s="219"/>
      <c r="ZF32" s="219"/>
      <c r="ZG32" s="219"/>
      <c r="ZH32" s="219"/>
      <c r="ZI32" s="219"/>
      <c r="ZJ32" s="219"/>
      <c r="ZK32" s="219"/>
      <c r="ZL32" s="219"/>
      <c r="ZM32" s="219"/>
      <c r="ZN32" s="219"/>
      <c r="ZO32" s="219"/>
      <c r="ZP32" s="219"/>
      <c r="ZQ32" s="219"/>
      <c r="ZR32" s="219"/>
      <c r="ZS32" s="219"/>
      <c r="ZT32" s="219"/>
      <c r="ZU32" s="219"/>
      <c r="ZV32" s="219"/>
      <c r="ZW32" s="219"/>
      <c r="ZX32" s="219"/>
      <c r="ZY32" s="219"/>
      <c r="ZZ32" s="219"/>
      <c r="AAA32" s="219"/>
      <c r="AAB32" s="219"/>
      <c r="AAC32" s="219"/>
      <c r="AAD32" s="219"/>
      <c r="AAE32" s="219"/>
      <c r="AAF32" s="219"/>
      <c r="AAG32" s="219"/>
      <c r="AAH32" s="219"/>
      <c r="AAI32" s="219"/>
      <c r="AAJ32" s="219"/>
      <c r="AAK32" s="219"/>
      <c r="AAL32" s="219"/>
      <c r="AAM32" s="219"/>
      <c r="AAN32" s="219"/>
      <c r="AAO32" s="219"/>
      <c r="AAP32" s="219"/>
      <c r="AAQ32" s="219"/>
      <c r="AAR32" s="219"/>
      <c r="AAS32" s="219"/>
      <c r="AAT32" s="219"/>
      <c r="AAU32" s="219"/>
      <c r="AAV32" s="219"/>
      <c r="AAW32" s="219"/>
      <c r="AAX32" s="219"/>
      <c r="AAY32" s="219"/>
      <c r="AAZ32" s="219"/>
      <c r="ABA32" s="219"/>
      <c r="ABB32" s="219"/>
      <c r="ABC32" s="219"/>
      <c r="ABD32" s="219"/>
      <c r="ABE32" s="219"/>
      <c r="ABF32" s="219"/>
      <c r="ABG32" s="219"/>
      <c r="ABH32" s="219"/>
      <c r="ABI32" s="219"/>
      <c r="ABJ32" s="219"/>
      <c r="ABK32" s="219"/>
      <c r="ABL32" s="219"/>
      <c r="ABM32" s="219"/>
      <c r="ABN32" s="219"/>
      <c r="ABO32" s="219"/>
      <c r="ABP32" s="219"/>
      <c r="ABQ32" s="219"/>
      <c r="ABR32" s="219"/>
      <c r="ABS32" s="219"/>
      <c r="ABT32" s="219"/>
      <c r="ABU32" s="219"/>
      <c r="ABV32" s="219"/>
      <c r="ABW32" s="219"/>
      <c r="ABX32" s="219"/>
      <c r="ABY32" s="219"/>
      <c r="ABZ32" s="219"/>
      <c r="ACA32" s="219"/>
      <c r="ACB32" s="219"/>
      <c r="ACC32" s="219"/>
      <c r="ACD32" s="219"/>
      <c r="ACE32" s="219"/>
      <c r="ACF32" s="219"/>
      <c r="ACG32" s="219"/>
      <c r="ACH32" s="219"/>
      <c r="ACI32" s="219"/>
      <c r="ACJ32" s="219"/>
      <c r="ACK32" s="219"/>
      <c r="ACL32" s="219"/>
      <c r="ACM32" s="219"/>
      <c r="ACN32" s="219"/>
      <c r="ACO32" s="219"/>
      <c r="ACP32" s="219"/>
      <c r="ACQ32" s="219"/>
      <c r="ACR32" s="219"/>
      <c r="ACS32" s="219"/>
      <c r="ACT32" s="219"/>
      <c r="ACU32" s="219"/>
      <c r="ACV32" s="219"/>
      <c r="ACW32" s="219"/>
      <c r="ACX32" s="219"/>
      <c r="ACY32" s="219"/>
      <c r="ACZ32" s="219"/>
      <c r="ADA32" s="219"/>
      <c r="ADB32" s="219"/>
      <c r="ADC32" s="219"/>
      <c r="ADD32" s="219"/>
      <c r="ADE32" s="219"/>
      <c r="ADF32" s="219"/>
      <c r="ADG32" s="219"/>
      <c r="ADH32" s="219"/>
      <c r="ADI32" s="219"/>
      <c r="ADJ32" s="219"/>
      <c r="ADK32" s="219"/>
      <c r="ADL32" s="219"/>
      <c r="ADM32" s="219"/>
      <c r="ADN32" s="219"/>
      <c r="ADO32" s="219"/>
      <c r="ADP32" s="219"/>
      <c r="ADQ32" s="219"/>
      <c r="ADR32" s="219"/>
      <c r="ADS32" s="219"/>
      <c r="ADT32" s="219"/>
      <c r="ADU32" s="219"/>
      <c r="ADV32" s="219"/>
      <c r="ADW32" s="219"/>
      <c r="ADX32" s="219"/>
      <c r="ADY32" s="219"/>
      <c r="ADZ32" s="219"/>
      <c r="AEA32" s="219"/>
      <c r="AEB32" s="219"/>
      <c r="AEC32" s="219"/>
      <c r="AED32" s="219"/>
      <c r="AEE32" s="219"/>
      <c r="AEF32" s="219"/>
      <c r="AEG32" s="219"/>
      <c r="AEH32" s="219"/>
      <c r="AEI32" s="219"/>
      <c r="AEJ32" s="219"/>
      <c r="AEK32" s="219"/>
      <c r="AEL32" s="219"/>
      <c r="AEM32" s="219"/>
      <c r="AEN32" s="219"/>
      <c r="AEO32" s="219"/>
      <c r="AEP32" s="219"/>
      <c r="AEQ32" s="219"/>
      <c r="AER32" s="219"/>
      <c r="AES32" s="219"/>
      <c r="AET32" s="219"/>
      <c r="AEU32" s="219"/>
      <c r="AEV32" s="219"/>
      <c r="AEW32" s="219"/>
      <c r="AEX32" s="219"/>
      <c r="AEY32" s="219"/>
      <c r="AEZ32" s="219"/>
      <c r="AFA32" s="219"/>
      <c r="AFB32" s="219"/>
      <c r="AFC32" s="219"/>
      <c r="AFD32" s="219"/>
      <c r="AFE32" s="219"/>
      <c r="AFF32" s="219"/>
      <c r="AFG32" s="219"/>
      <c r="AFH32" s="219"/>
      <c r="AFI32" s="219"/>
      <c r="AFJ32" s="219"/>
      <c r="AFK32" s="219"/>
      <c r="AFL32" s="219"/>
      <c r="AFM32" s="219"/>
      <c r="AFN32" s="219"/>
      <c r="AFO32" s="219"/>
      <c r="AFP32" s="219"/>
      <c r="AFQ32" s="219"/>
      <c r="AFR32" s="219"/>
      <c r="AFS32" s="219"/>
      <c r="AFT32" s="219"/>
      <c r="AFU32" s="219"/>
      <c r="AFV32" s="219"/>
      <c r="AFW32" s="219"/>
      <c r="AFX32" s="219"/>
      <c r="AFY32" s="219"/>
      <c r="AFZ32" s="219"/>
      <c r="AGA32" s="219"/>
      <c r="AGB32" s="219"/>
      <c r="AGC32" s="219"/>
      <c r="AGD32" s="219"/>
      <c r="AGE32" s="219"/>
      <c r="AGF32" s="219"/>
      <c r="AGG32" s="219"/>
      <c r="AGH32" s="219"/>
      <c r="AGI32" s="219"/>
      <c r="AGJ32" s="219"/>
      <c r="AGK32" s="219"/>
      <c r="AGL32" s="219"/>
      <c r="AGM32" s="219"/>
      <c r="AGN32" s="219"/>
      <c r="AGO32" s="219"/>
      <c r="AGP32" s="219"/>
      <c r="AGQ32" s="219"/>
      <c r="AGR32" s="219"/>
      <c r="AGS32" s="219"/>
      <c r="AGT32" s="219"/>
      <c r="AGU32" s="219"/>
      <c r="AGV32" s="219"/>
      <c r="AGW32" s="219"/>
      <c r="AGX32" s="219"/>
      <c r="AGY32" s="219"/>
      <c r="AGZ32" s="219"/>
      <c r="AHA32" s="219"/>
      <c r="AHB32" s="219"/>
      <c r="AHC32" s="219"/>
      <c r="AHD32" s="219"/>
      <c r="AHE32" s="219"/>
      <c r="AHF32" s="219"/>
      <c r="AHG32" s="219"/>
      <c r="AHH32" s="219"/>
      <c r="AHI32" s="219"/>
      <c r="AHJ32" s="219"/>
      <c r="AHK32" s="219"/>
      <c r="AHL32" s="219"/>
      <c r="AHM32" s="219"/>
      <c r="AHN32" s="219"/>
      <c r="AHO32" s="219"/>
      <c r="AHP32" s="219"/>
      <c r="AHQ32" s="219"/>
      <c r="AHR32" s="219"/>
      <c r="AHS32" s="219"/>
      <c r="AHT32" s="219"/>
      <c r="AHU32" s="219"/>
      <c r="AHV32" s="219"/>
      <c r="AHW32" s="219"/>
      <c r="AHX32" s="219"/>
      <c r="AHY32" s="219"/>
      <c r="AHZ32" s="219"/>
      <c r="AIA32" s="219"/>
      <c r="AIB32" s="219"/>
      <c r="AIC32" s="219"/>
      <c r="AID32" s="219"/>
      <c r="AIE32" s="219"/>
      <c r="AIF32" s="219"/>
      <c r="AIG32" s="219"/>
      <c r="AIH32" s="219"/>
      <c r="AII32" s="219"/>
      <c r="AIJ32" s="219"/>
      <c r="AIK32" s="219"/>
      <c r="AIL32" s="219"/>
      <c r="AIM32" s="219"/>
      <c r="AIN32" s="219"/>
      <c r="AIO32" s="219"/>
      <c r="AIP32" s="219"/>
      <c r="AIQ32" s="219"/>
      <c r="AIR32" s="219"/>
      <c r="AIS32" s="219"/>
      <c r="AIT32" s="219"/>
      <c r="AIU32" s="219"/>
      <c r="AIV32" s="219"/>
      <c r="AIW32" s="219"/>
      <c r="AIX32" s="219"/>
      <c r="AIY32" s="219"/>
      <c r="AIZ32" s="219"/>
      <c r="AJA32" s="219"/>
      <c r="AJB32" s="219"/>
      <c r="AJC32" s="219"/>
      <c r="AJD32" s="219"/>
      <c r="AJE32" s="219"/>
      <c r="AJF32" s="219"/>
      <c r="AJG32" s="219"/>
      <c r="AJH32" s="219"/>
      <c r="AJI32" s="219"/>
      <c r="AJJ32" s="219"/>
      <c r="AJK32" s="219"/>
      <c r="AJL32" s="219"/>
      <c r="AJM32" s="219"/>
      <c r="AJN32" s="219"/>
      <c r="AJO32" s="219"/>
      <c r="AJP32" s="219"/>
      <c r="AJQ32" s="219"/>
      <c r="AJR32" s="219"/>
      <c r="AJS32" s="219"/>
      <c r="AJT32" s="219"/>
      <c r="AJU32" s="219"/>
      <c r="AJV32" s="219"/>
      <c r="AJW32" s="219"/>
      <c r="AJX32" s="219"/>
      <c r="AJY32" s="219"/>
      <c r="AJZ32" s="219"/>
      <c r="AKA32" s="219"/>
      <c r="AKB32" s="219"/>
      <c r="AKC32" s="219"/>
      <c r="AKD32" s="219"/>
      <c r="AKE32" s="219"/>
      <c r="AKF32" s="219"/>
      <c r="AKG32" s="219"/>
      <c r="AKH32" s="219"/>
      <c r="AKI32" s="219"/>
      <c r="AKJ32" s="219"/>
      <c r="AKK32" s="219"/>
      <c r="AKL32" s="219"/>
      <c r="AKM32" s="219"/>
      <c r="AKN32" s="219"/>
      <c r="AKO32" s="219"/>
      <c r="AKP32" s="219"/>
      <c r="AKQ32" s="219"/>
      <c r="AKR32" s="219"/>
      <c r="AKS32" s="219"/>
      <c r="AKT32" s="219"/>
      <c r="AKU32" s="219"/>
      <c r="AKV32" s="219"/>
      <c r="AKW32" s="219"/>
      <c r="AKX32" s="219"/>
      <c r="AKY32" s="219"/>
      <c r="AKZ32" s="219"/>
      <c r="ALA32" s="219"/>
      <c r="ALB32" s="219"/>
      <c r="ALC32" s="219"/>
      <c r="ALD32" s="219"/>
      <c r="ALE32" s="219"/>
      <c r="ALF32" s="219"/>
      <c r="ALG32" s="219"/>
      <c r="ALH32" s="219"/>
      <c r="ALI32" s="219"/>
      <c r="ALJ32" s="219"/>
      <c r="ALK32" s="219"/>
      <c r="ALL32" s="219"/>
      <c r="ALM32" s="219"/>
      <c r="ALN32" s="219"/>
      <c r="ALO32" s="219"/>
      <c r="ALP32" s="219"/>
      <c r="ALQ32" s="219"/>
      <c r="ALR32" s="219"/>
      <c r="ALS32" s="219"/>
      <c r="ALT32" s="219"/>
      <c r="ALU32" s="219"/>
      <c r="ALV32" s="219"/>
      <c r="ALW32" s="219"/>
      <c r="ALX32" s="219"/>
      <c r="ALY32" s="219"/>
      <c r="ALZ32" s="219"/>
      <c r="AMA32" s="219"/>
      <c r="AMB32" s="219"/>
      <c r="AMC32" s="219"/>
      <c r="AMD32" s="219"/>
      <c r="AME32" s="219"/>
      <c r="AMF32" s="219"/>
      <c r="AMG32" s="219"/>
      <c r="AMH32" s="219"/>
      <c r="AMI32" s="219"/>
      <c r="AMJ32" s="219"/>
      <c r="AMK32" s="219"/>
      <c r="AML32" s="219"/>
      <c r="AMM32" s="219"/>
      <c r="AMN32" s="219"/>
      <c r="AMO32" s="219"/>
      <c r="AMP32" s="219"/>
      <c r="AMQ32" s="219"/>
      <c r="AMR32" s="219"/>
      <c r="AMS32" s="219"/>
      <c r="AMT32" s="219"/>
      <c r="AMU32" s="219"/>
      <c r="AMV32" s="219"/>
      <c r="AMW32" s="219"/>
      <c r="AMX32" s="219"/>
      <c r="AMY32" s="219"/>
      <c r="AMZ32" s="219"/>
      <c r="ANA32" s="219"/>
      <c r="ANB32" s="219"/>
      <c r="ANC32" s="219"/>
      <c r="AND32" s="219"/>
      <c r="ANE32" s="219"/>
      <c r="ANF32" s="219"/>
      <c r="ANG32" s="219"/>
      <c r="ANH32" s="219"/>
      <c r="ANI32" s="219"/>
      <c r="ANJ32" s="219"/>
      <c r="ANK32" s="219"/>
      <c r="ANL32" s="219"/>
      <c r="ANM32" s="219"/>
      <c r="ANN32" s="219"/>
      <c r="ANO32" s="219"/>
      <c r="ANP32" s="219"/>
      <c r="ANQ32" s="219"/>
      <c r="ANR32" s="219"/>
      <c r="ANS32" s="219"/>
      <c r="ANT32" s="219"/>
      <c r="ANU32" s="219"/>
      <c r="ANV32" s="219"/>
      <c r="ANW32" s="219"/>
      <c r="ANX32" s="219"/>
      <c r="ANY32" s="219"/>
      <c r="ANZ32" s="219"/>
      <c r="AOA32" s="219"/>
      <c r="AOB32" s="219"/>
      <c r="AOC32" s="219"/>
      <c r="AOD32" s="219"/>
      <c r="AOE32" s="219"/>
      <c r="AOF32" s="219"/>
      <c r="AOG32" s="219"/>
      <c r="AOH32" s="219"/>
      <c r="AOI32" s="219"/>
      <c r="AOJ32" s="219"/>
      <c r="AOK32" s="219"/>
      <c r="AOL32" s="219"/>
      <c r="AOM32" s="219"/>
      <c r="AON32" s="219"/>
      <c r="AOO32" s="219"/>
      <c r="AOP32" s="219"/>
      <c r="AOQ32" s="219"/>
      <c r="AOR32" s="219"/>
      <c r="AOS32" s="219"/>
      <c r="AOT32" s="219"/>
      <c r="AOU32" s="219"/>
      <c r="AOV32" s="219"/>
      <c r="AOW32" s="219"/>
      <c r="AOX32" s="219"/>
      <c r="AOY32" s="219"/>
      <c r="AOZ32" s="219"/>
      <c r="APA32" s="219"/>
      <c r="APB32" s="219"/>
      <c r="APC32" s="219"/>
      <c r="APD32" s="219"/>
      <c r="APE32" s="219"/>
      <c r="APF32" s="219"/>
      <c r="APG32" s="219"/>
      <c r="APH32" s="219"/>
      <c r="API32" s="219"/>
      <c r="APJ32" s="219"/>
      <c r="APK32" s="219"/>
      <c r="APL32" s="219"/>
      <c r="APM32" s="219"/>
      <c r="APN32" s="219"/>
      <c r="APO32" s="219"/>
      <c r="APP32" s="219"/>
      <c r="APQ32" s="219"/>
      <c r="APR32" s="219"/>
      <c r="APS32" s="219"/>
      <c r="APT32" s="219"/>
      <c r="APU32" s="219"/>
      <c r="APV32" s="219"/>
      <c r="APW32" s="219"/>
      <c r="APX32" s="219"/>
      <c r="APY32" s="219"/>
      <c r="APZ32" s="219"/>
      <c r="AQA32" s="219"/>
      <c r="AQB32" s="219"/>
      <c r="AQC32" s="219"/>
      <c r="AQD32" s="219"/>
      <c r="AQE32" s="219"/>
      <c r="AQF32" s="219"/>
      <c r="AQG32" s="219"/>
      <c r="AQH32" s="219"/>
      <c r="AQI32" s="219"/>
      <c r="AQJ32" s="219"/>
      <c r="AQK32" s="219"/>
      <c r="AQL32" s="219"/>
      <c r="AQM32" s="219"/>
      <c r="AQN32" s="219"/>
      <c r="AQO32" s="219"/>
      <c r="AQP32" s="219"/>
      <c r="AQQ32" s="219"/>
      <c r="AQR32" s="219"/>
      <c r="AQS32" s="219"/>
      <c r="AQT32" s="219"/>
      <c r="AQU32" s="219"/>
      <c r="AQV32" s="219"/>
      <c r="AQW32" s="219"/>
      <c r="AQX32" s="219"/>
      <c r="AQY32" s="219"/>
      <c r="AQZ32" s="219"/>
      <c r="ARA32" s="219"/>
      <c r="ARB32" s="219"/>
      <c r="ARC32" s="219"/>
      <c r="ARD32" s="219"/>
      <c r="ARE32" s="219"/>
      <c r="ARF32" s="219"/>
      <c r="ARG32" s="219"/>
      <c r="ARH32" s="219"/>
      <c r="ARI32" s="219"/>
      <c r="ARJ32" s="219"/>
      <c r="ARK32" s="219"/>
      <c r="ARL32" s="219"/>
      <c r="ARM32" s="219"/>
      <c r="ARN32" s="219"/>
      <c r="ARO32" s="219"/>
      <c r="ARP32" s="219"/>
      <c r="ARQ32" s="219"/>
      <c r="ARR32" s="219"/>
      <c r="ARS32" s="219"/>
      <c r="ART32" s="219"/>
      <c r="ARU32" s="219"/>
      <c r="ARV32" s="219"/>
      <c r="ARW32" s="219"/>
      <c r="ARX32" s="219"/>
      <c r="ARY32" s="219"/>
      <c r="ARZ32" s="219"/>
      <c r="ASA32" s="219"/>
      <c r="ASB32" s="219"/>
      <c r="ASC32" s="219"/>
      <c r="ASD32" s="219"/>
      <c r="ASE32" s="219"/>
      <c r="ASF32" s="219"/>
      <c r="ASG32" s="219"/>
      <c r="ASH32" s="219"/>
      <c r="ASI32" s="219"/>
      <c r="ASJ32" s="219"/>
      <c r="ASK32" s="219"/>
      <c r="ASL32" s="219"/>
      <c r="ASM32" s="219"/>
      <c r="ASN32" s="219"/>
      <c r="ASO32" s="219"/>
      <c r="ASP32" s="219"/>
      <c r="ASQ32" s="219"/>
      <c r="ASR32" s="219"/>
      <c r="ASS32" s="219"/>
      <c r="AST32" s="219"/>
      <c r="ASU32" s="219"/>
      <c r="ASV32" s="219"/>
      <c r="ASW32" s="219"/>
      <c r="ASX32" s="219"/>
      <c r="ASY32" s="219"/>
      <c r="ASZ32" s="219"/>
      <c r="ATA32" s="219"/>
      <c r="ATB32" s="219"/>
      <c r="ATC32" s="219"/>
      <c r="ATD32" s="219"/>
      <c r="ATE32" s="219"/>
      <c r="ATF32" s="219"/>
      <c r="ATG32" s="219"/>
      <c r="ATH32" s="219"/>
      <c r="ATI32" s="219"/>
      <c r="ATJ32" s="219"/>
      <c r="ATK32" s="219"/>
      <c r="ATL32" s="219"/>
      <c r="ATM32" s="219"/>
      <c r="ATN32" s="219"/>
      <c r="ATO32" s="219"/>
      <c r="ATP32" s="219"/>
      <c r="ATQ32" s="219"/>
      <c r="ATR32" s="219"/>
      <c r="ATS32" s="219"/>
      <c r="ATT32" s="219"/>
      <c r="ATU32" s="219"/>
      <c r="ATV32" s="219"/>
      <c r="ATW32" s="219"/>
      <c r="ATX32" s="219"/>
      <c r="ATY32" s="219"/>
      <c r="ATZ32" s="219"/>
      <c r="AUA32" s="219"/>
      <c r="AUB32" s="219"/>
      <c r="AUC32" s="219"/>
      <c r="AUD32" s="219"/>
      <c r="AUE32" s="219"/>
      <c r="AUF32" s="219"/>
      <c r="AUG32" s="219"/>
      <c r="AUH32" s="219"/>
      <c r="AUI32" s="219"/>
      <c r="AUJ32" s="219"/>
      <c r="AUK32" s="219"/>
      <c r="AUL32" s="219"/>
      <c r="AUM32" s="219"/>
      <c r="AUN32" s="219"/>
      <c r="AUO32" s="219"/>
      <c r="AUP32" s="219"/>
      <c r="AUQ32" s="219"/>
      <c r="AUR32" s="219"/>
      <c r="AUS32" s="219"/>
      <c r="AUT32" s="219"/>
      <c r="AUU32" s="219"/>
      <c r="AUV32" s="219"/>
      <c r="AUW32" s="219"/>
      <c r="AUX32" s="219"/>
      <c r="AUY32" s="219"/>
      <c r="AUZ32" s="219"/>
      <c r="AVA32" s="219"/>
      <c r="AVB32" s="219"/>
      <c r="AVC32" s="219"/>
      <c r="AVD32" s="219"/>
      <c r="AVE32" s="219"/>
      <c r="AVF32" s="219"/>
      <c r="AVG32" s="219"/>
      <c r="AVH32" s="219"/>
      <c r="AVI32" s="219"/>
      <c r="AVJ32" s="219"/>
      <c r="AVK32" s="219"/>
      <c r="AVL32" s="219"/>
      <c r="AVM32" s="219"/>
      <c r="AVN32" s="219"/>
      <c r="AVO32" s="219"/>
      <c r="AVP32" s="219"/>
      <c r="AVQ32" s="219"/>
      <c r="AVR32" s="219"/>
      <c r="AVS32" s="219"/>
      <c r="AVT32" s="219"/>
      <c r="AVU32" s="219"/>
      <c r="AVV32" s="219"/>
      <c r="AVW32" s="219"/>
      <c r="AVX32" s="219"/>
      <c r="AVY32" s="219"/>
      <c r="AVZ32" s="219"/>
      <c r="AWA32" s="219"/>
      <c r="AWB32" s="219"/>
      <c r="AWC32" s="219"/>
      <c r="AWD32" s="219"/>
      <c r="AWE32" s="219"/>
      <c r="AWF32" s="219"/>
      <c r="AWG32" s="219"/>
      <c r="AWH32" s="219"/>
      <c r="AWI32" s="219"/>
      <c r="AWJ32" s="219"/>
      <c r="AWK32" s="219"/>
      <c r="AWL32" s="219"/>
      <c r="AWM32" s="219"/>
      <c r="AWN32" s="219"/>
      <c r="AWO32" s="219"/>
      <c r="AWP32" s="219"/>
      <c r="AWQ32" s="219"/>
      <c r="AWR32" s="219"/>
      <c r="AWS32" s="219"/>
      <c r="AWT32" s="219"/>
      <c r="AWU32" s="219"/>
      <c r="AWV32" s="219"/>
      <c r="AWW32" s="219"/>
      <c r="AWX32" s="219"/>
      <c r="AWY32" s="219"/>
      <c r="AWZ32" s="219"/>
      <c r="AXA32" s="219"/>
      <c r="AXB32" s="219"/>
      <c r="AXC32" s="219"/>
      <c r="AXD32" s="219"/>
      <c r="AXE32" s="219"/>
      <c r="AXF32" s="219"/>
      <c r="AXG32" s="219"/>
      <c r="AXH32" s="219"/>
      <c r="AXI32" s="219"/>
      <c r="AXJ32" s="219"/>
      <c r="AXK32" s="219"/>
      <c r="AXL32" s="219"/>
      <c r="AXM32" s="219"/>
      <c r="AXN32" s="219"/>
      <c r="AXO32" s="219"/>
      <c r="AXP32" s="219"/>
      <c r="AXQ32" s="219"/>
      <c r="AXR32" s="219"/>
      <c r="AXS32" s="219"/>
      <c r="AXT32" s="219"/>
      <c r="AXU32" s="219"/>
      <c r="AXV32" s="219"/>
      <c r="AXW32" s="219"/>
      <c r="AXX32" s="219"/>
      <c r="AXY32" s="219"/>
      <c r="AXZ32" s="219"/>
      <c r="AYA32" s="219"/>
      <c r="AYB32" s="219"/>
      <c r="AYC32" s="219"/>
      <c r="AYD32" s="219"/>
      <c r="AYE32" s="219"/>
      <c r="AYF32" s="219"/>
      <c r="AYG32" s="219"/>
      <c r="AYH32" s="219"/>
      <c r="AYI32" s="219"/>
      <c r="AYJ32" s="219"/>
      <c r="AYK32" s="219"/>
      <c r="AYL32" s="219"/>
      <c r="AYM32" s="219"/>
      <c r="AYN32" s="219"/>
      <c r="AYO32" s="219"/>
      <c r="AYP32" s="219"/>
      <c r="AYQ32" s="219"/>
      <c r="AYR32" s="219"/>
      <c r="AYS32" s="219"/>
      <c r="AYT32" s="219"/>
      <c r="AYU32" s="219"/>
      <c r="AYV32" s="219"/>
      <c r="AYW32" s="219"/>
      <c r="AYX32" s="219"/>
      <c r="AYY32" s="219"/>
      <c r="AYZ32" s="219"/>
      <c r="AZA32" s="219"/>
      <c r="AZB32" s="219"/>
      <c r="AZC32" s="219"/>
      <c r="AZD32" s="219"/>
      <c r="AZE32" s="219"/>
      <c r="AZF32" s="219"/>
      <c r="AZG32" s="219"/>
      <c r="AZH32" s="219"/>
      <c r="AZI32" s="219"/>
      <c r="AZJ32" s="219"/>
      <c r="AZK32" s="219"/>
      <c r="AZL32" s="219"/>
      <c r="AZM32" s="219"/>
      <c r="AZN32" s="219"/>
      <c r="AZO32" s="219"/>
      <c r="AZP32" s="219"/>
      <c r="AZQ32" s="219"/>
      <c r="AZR32" s="219"/>
      <c r="AZS32" s="219"/>
      <c r="AZT32" s="219"/>
      <c r="AZU32" s="219"/>
      <c r="AZV32" s="219"/>
      <c r="AZW32" s="219"/>
      <c r="AZX32" s="219"/>
      <c r="AZY32" s="219"/>
      <c r="AZZ32" s="219"/>
      <c r="BAA32" s="219"/>
      <c r="BAB32" s="219"/>
      <c r="BAC32" s="219"/>
      <c r="BAD32" s="219"/>
      <c r="BAE32" s="219"/>
      <c r="BAF32" s="219"/>
      <c r="BAG32" s="219"/>
      <c r="BAH32" s="219"/>
      <c r="BAI32" s="219"/>
      <c r="BAJ32" s="219"/>
      <c r="BAK32" s="219"/>
      <c r="BAL32" s="219"/>
      <c r="BAM32" s="219"/>
      <c r="BAN32" s="219"/>
      <c r="BAO32" s="219"/>
      <c r="BAP32" s="219"/>
      <c r="BAQ32" s="219"/>
      <c r="BAR32" s="219"/>
      <c r="BAS32" s="219"/>
      <c r="BAT32" s="219"/>
      <c r="BAU32" s="219"/>
      <c r="BAV32" s="219"/>
      <c r="BAW32" s="219"/>
      <c r="BAX32" s="219"/>
      <c r="BAY32" s="219"/>
      <c r="BAZ32" s="219"/>
      <c r="BBA32" s="219"/>
      <c r="BBB32" s="219"/>
      <c r="BBC32" s="219"/>
      <c r="BBD32" s="219"/>
      <c r="BBE32" s="219"/>
      <c r="BBF32" s="219"/>
      <c r="BBG32" s="219"/>
      <c r="BBH32" s="219"/>
      <c r="BBI32" s="219"/>
      <c r="BBJ32" s="219"/>
      <c r="BBK32" s="219"/>
      <c r="BBL32" s="219"/>
      <c r="BBM32" s="219"/>
      <c r="BBN32" s="219"/>
      <c r="BBO32" s="219"/>
      <c r="BBP32" s="219"/>
      <c r="BBQ32" s="219"/>
      <c r="BBR32" s="219"/>
      <c r="BBS32" s="219"/>
      <c r="BBT32" s="219"/>
      <c r="BBU32" s="219"/>
      <c r="BBV32" s="219"/>
      <c r="BBW32" s="219"/>
      <c r="BBX32" s="219"/>
      <c r="BBY32" s="219"/>
      <c r="BBZ32" s="219"/>
      <c r="BCA32" s="219"/>
      <c r="BCB32" s="219"/>
      <c r="BCC32" s="219"/>
      <c r="BCD32" s="219"/>
      <c r="BCE32" s="219"/>
      <c r="BCF32" s="219"/>
      <c r="BCG32" s="219"/>
      <c r="BCH32" s="219"/>
      <c r="BCI32" s="219"/>
      <c r="BCJ32" s="219"/>
      <c r="BCK32" s="219"/>
      <c r="BCL32" s="219"/>
      <c r="BCM32" s="219"/>
      <c r="BCN32" s="219"/>
      <c r="BCO32" s="219"/>
      <c r="BCP32" s="219"/>
      <c r="BCQ32" s="219"/>
      <c r="BCR32" s="219"/>
      <c r="BCS32" s="219"/>
      <c r="BCT32" s="219"/>
      <c r="BCU32" s="219"/>
      <c r="BCV32" s="219"/>
      <c r="BCW32" s="219"/>
      <c r="BCX32" s="219"/>
      <c r="BCY32" s="219"/>
      <c r="BCZ32" s="219"/>
      <c r="BDA32" s="219"/>
      <c r="BDB32" s="219"/>
      <c r="BDC32" s="219"/>
      <c r="BDD32" s="219"/>
      <c r="BDE32" s="219"/>
      <c r="BDF32" s="219"/>
      <c r="BDG32" s="219"/>
      <c r="BDH32" s="219"/>
      <c r="BDI32" s="219"/>
      <c r="BDJ32" s="219"/>
      <c r="BDK32" s="219"/>
      <c r="BDL32" s="219"/>
      <c r="BDM32" s="219"/>
      <c r="BDN32" s="219"/>
      <c r="BDO32" s="219"/>
      <c r="BDP32" s="219"/>
      <c r="BDQ32" s="219"/>
      <c r="BDR32" s="219"/>
      <c r="BDS32" s="219"/>
      <c r="BDT32" s="219"/>
      <c r="BDU32" s="219"/>
      <c r="BDV32" s="219"/>
      <c r="BDW32" s="219"/>
      <c r="BDX32" s="219"/>
      <c r="BDY32" s="219"/>
      <c r="BDZ32" s="219"/>
      <c r="BEA32" s="219"/>
      <c r="BEB32" s="219"/>
      <c r="BEC32" s="219"/>
      <c r="BED32" s="219"/>
      <c r="BEE32" s="219"/>
      <c r="BEF32" s="219"/>
      <c r="BEG32" s="219"/>
      <c r="BEH32" s="219"/>
      <c r="BEI32" s="219"/>
      <c r="BEJ32" s="219"/>
      <c r="BEK32" s="219"/>
      <c r="BEL32" s="219"/>
      <c r="BEM32" s="219"/>
      <c r="BEN32" s="219"/>
      <c r="BEO32" s="219"/>
      <c r="BEP32" s="219"/>
      <c r="BEQ32" s="219"/>
      <c r="BER32" s="219"/>
      <c r="BES32" s="219"/>
      <c r="BET32" s="219"/>
      <c r="BEU32" s="219"/>
      <c r="BEV32" s="219"/>
      <c r="BEW32" s="219"/>
      <c r="BEX32" s="219"/>
      <c r="BEY32" s="219"/>
      <c r="BEZ32" s="219"/>
      <c r="BFA32" s="219"/>
      <c r="BFB32" s="219"/>
      <c r="BFC32" s="219"/>
      <c r="BFD32" s="219"/>
      <c r="BFE32" s="219"/>
      <c r="BFF32" s="219"/>
      <c r="BFG32" s="219"/>
      <c r="BFH32" s="219"/>
      <c r="BFI32" s="219"/>
      <c r="BFJ32" s="219"/>
      <c r="BFK32" s="219"/>
      <c r="BFL32" s="219"/>
      <c r="BFM32" s="219"/>
      <c r="BFN32" s="219"/>
      <c r="BFO32" s="219"/>
      <c r="BFP32" s="219"/>
      <c r="BFQ32" s="219"/>
      <c r="BFR32" s="219"/>
      <c r="BFS32" s="219"/>
      <c r="BFT32" s="219"/>
      <c r="BFU32" s="219"/>
      <c r="BFV32" s="219"/>
      <c r="BFW32" s="219"/>
      <c r="BFX32" s="219"/>
      <c r="BFY32" s="219"/>
      <c r="BFZ32" s="219"/>
      <c r="BGA32" s="219"/>
      <c r="BGB32" s="219"/>
      <c r="BGC32" s="219"/>
      <c r="BGD32" s="219"/>
      <c r="BGE32" s="219"/>
      <c r="BGF32" s="219"/>
      <c r="BGG32" s="219"/>
      <c r="BGH32" s="219"/>
      <c r="BGI32" s="219"/>
      <c r="BGJ32" s="219"/>
      <c r="BGK32" s="219"/>
      <c r="BGL32" s="219"/>
      <c r="BGM32" s="219"/>
      <c r="BGN32" s="219"/>
      <c r="BGO32" s="219"/>
      <c r="BGP32" s="219"/>
      <c r="BGQ32" s="219"/>
      <c r="BGR32" s="219"/>
      <c r="BGS32" s="219"/>
      <c r="BGT32" s="219"/>
      <c r="BGU32" s="219"/>
      <c r="BGV32" s="219"/>
      <c r="BGW32" s="219"/>
      <c r="BGX32" s="219"/>
      <c r="BGY32" s="219"/>
      <c r="BGZ32" s="219"/>
      <c r="BHA32" s="219"/>
      <c r="BHB32" s="219"/>
      <c r="BHC32" s="219"/>
      <c r="BHD32" s="219"/>
      <c r="BHE32" s="219"/>
      <c r="BHF32" s="219"/>
      <c r="BHG32" s="219"/>
      <c r="BHH32" s="219"/>
      <c r="BHI32" s="219"/>
      <c r="BHJ32" s="219"/>
      <c r="BHK32" s="219"/>
      <c r="BHL32" s="219"/>
      <c r="BHM32" s="219"/>
      <c r="BHN32" s="219"/>
      <c r="BHO32" s="219"/>
      <c r="BHP32" s="219"/>
      <c r="BHQ32" s="219"/>
      <c r="BHR32" s="219"/>
      <c r="BHS32" s="219"/>
      <c r="BHT32" s="219"/>
      <c r="BHU32" s="219"/>
      <c r="BHV32" s="219"/>
      <c r="BHW32" s="219"/>
      <c r="BHX32" s="219"/>
      <c r="BHY32" s="219"/>
      <c r="BHZ32" s="219"/>
      <c r="BIA32" s="219"/>
      <c r="BIB32" s="219"/>
      <c r="BIC32" s="219"/>
      <c r="BID32" s="219"/>
      <c r="BIE32" s="219"/>
      <c r="BIF32" s="219"/>
      <c r="BIG32" s="219"/>
      <c r="BIH32" s="219"/>
      <c r="BII32" s="219"/>
      <c r="BIJ32" s="219"/>
      <c r="BIK32" s="219"/>
      <c r="BIL32" s="219"/>
      <c r="BIM32" s="219"/>
      <c r="BIN32" s="219"/>
      <c r="BIO32" s="219"/>
      <c r="BIP32" s="219"/>
      <c r="BIQ32" s="219"/>
      <c r="BIR32" s="219"/>
      <c r="BIS32" s="219"/>
      <c r="BIT32" s="219"/>
      <c r="BIU32" s="219"/>
      <c r="BIV32" s="219"/>
      <c r="BIW32" s="219"/>
      <c r="BIX32" s="219"/>
      <c r="BIY32" s="219"/>
      <c r="BIZ32" s="219"/>
      <c r="BJA32" s="219"/>
      <c r="BJB32" s="219"/>
      <c r="BJC32" s="219"/>
      <c r="BJD32" s="219"/>
      <c r="BJE32" s="219"/>
      <c r="BJF32" s="219"/>
      <c r="BJG32" s="219"/>
      <c r="BJH32" s="219"/>
      <c r="BJI32" s="219"/>
      <c r="BJJ32" s="219"/>
      <c r="BJK32" s="219"/>
      <c r="BJL32" s="219"/>
      <c r="BJM32" s="219"/>
      <c r="BJN32" s="219"/>
      <c r="BJO32" s="219"/>
      <c r="BJP32" s="219"/>
      <c r="BJQ32" s="219"/>
      <c r="BJR32" s="219"/>
      <c r="BJS32" s="219"/>
      <c r="BJT32" s="219"/>
      <c r="BJU32" s="219"/>
      <c r="BJV32" s="219"/>
      <c r="BJW32" s="219"/>
      <c r="BJX32" s="219"/>
      <c r="BJY32" s="219"/>
      <c r="BJZ32" s="219"/>
      <c r="BKA32" s="219"/>
      <c r="BKB32" s="219"/>
      <c r="BKC32" s="219"/>
      <c r="BKD32" s="219"/>
      <c r="BKE32" s="219"/>
      <c r="BKF32" s="219"/>
      <c r="BKG32" s="219"/>
      <c r="BKH32" s="219"/>
      <c r="BKI32" s="219"/>
      <c r="BKJ32" s="219"/>
      <c r="BKK32" s="219"/>
      <c r="BKL32" s="219"/>
      <c r="BKM32" s="219"/>
      <c r="BKN32" s="219"/>
      <c r="BKO32" s="219"/>
      <c r="BKP32" s="219"/>
      <c r="BKQ32" s="219"/>
      <c r="BKR32" s="219"/>
      <c r="BKS32" s="219"/>
      <c r="BKT32" s="219"/>
      <c r="BKU32" s="219"/>
      <c r="BKV32" s="219"/>
      <c r="BKW32" s="219"/>
      <c r="BKX32" s="219"/>
      <c r="BKY32" s="219"/>
      <c r="BKZ32" s="219"/>
      <c r="BLA32" s="219"/>
      <c r="BLB32" s="219"/>
      <c r="BLC32" s="219"/>
      <c r="BLD32" s="219"/>
      <c r="BLE32" s="219"/>
      <c r="BLF32" s="219"/>
      <c r="BLG32" s="219"/>
      <c r="BLH32" s="219"/>
      <c r="BLI32" s="219"/>
      <c r="BLJ32" s="219"/>
      <c r="BLK32" s="219"/>
      <c r="BLL32" s="219"/>
      <c r="BLM32" s="219"/>
      <c r="BLN32" s="219"/>
      <c r="BLO32" s="219"/>
      <c r="BLP32" s="219"/>
      <c r="BLQ32" s="219"/>
      <c r="BLR32" s="219"/>
      <c r="BLS32" s="219"/>
      <c r="BLT32" s="219"/>
      <c r="BLU32" s="219"/>
      <c r="BLV32" s="219"/>
      <c r="BLW32" s="219"/>
      <c r="BLX32" s="219"/>
      <c r="BLY32" s="219"/>
      <c r="BLZ32" s="219"/>
      <c r="BMA32" s="219"/>
      <c r="BMB32" s="219"/>
      <c r="BMC32" s="219"/>
      <c r="BMD32" s="219"/>
      <c r="BME32" s="219"/>
      <c r="BMF32" s="219"/>
      <c r="BMG32" s="219"/>
      <c r="BMH32" s="219"/>
      <c r="BMI32" s="219"/>
      <c r="BMJ32" s="219"/>
      <c r="BMK32" s="219"/>
      <c r="BML32" s="219"/>
      <c r="BMM32" s="219"/>
      <c r="BMN32" s="219"/>
      <c r="BMO32" s="219"/>
      <c r="BMP32" s="219"/>
      <c r="BMQ32" s="219"/>
      <c r="BMR32" s="219"/>
      <c r="BMS32" s="219"/>
      <c r="BMT32" s="219"/>
      <c r="BMU32" s="219"/>
      <c r="BMV32" s="219"/>
      <c r="BMW32" s="219"/>
      <c r="BMX32" s="219"/>
      <c r="BMY32" s="219"/>
      <c r="BMZ32" s="219"/>
      <c r="BNA32" s="219"/>
      <c r="BNB32" s="219"/>
      <c r="BNC32" s="219"/>
      <c r="BND32" s="219"/>
      <c r="BNE32" s="219"/>
      <c r="BNF32" s="219"/>
      <c r="BNG32" s="219"/>
      <c r="BNH32" s="219"/>
      <c r="BNI32" s="219"/>
      <c r="BNJ32" s="219"/>
      <c r="BNK32" s="219"/>
      <c r="BNL32" s="219"/>
      <c r="BNM32" s="219"/>
      <c r="BNN32" s="219"/>
      <c r="BNO32" s="219"/>
      <c r="BNP32" s="219"/>
      <c r="BNQ32" s="219"/>
      <c r="BNR32" s="219"/>
      <c r="BNS32" s="219"/>
      <c r="BNT32" s="219"/>
      <c r="BNU32" s="219"/>
      <c r="BNV32" s="219"/>
      <c r="BNW32" s="219"/>
      <c r="BNX32" s="219"/>
      <c r="BNY32" s="219"/>
      <c r="BNZ32" s="219"/>
      <c r="BOA32" s="219"/>
      <c r="BOB32" s="219"/>
      <c r="BOC32" s="219"/>
      <c r="BOD32" s="219"/>
      <c r="BOE32" s="219"/>
      <c r="BOF32" s="219"/>
      <c r="BOG32" s="219"/>
      <c r="BOH32" s="219"/>
      <c r="BOI32" s="219"/>
      <c r="BOJ32" s="219"/>
      <c r="BOK32" s="219"/>
      <c r="BOL32" s="219"/>
      <c r="BOM32" s="219"/>
      <c r="BON32" s="219"/>
      <c r="BOO32" s="219"/>
      <c r="BOP32" s="219"/>
      <c r="BOQ32" s="219"/>
      <c r="BOR32" s="219"/>
      <c r="BOS32" s="219"/>
      <c r="BOT32" s="219"/>
      <c r="BOU32" s="219"/>
      <c r="BOV32" s="219"/>
      <c r="BOW32" s="219"/>
      <c r="BOX32" s="219"/>
      <c r="BOY32" s="219"/>
      <c r="BOZ32" s="219"/>
      <c r="BPA32" s="219"/>
      <c r="BPB32" s="219"/>
      <c r="BPC32" s="219"/>
      <c r="BPD32" s="219"/>
      <c r="BPE32" s="219"/>
      <c r="BPF32" s="219"/>
      <c r="BPG32" s="219"/>
      <c r="BPH32" s="219"/>
      <c r="BPI32" s="219"/>
      <c r="BPJ32" s="219"/>
      <c r="BPK32" s="219"/>
      <c r="BPL32" s="219"/>
      <c r="BPM32" s="219"/>
      <c r="BPN32" s="219"/>
      <c r="BPO32" s="219"/>
      <c r="BPP32" s="219"/>
      <c r="BPQ32" s="219"/>
      <c r="BPR32" s="219"/>
      <c r="BPS32" s="219"/>
      <c r="BPT32" s="219"/>
      <c r="BPU32" s="219"/>
      <c r="BPV32" s="219"/>
      <c r="BPW32" s="219"/>
      <c r="BPX32" s="219"/>
      <c r="BPY32" s="219"/>
      <c r="BPZ32" s="219"/>
      <c r="BQA32" s="219"/>
      <c r="BQB32" s="219"/>
      <c r="BQC32" s="219"/>
      <c r="BQD32" s="219"/>
      <c r="BQE32" s="219"/>
      <c r="BQF32" s="219"/>
      <c r="BQG32" s="219"/>
      <c r="BQH32" s="219"/>
      <c r="BQI32" s="219"/>
      <c r="BQJ32" s="219"/>
      <c r="BQK32" s="219"/>
      <c r="BQL32" s="219"/>
      <c r="BQM32" s="219"/>
      <c r="BQN32" s="219"/>
      <c r="BQO32" s="219"/>
      <c r="BQP32" s="219"/>
      <c r="BQQ32" s="219"/>
      <c r="BQR32" s="219"/>
      <c r="BQS32" s="219"/>
      <c r="BQT32" s="219"/>
      <c r="BQU32" s="219"/>
      <c r="BQV32" s="219"/>
      <c r="BQW32" s="219"/>
      <c r="BQX32" s="219"/>
      <c r="BQY32" s="219"/>
      <c r="BQZ32" s="219"/>
      <c r="BRA32" s="219"/>
      <c r="BRB32" s="219"/>
      <c r="BRC32" s="219"/>
      <c r="BRD32" s="219"/>
      <c r="BRE32" s="219"/>
      <c r="BRF32" s="219"/>
      <c r="BRG32" s="219"/>
      <c r="BRH32" s="219"/>
      <c r="BRI32" s="219"/>
      <c r="BRJ32" s="219"/>
      <c r="BRK32" s="219"/>
      <c r="BRL32" s="219"/>
      <c r="BRM32" s="219"/>
      <c r="BRN32" s="219"/>
      <c r="BRO32" s="219"/>
      <c r="BRP32" s="219"/>
      <c r="BRQ32" s="219"/>
      <c r="BRR32" s="219"/>
      <c r="BRS32" s="219"/>
      <c r="BRT32" s="219"/>
      <c r="BRU32" s="219"/>
      <c r="BRV32" s="219"/>
      <c r="BRW32" s="219"/>
      <c r="BRX32" s="219"/>
      <c r="BRY32" s="219"/>
      <c r="BRZ32" s="219"/>
      <c r="BSA32" s="219"/>
      <c r="BSB32" s="219"/>
      <c r="BSC32" s="219"/>
      <c r="BSD32" s="219"/>
      <c r="BSE32" s="219"/>
      <c r="BSF32" s="219"/>
      <c r="BSG32" s="219"/>
      <c r="BSH32" s="219"/>
      <c r="BSI32" s="219"/>
      <c r="BSJ32" s="219"/>
      <c r="BSK32" s="219"/>
      <c r="BSL32" s="219"/>
      <c r="BSM32" s="219"/>
      <c r="BSN32" s="219"/>
      <c r="BSO32" s="219"/>
      <c r="BSP32" s="219"/>
      <c r="BSQ32" s="219"/>
      <c r="BSR32" s="219"/>
      <c r="BSS32" s="219"/>
      <c r="BST32" s="219"/>
      <c r="BSU32" s="219"/>
      <c r="BSV32" s="219"/>
      <c r="BSW32" s="219"/>
      <c r="BSX32" s="219"/>
      <c r="BSY32" s="219"/>
      <c r="BSZ32" s="219"/>
      <c r="BTA32" s="219"/>
      <c r="BTB32" s="219"/>
      <c r="BTC32" s="219"/>
      <c r="BTD32" s="219"/>
      <c r="BTE32" s="219"/>
      <c r="BTF32" s="219"/>
      <c r="BTG32" s="219"/>
      <c r="BTH32" s="219"/>
      <c r="BTI32" s="219"/>
      <c r="BTJ32" s="219"/>
      <c r="BTK32" s="219"/>
      <c r="BTL32" s="219"/>
      <c r="BTM32" s="219"/>
      <c r="BTN32" s="219"/>
      <c r="BTO32" s="219"/>
      <c r="BTP32" s="219"/>
      <c r="BTQ32" s="219"/>
      <c r="BTR32" s="219"/>
      <c r="BTS32" s="219"/>
      <c r="BTT32" s="219"/>
      <c r="BTU32" s="219"/>
      <c r="BTV32" s="219"/>
      <c r="BTW32" s="219"/>
      <c r="BTX32" s="219"/>
      <c r="BTY32" s="219"/>
      <c r="BTZ32" s="219"/>
      <c r="BUA32" s="219"/>
      <c r="BUB32" s="219"/>
      <c r="BUC32" s="219"/>
      <c r="BUD32" s="219"/>
      <c r="BUE32" s="219"/>
      <c r="BUF32" s="219"/>
      <c r="BUG32" s="219"/>
      <c r="BUH32" s="219"/>
      <c r="BUI32" s="219"/>
      <c r="BUJ32" s="219"/>
      <c r="BUK32" s="219"/>
      <c r="BUL32" s="219"/>
      <c r="BUM32" s="219"/>
      <c r="BUN32" s="219"/>
      <c r="BUO32" s="219"/>
      <c r="BUP32" s="219"/>
      <c r="BUQ32" s="219"/>
      <c r="BUR32" s="219"/>
      <c r="BUS32" s="219"/>
      <c r="BUT32" s="219"/>
      <c r="BUU32" s="219"/>
      <c r="BUV32" s="219"/>
      <c r="BUW32" s="219"/>
      <c r="BUX32" s="219"/>
      <c r="BUY32" s="219"/>
      <c r="BUZ32" s="219"/>
      <c r="BVA32" s="219"/>
      <c r="BVB32" s="219"/>
      <c r="BVC32" s="219"/>
      <c r="BVD32" s="219"/>
      <c r="BVE32" s="219"/>
      <c r="BVF32" s="219"/>
      <c r="BVG32" s="219"/>
      <c r="BVH32" s="219"/>
      <c r="BVI32" s="219"/>
      <c r="BVJ32" s="219"/>
      <c r="BVK32" s="219"/>
      <c r="BVL32" s="219"/>
      <c r="BVM32" s="219"/>
      <c r="BVN32" s="219"/>
      <c r="BVO32" s="219"/>
      <c r="BVP32" s="219"/>
      <c r="BVQ32" s="219"/>
      <c r="BVR32" s="219"/>
      <c r="BVS32" s="219"/>
      <c r="BVT32" s="219"/>
      <c r="BVU32" s="219"/>
      <c r="BVV32" s="219"/>
      <c r="BVW32" s="219"/>
      <c r="BVX32" s="219"/>
      <c r="BVY32" s="219"/>
      <c r="BVZ32" s="219"/>
      <c r="BWA32" s="219"/>
      <c r="BWB32" s="219"/>
      <c r="BWC32" s="219"/>
      <c r="BWD32" s="219"/>
      <c r="BWE32" s="219"/>
      <c r="BWF32" s="219"/>
      <c r="BWG32" s="219"/>
      <c r="BWH32" s="219"/>
      <c r="BWI32" s="219"/>
      <c r="BWJ32" s="219"/>
      <c r="BWK32" s="219"/>
      <c r="BWL32" s="219"/>
      <c r="BWM32" s="219"/>
      <c r="BWN32" s="219"/>
      <c r="BWO32" s="219"/>
      <c r="BWP32" s="219"/>
      <c r="BWQ32" s="219"/>
      <c r="BWR32" s="219"/>
      <c r="BWS32" s="219"/>
      <c r="BWT32" s="219"/>
      <c r="BWU32" s="219"/>
      <c r="BWV32" s="219"/>
      <c r="BWW32" s="219"/>
      <c r="BWX32" s="219"/>
      <c r="BWY32" s="219"/>
      <c r="BWZ32" s="219"/>
      <c r="BXA32" s="219"/>
      <c r="BXB32" s="219"/>
      <c r="BXC32" s="219"/>
      <c r="BXD32" s="219"/>
      <c r="BXE32" s="219"/>
      <c r="BXF32" s="219"/>
      <c r="BXG32" s="219"/>
      <c r="BXH32" s="219"/>
      <c r="BXI32" s="219"/>
      <c r="BXJ32" s="219"/>
      <c r="BXK32" s="219"/>
      <c r="BXL32" s="219"/>
      <c r="BXM32" s="219"/>
      <c r="BXN32" s="219"/>
      <c r="BXO32" s="219"/>
      <c r="BXP32" s="219"/>
      <c r="BXQ32" s="219"/>
      <c r="BXR32" s="219"/>
      <c r="BXS32" s="219"/>
      <c r="BXT32" s="219"/>
      <c r="BXU32" s="219"/>
      <c r="BXV32" s="219"/>
      <c r="BXW32" s="219"/>
      <c r="BXX32" s="219"/>
      <c r="BXY32" s="219"/>
      <c r="BXZ32" s="219"/>
      <c r="BYA32" s="219"/>
      <c r="BYB32" s="219"/>
      <c r="BYC32" s="219"/>
      <c r="BYD32" s="219"/>
      <c r="BYE32" s="219"/>
      <c r="BYF32" s="219"/>
      <c r="BYG32" s="219"/>
    </row>
    <row r="33" spans="1:2009" s="94" customFormat="1" ht="17.25" customHeight="1" thickBot="1" x14ac:dyDescent="0.3">
      <c r="A33" s="111"/>
      <c r="B33" s="111"/>
      <c r="C33" s="176"/>
      <c r="D33" s="176"/>
      <c r="E33" s="176"/>
      <c r="F33" s="176"/>
      <c r="G33" s="715"/>
    </row>
    <row r="34" spans="1:2009" s="113" customFormat="1" ht="24.95" hidden="1" customHeight="1" x14ac:dyDescent="0.25">
      <c r="A34" s="141" t="s">
        <v>42</v>
      </c>
      <c r="B34" s="142"/>
      <c r="C34" s="185"/>
      <c r="D34" s="185"/>
      <c r="E34" s="186"/>
      <c r="F34" s="186"/>
      <c r="G34" s="722"/>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row>
    <row r="35" spans="1:2009" s="115" customFormat="1" ht="24.95" hidden="1" customHeight="1" x14ac:dyDescent="0.25">
      <c r="A35" s="143"/>
      <c r="B35" s="114" t="s">
        <v>43</v>
      </c>
      <c r="C35" s="183"/>
      <c r="D35" s="183"/>
      <c r="E35" s="184"/>
      <c r="F35" s="184"/>
      <c r="G35" s="720"/>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row>
    <row r="36" spans="1:2009" s="220" customFormat="1" ht="24.95" hidden="1" customHeight="1" thickBot="1" x14ac:dyDescent="0.3">
      <c r="A36" s="221"/>
      <c r="B36" s="216" t="s">
        <v>75</v>
      </c>
      <c r="C36" s="217"/>
      <c r="D36" s="217"/>
      <c r="E36" s="217"/>
      <c r="F36" s="217"/>
      <c r="G36" s="721"/>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c r="EG36" s="219"/>
      <c r="EH36" s="219"/>
      <c r="EI36" s="219"/>
      <c r="EJ36" s="219"/>
      <c r="EK36" s="219"/>
      <c r="EL36" s="219"/>
      <c r="EM36" s="219"/>
      <c r="EN36" s="219"/>
      <c r="EO36" s="219"/>
      <c r="EP36" s="219"/>
      <c r="EQ36" s="219"/>
      <c r="ER36" s="219"/>
      <c r="ES36" s="219"/>
      <c r="ET36" s="219"/>
      <c r="EU36" s="219"/>
      <c r="EV36" s="219"/>
      <c r="EW36" s="219"/>
      <c r="EX36" s="219"/>
      <c r="EY36" s="219"/>
      <c r="EZ36" s="219"/>
      <c r="FA36" s="219"/>
      <c r="FB36" s="219"/>
      <c r="FC36" s="219"/>
      <c r="FD36" s="219"/>
      <c r="FE36" s="219"/>
      <c r="FF36" s="219"/>
      <c r="FG36" s="219"/>
      <c r="FH36" s="219"/>
      <c r="FI36" s="219"/>
      <c r="FJ36" s="219"/>
      <c r="FK36" s="219"/>
      <c r="FL36" s="219"/>
      <c r="FM36" s="219"/>
      <c r="FN36" s="219"/>
      <c r="FO36" s="219"/>
      <c r="FP36" s="219"/>
      <c r="FQ36" s="219"/>
      <c r="FR36" s="219"/>
      <c r="FS36" s="219"/>
      <c r="FT36" s="219"/>
      <c r="FU36" s="219"/>
      <c r="FV36" s="219"/>
      <c r="FW36" s="219"/>
      <c r="FX36" s="219"/>
      <c r="FY36" s="219"/>
      <c r="FZ36" s="219"/>
      <c r="GA36" s="219"/>
      <c r="GB36" s="219"/>
      <c r="GC36" s="219"/>
      <c r="GD36" s="219"/>
      <c r="GE36" s="219"/>
      <c r="GF36" s="219"/>
      <c r="GG36" s="219"/>
      <c r="GH36" s="219"/>
      <c r="GI36" s="219"/>
      <c r="GJ36" s="219"/>
      <c r="GK36" s="219"/>
      <c r="GL36" s="219"/>
      <c r="GM36" s="219"/>
      <c r="GN36" s="219"/>
      <c r="GO36" s="219"/>
      <c r="GP36" s="219"/>
      <c r="GQ36" s="219"/>
      <c r="GR36" s="219"/>
      <c r="GS36" s="219"/>
      <c r="GT36" s="219"/>
      <c r="GU36" s="219"/>
      <c r="GV36" s="219"/>
      <c r="GW36" s="219"/>
      <c r="GX36" s="219"/>
      <c r="GY36" s="219"/>
      <c r="GZ36" s="219"/>
      <c r="HA36" s="219"/>
      <c r="HB36" s="219"/>
      <c r="HC36" s="219"/>
      <c r="HD36" s="219"/>
      <c r="HE36" s="219"/>
      <c r="HF36" s="219"/>
      <c r="HG36" s="219"/>
      <c r="HH36" s="219"/>
      <c r="HI36" s="219"/>
      <c r="HJ36" s="219"/>
      <c r="HK36" s="219"/>
      <c r="HL36" s="219"/>
      <c r="HM36" s="219"/>
      <c r="HN36" s="219"/>
      <c r="HO36" s="219"/>
      <c r="HP36" s="219"/>
      <c r="HQ36" s="219"/>
      <c r="HR36" s="219"/>
      <c r="HS36" s="219"/>
      <c r="HT36" s="219"/>
      <c r="HU36" s="219"/>
      <c r="HV36" s="219"/>
      <c r="HW36" s="219"/>
      <c r="HX36" s="219"/>
      <c r="HY36" s="219"/>
      <c r="HZ36" s="219"/>
      <c r="IA36" s="219"/>
      <c r="IB36" s="219"/>
      <c r="IC36" s="219"/>
      <c r="ID36" s="219"/>
      <c r="IE36" s="219"/>
      <c r="IF36" s="219"/>
      <c r="IG36" s="219"/>
      <c r="IH36" s="219"/>
      <c r="II36" s="219"/>
      <c r="IJ36" s="219"/>
      <c r="IK36" s="219"/>
      <c r="IL36" s="219"/>
      <c r="IM36" s="219"/>
      <c r="IN36" s="219"/>
      <c r="IO36" s="219"/>
      <c r="IP36" s="219"/>
      <c r="IQ36" s="219"/>
      <c r="IR36" s="219"/>
      <c r="IS36" s="219"/>
      <c r="IT36" s="219"/>
      <c r="IU36" s="219"/>
      <c r="IV36" s="219"/>
      <c r="IW36" s="219"/>
      <c r="IX36" s="219"/>
      <c r="IY36" s="219"/>
      <c r="IZ36" s="219"/>
      <c r="JA36" s="219"/>
      <c r="JB36" s="219"/>
      <c r="JC36" s="219"/>
      <c r="JD36" s="219"/>
      <c r="JE36" s="219"/>
      <c r="JF36" s="219"/>
      <c r="JG36" s="219"/>
      <c r="JH36" s="219"/>
      <c r="JI36" s="219"/>
      <c r="JJ36" s="219"/>
      <c r="JK36" s="219"/>
      <c r="JL36" s="219"/>
      <c r="JM36" s="219"/>
      <c r="JN36" s="219"/>
      <c r="JO36" s="219"/>
      <c r="JP36" s="219"/>
      <c r="JQ36" s="219"/>
      <c r="JR36" s="219"/>
      <c r="JS36" s="219"/>
      <c r="JT36" s="219"/>
      <c r="JU36" s="219"/>
      <c r="JV36" s="219"/>
      <c r="JW36" s="219"/>
      <c r="JX36" s="219"/>
      <c r="JY36" s="219"/>
      <c r="JZ36" s="219"/>
      <c r="KA36" s="219"/>
      <c r="KB36" s="219"/>
      <c r="KC36" s="219"/>
      <c r="KD36" s="219"/>
      <c r="KE36" s="219"/>
      <c r="KF36" s="219"/>
      <c r="KG36" s="219"/>
      <c r="KH36" s="219"/>
      <c r="KI36" s="219"/>
      <c r="KJ36" s="219"/>
      <c r="KK36" s="219"/>
      <c r="KL36" s="219"/>
      <c r="KM36" s="219"/>
      <c r="KN36" s="219"/>
      <c r="KO36" s="219"/>
      <c r="KP36" s="219"/>
      <c r="KQ36" s="219"/>
      <c r="KR36" s="219"/>
      <c r="KS36" s="219"/>
      <c r="KT36" s="219"/>
      <c r="KU36" s="219"/>
      <c r="KV36" s="219"/>
      <c r="KW36" s="219"/>
      <c r="KX36" s="219"/>
      <c r="KY36" s="219"/>
      <c r="KZ36" s="219"/>
      <c r="LA36" s="219"/>
      <c r="LB36" s="219"/>
      <c r="LC36" s="219"/>
      <c r="LD36" s="219"/>
      <c r="LE36" s="219"/>
      <c r="LF36" s="219"/>
      <c r="LG36" s="219"/>
      <c r="LH36" s="219"/>
      <c r="LI36" s="219"/>
      <c r="LJ36" s="219"/>
      <c r="LK36" s="219"/>
      <c r="LL36" s="219"/>
      <c r="LM36" s="219"/>
      <c r="LN36" s="219"/>
      <c r="LO36" s="219"/>
      <c r="LP36" s="219"/>
      <c r="LQ36" s="219"/>
      <c r="LR36" s="219"/>
      <c r="LS36" s="219"/>
      <c r="LT36" s="219"/>
      <c r="LU36" s="219"/>
      <c r="LV36" s="219"/>
      <c r="LW36" s="219"/>
      <c r="LX36" s="219"/>
      <c r="LY36" s="219"/>
      <c r="LZ36" s="219"/>
      <c r="MA36" s="219"/>
      <c r="MB36" s="219"/>
      <c r="MC36" s="219"/>
      <c r="MD36" s="219"/>
      <c r="ME36" s="219"/>
      <c r="MF36" s="219"/>
      <c r="MG36" s="219"/>
      <c r="MH36" s="219"/>
      <c r="MI36" s="219"/>
      <c r="MJ36" s="219"/>
      <c r="MK36" s="219"/>
      <c r="ML36" s="219"/>
      <c r="MM36" s="219"/>
      <c r="MN36" s="219"/>
      <c r="MO36" s="219"/>
      <c r="MP36" s="219"/>
      <c r="MQ36" s="219"/>
      <c r="MR36" s="219"/>
      <c r="MS36" s="219"/>
      <c r="MT36" s="219"/>
      <c r="MU36" s="219"/>
      <c r="MV36" s="219"/>
      <c r="MW36" s="219"/>
      <c r="MX36" s="219"/>
      <c r="MY36" s="219"/>
      <c r="MZ36" s="219"/>
      <c r="NA36" s="219"/>
      <c r="NB36" s="219"/>
      <c r="NC36" s="219"/>
      <c r="ND36" s="219"/>
      <c r="NE36" s="219"/>
      <c r="NF36" s="219"/>
      <c r="NG36" s="219"/>
      <c r="NH36" s="219"/>
      <c r="NI36" s="219"/>
      <c r="NJ36" s="219"/>
      <c r="NK36" s="219"/>
      <c r="NL36" s="219"/>
      <c r="NM36" s="219"/>
      <c r="NN36" s="219"/>
      <c r="NO36" s="219"/>
      <c r="NP36" s="219"/>
      <c r="NQ36" s="219"/>
      <c r="NR36" s="219"/>
      <c r="NS36" s="219"/>
      <c r="NT36" s="219"/>
      <c r="NU36" s="219"/>
      <c r="NV36" s="219"/>
      <c r="NW36" s="219"/>
      <c r="NX36" s="219"/>
      <c r="NY36" s="219"/>
      <c r="NZ36" s="219"/>
      <c r="OA36" s="219"/>
      <c r="OB36" s="219"/>
      <c r="OC36" s="219"/>
      <c r="OD36" s="219"/>
      <c r="OE36" s="219"/>
      <c r="OF36" s="219"/>
      <c r="OG36" s="219"/>
      <c r="OH36" s="219"/>
      <c r="OI36" s="219"/>
      <c r="OJ36" s="219"/>
      <c r="OK36" s="219"/>
      <c r="OL36" s="219"/>
      <c r="OM36" s="219"/>
      <c r="ON36" s="219"/>
      <c r="OO36" s="219"/>
      <c r="OP36" s="219"/>
      <c r="OQ36" s="219"/>
      <c r="OR36" s="219"/>
      <c r="OS36" s="219"/>
      <c r="OT36" s="219"/>
      <c r="OU36" s="219"/>
      <c r="OV36" s="219"/>
      <c r="OW36" s="219"/>
      <c r="OX36" s="219"/>
      <c r="OY36" s="219"/>
      <c r="OZ36" s="219"/>
      <c r="PA36" s="219"/>
      <c r="PB36" s="219"/>
      <c r="PC36" s="219"/>
      <c r="PD36" s="219"/>
      <c r="PE36" s="219"/>
      <c r="PF36" s="219"/>
      <c r="PG36" s="219"/>
      <c r="PH36" s="219"/>
      <c r="PI36" s="219"/>
      <c r="PJ36" s="219"/>
      <c r="PK36" s="219"/>
      <c r="PL36" s="219"/>
      <c r="PM36" s="219"/>
      <c r="PN36" s="219"/>
      <c r="PO36" s="219"/>
      <c r="PP36" s="219"/>
      <c r="PQ36" s="219"/>
      <c r="PR36" s="219"/>
      <c r="PS36" s="219"/>
      <c r="PT36" s="219"/>
      <c r="PU36" s="219"/>
      <c r="PV36" s="219"/>
      <c r="PW36" s="219"/>
      <c r="PX36" s="219"/>
      <c r="PY36" s="219"/>
      <c r="PZ36" s="219"/>
      <c r="QA36" s="219"/>
      <c r="QB36" s="219"/>
      <c r="QC36" s="219"/>
      <c r="QD36" s="219"/>
      <c r="QE36" s="219"/>
      <c r="QF36" s="219"/>
      <c r="QG36" s="219"/>
      <c r="QH36" s="219"/>
      <c r="QI36" s="219"/>
      <c r="QJ36" s="219"/>
      <c r="QK36" s="219"/>
      <c r="QL36" s="219"/>
      <c r="QM36" s="219"/>
      <c r="QN36" s="219"/>
      <c r="QO36" s="219"/>
      <c r="QP36" s="219"/>
      <c r="QQ36" s="219"/>
      <c r="QR36" s="219"/>
      <c r="QS36" s="219"/>
      <c r="QT36" s="219"/>
      <c r="QU36" s="219"/>
      <c r="QV36" s="219"/>
      <c r="QW36" s="219"/>
      <c r="QX36" s="219"/>
      <c r="QY36" s="219"/>
      <c r="QZ36" s="219"/>
      <c r="RA36" s="219"/>
      <c r="RB36" s="219"/>
      <c r="RC36" s="219"/>
      <c r="RD36" s="219"/>
      <c r="RE36" s="219"/>
      <c r="RF36" s="219"/>
      <c r="RG36" s="219"/>
      <c r="RH36" s="219"/>
      <c r="RI36" s="219"/>
      <c r="RJ36" s="219"/>
      <c r="RK36" s="219"/>
      <c r="RL36" s="219"/>
      <c r="RM36" s="219"/>
      <c r="RN36" s="219"/>
      <c r="RO36" s="219"/>
      <c r="RP36" s="219"/>
      <c r="RQ36" s="219"/>
      <c r="RR36" s="219"/>
      <c r="RS36" s="219"/>
      <c r="RT36" s="219"/>
      <c r="RU36" s="219"/>
      <c r="RV36" s="219"/>
      <c r="RW36" s="219"/>
      <c r="RX36" s="219"/>
      <c r="RY36" s="219"/>
      <c r="RZ36" s="219"/>
      <c r="SA36" s="219"/>
      <c r="SB36" s="219"/>
      <c r="SC36" s="219"/>
      <c r="SD36" s="219"/>
      <c r="SE36" s="219"/>
      <c r="SF36" s="219"/>
      <c r="SG36" s="219"/>
      <c r="SH36" s="219"/>
      <c r="SI36" s="219"/>
      <c r="SJ36" s="219"/>
      <c r="SK36" s="219"/>
      <c r="SL36" s="219"/>
      <c r="SM36" s="219"/>
      <c r="SN36" s="219"/>
      <c r="SO36" s="219"/>
      <c r="SP36" s="219"/>
      <c r="SQ36" s="219"/>
      <c r="SR36" s="219"/>
      <c r="SS36" s="219"/>
      <c r="ST36" s="219"/>
      <c r="SU36" s="219"/>
      <c r="SV36" s="219"/>
      <c r="SW36" s="219"/>
      <c r="SX36" s="219"/>
      <c r="SY36" s="219"/>
      <c r="SZ36" s="219"/>
      <c r="TA36" s="219"/>
      <c r="TB36" s="219"/>
      <c r="TC36" s="219"/>
      <c r="TD36" s="219"/>
      <c r="TE36" s="219"/>
      <c r="TF36" s="219"/>
      <c r="TG36" s="219"/>
      <c r="TH36" s="219"/>
      <c r="TI36" s="219"/>
      <c r="TJ36" s="219"/>
      <c r="TK36" s="219"/>
      <c r="TL36" s="219"/>
      <c r="TM36" s="219"/>
      <c r="TN36" s="219"/>
      <c r="TO36" s="219"/>
      <c r="TP36" s="219"/>
      <c r="TQ36" s="219"/>
      <c r="TR36" s="219"/>
      <c r="TS36" s="219"/>
      <c r="TT36" s="219"/>
      <c r="TU36" s="219"/>
      <c r="TV36" s="219"/>
      <c r="TW36" s="219"/>
      <c r="TX36" s="219"/>
      <c r="TY36" s="219"/>
      <c r="TZ36" s="219"/>
      <c r="UA36" s="219"/>
      <c r="UB36" s="219"/>
      <c r="UC36" s="219"/>
      <c r="UD36" s="219"/>
      <c r="UE36" s="219"/>
      <c r="UF36" s="219"/>
      <c r="UG36" s="219"/>
      <c r="UH36" s="219"/>
      <c r="UI36" s="219"/>
      <c r="UJ36" s="219"/>
      <c r="UK36" s="219"/>
      <c r="UL36" s="219"/>
      <c r="UM36" s="219"/>
      <c r="UN36" s="219"/>
      <c r="UO36" s="219"/>
      <c r="UP36" s="219"/>
      <c r="UQ36" s="219"/>
      <c r="UR36" s="219"/>
      <c r="US36" s="219"/>
      <c r="UT36" s="219"/>
      <c r="UU36" s="219"/>
      <c r="UV36" s="219"/>
      <c r="UW36" s="219"/>
      <c r="UX36" s="219"/>
      <c r="UY36" s="219"/>
      <c r="UZ36" s="219"/>
      <c r="VA36" s="219"/>
      <c r="VB36" s="219"/>
      <c r="VC36" s="219"/>
      <c r="VD36" s="219"/>
      <c r="VE36" s="219"/>
      <c r="VF36" s="219"/>
      <c r="VG36" s="219"/>
      <c r="VH36" s="219"/>
      <c r="VI36" s="219"/>
      <c r="VJ36" s="219"/>
      <c r="VK36" s="219"/>
      <c r="VL36" s="219"/>
      <c r="VM36" s="219"/>
      <c r="VN36" s="219"/>
      <c r="VO36" s="219"/>
      <c r="VP36" s="219"/>
      <c r="VQ36" s="219"/>
      <c r="VR36" s="219"/>
      <c r="VS36" s="219"/>
      <c r="VT36" s="219"/>
      <c r="VU36" s="219"/>
      <c r="VV36" s="219"/>
      <c r="VW36" s="219"/>
      <c r="VX36" s="219"/>
      <c r="VY36" s="219"/>
      <c r="VZ36" s="219"/>
      <c r="WA36" s="219"/>
      <c r="WB36" s="219"/>
      <c r="WC36" s="219"/>
      <c r="WD36" s="219"/>
      <c r="WE36" s="219"/>
      <c r="WF36" s="219"/>
      <c r="WG36" s="219"/>
      <c r="WH36" s="219"/>
      <c r="WI36" s="219"/>
      <c r="WJ36" s="219"/>
      <c r="WK36" s="219"/>
      <c r="WL36" s="219"/>
      <c r="WM36" s="219"/>
      <c r="WN36" s="219"/>
      <c r="WO36" s="219"/>
      <c r="WP36" s="219"/>
      <c r="WQ36" s="219"/>
      <c r="WR36" s="219"/>
      <c r="WS36" s="219"/>
      <c r="WT36" s="219"/>
      <c r="WU36" s="219"/>
      <c r="WV36" s="219"/>
      <c r="WW36" s="219"/>
      <c r="WX36" s="219"/>
      <c r="WY36" s="219"/>
      <c r="WZ36" s="219"/>
      <c r="XA36" s="219"/>
      <c r="XB36" s="219"/>
      <c r="XC36" s="219"/>
      <c r="XD36" s="219"/>
      <c r="XE36" s="219"/>
      <c r="XF36" s="219"/>
      <c r="XG36" s="219"/>
      <c r="XH36" s="219"/>
      <c r="XI36" s="219"/>
      <c r="XJ36" s="219"/>
      <c r="XK36" s="219"/>
      <c r="XL36" s="219"/>
      <c r="XM36" s="219"/>
      <c r="XN36" s="219"/>
      <c r="XO36" s="219"/>
      <c r="XP36" s="219"/>
      <c r="XQ36" s="219"/>
      <c r="XR36" s="219"/>
      <c r="XS36" s="219"/>
      <c r="XT36" s="219"/>
      <c r="XU36" s="219"/>
      <c r="XV36" s="219"/>
      <c r="XW36" s="219"/>
      <c r="XX36" s="219"/>
      <c r="XY36" s="219"/>
      <c r="XZ36" s="219"/>
      <c r="YA36" s="219"/>
      <c r="YB36" s="219"/>
      <c r="YC36" s="219"/>
      <c r="YD36" s="219"/>
      <c r="YE36" s="219"/>
      <c r="YF36" s="219"/>
      <c r="YG36" s="219"/>
      <c r="YH36" s="219"/>
      <c r="YI36" s="219"/>
      <c r="YJ36" s="219"/>
      <c r="YK36" s="219"/>
      <c r="YL36" s="219"/>
      <c r="YM36" s="219"/>
      <c r="YN36" s="219"/>
      <c r="YO36" s="219"/>
      <c r="YP36" s="219"/>
      <c r="YQ36" s="219"/>
      <c r="YR36" s="219"/>
      <c r="YS36" s="219"/>
      <c r="YT36" s="219"/>
      <c r="YU36" s="219"/>
      <c r="YV36" s="219"/>
      <c r="YW36" s="219"/>
      <c r="YX36" s="219"/>
      <c r="YY36" s="219"/>
      <c r="YZ36" s="219"/>
      <c r="ZA36" s="219"/>
      <c r="ZB36" s="219"/>
      <c r="ZC36" s="219"/>
      <c r="ZD36" s="219"/>
      <c r="ZE36" s="219"/>
      <c r="ZF36" s="219"/>
      <c r="ZG36" s="219"/>
      <c r="ZH36" s="219"/>
      <c r="ZI36" s="219"/>
      <c r="ZJ36" s="219"/>
      <c r="ZK36" s="219"/>
      <c r="ZL36" s="219"/>
      <c r="ZM36" s="219"/>
      <c r="ZN36" s="219"/>
      <c r="ZO36" s="219"/>
      <c r="ZP36" s="219"/>
      <c r="ZQ36" s="219"/>
      <c r="ZR36" s="219"/>
      <c r="ZS36" s="219"/>
      <c r="ZT36" s="219"/>
      <c r="ZU36" s="219"/>
      <c r="ZV36" s="219"/>
      <c r="ZW36" s="219"/>
      <c r="ZX36" s="219"/>
      <c r="ZY36" s="219"/>
      <c r="ZZ36" s="219"/>
      <c r="AAA36" s="219"/>
      <c r="AAB36" s="219"/>
      <c r="AAC36" s="219"/>
      <c r="AAD36" s="219"/>
      <c r="AAE36" s="219"/>
      <c r="AAF36" s="219"/>
      <c r="AAG36" s="219"/>
      <c r="AAH36" s="219"/>
      <c r="AAI36" s="219"/>
      <c r="AAJ36" s="219"/>
      <c r="AAK36" s="219"/>
      <c r="AAL36" s="219"/>
      <c r="AAM36" s="219"/>
      <c r="AAN36" s="219"/>
      <c r="AAO36" s="219"/>
      <c r="AAP36" s="219"/>
      <c r="AAQ36" s="219"/>
      <c r="AAR36" s="219"/>
      <c r="AAS36" s="219"/>
      <c r="AAT36" s="219"/>
      <c r="AAU36" s="219"/>
      <c r="AAV36" s="219"/>
      <c r="AAW36" s="219"/>
      <c r="AAX36" s="219"/>
      <c r="AAY36" s="219"/>
      <c r="AAZ36" s="219"/>
      <c r="ABA36" s="219"/>
      <c r="ABB36" s="219"/>
      <c r="ABC36" s="219"/>
      <c r="ABD36" s="219"/>
      <c r="ABE36" s="219"/>
      <c r="ABF36" s="219"/>
      <c r="ABG36" s="219"/>
      <c r="ABH36" s="219"/>
      <c r="ABI36" s="219"/>
      <c r="ABJ36" s="219"/>
      <c r="ABK36" s="219"/>
      <c r="ABL36" s="219"/>
      <c r="ABM36" s="219"/>
      <c r="ABN36" s="219"/>
      <c r="ABO36" s="219"/>
      <c r="ABP36" s="219"/>
      <c r="ABQ36" s="219"/>
      <c r="ABR36" s="219"/>
      <c r="ABS36" s="219"/>
      <c r="ABT36" s="219"/>
      <c r="ABU36" s="219"/>
      <c r="ABV36" s="219"/>
      <c r="ABW36" s="219"/>
      <c r="ABX36" s="219"/>
      <c r="ABY36" s="219"/>
      <c r="ABZ36" s="219"/>
      <c r="ACA36" s="219"/>
      <c r="ACB36" s="219"/>
      <c r="ACC36" s="219"/>
      <c r="ACD36" s="219"/>
      <c r="ACE36" s="219"/>
      <c r="ACF36" s="219"/>
      <c r="ACG36" s="219"/>
      <c r="ACH36" s="219"/>
      <c r="ACI36" s="219"/>
      <c r="ACJ36" s="219"/>
      <c r="ACK36" s="219"/>
      <c r="ACL36" s="219"/>
      <c r="ACM36" s="219"/>
      <c r="ACN36" s="219"/>
      <c r="ACO36" s="219"/>
      <c r="ACP36" s="219"/>
      <c r="ACQ36" s="219"/>
      <c r="ACR36" s="219"/>
      <c r="ACS36" s="219"/>
      <c r="ACT36" s="219"/>
      <c r="ACU36" s="219"/>
      <c r="ACV36" s="219"/>
      <c r="ACW36" s="219"/>
      <c r="ACX36" s="219"/>
      <c r="ACY36" s="219"/>
      <c r="ACZ36" s="219"/>
      <c r="ADA36" s="219"/>
      <c r="ADB36" s="219"/>
      <c r="ADC36" s="219"/>
      <c r="ADD36" s="219"/>
      <c r="ADE36" s="219"/>
      <c r="ADF36" s="219"/>
      <c r="ADG36" s="219"/>
      <c r="ADH36" s="219"/>
      <c r="ADI36" s="219"/>
      <c r="ADJ36" s="219"/>
      <c r="ADK36" s="219"/>
      <c r="ADL36" s="219"/>
      <c r="ADM36" s="219"/>
      <c r="ADN36" s="219"/>
      <c r="ADO36" s="219"/>
      <c r="ADP36" s="219"/>
      <c r="ADQ36" s="219"/>
      <c r="ADR36" s="219"/>
      <c r="ADS36" s="219"/>
      <c r="ADT36" s="219"/>
      <c r="ADU36" s="219"/>
      <c r="ADV36" s="219"/>
      <c r="ADW36" s="219"/>
      <c r="ADX36" s="219"/>
      <c r="ADY36" s="219"/>
      <c r="ADZ36" s="219"/>
      <c r="AEA36" s="219"/>
      <c r="AEB36" s="219"/>
      <c r="AEC36" s="219"/>
      <c r="AED36" s="219"/>
      <c r="AEE36" s="219"/>
      <c r="AEF36" s="219"/>
      <c r="AEG36" s="219"/>
      <c r="AEH36" s="219"/>
      <c r="AEI36" s="219"/>
      <c r="AEJ36" s="219"/>
      <c r="AEK36" s="219"/>
      <c r="AEL36" s="219"/>
      <c r="AEM36" s="219"/>
      <c r="AEN36" s="219"/>
      <c r="AEO36" s="219"/>
      <c r="AEP36" s="219"/>
      <c r="AEQ36" s="219"/>
      <c r="AER36" s="219"/>
      <c r="AES36" s="219"/>
      <c r="AET36" s="219"/>
      <c r="AEU36" s="219"/>
      <c r="AEV36" s="219"/>
      <c r="AEW36" s="219"/>
      <c r="AEX36" s="219"/>
      <c r="AEY36" s="219"/>
      <c r="AEZ36" s="219"/>
      <c r="AFA36" s="219"/>
      <c r="AFB36" s="219"/>
      <c r="AFC36" s="219"/>
      <c r="AFD36" s="219"/>
      <c r="AFE36" s="219"/>
      <c r="AFF36" s="219"/>
      <c r="AFG36" s="219"/>
      <c r="AFH36" s="219"/>
      <c r="AFI36" s="219"/>
      <c r="AFJ36" s="219"/>
      <c r="AFK36" s="219"/>
      <c r="AFL36" s="219"/>
      <c r="AFM36" s="219"/>
      <c r="AFN36" s="219"/>
      <c r="AFO36" s="219"/>
      <c r="AFP36" s="219"/>
      <c r="AFQ36" s="219"/>
      <c r="AFR36" s="219"/>
      <c r="AFS36" s="219"/>
      <c r="AFT36" s="219"/>
      <c r="AFU36" s="219"/>
      <c r="AFV36" s="219"/>
      <c r="AFW36" s="219"/>
      <c r="AFX36" s="219"/>
      <c r="AFY36" s="219"/>
      <c r="AFZ36" s="219"/>
      <c r="AGA36" s="219"/>
      <c r="AGB36" s="219"/>
      <c r="AGC36" s="219"/>
      <c r="AGD36" s="219"/>
      <c r="AGE36" s="219"/>
      <c r="AGF36" s="219"/>
      <c r="AGG36" s="219"/>
      <c r="AGH36" s="219"/>
      <c r="AGI36" s="219"/>
      <c r="AGJ36" s="219"/>
      <c r="AGK36" s="219"/>
      <c r="AGL36" s="219"/>
      <c r="AGM36" s="219"/>
      <c r="AGN36" s="219"/>
      <c r="AGO36" s="219"/>
      <c r="AGP36" s="219"/>
      <c r="AGQ36" s="219"/>
      <c r="AGR36" s="219"/>
      <c r="AGS36" s="219"/>
      <c r="AGT36" s="219"/>
      <c r="AGU36" s="219"/>
      <c r="AGV36" s="219"/>
      <c r="AGW36" s="219"/>
      <c r="AGX36" s="219"/>
      <c r="AGY36" s="219"/>
      <c r="AGZ36" s="219"/>
      <c r="AHA36" s="219"/>
      <c r="AHB36" s="219"/>
      <c r="AHC36" s="219"/>
      <c r="AHD36" s="219"/>
      <c r="AHE36" s="219"/>
      <c r="AHF36" s="219"/>
      <c r="AHG36" s="219"/>
      <c r="AHH36" s="219"/>
      <c r="AHI36" s="219"/>
      <c r="AHJ36" s="219"/>
      <c r="AHK36" s="219"/>
      <c r="AHL36" s="219"/>
      <c r="AHM36" s="219"/>
      <c r="AHN36" s="219"/>
      <c r="AHO36" s="219"/>
      <c r="AHP36" s="219"/>
      <c r="AHQ36" s="219"/>
      <c r="AHR36" s="219"/>
      <c r="AHS36" s="219"/>
      <c r="AHT36" s="219"/>
      <c r="AHU36" s="219"/>
      <c r="AHV36" s="219"/>
      <c r="AHW36" s="219"/>
      <c r="AHX36" s="219"/>
      <c r="AHY36" s="219"/>
      <c r="AHZ36" s="219"/>
      <c r="AIA36" s="219"/>
      <c r="AIB36" s="219"/>
      <c r="AIC36" s="219"/>
      <c r="AID36" s="219"/>
      <c r="AIE36" s="219"/>
      <c r="AIF36" s="219"/>
      <c r="AIG36" s="219"/>
      <c r="AIH36" s="219"/>
      <c r="AII36" s="219"/>
      <c r="AIJ36" s="219"/>
      <c r="AIK36" s="219"/>
      <c r="AIL36" s="219"/>
      <c r="AIM36" s="219"/>
      <c r="AIN36" s="219"/>
      <c r="AIO36" s="219"/>
      <c r="AIP36" s="219"/>
      <c r="AIQ36" s="219"/>
      <c r="AIR36" s="219"/>
      <c r="AIS36" s="219"/>
      <c r="AIT36" s="219"/>
      <c r="AIU36" s="219"/>
      <c r="AIV36" s="219"/>
      <c r="AIW36" s="219"/>
      <c r="AIX36" s="219"/>
      <c r="AIY36" s="219"/>
      <c r="AIZ36" s="219"/>
      <c r="AJA36" s="219"/>
      <c r="AJB36" s="219"/>
      <c r="AJC36" s="219"/>
      <c r="AJD36" s="219"/>
      <c r="AJE36" s="219"/>
      <c r="AJF36" s="219"/>
      <c r="AJG36" s="219"/>
      <c r="AJH36" s="219"/>
      <c r="AJI36" s="219"/>
      <c r="AJJ36" s="219"/>
      <c r="AJK36" s="219"/>
      <c r="AJL36" s="219"/>
      <c r="AJM36" s="219"/>
      <c r="AJN36" s="219"/>
      <c r="AJO36" s="219"/>
      <c r="AJP36" s="219"/>
      <c r="AJQ36" s="219"/>
      <c r="AJR36" s="219"/>
      <c r="AJS36" s="219"/>
      <c r="AJT36" s="219"/>
      <c r="AJU36" s="219"/>
      <c r="AJV36" s="219"/>
      <c r="AJW36" s="219"/>
      <c r="AJX36" s="219"/>
      <c r="AJY36" s="219"/>
      <c r="AJZ36" s="219"/>
      <c r="AKA36" s="219"/>
      <c r="AKB36" s="219"/>
      <c r="AKC36" s="219"/>
      <c r="AKD36" s="219"/>
      <c r="AKE36" s="219"/>
      <c r="AKF36" s="219"/>
      <c r="AKG36" s="219"/>
      <c r="AKH36" s="219"/>
      <c r="AKI36" s="219"/>
      <c r="AKJ36" s="219"/>
      <c r="AKK36" s="219"/>
      <c r="AKL36" s="219"/>
      <c r="AKM36" s="219"/>
      <c r="AKN36" s="219"/>
      <c r="AKO36" s="219"/>
      <c r="AKP36" s="219"/>
      <c r="AKQ36" s="219"/>
      <c r="AKR36" s="219"/>
      <c r="AKS36" s="219"/>
      <c r="AKT36" s="219"/>
      <c r="AKU36" s="219"/>
      <c r="AKV36" s="219"/>
      <c r="AKW36" s="219"/>
      <c r="AKX36" s="219"/>
      <c r="AKY36" s="219"/>
      <c r="AKZ36" s="219"/>
      <c r="ALA36" s="219"/>
      <c r="ALB36" s="219"/>
      <c r="ALC36" s="219"/>
      <c r="ALD36" s="219"/>
      <c r="ALE36" s="219"/>
      <c r="ALF36" s="219"/>
      <c r="ALG36" s="219"/>
      <c r="ALH36" s="219"/>
      <c r="ALI36" s="219"/>
      <c r="ALJ36" s="219"/>
      <c r="ALK36" s="219"/>
      <c r="ALL36" s="219"/>
      <c r="ALM36" s="219"/>
      <c r="ALN36" s="219"/>
      <c r="ALO36" s="219"/>
      <c r="ALP36" s="219"/>
      <c r="ALQ36" s="219"/>
      <c r="ALR36" s="219"/>
      <c r="ALS36" s="219"/>
      <c r="ALT36" s="219"/>
      <c r="ALU36" s="219"/>
      <c r="ALV36" s="219"/>
      <c r="ALW36" s="219"/>
      <c r="ALX36" s="219"/>
      <c r="ALY36" s="219"/>
      <c r="ALZ36" s="219"/>
      <c r="AMA36" s="219"/>
      <c r="AMB36" s="219"/>
      <c r="AMC36" s="219"/>
      <c r="AMD36" s="219"/>
      <c r="AME36" s="219"/>
      <c r="AMF36" s="219"/>
      <c r="AMG36" s="219"/>
      <c r="AMH36" s="219"/>
      <c r="AMI36" s="219"/>
      <c r="AMJ36" s="219"/>
      <c r="AMK36" s="219"/>
      <c r="AML36" s="219"/>
      <c r="AMM36" s="219"/>
      <c r="AMN36" s="219"/>
      <c r="AMO36" s="219"/>
      <c r="AMP36" s="219"/>
      <c r="AMQ36" s="219"/>
      <c r="AMR36" s="219"/>
      <c r="AMS36" s="219"/>
      <c r="AMT36" s="219"/>
      <c r="AMU36" s="219"/>
      <c r="AMV36" s="219"/>
      <c r="AMW36" s="219"/>
      <c r="AMX36" s="219"/>
      <c r="AMY36" s="219"/>
      <c r="AMZ36" s="219"/>
      <c r="ANA36" s="219"/>
      <c r="ANB36" s="219"/>
      <c r="ANC36" s="219"/>
      <c r="AND36" s="219"/>
      <c r="ANE36" s="219"/>
      <c r="ANF36" s="219"/>
      <c r="ANG36" s="219"/>
      <c r="ANH36" s="219"/>
      <c r="ANI36" s="219"/>
      <c r="ANJ36" s="219"/>
      <c r="ANK36" s="219"/>
      <c r="ANL36" s="219"/>
      <c r="ANM36" s="219"/>
      <c r="ANN36" s="219"/>
      <c r="ANO36" s="219"/>
      <c r="ANP36" s="219"/>
      <c r="ANQ36" s="219"/>
      <c r="ANR36" s="219"/>
      <c r="ANS36" s="219"/>
      <c r="ANT36" s="219"/>
      <c r="ANU36" s="219"/>
      <c r="ANV36" s="219"/>
      <c r="ANW36" s="219"/>
      <c r="ANX36" s="219"/>
      <c r="ANY36" s="219"/>
      <c r="ANZ36" s="219"/>
      <c r="AOA36" s="219"/>
      <c r="AOB36" s="219"/>
      <c r="AOC36" s="219"/>
      <c r="AOD36" s="219"/>
      <c r="AOE36" s="219"/>
      <c r="AOF36" s="219"/>
      <c r="AOG36" s="219"/>
      <c r="AOH36" s="219"/>
      <c r="AOI36" s="219"/>
      <c r="AOJ36" s="219"/>
      <c r="AOK36" s="219"/>
      <c r="AOL36" s="219"/>
      <c r="AOM36" s="219"/>
      <c r="AON36" s="219"/>
      <c r="AOO36" s="219"/>
      <c r="AOP36" s="219"/>
      <c r="AOQ36" s="219"/>
      <c r="AOR36" s="219"/>
      <c r="AOS36" s="219"/>
      <c r="AOT36" s="219"/>
      <c r="AOU36" s="219"/>
      <c r="AOV36" s="219"/>
      <c r="AOW36" s="219"/>
      <c r="AOX36" s="219"/>
      <c r="AOY36" s="219"/>
      <c r="AOZ36" s="219"/>
      <c r="APA36" s="219"/>
      <c r="APB36" s="219"/>
      <c r="APC36" s="219"/>
      <c r="APD36" s="219"/>
      <c r="APE36" s="219"/>
      <c r="APF36" s="219"/>
      <c r="APG36" s="219"/>
      <c r="APH36" s="219"/>
      <c r="API36" s="219"/>
      <c r="APJ36" s="219"/>
      <c r="APK36" s="219"/>
      <c r="APL36" s="219"/>
      <c r="APM36" s="219"/>
      <c r="APN36" s="219"/>
      <c r="APO36" s="219"/>
      <c r="APP36" s="219"/>
      <c r="APQ36" s="219"/>
      <c r="APR36" s="219"/>
      <c r="APS36" s="219"/>
      <c r="APT36" s="219"/>
      <c r="APU36" s="219"/>
      <c r="APV36" s="219"/>
      <c r="APW36" s="219"/>
      <c r="APX36" s="219"/>
      <c r="APY36" s="219"/>
      <c r="APZ36" s="219"/>
      <c r="AQA36" s="219"/>
      <c r="AQB36" s="219"/>
      <c r="AQC36" s="219"/>
      <c r="AQD36" s="219"/>
      <c r="AQE36" s="219"/>
      <c r="AQF36" s="219"/>
      <c r="AQG36" s="219"/>
      <c r="AQH36" s="219"/>
      <c r="AQI36" s="219"/>
      <c r="AQJ36" s="219"/>
      <c r="AQK36" s="219"/>
      <c r="AQL36" s="219"/>
      <c r="AQM36" s="219"/>
      <c r="AQN36" s="219"/>
      <c r="AQO36" s="219"/>
      <c r="AQP36" s="219"/>
      <c r="AQQ36" s="219"/>
      <c r="AQR36" s="219"/>
      <c r="AQS36" s="219"/>
      <c r="AQT36" s="219"/>
      <c r="AQU36" s="219"/>
      <c r="AQV36" s="219"/>
      <c r="AQW36" s="219"/>
      <c r="AQX36" s="219"/>
      <c r="AQY36" s="219"/>
      <c r="AQZ36" s="219"/>
      <c r="ARA36" s="219"/>
      <c r="ARB36" s="219"/>
      <c r="ARC36" s="219"/>
      <c r="ARD36" s="219"/>
      <c r="ARE36" s="219"/>
      <c r="ARF36" s="219"/>
      <c r="ARG36" s="219"/>
      <c r="ARH36" s="219"/>
      <c r="ARI36" s="219"/>
      <c r="ARJ36" s="219"/>
      <c r="ARK36" s="219"/>
      <c r="ARL36" s="219"/>
      <c r="ARM36" s="219"/>
      <c r="ARN36" s="219"/>
      <c r="ARO36" s="219"/>
      <c r="ARP36" s="219"/>
      <c r="ARQ36" s="219"/>
      <c r="ARR36" s="219"/>
      <c r="ARS36" s="219"/>
      <c r="ART36" s="219"/>
      <c r="ARU36" s="219"/>
      <c r="ARV36" s="219"/>
      <c r="ARW36" s="219"/>
      <c r="ARX36" s="219"/>
      <c r="ARY36" s="219"/>
      <c r="ARZ36" s="219"/>
      <c r="ASA36" s="219"/>
      <c r="ASB36" s="219"/>
      <c r="ASC36" s="219"/>
      <c r="ASD36" s="219"/>
      <c r="ASE36" s="219"/>
      <c r="ASF36" s="219"/>
      <c r="ASG36" s="219"/>
      <c r="ASH36" s="219"/>
      <c r="ASI36" s="219"/>
      <c r="ASJ36" s="219"/>
      <c r="ASK36" s="219"/>
      <c r="ASL36" s="219"/>
      <c r="ASM36" s="219"/>
      <c r="ASN36" s="219"/>
      <c r="ASO36" s="219"/>
      <c r="ASP36" s="219"/>
      <c r="ASQ36" s="219"/>
      <c r="ASR36" s="219"/>
      <c r="ASS36" s="219"/>
      <c r="AST36" s="219"/>
      <c r="ASU36" s="219"/>
      <c r="ASV36" s="219"/>
      <c r="ASW36" s="219"/>
      <c r="ASX36" s="219"/>
      <c r="ASY36" s="219"/>
      <c r="ASZ36" s="219"/>
      <c r="ATA36" s="219"/>
      <c r="ATB36" s="219"/>
      <c r="ATC36" s="219"/>
      <c r="ATD36" s="219"/>
      <c r="ATE36" s="219"/>
      <c r="ATF36" s="219"/>
      <c r="ATG36" s="219"/>
      <c r="ATH36" s="219"/>
      <c r="ATI36" s="219"/>
      <c r="ATJ36" s="219"/>
      <c r="ATK36" s="219"/>
      <c r="ATL36" s="219"/>
      <c r="ATM36" s="219"/>
      <c r="ATN36" s="219"/>
      <c r="ATO36" s="219"/>
      <c r="ATP36" s="219"/>
      <c r="ATQ36" s="219"/>
      <c r="ATR36" s="219"/>
      <c r="ATS36" s="219"/>
      <c r="ATT36" s="219"/>
      <c r="ATU36" s="219"/>
      <c r="ATV36" s="219"/>
      <c r="ATW36" s="219"/>
      <c r="ATX36" s="219"/>
      <c r="ATY36" s="219"/>
      <c r="ATZ36" s="219"/>
      <c r="AUA36" s="219"/>
      <c r="AUB36" s="219"/>
      <c r="AUC36" s="219"/>
      <c r="AUD36" s="219"/>
      <c r="AUE36" s="219"/>
      <c r="AUF36" s="219"/>
      <c r="AUG36" s="219"/>
      <c r="AUH36" s="219"/>
      <c r="AUI36" s="219"/>
      <c r="AUJ36" s="219"/>
      <c r="AUK36" s="219"/>
      <c r="AUL36" s="219"/>
      <c r="AUM36" s="219"/>
      <c r="AUN36" s="219"/>
      <c r="AUO36" s="219"/>
      <c r="AUP36" s="219"/>
      <c r="AUQ36" s="219"/>
      <c r="AUR36" s="219"/>
      <c r="AUS36" s="219"/>
      <c r="AUT36" s="219"/>
      <c r="AUU36" s="219"/>
      <c r="AUV36" s="219"/>
      <c r="AUW36" s="219"/>
      <c r="AUX36" s="219"/>
      <c r="AUY36" s="219"/>
      <c r="AUZ36" s="219"/>
      <c r="AVA36" s="219"/>
      <c r="AVB36" s="219"/>
      <c r="AVC36" s="219"/>
      <c r="AVD36" s="219"/>
      <c r="AVE36" s="219"/>
      <c r="AVF36" s="219"/>
      <c r="AVG36" s="219"/>
      <c r="AVH36" s="219"/>
      <c r="AVI36" s="219"/>
      <c r="AVJ36" s="219"/>
      <c r="AVK36" s="219"/>
      <c r="AVL36" s="219"/>
      <c r="AVM36" s="219"/>
      <c r="AVN36" s="219"/>
      <c r="AVO36" s="219"/>
      <c r="AVP36" s="219"/>
      <c r="AVQ36" s="219"/>
      <c r="AVR36" s="219"/>
      <c r="AVS36" s="219"/>
      <c r="AVT36" s="219"/>
      <c r="AVU36" s="219"/>
      <c r="AVV36" s="219"/>
      <c r="AVW36" s="219"/>
      <c r="AVX36" s="219"/>
      <c r="AVY36" s="219"/>
      <c r="AVZ36" s="219"/>
      <c r="AWA36" s="219"/>
      <c r="AWB36" s="219"/>
      <c r="AWC36" s="219"/>
      <c r="AWD36" s="219"/>
      <c r="AWE36" s="219"/>
      <c r="AWF36" s="219"/>
      <c r="AWG36" s="219"/>
      <c r="AWH36" s="219"/>
      <c r="AWI36" s="219"/>
      <c r="AWJ36" s="219"/>
      <c r="AWK36" s="219"/>
      <c r="AWL36" s="219"/>
      <c r="AWM36" s="219"/>
      <c r="AWN36" s="219"/>
      <c r="AWO36" s="219"/>
      <c r="AWP36" s="219"/>
      <c r="AWQ36" s="219"/>
      <c r="AWR36" s="219"/>
      <c r="AWS36" s="219"/>
      <c r="AWT36" s="219"/>
      <c r="AWU36" s="219"/>
      <c r="AWV36" s="219"/>
      <c r="AWW36" s="219"/>
      <c r="AWX36" s="219"/>
      <c r="AWY36" s="219"/>
      <c r="AWZ36" s="219"/>
      <c r="AXA36" s="219"/>
      <c r="AXB36" s="219"/>
      <c r="AXC36" s="219"/>
      <c r="AXD36" s="219"/>
      <c r="AXE36" s="219"/>
      <c r="AXF36" s="219"/>
      <c r="AXG36" s="219"/>
      <c r="AXH36" s="219"/>
      <c r="AXI36" s="219"/>
      <c r="AXJ36" s="219"/>
      <c r="AXK36" s="219"/>
      <c r="AXL36" s="219"/>
      <c r="AXM36" s="219"/>
      <c r="AXN36" s="219"/>
      <c r="AXO36" s="219"/>
      <c r="AXP36" s="219"/>
      <c r="AXQ36" s="219"/>
      <c r="AXR36" s="219"/>
      <c r="AXS36" s="219"/>
      <c r="AXT36" s="219"/>
      <c r="AXU36" s="219"/>
      <c r="AXV36" s="219"/>
      <c r="AXW36" s="219"/>
      <c r="AXX36" s="219"/>
      <c r="AXY36" s="219"/>
      <c r="AXZ36" s="219"/>
      <c r="AYA36" s="219"/>
      <c r="AYB36" s="219"/>
      <c r="AYC36" s="219"/>
      <c r="AYD36" s="219"/>
      <c r="AYE36" s="219"/>
      <c r="AYF36" s="219"/>
      <c r="AYG36" s="219"/>
      <c r="AYH36" s="219"/>
      <c r="AYI36" s="219"/>
      <c r="AYJ36" s="219"/>
      <c r="AYK36" s="219"/>
      <c r="AYL36" s="219"/>
      <c r="AYM36" s="219"/>
      <c r="AYN36" s="219"/>
      <c r="AYO36" s="219"/>
      <c r="AYP36" s="219"/>
      <c r="AYQ36" s="219"/>
      <c r="AYR36" s="219"/>
      <c r="AYS36" s="219"/>
      <c r="AYT36" s="219"/>
      <c r="AYU36" s="219"/>
      <c r="AYV36" s="219"/>
      <c r="AYW36" s="219"/>
      <c r="AYX36" s="219"/>
      <c r="AYY36" s="219"/>
      <c r="AYZ36" s="219"/>
      <c r="AZA36" s="219"/>
      <c r="AZB36" s="219"/>
      <c r="AZC36" s="219"/>
      <c r="AZD36" s="219"/>
      <c r="AZE36" s="219"/>
      <c r="AZF36" s="219"/>
      <c r="AZG36" s="219"/>
      <c r="AZH36" s="219"/>
      <c r="AZI36" s="219"/>
      <c r="AZJ36" s="219"/>
      <c r="AZK36" s="219"/>
      <c r="AZL36" s="219"/>
      <c r="AZM36" s="219"/>
      <c r="AZN36" s="219"/>
      <c r="AZO36" s="219"/>
      <c r="AZP36" s="219"/>
      <c r="AZQ36" s="219"/>
      <c r="AZR36" s="219"/>
      <c r="AZS36" s="219"/>
      <c r="AZT36" s="219"/>
      <c r="AZU36" s="219"/>
      <c r="AZV36" s="219"/>
      <c r="AZW36" s="219"/>
      <c r="AZX36" s="219"/>
      <c r="AZY36" s="219"/>
      <c r="AZZ36" s="219"/>
      <c r="BAA36" s="219"/>
      <c r="BAB36" s="219"/>
      <c r="BAC36" s="219"/>
      <c r="BAD36" s="219"/>
      <c r="BAE36" s="219"/>
      <c r="BAF36" s="219"/>
      <c r="BAG36" s="219"/>
      <c r="BAH36" s="219"/>
      <c r="BAI36" s="219"/>
      <c r="BAJ36" s="219"/>
      <c r="BAK36" s="219"/>
      <c r="BAL36" s="219"/>
      <c r="BAM36" s="219"/>
      <c r="BAN36" s="219"/>
      <c r="BAO36" s="219"/>
      <c r="BAP36" s="219"/>
      <c r="BAQ36" s="219"/>
      <c r="BAR36" s="219"/>
      <c r="BAS36" s="219"/>
      <c r="BAT36" s="219"/>
      <c r="BAU36" s="219"/>
      <c r="BAV36" s="219"/>
      <c r="BAW36" s="219"/>
      <c r="BAX36" s="219"/>
      <c r="BAY36" s="219"/>
      <c r="BAZ36" s="219"/>
      <c r="BBA36" s="219"/>
      <c r="BBB36" s="219"/>
      <c r="BBC36" s="219"/>
      <c r="BBD36" s="219"/>
      <c r="BBE36" s="219"/>
      <c r="BBF36" s="219"/>
      <c r="BBG36" s="219"/>
      <c r="BBH36" s="219"/>
      <c r="BBI36" s="219"/>
      <c r="BBJ36" s="219"/>
      <c r="BBK36" s="219"/>
      <c r="BBL36" s="219"/>
      <c r="BBM36" s="219"/>
      <c r="BBN36" s="219"/>
      <c r="BBO36" s="219"/>
      <c r="BBP36" s="219"/>
      <c r="BBQ36" s="219"/>
      <c r="BBR36" s="219"/>
      <c r="BBS36" s="219"/>
      <c r="BBT36" s="219"/>
      <c r="BBU36" s="219"/>
      <c r="BBV36" s="219"/>
      <c r="BBW36" s="219"/>
      <c r="BBX36" s="219"/>
      <c r="BBY36" s="219"/>
      <c r="BBZ36" s="219"/>
      <c r="BCA36" s="219"/>
      <c r="BCB36" s="219"/>
      <c r="BCC36" s="219"/>
      <c r="BCD36" s="219"/>
      <c r="BCE36" s="219"/>
      <c r="BCF36" s="219"/>
      <c r="BCG36" s="219"/>
      <c r="BCH36" s="219"/>
      <c r="BCI36" s="219"/>
      <c r="BCJ36" s="219"/>
      <c r="BCK36" s="219"/>
      <c r="BCL36" s="219"/>
      <c r="BCM36" s="219"/>
      <c r="BCN36" s="219"/>
      <c r="BCO36" s="219"/>
      <c r="BCP36" s="219"/>
      <c r="BCQ36" s="219"/>
      <c r="BCR36" s="219"/>
      <c r="BCS36" s="219"/>
      <c r="BCT36" s="219"/>
      <c r="BCU36" s="219"/>
      <c r="BCV36" s="219"/>
      <c r="BCW36" s="219"/>
      <c r="BCX36" s="219"/>
      <c r="BCY36" s="219"/>
      <c r="BCZ36" s="219"/>
      <c r="BDA36" s="219"/>
      <c r="BDB36" s="219"/>
      <c r="BDC36" s="219"/>
      <c r="BDD36" s="219"/>
      <c r="BDE36" s="219"/>
      <c r="BDF36" s="219"/>
      <c r="BDG36" s="219"/>
      <c r="BDH36" s="219"/>
      <c r="BDI36" s="219"/>
      <c r="BDJ36" s="219"/>
      <c r="BDK36" s="219"/>
      <c r="BDL36" s="219"/>
      <c r="BDM36" s="219"/>
      <c r="BDN36" s="219"/>
      <c r="BDO36" s="219"/>
      <c r="BDP36" s="219"/>
      <c r="BDQ36" s="219"/>
      <c r="BDR36" s="219"/>
      <c r="BDS36" s="219"/>
      <c r="BDT36" s="219"/>
      <c r="BDU36" s="219"/>
      <c r="BDV36" s="219"/>
      <c r="BDW36" s="219"/>
      <c r="BDX36" s="219"/>
      <c r="BDY36" s="219"/>
      <c r="BDZ36" s="219"/>
      <c r="BEA36" s="219"/>
      <c r="BEB36" s="219"/>
      <c r="BEC36" s="219"/>
      <c r="BED36" s="219"/>
      <c r="BEE36" s="219"/>
      <c r="BEF36" s="219"/>
      <c r="BEG36" s="219"/>
      <c r="BEH36" s="219"/>
      <c r="BEI36" s="219"/>
      <c r="BEJ36" s="219"/>
      <c r="BEK36" s="219"/>
      <c r="BEL36" s="219"/>
      <c r="BEM36" s="219"/>
      <c r="BEN36" s="219"/>
      <c r="BEO36" s="219"/>
      <c r="BEP36" s="219"/>
      <c r="BEQ36" s="219"/>
      <c r="BER36" s="219"/>
      <c r="BES36" s="219"/>
      <c r="BET36" s="219"/>
      <c r="BEU36" s="219"/>
      <c r="BEV36" s="219"/>
      <c r="BEW36" s="219"/>
      <c r="BEX36" s="219"/>
      <c r="BEY36" s="219"/>
      <c r="BEZ36" s="219"/>
      <c r="BFA36" s="219"/>
      <c r="BFB36" s="219"/>
      <c r="BFC36" s="219"/>
      <c r="BFD36" s="219"/>
      <c r="BFE36" s="219"/>
      <c r="BFF36" s="219"/>
      <c r="BFG36" s="219"/>
      <c r="BFH36" s="219"/>
      <c r="BFI36" s="219"/>
      <c r="BFJ36" s="219"/>
      <c r="BFK36" s="219"/>
      <c r="BFL36" s="219"/>
      <c r="BFM36" s="219"/>
      <c r="BFN36" s="219"/>
      <c r="BFO36" s="219"/>
      <c r="BFP36" s="219"/>
      <c r="BFQ36" s="219"/>
      <c r="BFR36" s="219"/>
      <c r="BFS36" s="219"/>
      <c r="BFT36" s="219"/>
      <c r="BFU36" s="219"/>
      <c r="BFV36" s="219"/>
      <c r="BFW36" s="219"/>
      <c r="BFX36" s="219"/>
      <c r="BFY36" s="219"/>
      <c r="BFZ36" s="219"/>
      <c r="BGA36" s="219"/>
      <c r="BGB36" s="219"/>
      <c r="BGC36" s="219"/>
      <c r="BGD36" s="219"/>
      <c r="BGE36" s="219"/>
      <c r="BGF36" s="219"/>
      <c r="BGG36" s="219"/>
      <c r="BGH36" s="219"/>
      <c r="BGI36" s="219"/>
      <c r="BGJ36" s="219"/>
      <c r="BGK36" s="219"/>
      <c r="BGL36" s="219"/>
      <c r="BGM36" s="219"/>
      <c r="BGN36" s="219"/>
      <c r="BGO36" s="219"/>
      <c r="BGP36" s="219"/>
      <c r="BGQ36" s="219"/>
      <c r="BGR36" s="219"/>
      <c r="BGS36" s="219"/>
      <c r="BGT36" s="219"/>
      <c r="BGU36" s="219"/>
      <c r="BGV36" s="219"/>
      <c r="BGW36" s="219"/>
      <c r="BGX36" s="219"/>
      <c r="BGY36" s="219"/>
      <c r="BGZ36" s="219"/>
      <c r="BHA36" s="219"/>
      <c r="BHB36" s="219"/>
      <c r="BHC36" s="219"/>
      <c r="BHD36" s="219"/>
      <c r="BHE36" s="219"/>
      <c r="BHF36" s="219"/>
      <c r="BHG36" s="219"/>
      <c r="BHH36" s="219"/>
      <c r="BHI36" s="219"/>
      <c r="BHJ36" s="219"/>
      <c r="BHK36" s="219"/>
      <c r="BHL36" s="219"/>
      <c r="BHM36" s="219"/>
      <c r="BHN36" s="219"/>
      <c r="BHO36" s="219"/>
      <c r="BHP36" s="219"/>
      <c r="BHQ36" s="219"/>
      <c r="BHR36" s="219"/>
      <c r="BHS36" s="219"/>
      <c r="BHT36" s="219"/>
      <c r="BHU36" s="219"/>
      <c r="BHV36" s="219"/>
      <c r="BHW36" s="219"/>
      <c r="BHX36" s="219"/>
      <c r="BHY36" s="219"/>
      <c r="BHZ36" s="219"/>
      <c r="BIA36" s="219"/>
      <c r="BIB36" s="219"/>
      <c r="BIC36" s="219"/>
      <c r="BID36" s="219"/>
      <c r="BIE36" s="219"/>
      <c r="BIF36" s="219"/>
      <c r="BIG36" s="219"/>
      <c r="BIH36" s="219"/>
      <c r="BII36" s="219"/>
      <c r="BIJ36" s="219"/>
      <c r="BIK36" s="219"/>
      <c r="BIL36" s="219"/>
      <c r="BIM36" s="219"/>
      <c r="BIN36" s="219"/>
      <c r="BIO36" s="219"/>
      <c r="BIP36" s="219"/>
      <c r="BIQ36" s="219"/>
      <c r="BIR36" s="219"/>
      <c r="BIS36" s="219"/>
      <c r="BIT36" s="219"/>
      <c r="BIU36" s="219"/>
      <c r="BIV36" s="219"/>
      <c r="BIW36" s="219"/>
      <c r="BIX36" s="219"/>
      <c r="BIY36" s="219"/>
      <c r="BIZ36" s="219"/>
      <c r="BJA36" s="219"/>
      <c r="BJB36" s="219"/>
      <c r="BJC36" s="219"/>
      <c r="BJD36" s="219"/>
      <c r="BJE36" s="219"/>
      <c r="BJF36" s="219"/>
      <c r="BJG36" s="219"/>
      <c r="BJH36" s="219"/>
      <c r="BJI36" s="219"/>
      <c r="BJJ36" s="219"/>
      <c r="BJK36" s="219"/>
      <c r="BJL36" s="219"/>
      <c r="BJM36" s="219"/>
      <c r="BJN36" s="219"/>
      <c r="BJO36" s="219"/>
      <c r="BJP36" s="219"/>
      <c r="BJQ36" s="219"/>
      <c r="BJR36" s="219"/>
      <c r="BJS36" s="219"/>
      <c r="BJT36" s="219"/>
      <c r="BJU36" s="219"/>
      <c r="BJV36" s="219"/>
      <c r="BJW36" s="219"/>
      <c r="BJX36" s="219"/>
      <c r="BJY36" s="219"/>
      <c r="BJZ36" s="219"/>
      <c r="BKA36" s="219"/>
      <c r="BKB36" s="219"/>
      <c r="BKC36" s="219"/>
      <c r="BKD36" s="219"/>
      <c r="BKE36" s="219"/>
      <c r="BKF36" s="219"/>
      <c r="BKG36" s="219"/>
      <c r="BKH36" s="219"/>
      <c r="BKI36" s="219"/>
      <c r="BKJ36" s="219"/>
      <c r="BKK36" s="219"/>
      <c r="BKL36" s="219"/>
      <c r="BKM36" s="219"/>
      <c r="BKN36" s="219"/>
      <c r="BKO36" s="219"/>
      <c r="BKP36" s="219"/>
      <c r="BKQ36" s="219"/>
      <c r="BKR36" s="219"/>
      <c r="BKS36" s="219"/>
      <c r="BKT36" s="219"/>
      <c r="BKU36" s="219"/>
      <c r="BKV36" s="219"/>
      <c r="BKW36" s="219"/>
      <c r="BKX36" s="219"/>
      <c r="BKY36" s="219"/>
      <c r="BKZ36" s="219"/>
      <c r="BLA36" s="219"/>
      <c r="BLB36" s="219"/>
      <c r="BLC36" s="219"/>
      <c r="BLD36" s="219"/>
      <c r="BLE36" s="219"/>
      <c r="BLF36" s="219"/>
      <c r="BLG36" s="219"/>
      <c r="BLH36" s="219"/>
      <c r="BLI36" s="219"/>
      <c r="BLJ36" s="219"/>
      <c r="BLK36" s="219"/>
      <c r="BLL36" s="219"/>
      <c r="BLM36" s="219"/>
      <c r="BLN36" s="219"/>
      <c r="BLO36" s="219"/>
      <c r="BLP36" s="219"/>
      <c r="BLQ36" s="219"/>
      <c r="BLR36" s="219"/>
      <c r="BLS36" s="219"/>
      <c r="BLT36" s="219"/>
      <c r="BLU36" s="219"/>
      <c r="BLV36" s="219"/>
      <c r="BLW36" s="219"/>
      <c r="BLX36" s="219"/>
      <c r="BLY36" s="219"/>
      <c r="BLZ36" s="219"/>
      <c r="BMA36" s="219"/>
      <c r="BMB36" s="219"/>
      <c r="BMC36" s="219"/>
      <c r="BMD36" s="219"/>
      <c r="BME36" s="219"/>
      <c r="BMF36" s="219"/>
      <c r="BMG36" s="219"/>
      <c r="BMH36" s="219"/>
      <c r="BMI36" s="219"/>
      <c r="BMJ36" s="219"/>
      <c r="BMK36" s="219"/>
      <c r="BML36" s="219"/>
      <c r="BMM36" s="219"/>
      <c r="BMN36" s="219"/>
      <c r="BMO36" s="219"/>
      <c r="BMP36" s="219"/>
      <c r="BMQ36" s="219"/>
      <c r="BMR36" s="219"/>
      <c r="BMS36" s="219"/>
      <c r="BMT36" s="219"/>
      <c r="BMU36" s="219"/>
      <c r="BMV36" s="219"/>
      <c r="BMW36" s="219"/>
      <c r="BMX36" s="219"/>
      <c r="BMY36" s="219"/>
      <c r="BMZ36" s="219"/>
      <c r="BNA36" s="219"/>
      <c r="BNB36" s="219"/>
      <c r="BNC36" s="219"/>
      <c r="BND36" s="219"/>
      <c r="BNE36" s="219"/>
      <c r="BNF36" s="219"/>
      <c r="BNG36" s="219"/>
      <c r="BNH36" s="219"/>
      <c r="BNI36" s="219"/>
      <c r="BNJ36" s="219"/>
      <c r="BNK36" s="219"/>
      <c r="BNL36" s="219"/>
      <c r="BNM36" s="219"/>
      <c r="BNN36" s="219"/>
      <c r="BNO36" s="219"/>
      <c r="BNP36" s="219"/>
      <c r="BNQ36" s="219"/>
      <c r="BNR36" s="219"/>
      <c r="BNS36" s="219"/>
      <c r="BNT36" s="219"/>
      <c r="BNU36" s="219"/>
      <c r="BNV36" s="219"/>
      <c r="BNW36" s="219"/>
      <c r="BNX36" s="219"/>
      <c r="BNY36" s="219"/>
      <c r="BNZ36" s="219"/>
      <c r="BOA36" s="219"/>
      <c r="BOB36" s="219"/>
      <c r="BOC36" s="219"/>
      <c r="BOD36" s="219"/>
      <c r="BOE36" s="219"/>
      <c r="BOF36" s="219"/>
      <c r="BOG36" s="219"/>
      <c r="BOH36" s="219"/>
      <c r="BOI36" s="219"/>
      <c r="BOJ36" s="219"/>
      <c r="BOK36" s="219"/>
      <c r="BOL36" s="219"/>
      <c r="BOM36" s="219"/>
      <c r="BON36" s="219"/>
      <c r="BOO36" s="219"/>
      <c r="BOP36" s="219"/>
      <c r="BOQ36" s="219"/>
      <c r="BOR36" s="219"/>
      <c r="BOS36" s="219"/>
      <c r="BOT36" s="219"/>
      <c r="BOU36" s="219"/>
      <c r="BOV36" s="219"/>
      <c r="BOW36" s="219"/>
      <c r="BOX36" s="219"/>
      <c r="BOY36" s="219"/>
      <c r="BOZ36" s="219"/>
      <c r="BPA36" s="219"/>
      <c r="BPB36" s="219"/>
      <c r="BPC36" s="219"/>
      <c r="BPD36" s="219"/>
      <c r="BPE36" s="219"/>
      <c r="BPF36" s="219"/>
      <c r="BPG36" s="219"/>
      <c r="BPH36" s="219"/>
      <c r="BPI36" s="219"/>
      <c r="BPJ36" s="219"/>
      <c r="BPK36" s="219"/>
      <c r="BPL36" s="219"/>
      <c r="BPM36" s="219"/>
      <c r="BPN36" s="219"/>
      <c r="BPO36" s="219"/>
      <c r="BPP36" s="219"/>
      <c r="BPQ36" s="219"/>
      <c r="BPR36" s="219"/>
      <c r="BPS36" s="219"/>
      <c r="BPT36" s="219"/>
      <c r="BPU36" s="219"/>
      <c r="BPV36" s="219"/>
      <c r="BPW36" s="219"/>
      <c r="BPX36" s="219"/>
      <c r="BPY36" s="219"/>
      <c r="BPZ36" s="219"/>
      <c r="BQA36" s="219"/>
      <c r="BQB36" s="219"/>
      <c r="BQC36" s="219"/>
      <c r="BQD36" s="219"/>
      <c r="BQE36" s="219"/>
      <c r="BQF36" s="219"/>
      <c r="BQG36" s="219"/>
      <c r="BQH36" s="219"/>
      <c r="BQI36" s="219"/>
      <c r="BQJ36" s="219"/>
      <c r="BQK36" s="219"/>
      <c r="BQL36" s="219"/>
      <c r="BQM36" s="219"/>
      <c r="BQN36" s="219"/>
      <c r="BQO36" s="219"/>
      <c r="BQP36" s="219"/>
      <c r="BQQ36" s="219"/>
      <c r="BQR36" s="219"/>
      <c r="BQS36" s="219"/>
      <c r="BQT36" s="219"/>
      <c r="BQU36" s="219"/>
      <c r="BQV36" s="219"/>
      <c r="BQW36" s="219"/>
      <c r="BQX36" s="219"/>
      <c r="BQY36" s="219"/>
      <c r="BQZ36" s="219"/>
      <c r="BRA36" s="219"/>
      <c r="BRB36" s="219"/>
      <c r="BRC36" s="219"/>
      <c r="BRD36" s="219"/>
      <c r="BRE36" s="219"/>
      <c r="BRF36" s="219"/>
      <c r="BRG36" s="219"/>
      <c r="BRH36" s="219"/>
      <c r="BRI36" s="219"/>
      <c r="BRJ36" s="219"/>
      <c r="BRK36" s="219"/>
      <c r="BRL36" s="219"/>
      <c r="BRM36" s="219"/>
      <c r="BRN36" s="219"/>
      <c r="BRO36" s="219"/>
      <c r="BRP36" s="219"/>
      <c r="BRQ36" s="219"/>
      <c r="BRR36" s="219"/>
      <c r="BRS36" s="219"/>
      <c r="BRT36" s="219"/>
      <c r="BRU36" s="219"/>
      <c r="BRV36" s="219"/>
      <c r="BRW36" s="219"/>
      <c r="BRX36" s="219"/>
      <c r="BRY36" s="219"/>
      <c r="BRZ36" s="219"/>
      <c r="BSA36" s="219"/>
      <c r="BSB36" s="219"/>
      <c r="BSC36" s="219"/>
      <c r="BSD36" s="219"/>
      <c r="BSE36" s="219"/>
      <c r="BSF36" s="219"/>
      <c r="BSG36" s="219"/>
      <c r="BSH36" s="219"/>
      <c r="BSI36" s="219"/>
      <c r="BSJ36" s="219"/>
      <c r="BSK36" s="219"/>
      <c r="BSL36" s="219"/>
      <c r="BSM36" s="219"/>
      <c r="BSN36" s="219"/>
      <c r="BSO36" s="219"/>
      <c r="BSP36" s="219"/>
      <c r="BSQ36" s="219"/>
      <c r="BSR36" s="219"/>
      <c r="BSS36" s="219"/>
      <c r="BST36" s="219"/>
      <c r="BSU36" s="219"/>
      <c r="BSV36" s="219"/>
      <c r="BSW36" s="219"/>
      <c r="BSX36" s="219"/>
      <c r="BSY36" s="219"/>
      <c r="BSZ36" s="219"/>
      <c r="BTA36" s="219"/>
      <c r="BTB36" s="219"/>
      <c r="BTC36" s="219"/>
      <c r="BTD36" s="219"/>
      <c r="BTE36" s="219"/>
      <c r="BTF36" s="219"/>
      <c r="BTG36" s="219"/>
      <c r="BTH36" s="219"/>
      <c r="BTI36" s="219"/>
      <c r="BTJ36" s="219"/>
      <c r="BTK36" s="219"/>
      <c r="BTL36" s="219"/>
      <c r="BTM36" s="219"/>
      <c r="BTN36" s="219"/>
      <c r="BTO36" s="219"/>
      <c r="BTP36" s="219"/>
      <c r="BTQ36" s="219"/>
      <c r="BTR36" s="219"/>
      <c r="BTS36" s="219"/>
      <c r="BTT36" s="219"/>
      <c r="BTU36" s="219"/>
      <c r="BTV36" s="219"/>
      <c r="BTW36" s="219"/>
      <c r="BTX36" s="219"/>
      <c r="BTY36" s="219"/>
      <c r="BTZ36" s="219"/>
      <c r="BUA36" s="219"/>
      <c r="BUB36" s="219"/>
      <c r="BUC36" s="219"/>
      <c r="BUD36" s="219"/>
      <c r="BUE36" s="219"/>
      <c r="BUF36" s="219"/>
      <c r="BUG36" s="219"/>
      <c r="BUH36" s="219"/>
      <c r="BUI36" s="219"/>
      <c r="BUJ36" s="219"/>
      <c r="BUK36" s="219"/>
      <c r="BUL36" s="219"/>
      <c r="BUM36" s="219"/>
      <c r="BUN36" s="219"/>
      <c r="BUO36" s="219"/>
      <c r="BUP36" s="219"/>
      <c r="BUQ36" s="219"/>
      <c r="BUR36" s="219"/>
      <c r="BUS36" s="219"/>
      <c r="BUT36" s="219"/>
      <c r="BUU36" s="219"/>
      <c r="BUV36" s="219"/>
      <c r="BUW36" s="219"/>
      <c r="BUX36" s="219"/>
      <c r="BUY36" s="219"/>
      <c r="BUZ36" s="219"/>
      <c r="BVA36" s="219"/>
      <c r="BVB36" s="219"/>
      <c r="BVC36" s="219"/>
      <c r="BVD36" s="219"/>
      <c r="BVE36" s="219"/>
      <c r="BVF36" s="219"/>
      <c r="BVG36" s="219"/>
      <c r="BVH36" s="219"/>
      <c r="BVI36" s="219"/>
      <c r="BVJ36" s="219"/>
      <c r="BVK36" s="219"/>
      <c r="BVL36" s="219"/>
      <c r="BVM36" s="219"/>
      <c r="BVN36" s="219"/>
      <c r="BVO36" s="219"/>
      <c r="BVP36" s="219"/>
      <c r="BVQ36" s="219"/>
      <c r="BVR36" s="219"/>
      <c r="BVS36" s="219"/>
      <c r="BVT36" s="219"/>
      <c r="BVU36" s="219"/>
      <c r="BVV36" s="219"/>
      <c r="BVW36" s="219"/>
      <c r="BVX36" s="219"/>
      <c r="BVY36" s="219"/>
      <c r="BVZ36" s="219"/>
      <c r="BWA36" s="219"/>
      <c r="BWB36" s="219"/>
      <c r="BWC36" s="219"/>
      <c r="BWD36" s="219"/>
      <c r="BWE36" s="219"/>
      <c r="BWF36" s="219"/>
      <c r="BWG36" s="219"/>
      <c r="BWH36" s="219"/>
      <c r="BWI36" s="219"/>
      <c r="BWJ36" s="219"/>
      <c r="BWK36" s="219"/>
      <c r="BWL36" s="219"/>
      <c r="BWM36" s="219"/>
      <c r="BWN36" s="219"/>
      <c r="BWO36" s="219"/>
      <c r="BWP36" s="219"/>
      <c r="BWQ36" s="219"/>
      <c r="BWR36" s="219"/>
      <c r="BWS36" s="219"/>
      <c r="BWT36" s="219"/>
      <c r="BWU36" s="219"/>
      <c r="BWV36" s="219"/>
      <c r="BWW36" s="219"/>
      <c r="BWX36" s="219"/>
      <c r="BWY36" s="219"/>
      <c r="BWZ36" s="219"/>
      <c r="BXA36" s="219"/>
      <c r="BXB36" s="219"/>
      <c r="BXC36" s="219"/>
      <c r="BXD36" s="219"/>
      <c r="BXE36" s="219"/>
      <c r="BXF36" s="219"/>
      <c r="BXG36" s="219"/>
      <c r="BXH36" s="219"/>
      <c r="BXI36" s="219"/>
      <c r="BXJ36" s="219"/>
      <c r="BXK36" s="219"/>
      <c r="BXL36" s="219"/>
      <c r="BXM36" s="219"/>
      <c r="BXN36" s="219"/>
      <c r="BXO36" s="219"/>
      <c r="BXP36" s="219"/>
      <c r="BXQ36" s="219"/>
      <c r="BXR36" s="219"/>
      <c r="BXS36" s="219"/>
      <c r="BXT36" s="219"/>
      <c r="BXU36" s="219"/>
      <c r="BXV36" s="219"/>
      <c r="BXW36" s="219"/>
      <c r="BXX36" s="219"/>
      <c r="BXY36" s="219"/>
      <c r="BXZ36" s="219"/>
      <c r="BYA36" s="219"/>
      <c r="BYB36" s="219"/>
      <c r="BYC36" s="219"/>
      <c r="BYD36" s="219"/>
      <c r="BYE36" s="219"/>
      <c r="BYF36" s="219"/>
      <c r="BYG36" s="219"/>
    </row>
    <row r="37" spans="1:2009" s="101" customFormat="1" ht="13.5" hidden="1" customHeight="1" thickBot="1" x14ac:dyDescent="0.3">
      <c r="A37" s="98"/>
      <c r="B37" s="98"/>
      <c r="C37" s="170"/>
      <c r="D37" s="170"/>
      <c r="E37" s="170"/>
      <c r="F37" s="170"/>
      <c r="G37" s="711"/>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4" t="s">
        <v>49</v>
      </c>
      <c r="B38" s="145"/>
      <c r="C38" s="187"/>
      <c r="D38" s="187"/>
      <c r="E38" s="188"/>
      <c r="F38" s="188"/>
      <c r="G38" s="723"/>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customHeight="1" x14ac:dyDescent="0.25">
      <c r="A39" s="146"/>
      <c r="B39" s="117" t="s">
        <v>143</v>
      </c>
      <c r="C39" s="189">
        <v>3708.33</v>
      </c>
      <c r="D39" s="189">
        <v>3708.33</v>
      </c>
      <c r="E39" s="190"/>
      <c r="F39" s="190"/>
      <c r="G39" s="724">
        <f>ROUND(SUM(C39:F39),5)</f>
        <v>7416.66</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customHeight="1" x14ac:dyDescent="0.25">
      <c r="A40" s="146"/>
      <c r="B40" s="117" t="s">
        <v>405</v>
      </c>
      <c r="C40" s="189">
        <f>13000/12*2</f>
        <v>2166.6666666666665</v>
      </c>
      <c r="D40" s="189"/>
      <c r="E40" s="190"/>
      <c r="F40" s="190"/>
      <c r="G40" s="724">
        <f>ROUND(SUM(C40:F40),5)</f>
        <v>2166.6666700000001</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116" customFormat="1" ht="24.95" customHeight="1" x14ac:dyDescent="0.25">
      <c r="A41" s="146"/>
      <c r="B41" s="117" t="s">
        <v>398</v>
      </c>
      <c r="C41" s="189">
        <v>60</v>
      </c>
      <c r="D41" s="189">
        <v>30</v>
      </c>
      <c r="E41" s="190"/>
      <c r="F41" s="190"/>
      <c r="G41" s="724">
        <f>ROUND(SUM(C41:F41),5)</f>
        <v>90</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c r="IW41" s="100"/>
      <c r="IX41" s="100"/>
      <c r="IY41" s="100"/>
      <c r="IZ41" s="100"/>
      <c r="JA41" s="100"/>
      <c r="JB41" s="100"/>
      <c r="JC41" s="100"/>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c r="KJ41" s="100"/>
      <c r="KK41" s="100"/>
      <c r="KL41" s="100"/>
      <c r="KM41" s="100"/>
      <c r="KN41" s="100"/>
      <c r="KO41" s="100"/>
      <c r="KP41" s="100"/>
      <c r="KQ41" s="100"/>
      <c r="KR41" s="100"/>
      <c r="KS41" s="100"/>
      <c r="KT41" s="100"/>
      <c r="KU41" s="100"/>
      <c r="KV41" s="100"/>
      <c r="KW41" s="100"/>
      <c r="KX41" s="100"/>
      <c r="KY41" s="100"/>
      <c r="KZ41" s="100"/>
      <c r="LA41" s="100"/>
      <c r="LB41" s="100"/>
      <c r="LC41" s="100"/>
      <c r="LD41" s="100"/>
      <c r="LE41" s="100"/>
      <c r="LF41" s="100"/>
      <c r="LG41" s="100"/>
      <c r="LH41" s="100"/>
      <c r="LI41" s="100"/>
      <c r="LJ41" s="100"/>
      <c r="LK41" s="100"/>
      <c r="LL41" s="100"/>
      <c r="LM41" s="100"/>
      <c r="LN41" s="100"/>
      <c r="LO41" s="100"/>
      <c r="LP41" s="100"/>
      <c r="LQ41" s="100"/>
      <c r="LR41" s="100"/>
      <c r="LS41" s="100"/>
      <c r="LT41" s="100"/>
      <c r="LU41" s="100"/>
      <c r="LV41" s="100"/>
      <c r="LW41" s="100"/>
      <c r="LX41" s="100"/>
      <c r="LY41" s="100"/>
      <c r="LZ41" s="100"/>
      <c r="MA41" s="100"/>
      <c r="MB41" s="100"/>
      <c r="MC41" s="100"/>
      <c r="MD41" s="100"/>
      <c r="ME41" s="100"/>
      <c r="MF41" s="100"/>
      <c r="MG41" s="100"/>
      <c r="MH41" s="100"/>
      <c r="MI41" s="100"/>
      <c r="MJ41" s="100"/>
      <c r="MK41" s="100"/>
      <c r="ML41" s="100"/>
      <c r="MM41" s="100"/>
      <c r="MN41" s="100"/>
      <c r="MO41" s="100"/>
      <c r="MP41" s="100"/>
      <c r="MQ41" s="100"/>
      <c r="MR41" s="100"/>
      <c r="MS41" s="100"/>
      <c r="MT41" s="100"/>
      <c r="MU41" s="100"/>
      <c r="MV41" s="100"/>
      <c r="MW41" s="100"/>
      <c r="MX41" s="100"/>
      <c r="MY41" s="100"/>
      <c r="MZ41" s="100"/>
      <c r="NA41" s="100"/>
      <c r="NB41" s="100"/>
      <c r="NC41" s="100"/>
      <c r="ND41" s="100"/>
      <c r="NE41" s="100"/>
      <c r="NF41" s="100"/>
      <c r="NG41" s="100"/>
      <c r="NH41" s="100"/>
      <c r="NI41" s="100"/>
      <c r="NJ41" s="100"/>
      <c r="NK41" s="100"/>
      <c r="NL41" s="100"/>
      <c r="NM41" s="100"/>
      <c r="NN41" s="100"/>
      <c r="NO41" s="100"/>
      <c r="NP41" s="100"/>
      <c r="NQ41" s="100"/>
      <c r="NR41" s="100"/>
      <c r="NS41" s="100"/>
      <c r="NT41" s="100"/>
      <c r="NU41" s="100"/>
      <c r="NV41" s="100"/>
      <c r="NW41" s="100"/>
      <c r="NX41" s="100"/>
      <c r="NY41" s="100"/>
      <c r="NZ41" s="100"/>
      <c r="OA41" s="100"/>
      <c r="OB41" s="100"/>
      <c r="OC41" s="100"/>
      <c r="OD41" s="100"/>
      <c r="OE41" s="100"/>
      <c r="OF41" s="100"/>
      <c r="OG41" s="100"/>
      <c r="OH41" s="100"/>
      <c r="OI41" s="100"/>
      <c r="OJ41" s="100"/>
      <c r="OK41" s="100"/>
      <c r="OL41" s="100"/>
      <c r="OM41" s="100"/>
      <c r="ON41" s="100"/>
      <c r="OO41" s="100"/>
      <c r="OP41" s="100"/>
      <c r="OQ41" s="100"/>
      <c r="OR41" s="100"/>
      <c r="OS41" s="100"/>
      <c r="OT41" s="100"/>
      <c r="OU41" s="100"/>
      <c r="OV41" s="100"/>
      <c r="OW41" s="100"/>
      <c r="OX41" s="100"/>
      <c r="OY41" s="100"/>
      <c r="OZ41" s="100"/>
      <c r="PA41" s="100"/>
      <c r="PB41" s="100"/>
      <c r="PC41" s="100"/>
      <c r="PD41" s="100"/>
      <c r="PE41" s="100"/>
      <c r="PF41" s="100"/>
      <c r="PG41" s="100"/>
      <c r="PH41" s="100"/>
      <c r="PI41" s="100"/>
      <c r="PJ41" s="100"/>
      <c r="PK41" s="100"/>
      <c r="PL41" s="100"/>
      <c r="PM41" s="100"/>
      <c r="PN41" s="100"/>
      <c r="PO41" s="100"/>
      <c r="PP41" s="100"/>
      <c r="PQ41" s="100"/>
      <c r="PR41" s="100"/>
      <c r="PS41" s="100"/>
      <c r="PT41" s="100"/>
      <c r="PU41" s="100"/>
      <c r="PV41" s="100"/>
      <c r="PW41" s="100"/>
      <c r="PX41" s="100"/>
      <c r="PY41" s="100"/>
      <c r="PZ41" s="100"/>
      <c r="QA41" s="100"/>
      <c r="QB41" s="100"/>
      <c r="QC41" s="100"/>
      <c r="QD41" s="100"/>
      <c r="QE41" s="100"/>
      <c r="QF41" s="100"/>
      <c r="QG41" s="100"/>
      <c r="QH41" s="100"/>
      <c r="QI41" s="100"/>
      <c r="QJ41" s="100"/>
      <c r="QK41" s="100"/>
      <c r="QL41" s="100"/>
      <c r="QM41" s="100"/>
      <c r="QN41" s="100"/>
      <c r="QO41" s="100"/>
      <c r="QP41" s="100"/>
      <c r="QQ41" s="100"/>
      <c r="QR41" s="100"/>
      <c r="QS41" s="100"/>
      <c r="QT41" s="100"/>
      <c r="QU41" s="100"/>
      <c r="QV41" s="100"/>
      <c r="QW41" s="100"/>
      <c r="QX41" s="100"/>
      <c r="QY41" s="100"/>
      <c r="QZ41" s="100"/>
      <c r="RA41" s="100"/>
      <c r="RB41" s="100"/>
      <c r="RC41" s="100"/>
      <c r="RD41" s="100"/>
      <c r="RE41" s="100"/>
      <c r="RF41" s="100"/>
      <c r="RG41" s="100"/>
      <c r="RH41" s="100"/>
      <c r="RI41" s="100"/>
      <c r="RJ41" s="100"/>
      <c r="RK41" s="100"/>
      <c r="RL41" s="100"/>
      <c r="RM41" s="100"/>
      <c r="RN41" s="100"/>
      <c r="RO41" s="100"/>
      <c r="RP41" s="100"/>
      <c r="RQ41" s="100"/>
      <c r="RR41" s="100"/>
      <c r="RS41" s="100"/>
      <c r="RT41" s="100"/>
      <c r="RU41" s="100"/>
      <c r="RV41" s="100"/>
      <c r="RW41" s="100"/>
      <c r="RX41" s="100"/>
      <c r="RY41" s="100"/>
      <c r="RZ41" s="100"/>
      <c r="SA41" s="100"/>
      <c r="SB41" s="100"/>
      <c r="SC41" s="100"/>
      <c r="SD41" s="100"/>
      <c r="SE41" s="100"/>
      <c r="SF41" s="100"/>
      <c r="SG41" s="100"/>
      <c r="SH41" s="100"/>
      <c r="SI41" s="100"/>
      <c r="SJ41" s="100"/>
      <c r="SK41" s="100"/>
      <c r="SL41" s="100"/>
      <c r="SM41" s="100"/>
      <c r="SN41" s="100"/>
      <c r="SO41" s="100"/>
      <c r="SP41" s="100"/>
      <c r="SQ41" s="100"/>
      <c r="SR41" s="100"/>
      <c r="SS41" s="100"/>
      <c r="ST41" s="100"/>
      <c r="SU41" s="100"/>
      <c r="SV41" s="100"/>
      <c r="SW41" s="100"/>
      <c r="SX41" s="100"/>
      <c r="SY41" s="100"/>
      <c r="SZ41" s="100"/>
      <c r="TA41" s="100"/>
      <c r="TB41" s="100"/>
      <c r="TC41" s="100"/>
      <c r="TD41" s="100"/>
      <c r="TE41" s="100"/>
      <c r="TF41" s="100"/>
      <c r="TG41" s="100"/>
      <c r="TH41" s="100"/>
      <c r="TI41" s="100"/>
      <c r="TJ41" s="100"/>
      <c r="TK41" s="100"/>
      <c r="TL41" s="100"/>
      <c r="TM41" s="100"/>
      <c r="TN41" s="100"/>
      <c r="TO41" s="100"/>
      <c r="TP41" s="100"/>
      <c r="TQ41" s="100"/>
      <c r="TR41" s="100"/>
      <c r="TS41" s="100"/>
      <c r="TT41" s="100"/>
      <c r="TU41" s="100"/>
      <c r="TV41" s="100"/>
      <c r="TW41" s="100"/>
      <c r="TX41" s="100"/>
      <c r="TY41" s="100"/>
      <c r="TZ41" s="100"/>
      <c r="UA41" s="100"/>
      <c r="UB41" s="100"/>
      <c r="UC41" s="100"/>
      <c r="UD41" s="100"/>
      <c r="UE41" s="100"/>
      <c r="UF41" s="100"/>
      <c r="UG41" s="100"/>
      <c r="UH41" s="100"/>
      <c r="UI41" s="100"/>
      <c r="UJ41" s="100"/>
      <c r="UK41" s="100"/>
      <c r="UL41" s="100"/>
      <c r="UM41" s="100"/>
      <c r="UN41" s="100"/>
      <c r="UO41" s="100"/>
      <c r="UP41" s="100"/>
      <c r="UQ41" s="100"/>
      <c r="UR41" s="100"/>
      <c r="US41" s="100"/>
      <c r="UT41" s="100"/>
      <c r="UU41" s="100"/>
      <c r="UV41" s="100"/>
      <c r="UW41" s="100"/>
      <c r="UX41" s="100"/>
      <c r="UY41" s="100"/>
      <c r="UZ41" s="100"/>
      <c r="VA41" s="100"/>
      <c r="VB41" s="100"/>
      <c r="VC41" s="100"/>
      <c r="VD41" s="100"/>
      <c r="VE41" s="100"/>
      <c r="VF41" s="100"/>
      <c r="VG41" s="100"/>
      <c r="VH41" s="100"/>
      <c r="VI41" s="100"/>
      <c r="VJ41" s="100"/>
      <c r="VK41" s="100"/>
      <c r="VL41" s="100"/>
      <c r="VM41" s="100"/>
      <c r="VN41" s="100"/>
      <c r="VO41" s="100"/>
      <c r="VP41" s="100"/>
      <c r="VQ41" s="100"/>
      <c r="VR41" s="100"/>
      <c r="VS41" s="100"/>
      <c r="VT41" s="100"/>
      <c r="VU41" s="100"/>
      <c r="VV41" s="100"/>
      <c r="VW41" s="100"/>
      <c r="VX41" s="100"/>
      <c r="VY41" s="100"/>
      <c r="VZ41" s="100"/>
      <c r="WA41" s="100"/>
      <c r="WB41" s="100"/>
      <c r="WC41" s="100"/>
      <c r="WD41" s="100"/>
      <c r="WE41" s="100"/>
      <c r="WF41" s="100"/>
      <c r="WG41" s="100"/>
      <c r="WH41" s="100"/>
      <c r="WI41" s="100"/>
      <c r="WJ41" s="100"/>
      <c r="WK41" s="100"/>
      <c r="WL41" s="100"/>
      <c r="WM41" s="100"/>
      <c r="WN41" s="100"/>
      <c r="WO41" s="100"/>
      <c r="WP41" s="100"/>
      <c r="WQ41" s="100"/>
      <c r="WR41" s="100"/>
      <c r="WS41" s="100"/>
      <c r="WT41" s="100"/>
      <c r="WU41" s="100"/>
      <c r="WV41" s="100"/>
      <c r="WW41" s="100"/>
      <c r="WX41" s="100"/>
      <c r="WY41" s="100"/>
      <c r="WZ41" s="100"/>
      <c r="XA41" s="100"/>
      <c r="XB41" s="100"/>
      <c r="XC41" s="100"/>
      <c r="XD41" s="100"/>
      <c r="XE41" s="100"/>
      <c r="XF41" s="100"/>
      <c r="XG41" s="100"/>
      <c r="XH41" s="100"/>
      <c r="XI41" s="100"/>
      <c r="XJ41" s="100"/>
      <c r="XK41" s="100"/>
      <c r="XL41" s="100"/>
      <c r="XM41" s="100"/>
      <c r="XN41" s="100"/>
      <c r="XO41" s="100"/>
      <c r="XP41" s="100"/>
      <c r="XQ41" s="100"/>
      <c r="XR41" s="100"/>
      <c r="XS41" s="100"/>
      <c r="XT41" s="100"/>
      <c r="XU41" s="100"/>
      <c r="XV41" s="100"/>
      <c r="XW41" s="100"/>
      <c r="XX41" s="100"/>
      <c r="XY41" s="100"/>
      <c r="XZ41" s="100"/>
      <c r="YA41" s="100"/>
      <c r="YB41" s="100"/>
      <c r="YC41" s="100"/>
      <c r="YD41" s="100"/>
      <c r="YE41" s="100"/>
      <c r="YF41" s="100"/>
      <c r="YG41" s="100"/>
      <c r="YH41" s="100"/>
      <c r="YI41" s="100"/>
      <c r="YJ41" s="100"/>
      <c r="YK41" s="100"/>
      <c r="YL41" s="100"/>
      <c r="YM41" s="100"/>
      <c r="YN41" s="100"/>
      <c r="YO41" s="100"/>
      <c r="YP41" s="100"/>
      <c r="YQ41" s="100"/>
      <c r="YR41" s="100"/>
      <c r="YS41" s="100"/>
      <c r="YT41" s="100"/>
      <c r="YU41" s="100"/>
      <c r="YV41" s="100"/>
      <c r="YW41" s="100"/>
      <c r="YX41" s="100"/>
      <c r="YY41" s="100"/>
      <c r="YZ41" s="100"/>
      <c r="ZA41" s="100"/>
      <c r="ZB41" s="100"/>
      <c r="ZC41" s="100"/>
      <c r="ZD41" s="100"/>
      <c r="ZE41" s="100"/>
      <c r="ZF41" s="100"/>
      <c r="ZG41" s="100"/>
      <c r="ZH41" s="100"/>
      <c r="ZI41" s="100"/>
      <c r="ZJ41" s="100"/>
      <c r="ZK41" s="100"/>
      <c r="ZL41" s="100"/>
      <c r="ZM41" s="100"/>
      <c r="ZN41" s="100"/>
      <c r="ZO41" s="100"/>
      <c r="ZP41" s="100"/>
      <c r="ZQ41" s="100"/>
      <c r="ZR41" s="100"/>
      <c r="ZS41" s="100"/>
      <c r="ZT41" s="100"/>
      <c r="ZU41" s="100"/>
      <c r="ZV41" s="100"/>
      <c r="ZW41" s="100"/>
      <c r="ZX41" s="100"/>
      <c r="ZY41" s="100"/>
      <c r="ZZ41" s="100"/>
      <c r="AAA41" s="100"/>
      <c r="AAB41" s="100"/>
      <c r="AAC41" s="100"/>
      <c r="AAD41" s="100"/>
      <c r="AAE41" s="100"/>
      <c r="AAF41" s="100"/>
      <c r="AAG41" s="100"/>
      <c r="AAH41" s="100"/>
      <c r="AAI41" s="100"/>
      <c r="AAJ41" s="100"/>
      <c r="AAK41" s="100"/>
      <c r="AAL41" s="100"/>
      <c r="AAM41" s="100"/>
      <c r="AAN41" s="100"/>
      <c r="AAO41" s="100"/>
      <c r="AAP41" s="100"/>
      <c r="AAQ41" s="100"/>
      <c r="AAR41" s="100"/>
      <c r="AAS41" s="100"/>
      <c r="AAT41" s="100"/>
      <c r="AAU41" s="100"/>
      <c r="AAV41" s="100"/>
      <c r="AAW41" s="100"/>
      <c r="AAX41" s="100"/>
      <c r="AAY41" s="100"/>
      <c r="AAZ41" s="100"/>
      <c r="ABA41" s="100"/>
      <c r="ABB41" s="100"/>
      <c r="ABC41" s="100"/>
      <c r="ABD41" s="100"/>
      <c r="ABE41" s="100"/>
      <c r="ABF41" s="100"/>
      <c r="ABG41" s="100"/>
      <c r="ABH41" s="100"/>
      <c r="ABI41" s="100"/>
      <c r="ABJ41" s="100"/>
      <c r="ABK41" s="100"/>
      <c r="ABL41" s="100"/>
      <c r="ABM41" s="100"/>
      <c r="ABN41" s="100"/>
      <c r="ABO41" s="100"/>
      <c r="ABP41" s="100"/>
      <c r="ABQ41" s="100"/>
      <c r="ABR41" s="100"/>
      <c r="ABS41" s="100"/>
      <c r="ABT41" s="100"/>
      <c r="ABU41" s="100"/>
      <c r="ABV41" s="100"/>
      <c r="ABW41" s="100"/>
      <c r="ABX41" s="100"/>
      <c r="ABY41" s="100"/>
      <c r="ABZ41" s="100"/>
      <c r="ACA41" s="100"/>
      <c r="ACB41" s="100"/>
      <c r="ACC41" s="100"/>
      <c r="ACD41" s="100"/>
      <c r="ACE41" s="100"/>
      <c r="ACF41" s="100"/>
      <c r="ACG41" s="100"/>
      <c r="ACH41" s="100"/>
      <c r="ACI41" s="100"/>
      <c r="ACJ41" s="100"/>
      <c r="ACK41" s="100"/>
      <c r="ACL41" s="100"/>
      <c r="ACM41" s="100"/>
      <c r="ACN41" s="100"/>
      <c r="ACO41" s="100"/>
      <c r="ACP41" s="100"/>
      <c r="ACQ41" s="100"/>
      <c r="ACR41" s="100"/>
      <c r="ACS41" s="100"/>
      <c r="ACT41" s="100"/>
      <c r="ACU41" s="100"/>
      <c r="ACV41" s="100"/>
      <c r="ACW41" s="100"/>
      <c r="ACX41" s="100"/>
      <c r="ACY41" s="100"/>
      <c r="ACZ41" s="100"/>
      <c r="ADA41" s="100"/>
      <c r="ADB41" s="100"/>
      <c r="ADC41" s="100"/>
      <c r="ADD41" s="100"/>
      <c r="ADE41" s="100"/>
      <c r="ADF41" s="100"/>
      <c r="ADG41" s="100"/>
      <c r="ADH41" s="100"/>
      <c r="ADI41" s="100"/>
      <c r="ADJ41" s="100"/>
      <c r="ADK41" s="100"/>
      <c r="ADL41" s="100"/>
      <c r="ADM41" s="100"/>
      <c r="ADN41" s="100"/>
      <c r="ADO41" s="100"/>
      <c r="ADP41" s="100"/>
      <c r="ADQ41" s="100"/>
      <c r="ADR41" s="100"/>
      <c r="ADS41" s="100"/>
      <c r="ADT41" s="100"/>
      <c r="ADU41" s="100"/>
      <c r="ADV41" s="100"/>
      <c r="ADW41" s="100"/>
      <c r="ADX41" s="100"/>
      <c r="ADY41" s="100"/>
      <c r="ADZ41" s="100"/>
      <c r="AEA41" s="100"/>
      <c r="AEB41" s="100"/>
      <c r="AEC41" s="100"/>
      <c r="AED41" s="100"/>
      <c r="AEE41" s="100"/>
      <c r="AEF41" s="100"/>
      <c r="AEG41" s="100"/>
      <c r="AEH41" s="100"/>
      <c r="AEI41" s="100"/>
      <c r="AEJ41" s="100"/>
      <c r="AEK41" s="100"/>
      <c r="AEL41" s="100"/>
      <c r="AEM41" s="100"/>
      <c r="AEN41" s="100"/>
      <c r="AEO41" s="100"/>
      <c r="AEP41" s="100"/>
      <c r="AEQ41" s="100"/>
      <c r="AER41" s="100"/>
      <c r="AES41" s="100"/>
      <c r="AET41" s="100"/>
      <c r="AEU41" s="100"/>
      <c r="AEV41" s="100"/>
      <c r="AEW41" s="100"/>
      <c r="AEX41" s="100"/>
      <c r="AEY41" s="100"/>
      <c r="AEZ41" s="100"/>
      <c r="AFA41" s="100"/>
      <c r="AFB41" s="100"/>
      <c r="AFC41" s="100"/>
      <c r="AFD41" s="100"/>
      <c r="AFE41" s="100"/>
      <c r="AFF41" s="100"/>
      <c r="AFG41" s="100"/>
      <c r="AFH41" s="100"/>
      <c r="AFI41" s="100"/>
      <c r="AFJ41" s="100"/>
      <c r="AFK41" s="100"/>
      <c r="AFL41" s="100"/>
      <c r="AFM41" s="100"/>
      <c r="AFN41" s="100"/>
      <c r="AFO41" s="100"/>
      <c r="AFP41" s="100"/>
      <c r="AFQ41" s="100"/>
      <c r="AFR41" s="100"/>
      <c r="AFS41" s="100"/>
      <c r="AFT41" s="100"/>
      <c r="AFU41" s="100"/>
      <c r="AFV41" s="100"/>
      <c r="AFW41" s="100"/>
      <c r="AFX41" s="100"/>
      <c r="AFY41" s="100"/>
      <c r="AFZ41" s="100"/>
      <c r="AGA41" s="100"/>
      <c r="AGB41" s="100"/>
      <c r="AGC41" s="100"/>
      <c r="AGD41" s="100"/>
      <c r="AGE41" s="100"/>
      <c r="AGF41" s="100"/>
      <c r="AGG41" s="100"/>
      <c r="AGH41" s="100"/>
      <c r="AGI41" s="100"/>
      <c r="AGJ41" s="100"/>
      <c r="AGK41" s="100"/>
      <c r="AGL41" s="100"/>
      <c r="AGM41" s="100"/>
      <c r="AGN41" s="100"/>
      <c r="AGO41" s="100"/>
      <c r="AGP41" s="100"/>
      <c r="AGQ41" s="100"/>
      <c r="AGR41" s="100"/>
      <c r="AGS41" s="100"/>
      <c r="AGT41" s="100"/>
      <c r="AGU41" s="100"/>
      <c r="AGV41" s="100"/>
      <c r="AGW41" s="100"/>
      <c r="AGX41" s="100"/>
      <c r="AGY41" s="100"/>
      <c r="AGZ41" s="100"/>
      <c r="AHA41" s="100"/>
      <c r="AHB41" s="100"/>
      <c r="AHC41" s="100"/>
      <c r="AHD41" s="100"/>
      <c r="AHE41" s="100"/>
      <c r="AHF41" s="100"/>
      <c r="AHG41" s="100"/>
      <c r="AHH41" s="100"/>
      <c r="AHI41" s="100"/>
      <c r="AHJ41" s="100"/>
      <c r="AHK41" s="100"/>
      <c r="AHL41" s="100"/>
      <c r="AHM41" s="100"/>
      <c r="AHN41" s="100"/>
      <c r="AHO41" s="100"/>
      <c r="AHP41" s="100"/>
      <c r="AHQ41" s="100"/>
      <c r="AHR41" s="100"/>
      <c r="AHS41" s="100"/>
      <c r="AHT41" s="100"/>
      <c r="AHU41" s="100"/>
      <c r="AHV41" s="100"/>
      <c r="AHW41" s="100"/>
      <c r="AHX41" s="100"/>
      <c r="AHY41" s="100"/>
      <c r="AHZ41" s="100"/>
      <c r="AIA41" s="100"/>
      <c r="AIB41" s="100"/>
      <c r="AIC41" s="100"/>
      <c r="AID41" s="100"/>
      <c r="AIE41" s="100"/>
      <c r="AIF41" s="100"/>
      <c r="AIG41" s="100"/>
      <c r="AIH41" s="100"/>
      <c r="AII41" s="100"/>
      <c r="AIJ41" s="100"/>
      <c r="AIK41" s="100"/>
      <c r="AIL41" s="100"/>
      <c r="AIM41" s="100"/>
      <c r="AIN41" s="100"/>
      <c r="AIO41" s="100"/>
      <c r="AIP41" s="100"/>
      <c r="AIQ41" s="100"/>
      <c r="AIR41" s="100"/>
      <c r="AIS41" s="100"/>
      <c r="AIT41" s="100"/>
      <c r="AIU41" s="100"/>
      <c r="AIV41" s="100"/>
      <c r="AIW41" s="100"/>
      <c r="AIX41" s="100"/>
      <c r="AIY41" s="100"/>
      <c r="AIZ41" s="100"/>
      <c r="AJA41" s="100"/>
      <c r="AJB41" s="100"/>
      <c r="AJC41" s="100"/>
      <c r="AJD41" s="100"/>
      <c r="AJE41" s="100"/>
      <c r="AJF41" s="100"/>
      <c r="AJG41" s="100"/>
      <c r="AJH41" s="100"/>
      <c r="AJI41" s="100"/>
      <c r="AJJ41" s="100"/>
      <c r="AJK41" s="100"/>
      <c r="AJL41" s="100"/>
      <c r="AJM41" s="100"/>
      <c r="AJN41" s="100"/>
      <c r="AJO41" s="100"/>
      <c r="AJP41" s="100"/>
      <c r="AJQ41" s="100"/>
      <c r="AJR41" s="100"/>
      <c r="AJS41" s="100"/>
      <c r="AJT41" s="100"/>
      <c r="AJU41" s="100"/>
      <c r="AJV41" s="100"/>
      <c r="AJW41" s="100"/>
      <c r="AJX41" s="100"/>
      <c r="AJY41" s="100"/>
      <c r="AJZ41" s="100"/>
      <c r="AKA41" s="100"/>
      <c r="AKB41" s="100"/>
      <c r="AKC41" s="100"/>
      <c r="AKD41" s="100"/>
      <c r="AKE41" s="100"/>
      <c r="AKF41" s="100"/>
      <c r="AKG41" s="100"/>
      <c r="AKH41" s="100"/>
      <c r="AKI41" s="100"/>
      <c r="AKJ41" s="100"/>
      <c r="AKK41" s="100"/>
      <c r="AKL41" s="100"/>
      <c r="AKM41" s="100"/>
      <c r="AKN41" s="100"/>
      <c r="AKO41" s="100"/>
      <c r="AKP41" s="100"/>
      <c r="AKQ41" s="100"/>
      <c r="AKR41" s="100"/>
      <c r="AKS41" s="100"/>
      <c r="AKT41" s="100"/>
      <c r="AKU41" s="100"/>
      <c r="AKV41" s="100"/>
      <c r="AKW41" s="100"/>
      <c r="AKX41" s="100"/>
      <c r="AKY41" s="100"/>
      <c r="AKZ41" s="100"/>
      <c r="ALA41" s="100"/>
      <c r="ALB41" s="100"/>
      <c r="ALC41" s="100"/>
      <c r="ALD41" s="100"/>
      <c r="ALE41" s="100"/>
      <c r="ALF41" s="100"/>
      <c r="ALG41" s="100"/>
      <c r="ALH41" s="100"/>
      <c r="ALI41" s="100"/>
      <c r="ALJ41" s="100"/>
      <c r="ALK41" s="100"/>
      <c r="ALL41" s="100"/>
      <c r="ALM41" s="100"/>
      <c r="ALN41" s="100"/>
      <c r="ALO41" s="100"/>
      <c r="ALP41" s="100"/>
      <c r="ALQ41" s="100"/>
      <c r="ALR41" s="100"/>
      <c r="ALS41" s="100"/>
      <c r="ALT41" s="100"/>
      <c r="ALU41" s="100"/>
      <c r="ALV41" s="100"/>
      <c r="ALW41" s="100"/>
      <c r="ALX41" s="100"/>
      <c r="ALY41" s="100"/>
      <c r="ALZ41" s="100"/>
      <c r="AMA41" s="100"/>
      <c r="AMB41" s="100"/>
      <c r="AMC41" s="100"/>
      <c r="AMD41" s="100"/>
      <c r="AME41" s="100"/>
      <c r="AMF41" s="100"/>
      <c r="AMG41" s="100"/>
      <c r="AMH41" s="100"/>
      <c r="AMI41" s="100"/>
      <c r="AMJ41" s="100"/>
      <c r="AMK41" s="100"/>
      <c r="AML41" s="100"/>
      <c r="AMM41" s="100"/>
      <c r="AMN41" s="100"/>
      <c r="AMO41" s="100"/>
      <c r="AMP41" s="100"/>
      <c r="AMQ41" s="100"/>
      <c r="AMR41" s="100"/>
      <c r="AMS41" s="100"/>
      <c r="AMT41" s="100"/>
      <c r="AMU41" s="100"/>
      <c r="AMV41" s="100"/>
      <c r="AMW41" s="100"/>
      <c r="AMX41" s="100"/>
      <c r="AMY41" s="100"/>
      <c r="AMZ41" s="100"/>
      <c r="ANA41" s="100"/>
      <c r="ANB41" s="100"/>
      <c r="ANC41" s="100"/>
      <c r="AND41" s="100"/>
      <c r="ANE41" s="100"/>
      <c r="ANF41" s="100"/>
      <c r="ANG41" s="100"/>
      <c r="ANH41" s="100"/>
      <c r="ANI41" s="100"/>
      <c r="ANJ41" s="100"/>
      <c r="ANK41" s="100"/>
      <c r="ANL41" s="100"/>
      <c r="ANM41" s="100"/>
      <c r="ANN41" s="100"/>
      <c r="ANO41" s="100"/>
      <c r="ANP41" s="100"/>
      <c r="ANQ41" s="100"/>
      <c r="ANR41" s="100"/>
      <c r="ANS41" s="100"/>
      <c r="ANT41" s="100"/>
      <c r="ANU41" s="100"/>
      <c r="ANV41" s="100"/>
      <c r="ANW41" s="100"/>
      <c r="ANX41" s="100"/>
      <c r="ANY41" s="100"/>
      <c r="ANZ41" s="100"/>
      <c r="AOA41" s="100"/>
      <c r="AOB41" s="100"/>
      <c r="AOC41" s="100"/>
      <c r="AOD41" s="100"/>
      <c r="AOE41" s="100"/>
      <c r="AOF41" s="100"/>
      <c r="AOG41" s="100"/>
      <c r="AOH41" s="100"/>
      <c r="AOI41" s="100"/>
      <c r="AOJ41" s="100"/>
      <c r="AOK41" s="100"/>
      <c r="AOL41" s="100"/>
      <c r="AOM41" s="100"/>
      <c r="AON41" s="100"/>
      <c r="AOO41" s="100"/>
      <c r="AOP41" s="100"/>
      <c r="AOQ41" s="100"/>
      <c r="AOR41" s="100"/>
      <c r="AOS41" s="100"/>
      <c r="AOT41" s="100"/>
      <c r="AOU41" s="100"/>
      <c r="AOV41" s="100"/>
      <c r="AOW41" s="100"/>
      <c r="AOX41" s="100"/>
      <c r="AOY41" s="100"/>
      <c r="AOZ41" s="100"/>
      <c r="APA41" s="100"/>
      <c r="APB41" s="100"/>
      <c r="APC41" s="100"/>
      <c r="APD41" s="100"/>
      <c r="APE41" s="100"/>
      <c r="APF41" s="100"/>
      <c r="APG41" s="100"/>
      <c r="APH41" s="100"/>
      <c r="API41" s="100"/>
      <c r="APJ41" s="100"/>
      <c r="APK41" s="100"/>
      <c r="APL41" s="100"/>
      <c r="APM41" s="100"/>
      <c r="APN41" s="100"/>
      <c r="APO41" s="100"/>
      <c r="APP41" s="100"/>
      <c r="APQ41" s="100"/>
      <c r="APR41" s="100"/>
      <c r="APS41" s="100"/>
      <c r="APT41" s="100"/>
      <c r="APU41" s="100"/>
      <c r="APV41" s="100"/>
      <c r="APW41" s="100"/>
      <c r="APX41" s="100"/>
      <c r="APY41" s="100"/>
      <c r="APZ41" s="100"/>
      <c r="AQA41" s="100"/>
      <c r="AQB41" s="100"/>
      <c r="AQC41" s="100"/>
      <c r="AQD41" s="100"/>
      <c r="AQE41" s="100"/>
      <c r="AQF41" s="100"/>
      <c r="AQG41" s="100"/>
      <c r="AQH41" s="100"/>
      <c r="AQI41" s="100"/>
      <c r="AQJ41" s="100"/>
      <c r="AQK41" s="100"/>
      <c r="AQL41" s="100"/>
      <c r="AQM41" s="100"/>
      <c r="AQN41" s="100"/>
      <c r="AQO41" s="100"/>
      <c r="AQP41" s="100"/>
      <c r="AQQ41" s="100"/>
      <c r="AQR41" s="100"/>
      <c r="AQS41" s="100"/>
      <c r="AQT41" s="100"/>
      <c r="AQU41" s="100"/>
      <c r="AQV41" s="100"/>
      <c r="AQW41" s="100"/>
      <c r="AQX41" s="100"/>
      <c r="AQY41" s="100"/>
      <c r="AQZ41" s="100"/>
      <c r="ARA41" s="100"/>
      <c r="ARB41" s="100"/>
      <c r="ARC41" s="100"/>
      <c r="ARD41" s="100"/>
      <c r="ARE41" s="100"/>
      <c r="ARF41" s="100"/>
      <c r="ARG41" s="100"/>
      <c r="ARH41" s="100"/>
      <c r="ARI41" s="100"/>
      <c r="ARJ41" s="100"/>
      <c r="ARK41" s="100"/>
      <c r="ARL41" s="100"/>
      <c r="ARM41" s="100"/>
      <c r="ARN41" s="100"/>
      <c r="ARO41" s="100"/>
      <c r="ARP41" s="100"/>
      <c r="ARQ41" s="100"/>
      <c r="ARR41" s="100"/>
      <c r="ARS41" s="100"/>
      <c r="ART41" s="100"/>
      <c r="ARU41" s="100"/>
      <c r="ARV41" s="100"/>
      <c r="ARW41" s="100"/>
      <c r="ARX41" s="100"/>
      <c r="ARY41" s="100"/>
      <c r="ARZ41" s="100"/>
      <c r="ASA41" s="100"/>
      <c r="ASB41" s="100"/>
      <c r="ASC41" s="100"/>
      <c r="ASD41" s="100"/>
      <c r="ASE41" s="100"/>
      <c r="ASF41" s="100"/>
      <c r="ASG41" s="100"/>
      <c r="ASH41" s="100"/>
      <c r="ASI41" s="100"/>
      <c r="ASJ41" s="100"/>
      <c r="ASK41" s="100"/>
      <c r="ASL41" s="100"/>
      <c r="ASM41" s="100"/>
      <c r="ASN41" s="100"/>
      <c r="ASO41" s="100"/>
      <c r="ASP41" s="100"/>
      <c r="ASQ41" s="100"/>
      <c r="ASR41" s="100"/>
      <c r="ASS41" s="100"/>
      <c r="AST41" s="100"/>
      <c r="ASU41" s="100"/>
      <c r="ASV41" s="100"/>
      <c r="ASW41" s="100"/>
      <c r="ASX41" s="100"/>
      <c r="ASY41" s="100"/>
      <c r="ASZ41" s="100"/>
      <c r="ATA41" s="100"/>
      <c r="ATB41" s="100"/>
      <c r="ATC41" s="100"/>
      <c r="ATD41" s="100"/>
      <c r="ATE41" s="100"/>
      <c r="ATF41" s="100"/>
      <c r="ATG41" s="100"/>
      <c r="ATH41" s="100"/>
      <c r="ATI41" s="100"/>
      <c r="ATJ41" s="100"/>
      <c r="ATK41" s="100"/>
      <c r="ATL41" s="100"/>
      <c r="ATM41" s="100"/>
      <c r="ATN41" s="100"/>
      <c r="ATO41" s="100"/>
      <c r="ATP41" s="100"/>
      <c r="ATQ41" s="100"/>
      <c r="ATR41" s="100"/>
      <c r="ATS41" s="100"/>
      <c r="ATT41" s="100"/>
      <c r="ATU41" s="100"/>
      <c r="ATV41" s="100"/>
      <c r="ATW41" s="100"/>
      <c r="ATX41" s="100"/>
      <c r="ATY41" s="100"/>
      <c r="ATZ41" s="100"/>
      <c r="AUA41" s="100"/>
      <c r="AUB41" s="100"/>
      <c r="AUC41" s="100"/>
      <c r="AUD41" s="100"/>
      <c r="AUE41" s="100"/>
      <c r="AUF41" s="100"/>
      <c r="AUG41" s="100"/>
      <c r="AUH41" s="100"/>
      <c r="AUI41" s="100"/>
      <c r="AUJ41" s="100"/>
      <c r="AUK41" s="100"/>
      <c r="AUL41" s="100"/>
      <c r="AUM41" s="100"/>
      <c r="AUN41" s="100"/>
      <c r="AUO41" s="100"/>
      <c r="AUP41" s="100"/>
      <c r="AUQ41" s="100"/>
      <c r="AUR41" s="100"/>
      <c r="AUS41" s="100"/>
      <c r="AUT41" s="100"/>
      <c r="AUU41" s="100"/>
      <c r="AUV41" s="100"/>
      <c r="AUW41" s="100"/>
      <c r="AUX41" s="100"/>
      <c r="AUY41" s="100"/>
      <c r="AUZ41" s="100"/>
      <c r="AVA41" s="100"/>
      <c r="AVB41" s="100"/>
      <c r="AVC41" s="100"/>
      <c r="AVD41" s="100"/>
      <c r="AVE41" s="100"/>
      <c r="AVF41" s="100"/>
      <c r="AVG41" s="100"/>
      <c r="AVH41" s="100"/>
      <c r="AVI41" s="100"/>
      <c r="AVJ41" s="100"/>
      <c r="AVK41" s="100"/>
      <c r="AVL41" s="100"/>
      <c r="AVM41" s="100"/>
      <c r="AVN41" s="100"/>
      <c r="AVO41" s="100"/>
      <c r="AVP41" s="100"/>
      <c r="AVQ41" s="100"/>
      <c r="AVR41" s="100"/>
      <c r="AVS41" s="100"/>
      <c r="AVT41" s="100"/>
      <c r="AVU41" s="100"/>
      <c r="AVV41" s="100"/>
      <c r="AVW41" s="100"/>
      <c r="AVX41" s="100"/>
      <c r="AVY41" s="100"/>
      <c r="AVZ41" s="100"/>
      <c r="AWA41" s="100"/>
      <c r="AWB41" s="100"/>
      <c r="AWC41" s="100"/>
      <c r="AWD41" s="100"/>
      <c r="AWE41" s="100"/>
      <c r="AWF41" s="100"/>
      <c r="AWG41" s="100"/>
      <c r="AWH41" s="100"/>
      <c r="AWI41" s="100"/>
      <c r="AWJ41" s="100"/>
      <c r="AWK41" s="100"/>
      <c r="AWL41" s="100"/>
      <c r="AWM41" s="100"/>
      <c r="AWN41" s="100"/>
      <c r="AWO41" s="100"/>
      <c r="AWP41" s="100"/>
      <c r="AWQ41" s="100"/>
      <c r="AWR41" s="100"/>
      <c r="AWS41" s="100"/>
      <c r="AWT41" s="100"/>
      <c r="AWU41" s="100"/>
      <c r="AWV41" s="100"/>
      <c r="AWW41" s="100"/>
      <c r="AWX41" s="100"/>
      <c r="AWY41" s="100"/>
      <c r="AWZ41" s="100"/>
      <c r="AXA41" s="100"/>
      <c r="AXB41" s="100"/>
      <c r="AXC41" s="100"/>
      <c r="AXD41" s="100"/>
      <c r="AXE41" s="100"/>
      <c r="AXF41" s="100"/>
      <c r="AXG41" s="100"/>
      <c r="AXH41" s="100"/>
      <c r="AXI41" s="100"/>
      <c r="AXJ41" s="100"/>
      <c r="AXK41" s="100"/>
      <c r="AXL41" s="100"/>
      <c r="AXM41" s="100"/>
      <c r="AXN41" s="100"/>
      <c r="AXO41" s="100"/>
      <c r="AXP41" s="100"/>
      <c r="AXQ41" s="100"/>
      <c r="AXR41" s="100"/>
      <c r="AXS41" s="100"/>
      <c r="AXT41" s="100"/>
      <c r="AXU41" s="100"/>
      <c r="AXV41" s="100"/>
      <c r="AXW41" s="100"/>
      <c r="AXX41" s="100"/>
      <c r="AXY41" s="100"/>
      <c r="AXZ41" s="100"/>
      <c r="AYA41" s="100"/>
      <c r="AYB41" s="100"/>
      <c r="AYC41" s="100"/>
      <c r="AYD41" s="100"/>
      <c r="AYE41" s="100"/>
      <c r="AYF41" s="100"/>
      <c r="AYG41" s="100"/>
      <c r="AYH41" s="100"/>
      <c r="AYI41" s="100"/>
      <c r="AYJ41" s="100"/>
      <c r="AYK41" s="100"/>
      <c r="AYL41" s="100"/>
      <c r="AYM41" s="100"/>
      <c r="AYN41" s="100"/>
      <c r="AYO41" s="100"/>
      <c r="AYP41" s="100"/>
      <c r="AYQ41" s="100"/>
      <c r="AYR41" s="100"/>
      <c r="AYS41" s="100"/>
      <c r="AYT41" s="100"/>
      <c r="AYU41" s="100"/>
      <c r="AYV41" s="100"/>
      <c r="AYW41" s="100"/>
      <c r="AYX41" s="100"/>
      <c r="AYY41" s="100"/>
      <c r="AYZ41" s="100"/>
      <c r="AZA41" s="100"/>
      <c r="AZB41" s="100"/>
      <c r="AZC41" s="100"/>
      <c r="AZD41" s="100"/>
      <c r="AZE41" s="100"/>
      <c r="AZF41" s="100"/>
      <c r="AZG41" s="100"/>
      <c r="AZH41" s="100"/>
      <c r="AZI41" s="100"/>
      <c r="AZJ41" s="100"/>
      <c r="AZK41" s="100"/>
      <c r="AZL41" s="100"/>
      <c r="AZM41" s="100"/>
      <c r="AZN41" s="100"/>
      <c r="AZO41" s="100"/>
      <c r="AZP41" s="100"/>
      <c r="AZQ41" s="100"/>
      <c r="AZR41" s="100"/>
      <c r="AZS41" s="100"/>
      <c r="AZT41" s="100"/>
      <c r="AZU41" s="100"/>
      <c r="AZV41" s="100"/>
      <c r="AZW41" s="100"/>
      <c r="AZX41" s="100"/>
      <c r="AZY41" s="100"/>
      <c r="AZZ41" s="100"/>
      <c r="BAA41" s="100"/>
      <c r="BAB41" s="100"/>
      <c r="BAC41" s="100"/>
      <c r="BAD41" s="100"/>
      <c r="BAE41" s="100"/>
      <c r="BAF41" s="100"/>
      <c r="BAG41" s="100"/>
      <c r="BAH41" s="100"/>
      <c r="BAI41" s="100"/>
      <c r="BAJ41" s="100"/>
      <c r="BAK41" s="100"/>
      <c r="BAL41" s="100"/>
      <c r="BAM41" s="100"/>
      <c r="BAN41" s="100"/>
      <c r="BAO41" s="100"/>
      <c r="BAP41" s="100"/>
      <c r="BAQ41" s="100"/>
      <c r="BAR41" s="100"/>
      <c r="BAS41" s="100"/>
      <c r="BAT41" s="100"/>
      <c r="BAU41" s="100"/>
      <c r="BAV41" s="100"/>
      <c r="BAW41" s="100"/>
      <c r="BAX41" s="100"/>
      <c r="BAY41" s="100"/>
      <c r="BAZ41" s="100"/>
      <c r="BBA41" s="100"/>
      <c r="BBB41" s="100"/>
      <c r="BBC41" s="100"/>
      <c r="BBD41" s="100"/>
      <c r="BBE41" s="100"/>
      <c r="BBF41" s="100"/>
      <c r="BBG41" s="100"/>
      <c r="BBH41" s="100"/>
      <c r="BBI41" s="100"/>
      <c r="BBJ41" s="100"/>
      <c r="BBK41" s="100"/>
      <c r="BBL41" s="100"/>
      <c r="BBM41" s="100"/>
      <c r="BBN41" s="100"/>
      <c r="BBO41" s="100"/>
      <c r="BBP41" s="100"/>
      <c r="BBQ41" s="100"/>
      <c r="BBR41" s="100"/>
      <c r="BBS41" s="100"/>
      <c r="BBT41" s="100"/>
      <c r="BBU41" s="100"/>
      <c r="BBV41" s="100"/>
      <c r="BBW41" s="100"/>
      <c r="BBX41" s="100"/>
      <c r="BBY41" s="100"/>
      <c r="BBZ41" s="100"/>
      <c r="BCA41" s="100"/>
      <c r="BCB41" s="100"/>
      <c r="BCC41" s="100"/>
      <c r="BCD41" s="100"/>
      <c r="BCE41" s="100"/>
      <c r="BCF41" s="100"/>
      <c r="BCG41" s="100"/>
      <c r="BCH41" s="100"/>
      <c r="BCI41" s="100"/>
      <c r="BCJ41" s="100"/>
      <c r="BCK41" s="100"/>
      <c r="BCL41" s="100"/>
      <c r="BCM41" s="100"/>
      <c r="BCN41" s="100"/>
      <c r="BCO41" s="100"/>
      <c r="BCP41" s="100"/>
      <c r="BCQ41" s="100"/>
      <c r="BCR41" s="100"/>
      <c r="BCS41" s="100"/>
      <c r="BCT41" s="100"/>
      <c r="BCU41" s="100"/>
      <c r="BCV41" s="100"/>
      <c r="BCW41" s="100"/>
      <c r="BCX41" s="100"/>
      <c r="BCY41" s="100"/>
      <c r="BCZ41" s="100"/>
      <c r="BDA41" s="100"/>
      <c r="BDB41" s="100"/>
      <c r="BDC41" s="100"/>
      <c r="BDD41" s="100"/>
      <c r="BDE41" s="100"/>
      <c r="BDF41" s="100"/>
      <c r="BDG41" s="100"/>
      <c r="BDH41" s="100"/>
      <c r="BDI41" s="100"/>
      <c r="BDJ41" s="100"/>
      <c r="BDK41" s="100"/>
      <c r="BDL41" s="100"/>
      <c r="BDM41" s="100"/>
      <c r="BDN41" s="100"/>
      <c r="BDO41" s="100"/>
      <c r="BDP41" s="100"/>
      <c r="BDQ41" s="100"/>
      <c r="BDR41" s="100"/>
      <c r="BDS41" s="100"/>
      <c r="BDT41" s="100"/>
      <c r="BDU41" s="100"/>
      <c r="BDV41" s="100"/>
      <c r="BDW41" s="100"/>
      <c r="BDX41" s="100"/>
      <c r="BDY41" s="100"/>
      <c r="BDZ41" s="100"/>
      <c r="BEA41" s="100"/>
      <c r="BEB41" s="100"/>
      <c r="BEC41" s="100"/>
      <c r="BED41" s="100"/>
      <c r="BEE41" s="100"/>
      <c r="BEF41" s="100"/>
      <c r="BEG41" s="100"/>
      <c r="BEH41" s="100"/>
      <c r="BEI41" s="100"/>
      <c r="BEJ41" s="100"/>
      <c r="BEK41" s="100"/>
      <c r="BEL41" s="100"/>
      <c r="BEM41" s="100"/>
      <c r="BEN41" s="100"/>
      <c r="BEO41" s="100"/>
      <c r="BEP41" s="100"/>
      <c r="BEQ41" s="100"/>
      <c r="BER41" s="100"/>
      <c r="BES41" s="100"/>
      <c r="BET41" s="100"/>
      <c r="BEU41" s="100"/>
      <c r="BEV41" s="100"/>
      <c r="BEW41" s="100"/>
      <c r="BEX41" s="100"/>
      <c r="BEY41" s="100"/>
      <c r="BEZ41" s="100"/>
      <c r="BFA41" s="100"/>
      <c r="BFB41" s="100"/>
      <c r="BFC41" s="100"/>
      <c r="BFD41" s="100"/>
      <c r="BFE41" s="100"/>
      <c r="BFF41" s="100"/>
      <c r="BFG41" s="100"/>
      <c r="BFH41" s="100"/>
      <c r="BFI41" s="100"/>
      <c r="BFJ41" s="100"/>
      <c r="BFK41" s="100"/>
      <c r="BFL41" s="100"/>
      <c r="BFM41" s="100"/>
      <c r="BFN41" s="100"/>
      <c r="BFO41" s="100"/>
      <c r="BFP41" s="100"/>
      <c r="BFQ41" s="100"/>
      <c r="BFR41" s="100"/>
      <c r="BFS41" s="100"/>
      <c r="BFT41" s="100"/>
      <c r="BFU41" s="100"/>
      <c r="BFV41" s="100"/>
      <c r="BFW41" s="100"/>
      <c r="BFX41" s="100"/>
      <c r="BFY41" s="100"/>
      <c r="BFZ41" s="100"/>
      <c r="BGA41" s="100"/>
      <c r="BGB41" s="100"/>
      <c r="BGC41" s="100"/>
      <c r="BGD41" s="100"/>
      <c r="BGE41" s="100"/>
      <c r="BGF41" s="100"/>
      <c r="BGG41" s="100"/>
      <c r="BGH41" s="100"/>
      <c r="BGI41" s="100"/>
      <c r="BGJ41" s="100"/>
      <c r="BGK41" s="100"/>
      <c r="BGL41" s="100"/>
      <c r="BGM41" s="100"/>
      <c r="BGN41" s="100"/>
      <c r="BGO41" s="100"/>
      <c r="BGP41" s="100"/>
      <c r="BGQ41" s="100"/>
      <c r="BGR41" s="100"/>
      <c r="BGS41" s="100"/>
      <c r="BGT41" s="100"/>
      <c r="BGU41" s="100"/>
      <c r="BGV41" s="100"/>
      <c r="BGW41" s="100"/>
      <c r="BGX41" s="100"/>
      <c r="BGY41" s="100"/>
      <c r="BGZ41" s="100"/>
      <c r="BHA41" s="100"/>
      <c r="BHB41" s="100"/>
      <c r="BHC41" s="100"/>
      <c r="BHD41" s="100"/>
      <c r="BHE41" s="100"/>
      <c r="BHF41" s="100"/>
      <c r="BHG41" s="100"/>
      <c r="BHH41" s="100"/>
      <c r="BHI41" s="100"/>
      <c r="BHJ41" s="100"/>
      <c r="BHK41" s="100"/>
      <c r="BHL41" s="100"/>
      <c r="BHM41" s="100"/>
      <c r="BHN41" s="100"/>
      <c r="BHO41" s="100"/>
      <c r="BHP41" s="100"/>
      <c r="BHQ41" s="100"/>
      <c r="BHR41" s="100"/>
      <c r="BHS41" s="100"/>
      <c r="BHT41" s="100"/>
      <c r="BHU41" s="100"/>
      <c r="BHV41" s="100"/>
      <c r="BHW41" s="100"/>
      <c r="BHX41" s="100"/>
      <c r="BHY41" s="100"/>
      <c r="BHZ41" s="100"/>
      <c r="BIA41" s="100"/>
      <c r="BIB41" s="100"/>
      <c r="BIC41" s="100"/>
      <c r="BID41" s="100"/>
      <c r="BIE41" s="100"/>
      <c r="BIF41" s="100"/>
      <c r="BIG41" s="100"/>
      <c r="BIH41" s="100"/>
      <c r="BII41" s="100"/>
      <c r="BIJ41" s="100"/>
      <c r="BIK41" s="100"/>
      <c r="BIL41" s="100"/>
      <c r="BIM41" s="100"/>
      <c r="BIN41" s="100"/>
      <c r="BIO41" s="100"/>
      <c r="BIP41" s="100"/>
      <c r="BIQ41" s="100"/>
      <c r="BIR41" s="100"/>
      <c r="BIS41" s="100"/>
      <c r="BIT41" s="100"/>
      <c r="BIU41" s="100"/>
      <c r="BIV41" s="100"/>
      <c r="BIW41" s="100"/>
      <c r="BIX41" s="100"/>
      <c r="BIY41" s="100"/>
      <c r="BIZ41" s="100"/>
      <c r="BJA41" s="100"/>
      <c r="BJB41" s="100"/>
      <c r="BJC41" s="100"/>
      <c r="BJD41" s="100"/>
      <c r="BJE41" s="100"/>
      <c r="BJF41" s="100"/>
      <c r="BJG41" s="100"/>
      <c r="BJH41" s="100"/>
      <c r="BJI41" s="100"/>
      <c r="BJJ41" s="100"/>
      <c r="BJK41" s="100"/>
      <c r="BJL41" s="100"/>
      <c r="BJM41" s="100"/>
      <c r="BJN41" s="100"/>
      <c r="BJO41" s="100"/>
      <c r="BJP41" s="100"/>
      <c r="BJQ41" s="100"/>
      <c r="BJR41" s="100"/>
      <c r="BJS41" s="100"/>
      <c r="BJT41" s="100"/>
      <c r="BJU41" s="100"/>
      <c r="BJV41" s="100"/>
      <c r="BJW41" s="100"/>
      <c r="BJX41" s="100"/>
      <c r="BJY41" s="100"/>
      <c r="BJZ41" s="100"/>
      <c r="BKA41" s="100"/>
      <c r="BKB41" s="100"/>
      <c r="BKC41" s="100"/>
      <c r="BKD41" s="100"/>
      <c r="BKE41" s="100"/>
      <c r="BKF41" s="100"/>
      <c r="BKG41" s="100"/>
      <c r="BKH41" s="100"/>
      <c r="BKI41" s="100"/>
      <c r="BKJ41" s="100"/>
      <c r="BKK41" s="100"/>
      <c r="BKL41" s="100"/>
      <c r="BKM41" s="100"/>
      <c r="BKN41" s="100"/>
      <c r="BKO41" s="100"/>
      <c r="BKP41" s="100"/>
      <c r="BKQ41" s="100"/>
      <c r="BKR41" s="100"/>
      <c r="BKS41" s="100"/>
      <c r="BKT41" s="100"/>
      <c r="BKU41" s="100"/>
      <c r="BKV41" s="100"/>
      <c r="BKW41" s="100"/>
      <c r="BKX41" s="100"/>
      <c r="BKY41" s="100"/>
      <c r="BKZ41" s="100"/>
      <c r="BLA41" s="100"/>
      <c r="BLB41" s="100"/>
      <c r="BLC41" s="100"/>
      <c r="BLD41" s="100"/>
      <c r="BLE41" s="100"/>
      <c r="BLF41" s="100"/>
      <c r="BLG41" s="100"/>
      <c r="BLH41" s="100"/>
      <c r="BLI41" s="100"/>
      <c r="BLJ41" s="100"/>
      <c r="BLK41" s="100"/>
      <c r="BLL41" s="100"/>
      <c r="BLM41" s="100"/>
      <c r="BLN41" s="100"/>
      <c r="BLO41" s="100"/>
      <c r="BLP41" s="100"/>
      <c r="BLQ41" s="100"/>
      <c r="BLR41" s="100"/>
      <c r="BLS41" s="100"/>
      <c r="BLT41" s="100"/>
      <c r="BLU41" s="100"/>
      <c r="BLV41" s="100"/>
      <c r="BLW41" s="100"/>
      <c r="BLX41" s="100"/>
      <c r="BLY41" s="100"/>
      <c r="BLZ41" s="100"/>
      <c r="BMA41" s="100"/>
      <c r="BMB41" s="100"/>
      <c r="BMC41" s="100"/>
      <c r="BMD41" s="100"/>
      <c r="BME41" s="100"/>
      <c r="BMF41" s="100"/>
      <c r="BMG41" s="100"/>
      <c r="BMH41" s="100"/>
      <c r="BMI41" s="100"/>
      <c r="BMJ41" s="100"/>
      <c r="BMK41" s="100"/>
      <c r="BML41" s="100"/>
      <c r="BMM41" s="100"/>
      <c r="BMN41" s="100"/>
      <c r="BMO41" s="100"/>
      <c r="BMP41" s="100"/>
      <c r="BMQ41" s="100"/>
      <c r="BMR41" s="100"/>
      <c r="BMS41" s="100"/>
      <c r="BMT41" s="100"/>
      <c r="BMU41" s="100"/>
      <c r="BMV41" s="100"/>
      <c r="BMW41" s="100"/>
      <c r="BMX41" s="100"/>
      <c r="BMY41" s="100"/>
      <c r="BMZ41" s="100"/>
      <c r="BNA41" s="100"/>
      <c r="BNB41" s="100"/>
      <c r="BNC41" s="100"/>
      <c r="BND41" s="100"/>
      <c r="BNE41" s="100"/>
      <c r="BNF41" s="100"/>
      <c r="BNG41" s="100"/>
      <c r="BNH41" s="100"/>
      <c r="BNI41" s="100"/>
      <c r="BNJ41" s="100"/>
      <c r="BNK41" s="100"/>
      <c r="BNL41" s="100"/>
      <c r="BNM41" s="100"/>
      <c r="BNN41" s="100"/>
      <c r="BNO41" s="100"/>
      <c r="BNP41" s="100"/>
      <c r="BNQ41" s="100"/>
      <c r="BNR41" s="100"/>
      <c r="BNS41" s="100"/>
      <c r="BNT41" s="100"/>
      <c r="BNU41" s="100"/>
      <c r="BNV41" s="100"/>
      <c r="BNW41" s="100"/>
      <c r="BNX41" s="100"/>
      <c r="BNY41" s="100"/>
      <c r="BNZ41" s="100"/>
      <c r="BOA41" s="100"/>
      <c r="BOB41" s="100"/>
      <c r="BOC41" s="100"/>
      <c r="BOD41" s="100"/>
      <c r="BOE41" s="100"/>
      <c r="BOF41" s="100"/>
      <c r="BOG41" s="100"/>
      <c r="BOH41" s="100"/>
      <c r="BOI41" s="100"/>
      <c r="BOJ41" s="100"/>
      <c r="BOK41" s="100"/>
      <c r="BOL41" s="100"/>
      <c r="BOM41" s="100"/>
      <c r="BON41" s="100"/>
      <c r="BOO41" s="100"/>
      <c r="BOP41" s="100"/>
      <c r="BOQ41" s="100"/>
      <c r="BOR41" s="100"/>
      <c r="BOS41" s="100"/>
      <c r="BOT41" s="100"/>
      <c r="BOU41" s="100"/>
      <c r="BOV41" s="100"/>
      <c r="BOW41" s="100"/>
      <c r="BOX41" s="100"/>
      <c r="BOY41" s="100"/>
      <c r="BOZ41" s="100"/>
      <c r="BPA41" s="100"/>
      <c r="BPB41" s="100"/>
      <c r="BPC41" s="100"/>
      <c r="BPD41" s="100"/>
      <c r="BPE41" s="100"/>
      <c r="BPF41" s="100"/>
      <c r="BPG41" s="100"/>
      <c r="BPH41" s="100"/>
      <c r="BPI41" s="100"/>
      <c r="BPJ41" s="100"/>
      <c r="BPK41" s="100"/>
      <c r="BPL41" s="100"/>
      <c r="BPM41" s="100"/>
      <c r="BPN41" s="100"/>
      <c r="BPO41" s="100"/>
      <c r="BPP41" s="100"/>
      <c r="BPQ41" s="100"/>
      <c r="BPR41" s="100"/>
      <c r="BPS41" s="100"/>
      <c r="BPT41" s="100"/>
      <c r="BPU41" s="100"/>
      <c r="BPV41" s="100"/>
      <c r="BPW41" s="100"/>
      <c r="BPX41" s="100"/>
      <c r="BPY41" s="100"/>
      <c r="BPZ41" s="100"/>
      <c r="BQA41" s="100"/>
      <c r="BQB41" s="100"/>
      <c r="BQC41" s="100"/>
      <c r="BQD41" s="100"/>
      <c r="BQE41" s="100"/>
      <c r="BQF41" s="100"/>
      <c r="BQG41" s="100"/>
      <c r="BQH41" s="100"/>
      <c r="BQI41" s="100"/>
      <c r="BQJ41" s="100"/>
      <c r="BQK41" s="100"/>
      <c r="BQL41" s="100"/>
      <c r="BQM41" s="100"/>
      <c r="BQN41" s="100"/>
      <c r="BQO41" s="100"/>
      <c r="BQP41" s="100"/>
      <c r="BQQ41" s="100"/>
      <c r="BQR41" s="100"/>
      <c r="BQS41" s="100"/>
      <c r="BQT41" s="100"/>
      <c r="BQU41" s="100"/>
      <c r="BQV41" s="100"/>
      <c r="BQW41" s="100"/>
      <c r="BQX41" s="100"/>
      <c r="BQY41" s="100"/>
      <c r="BQZ41" s="100"/>
      <c r="BRA41" s="100"/>
      <c r="BRB41" s="100"/>
      <c r="BRC41" s="100"/>
      <c r="BRD41" s="100"/>
      <c r="BRE41" s="100"/>
      <c r="BRF41" s="100"/>
      <c r="BRG41" s="100"/>
      <c r="BRH41" s="100"/>
      <c r="BRI41" s="100"/>
      <c r="BRJ41" s="100"/>
      <c r="BRK41" s="100"/>
      <c r="BRL41" s="100"/>
      <c r="BRM41" s="100"/>
      <c r="BRN41" s="100"/>
      <c r="BRO41" s="100"/>
      <c r="BRP41" s="100"/>
      <c r="BRQ41" s="100"/>
      <c r="BRR41" s="100"/>
      <c r="BRS41" s="100"/>
      <c r="BRT41" s="100"/>
      <c r="BRU41" s="100"/>
      <c r="BRV41" s="100"/>
      <c r="BRW41" s="100"/>
      <c r="BRX41" s="100"/>
      <c r="BRY41" s="100"/>
      <c r="BRZ41" s="100"/>
      <c r="BSA41" s="100"/>
      <c r="BSB41" s="100"/>
      <c r="BSC41" s="100"/>
      <c r="BSD41" s="100"/>
      <c r="BSE41" s="100"/>
      <c r="BSF41" s="100"/>
      <c r="BSG41" s="100"/>
      <c r="BSH41" s="100"/>
      <c r="BSI41" s="100"/>
      <c r="BSJ41" s="100"/>
      <c r="BSK41" s="100"/>
      <c r="BSL41" s="100"/>
      <c r="BSM41" s="100"/>
      <c r="BSN41" s="100"/>
      <c r="BSO41" s="100"/>
      <c r="BSP41" s="100"/>
      <c r="BSQ41" s="100"/>
      <c r="BSR41" s="100"/>
      <c r="BSS41" s="100"/>
      <c r="BST41" s="100"/>
      <c r="BSU41" s="100"/>
      <c r="BSV41" s="100"/>
      <c r="BSW41" s="100"/>
      <c r="BSX41" s="100"/>
      <c r="BSY41" s="100"/>
      <c r="BSZ41" s="100"/>
      <c r="BTA41" s="100"/>
      <c r="BTB41" s="100"/>
      <c r="BTC41" s="100"/>
      <c r="BTD41" s="100"/>
      <c r="BTE41" s="100"/>
      <c r="BTF41" s="100"/>
      <c r="BTG41" s="100"/>
      <c r="BTH41" s="100"/>
      <c r="BTI41" s="100"/>
      <c r="BTJ41" s="100"/>
      <c r="BTK41" s="100"/>
      <c r="BTL41" s="100"/>
      <c r="BTM41" s="100"/>
      <c r="BTN41" s="100"/>
      <c r="BTO41" s="100"/>
      <c r="BTP41" s="100"/>
      <c r="BTQ41" s="100"/>
      <c r="BTR41" s="100"/>
      <c r="BTS41" s="100"/>
      <c r="BTT41" s="100"/>
      <c r="BTU41" s="100"/>
      <c r="BTV41" s="100"/>
      <c r="BTW41" s="100"/>
      <c r="BTX41" s="100"/>
      <c r="BTY41" s="100"/>
      <c r="BTZ41" s="100"/>
      <c r="BUA41" s="100"/>
      <c r="BUB41" s="100"/>
      <c r="BUC41" s="100"/>
      <c r="BUD41" s="100"/>
      <c r="BUE41" s="100"/>
      <c r="BUF41" s="100"/>
      <c r="BUG41" s="100"/>
      <c r="BUH41" s="100"/>
      <c r="BUI41" s="100"/>
      <c r="BUJ41" s="100"/>
      <c r="BUK41" s="100"/>
      <c r="BUL41" s="100"/>
      <c r="BUM41" s="100"/>
      <c r="BUN41" s="100"/>
      <c r="BUO41" s="100"/>
      <c r="BUP41" s="100"/>
      <c r="BUQ41" s="100"/>
      <c r="BUR41" s="100"/>
      <c r="BUS41" s="100"/>
      <c r="BUT41" s="100"/>
      <c r="BUU41" s="100"/>
      <c r="BUV41" s="100"/>
      <c r="BUW41" s="100"/>
      <c r="BUX41" s="100"/>
      <c r="BUY41" s="100"/>
      <c r="BUZ41" s="100"/>
      <c r="BVA41" s="100"/>
      <c r="BVB41" s="100"/>
      <c r="BVC41" s="100"/>
      <c r="BVD41" s="100"/>
      <c r="BVE41" s="100"/>
      <c r="BVF41" s="100"/>
      <c r="BVG41" s="100"/>
      <c r="BVH41" s="100"/>
      <c r="BVI41" s="100"/>
      <c r="BVJ41" s="100"/>
      <c r="BVK41" s="100"/>
      <c r="BVL41" s="100"/>
      <c r="BVM41" s="100"/>
      <c r="BVN41" s="100"/>
      <c r="BVO41" s="100"/>
      <c r="BVP41" s="100"/>
      <c r="BVQ41" s="100"/>
      <c r="BVR41" s="100"/>
      <c r="BVS41" s="100"/>
      <c r="BVT41" s="100"/>
      <c r="BVU41" s="100"/>
      <c r="BVV41" s="100"/>
      <c r="BVW41" s="100"/>
      <c r="BVX41" s="100"/>
      <c r="BVY41" s="100"/>
      <c r="BVZ41" s="100"/>
      <c r="BWA41" s="100"/>
      <c r="BWB41" s="100"/>
      <c r="BWC41" s="100"/>
      <c r="BWD41" s="100"/>
      <c r="BWE41" s="100"/>
      <c r="BWF41" s="100"/>
      <c r="BWG41" s="100"/>
      <c r="BWH41" s="100"/>
      <c r="BWI41" s="100"/>
      <c r="BWJ41" s="100"/>
      <c r="BWK41" s="100"/>
      <c r="BWL41" s="100"/>
      <c r="BWM41" s="100"/>
      <c r="BWN41" s="100"/>
      <c r="BWO41" s="100"/>
      <c r="BWP41" s="100"/>
      <c r="BWQ41" s="100"/>
      <c r="BWR41" s="100"/>
      <c r="BWS41" s="100"/>
      <c r="BWT41" s="100"/>
      <c r="BWU41" s="100"/>
      <c r="BWV41" s="100"/>
      <c r="BWW41" s="100"/>
      <c r="BWX41" s="100"/>
      <c r="BWY41" s="100"/>
      <c r="BWZ41" s="100"/>
      <c r="BXA41" s="100"/>
      <c r="BXB41" s="100"/>
      <c r="BXC41" s="100"/>
      <c r="BXD41" s="100"/>
      <c r="BXE41" s="100"/>
      <c r="BXF41" s="100"/>
      <c r="BXG41" s="100"/>
      <c r="BXH41" s="100"/>
      <c r="BXI41" s="100"/>
      <c r="BXJ41" s="100"/>
      <c r="BXK41" s="100"/>
      <c r="BXL41" s="100"/>
      <c r="BXM41" s="100"/>
      <c r="BXN41" s="100"/>
      <c r="BXO41" s="100"/>
      <c r="BXP41" s="100"/>
      <c r="BXQ41" s="100"/>
      <c r="BXR41" s="100"/>
      <c r="BXS41" s="100"/>
      <c r="BXT41" s="100"/>
      <c r="BXU41" s="100"/>
      <c r="BXV41" s="100"/>
      <c r="BXW41" s="100"/>
      <c r="BXX41" s="100"/>
      <c r="BXY41" s="100"/>
      <c r="BXZ41" s="100"/>
      <c r="BYA41" s="100"/>
      <c r="BYB41" s="100"/>
      <c r="BYC41" s="100"/>
      <c r="BYD41" s="100"/>
      <c r="BYE41" s="100"/>
      <c r="BYF41" s="100"/>
      <c r="BYG41" s="100"/>
    </row>
    <row r="42" spans="1:2009" s="116" customFormat="1" ht="24.95" customHeight="1" x14ac:dyDescent="0.25">
      <c r="A42" s="146"/>
      <c r="B42" s="128" t="s">
        <v>50</v>
      </c>
      <c r="C42" s="189">
        <f>2622.22+12187.06</f>
        <v>14809.279999999999</v>
      </c>
      <c r="D42" s="189">
        <v>10344.98</v>
      </c>
      <c r="E42" s="190">
        <v>10541.42</v>
      </c>
      <c r="F42" s="190"/>
      <c r="G42" s="724">
        <f>ROUND(SUM(C42:F42),5)</f>
        <v>35695.68</v>
      </c>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c r="IW42" s="100"/>
      <c r="IX42" s="100"/>
      <c r="IY42" s="100"/>
      <c r="IZ42" s="100"/>
      <c r="JA42" s="100"/>
      <c r="JB42" s="100"/>
      <c r="JC42" s="100"/>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c r="KJ42" s="100"/>
      <c r="KK42" s="100"/>
      <c r="KL42" s="100"/>
      <c r="KM42" s="100"/>
      <c r="KN42" s="100"/>
      <c r="KO42" s="100"/>
      <c r="KP42" s="100"/>
      <c r="KQ42" s="100"/>
      <c r="KR42" s="100"/>
      <c r="KS42" s="100"/>
      <c r="KT42" s="100"/>
      <c r="KU42" s="100"/>
      <c r="KV42" s="100"/>
      <c r="KW42" s="100"/>
      <c r="KX42" s="100"/>
      <c r="KY42" s="100"/>
      <c r="KZ42" s="100"/>
      <c r="LA42" s="100"/>
      <c r="LB42" s="100"/>
      <c r="LC42" s="100"/>
      <c r="LD42" s="100"/>
      <c r="LE42" s="100"/>
      <c r="LF42" s="100"/>
      <c r="LG42" s="100"/>
      <c r="LH42" s="100"/>
      <c r="LI42" s="100"/>
      <c r="LJ42" s="100"/>
      <c r="LK42" s="100"/>
      <c r="LL42" s="100"/>
      <c r="LM42" s="100"/>
      <c r="LN42" s="100"/>
      <c r="LO42" s="100"/>
      <c r="LP42" s="100"/>
      <c r="LQ42" s="100"/>
      <c r="LR42" s="100"/>
      <c r="LS42" s="100"/>
      <c r="LT42" s="100"/>
      <c r="LU42" s="100"/>
      <c r="LV42" s="100"/>
      <c r="LW42" s="100"/>
      <c r="LX42" s="100"/>
      <c r="LY42" s="100"/>
      <c r="LZ42" s="100"/>
      <c r="MA42" s="100"/>
      <c r="MB42" s="100"/>
      <c r="MC42" s="100"/>
      <c r="MD42" s="100"/>
      <c r="ME42" s="100"/>
      <c r="MF42" s="100"/>
      <c r="MG42" s="100"/>
      <c r="MH42" s="100"/>
      <c r="MI42" s="100"/>
      <c r="MJ42" s="100"/>
      <c r="MK42" s="100"/>
      <c r="ML42" s="100"/>
      <c r="MM42" s="100"/>
      <c r="MN42" s="100"/>
      <c r="MO42" s="100"/>
      <c r="MP42" s="100"/>
      <c r="MQ42" s="100"/>
      <c r="MR42" s="100"/>
      <c r="MS42" s="100"/>
      <c r="MT42" s="100"/>
      <c r="MU42" s="100"/>
      <c r="MV42" s="100"/>
      <c r="MW42" s="100"/>
      <c r="MX42" s="100"/>
      <c r="MY42" s="100"/>
      <c r="MZ42" s="100"/>
      <c r="NA42" s="100"/>
      <c r="NB42" s="100"/>
      <c r="NC42" s="100"/>
      <c r="ND42" s="100"/>
      <c r="NE42" s="100"/>
      <c r="NF42" s="100"/>
      <c r="NG42" s="100"/>
      <c r="NH42" s="100"/>
      <c r="NI42" s="100"/>
      <c r="NJ42" s="100"/>
      <c r="NK42" s="100"/>
      <c r="NL42" s="100"/>
      <c r="NM42" s="100"/>
      <c r="NN42" s="100"/>
      <c r="NO42" s="100"/>
      <c r="NP42" s="100"/>
      <c r="NQ42" s="100"/>
      <c r="NR42" s="100"/>
      <c r="NS42" s="100"/>
      <c r="NT42" s="100"/>
      <c r="NU42" s="100"/>
      <c r="NV42" s="100"/>
      <c r="NW42" s="100"/>
      <c r="NX42" s="100"/>
      <c r="NY42" s="100"/>
      <c r="NZ42" s="100"/>
      <c r="OA42" s="100"/>
      <c r="OB42" s="100"/>
      <c r="OC42" s="100"/>
      <c r="OD42" s="100"/>
      <c r="OE42" s="100"/>
      <c r="OF42" s="100"/>
      <c r="OG42" s="100"/>
      <c r="OH42" s="100"/>
      <c r="OI42" s="100"/>
      <c r="OJ42" s="100"/>
      <c r="OK42" s="100"/>
      <c r="OL42" s="100"/>
      <c r="OM42" s="100"/>
      <c r="ON42" s="100"/>
      <c r="OO42" s="100"/>
      <c r="OP42" s="100"/>
      <c r="OQ42" s="100"/>
      <c r="OR42" s="100"/>
      <c r="OS42" s="100"/>
      <c r="OT42" s="100"/>
      <c r="OU42" s="100"/>
      <c r="OV42" s="100"/>
      <c r="OW42" s="100"/>
      <c r="OX42" s="100"/>
      <c r="OY42" s="100"/>
      <c r="OZ42" s="100"/>
      <c r="PA42" s="100"/>
      <c r="PB42" s="100"/>
      <c r="PC42" s="100"/>
      <c r="PD42" s="100"/>
      <c r="PE42" s="100"/>
      <c r="PF42" s="100"/>
      <c r="PG42" s="100"/>
      <c r="PH42" s="100"/>
      <c r="PI42" s="100"/>
      <c r="PJ42" s="100"/>
      <c r="PK42" s="100"/>
      <c r="PL42" s="100"/>
      <c r="PM42" s="100"/>
      <c r="PN42" s="100"/>
      <c r="PO42" s="100"/>
      <c r="PP42" s="100"/>
      <c r="PQ42" s="100"/>
      <c r="PR42" s="100"/>
      <c r="PS42" s="100"/>
      <c r="PT42" s="100"/>
      <c r="PU42" s="100"/>
      <c r="PV42" s="100"/>
      <c r="PW42" s="100"/>
      <c r="PX42" s="100"/>
      <c r="PY42" s="100"/>
      <c r="PZ42" s="100"/>
      <c r="QA42" s="100"/>
      <c r="QB42" s="100"/>
      <c r="QC42" s="100"/>
      <c r="QD42" s="100"/>
      <c r="QE42" s="100"/>
      <c r="QF42" s="100"/>
      <c r="QG42" s="100"/>
      <c r="QH42" s="100"/>
      <c r="QI42" s="100"/>
      <c r="QJ42" s="100"/>
      <c r="QK42" s="100"/>
      <c r="QL42" s="100"/>
      <c r="QM42" s="100"/>
      <c r="QN42" s="100"/>
      <c r="QO42" s="100"/>
      <c r="QP42" s="100"/>
      <c r="QQ42" s="100"/>
      <c r="QR42" s="100"/>
      <c r="QS42" s="100"/>
      <c r="QT42" s="100"/>
      <c r="QU42" s="100"/>
      <c r="QV42" s="100"/>
      <c r="QW42" s="100"/>
      <c r="QX42" s="100"/>
      <c r="QY42" s="100"/>
      <c r="QZ42" s="100"/>
      <c r="RA42" s="100"/>
      <c r="RB42" s="100"/>
      <c r="RC42" s="100"/>
      <c r="RD42" s="100"/>
      <c r="RE42" s="100"/>
      <c r="RF42" s="100"/>
      <c r="RG42" s="100"/>
      <c r="RH42" s="100"/>
      <c r="RI42" s="100"/>
      <c r="RJ42" s="100"/>
      <c r="RK42" s="100"/>
      <c r="RL42" s="100"/>
      <c r="RM42" s="100"/>
      <c r="RN42" s="100"/>
      <c r="RO42" s="100"/>
      <c r="RP42" s="100"/>
      <c r="RQ42" s="100"/>
      <c r="RR42" s="100"/>
      <c r="RS42" s="100"/>
      <c r="RT42" s="100"/>
      <c r="RU42" s="100"/>
      <c r="RV42" s="100"/>
      <c r="RW42" s="100"/>
      <c r="RX42" s="100"/>
      <c r="RY42" s="100"/>
      <c r="RZ42" s="100"/>
      <c r="SA42" s="100"/>
      <c r="SB42" s="100"/>
      <c r="SC42" s="100"/>
      <c r="SD42" s="100"/>
      <c r="SE42" s="100"/>
      <c r="SF42" s="100"/>
      <c r="SG42" s="100"/>
      <c r="SH42" s="100"/>
      <c r="SI42" s="100"/>
      <c r="SJ42" s="100"/>
      <c r="SK42" s="100"/>
      <c r="SL42" s="100"/>
      <c r="SM42" s="100"/>
      <c r="SN42" s="100"/>
      <c r="SO42" s="100"/>
      <c r="SP42" s="100"/>
      <c r="SQ42" s="100"/>
      <c r="SR42" s="100"/>
      <c r="SS42" s="100"/>
      <c r="ST42" s="100"/>
      <c r="SU42" s="100"/>
      <c r="SV42" s="100"/>
      <c r="SW42" s="100"/>
      <c r="SX42" s="100"/>
      <c r="SY42" s="100"/>
      <c r="SZ42" s="100"/>
      <c r="TA42" s="100"/>
      <c r="TB42" s="100"/>
      <c r="TC42" s="100"/>
      <c r="TD42" s="100"/>
      <c r="TE42" s="100"/>
      <c r="TF42" s="100"/>
      <c r="TG42" s="100"/>
      <c r="TH42" s="100"/>
      <c r="TI42" s="100"/>
      <c r="TJ42" s="100"/>
      <c r="TK42" s="100"/>
      <c r="TL42" s="100"/>
      <c r="TM42" s="100"/>
      <c r="TN42" s="100"/>
      <c r="TO42" s="100"/>
      <c r="TP42" s="100"/>
      <c r="TQ42" s="100"/>
      <c r="TR42" s="100"/>
      <c r="TS42" s="100"/>
      <c r="TT42" s="100"/>
      <c r="TU42" s="100"/>
      <c r="TV42" s="100"/>
      <c r="TW42" s="100"/>
      <c r="TX42" s="100"/>
      <c r="TY42" s="100"/>
      <c r="TZ42" s="100"/>
      <c r="UA42" s="100"/>
      <c r="UB42" s="100"/>
      <c r="UC42" s="100"/>
      <c r="UD42" s="100"/>
      <c r="UE42" s="100"/>
      <c r="UF42" s="100"/>
      <c r="UG42" s="100"/>
      <c r="UH42" s="100"/>
      <c r="UI42" s="100"/>
      <c r="UJ42" s="100"/>
      <c r="UK42" s="100"/>
      <c r="UL42" s="100"/>
      <c r="UM42" s="100"/>
      <c r="UN42" s="100"/>
      <c r="UO42" s="100"/>
      <c r="UP42" s="100"/>
      <c r="UQ42" s="100"/>
      <c r="UR42" s="100"/>
      <c r="US42" s="100"/>
      <c r="UT42" s="100"/>
      <c r="UU42" s="100"/>
      <c r="UV42" s="100"/>
      <c r="UW42" s="100"/>
      <c r="UX42" s="100"/>
      <c r="UY42" s="100"/>
      <c r="UZ42" s="100"/>
      <c r="VA42" s="100"/>
      <c r="VB42" s="100"/>
      <c r="VC42" s="100"/>
      <c r="VD42" s="100"/>
      <c r="VE42" s="100"/>
      <c r="VF42" s="100"/>
      <c r="VG42" s="100"/>
      <c r="VH42" s="100"/>
      <c r="VI42" s="100"/>
      <c r="VJ42" s="100"/>
      <c r="VK42" s="100"/>
      <c r="VL42" s="100"/>
      <c r="VM42" s="100"/>
      <c r="VN42" s="100"/>
      <c r="VO42" s="100"/>
      <c r="VP42" s="100"/>
      <c r="VQ42" s="100"/>
      <c r="VR42" s="100"/>
      <c r="VS42" s="100"/>
      <c r="VT42" s="100"/>
      <c r="VU42" s="100"/>
      <c r="VV42" s="100"/>
      <c r="VW42" s="100"/>
      <c r="VX42" s="100"/>
      <c r="VY42" s="100"/>
      <c r="VZ42" s="100"/>
      <c r="WA42" s="100"/>
      <c r="WB42" s="100"/>
      <c r="WC42" s="100"/>
      <c r="WD42" s="100"/>
      <c r="WE42" s="100"/>
      <c r="WF42" s="100"/>
      <c r="WG42" s="100"/>
      <c r="WH42" s="100"/>
      <c r="WI42" s="100"/>
      <c r="WJ42" s="100"/>
      <c r="WK42" s="100"/>
      <c r="WL42" s="100"/>
      <c r="WM42" s="100"/>
      <c r="WN42" s="100"/>
      <c r="WO42" s="100"/>
      <c r="WP42" s="100"/>
      <c r="WQ42" s="100"/>
      <c r="WR42" s="100"/>
      <c r="WS42" s="100"/>
      <c r="WT42" s="100"/>
      <c r="WU42" s="100"/>
      <c r="WV42" s="100"/>
      <c r="WW42" s="100"/>
      <c r="WX42" s="100"/>
      <c r="WY42" s="100"/>
      <c r="WZ42" s="100"/>
      <c r="XA42" s="100"/>
      <c r="XB42" s="100"/>
      <c r="XC42" s="100"/>
      <c r="XD42" s="100"/>
      <c r="XE42" s="100"/>
      <c r="XF42" s="100"/>
      <c r="XG42" s="100"/>
      <c r="XH42" s="100"/>
      <c r="XI42" s="100"/>
      <c r="XJ42" s="100"/>
      <c r="XK42" s="100"/>
      <c r="XL42" s="100"/>
      <c r="XM42" s="100"/>
      <c r="XN42" s="100"/>
      <c r="XO42" s="100"/>
      <c r="XP42" s="100"/>
      <c r="XQ42" s="100"/>
      <c r="XR42" s="100"/>
      <c r="XS42" s="100"/>
      <c r="XT42" s="100"/>
      <c r="XU42" s="100"/>
      <c r="XV42" s="100"/>
      <c r="XW42" s="100"/>
      <c r="XX42" s="100"/>
      <c r="XY42" s="100"/>
      <c r="XZ42" s="100"/>
      <c r="YA42" s="100"/>
      <c r="YB42" s="100"/>
      <c r="YC42" s="100"/>
      <c r="YD42" s="100"/>
      <c r="YE42" s="100"/>
      <c r="YF42" s="100"/>
      <c r="YG42" s="100"/>
      <c r="YH42" s="100"/>
      <c r="YI42" s="100"/>
      <c r="YJ42" s="100"/>
      <c r="YK42" s="100"/>
      <c r="YL42" s="100"/>
      <c r="YM42" s="100"/>
      <c r="YN42" s="100"/>
      <c r="YO42" s="100"/>
      <c r="YP42" s="100"/>
      <c r="YQ42" s="100"/>
      <c r="YR42" s="100"/>
      <c r="YS42" s="100"/>
      <c r="YT42" s="100"/>
      <c r="YU42" s="100"/>
      <c r="YV42" s="100"/>
      <c r="YW42" s="100"/>
      <c r="YX42" s="100"/>
      <c r="YY42" s="100"/>
      <c r="YZ42" s="100"/>
      <c r="ZA42" s="100"/>
      <c r="ZB42" s="100"/>
      <c r="ZC42" s="100"/>
      <c r="ZD42" s="100"/>
      <c r="ZE42" s="100"/>
      <c r="ZF42" s="100"/>
      <c r="ZG42" s="100"/>
      <c r="ZH42" s="100"/>
      <c r="ZI42" s="100"/>
      <c r="ZJ42" s="100"/>
      <c r="ZK42" s="100"/>
      <c r="ZL42" s="100"/>
      <c r="ZM42" s="100"/>
      <c r="ZN42" s="100"/>
      <c r="ZO42" s="100"/>
      <c r="ZP42" s="100"/>
      <c r="ZQ42" s="100"/>
      <c r="ZR42" s="100"/>
      <c r="ZS42" s="100"/>
      <c r="ZT42" s="100"/>
      <c r="ZU42" s="100"/>
      <c r="ZV42" s="100"/>
      <c r="ZW42" s="100"/>
      <c r="ZX42" s="100"/>
      <c r="ZY42" s="100"/>
      <c r="ZZ42" s="100"/>
      <c r="AAA42" s="100"/>
      <c r="AAB42" s="100"/>
      <c r="AAC42" s="100"/>
      <c r="AAD42" s="100"/>
      <c r="AAE42" s="100"/>
      <c r="AAF42" s="100"/>
      <c r="AAG42" s="100"/>
      <c r="AAH42" s="100"/>
      <c r="AAI42" s="100"/>
      <c r="AAJ42" s="100"/>
      <c r="AAK42" s="100"/>
      <c r="AAL42" s="100"/>
      <c r="AAM42" s="100"/>
      <c r="AAN42" s="100"/>
      <c r="AAO42" s="100"/>
      <c r="AAP42" s="100"/>
      <c r="AAQ42" s="100"/>
      <c r="AAR42" s="100"/>
      <c r="AAS42" s="100"/>
      <c r="AAT42" s="100"/>
      <c r="AAU42" s="100"/>
      <c r="AAV42" s="100"/>
      <c r="AAW42" s="100"/>
      <c r="AAX42" s="100"/>
      <c r="AAY42" s="100"/>
      <c r="AAZ42" s="100"/>
      <c r="ABA42" s="100"/>
      <c r="ABB42" s="100"/>
      <c r="ABC42" s="100"/>
      <c r="ABD42" s="100"/>
      <c r="ABE42" s="100"/>
      <c r="ABF42" s="100"/>
      <c r="ABG42" s="100"/>
      <c r="ABH42" s="100"/>
      <c r="ABI42" s="100"/>
      <c r="ABJ42" s="100"/>
      <c r="ABK42" s="100"/>
      <c r="ABL42" s="100"/>
      <c r="ABM42" s="100"/>
      <c r="ABN42" s="100"/>
      <c r="ABO42" s="100"/>
      <c r="ABP42" s="100"/>
      <c r="ABQ42" s="100"/>
      <c r="ABR42" s="100"/>
      <c r="ABS42" s="100"/>
      <c r="ABT42" s="100"/>
      <c r="ABU42" s="100"/>
      <c r="ABV42" s="100"/>
      <c r="ABW42" s="100"/>
      <c r="ABX42" s="100"/>
      <c r="ABY42" s="100"/>
      <c r="ABZ42" s="100"/>
      <c r="ACA42" s="100"/>
      <c r="ACB42" s="100"/>
      <c r="ACC42" s="100"/>
      <c r="ACD42" s="100"/>
      <c r="ACE42" s="100"/>
      <c r="ACF42" s="100"/>
      <c r="ACG42" s="100"/>
      <c r="ACH42" s="100"/>
      <c r="ACI42" s="100"/>
      <c r="ACJ42" s="100"/>
      <c r="ACK42" s="100"/>
      <c r="ACL42" s="100"/>
      <c r="ACM42" s="100"/>
      <c r="ACN42" s="100"/>
      <c r="ACO42" s="100"/>
      <c r="ACP42" s="100"/>
      <c r="ACQ42" s="100"/>
      <c r="ACR42" s="100"/>
      <c r="ACS42" s="100"/>
      <c r="ACT42" s="100"/>
      <c r="ACU42" s="100"/>
      <c r="ACV42" s="100"/>
      <c r="ACW42" s="100"/>
      <c r="ACX42" s="100"/>
      <c r="ACY42" s="100"/>
      <c r="ACZ42" s="100"/>
      <c r="ADA42" s="100"/>
      <c r="ADB42" s="100"/>
      <c r="ADC42" s="100"/>
      <c r="ADD42" s="100"/>
      <c r="ADE42" s="100"/>
      <c r="ADF42" s="100"/>
      <c r="ADG42" s="100"/>
      <c r="ADH42" s="100"/>
      <c r="ADI42" s="100"/>
      <c r="ADJ42" s="100"/>
      <c r="ADK42" s="100"/>
      <c r="ADL42" s="100"/>
      <c r="ADM42" s="100"/>
      <c r="ADN42" s="100"/>
      <c r="ADO42" s="100"/>
      <c r="ADP42" s="100"/>
      <c r="ADQ42" s="100"/>
      <c r="ADR42" s="100"/>
      <c r="ADS42" s="100"/>
      <c r="ADT42" s="100"/>
      <c r="ADU42" s="100"/>
      <c r="ADV42" s="100"/>
      <c r="ADW42" s="100"/>
      <c r="ADX42" s="100"/>
      <c r="ADY42" s="100"/>
      <c r="ADZ42" s="100"/>
      <c r="AEA42" s="100"/>
      <c r="AEB42" s="100"/>
      <c r="AEC42" s="100"/>
      <c r="AED42" s="100"/>
      <c r="AEE42" s="100"/>
      <c r="AEF42" s="100"/>
      <c r="AEG42" s="100"/>
      <c r="AEH42" s="100"/>
      <c r="AEI42" s="100"/>
      <c r="AEJ42" s="100"/>
      <c r="AEK42" s="100"/>
      <c r="AEL42" s="100"/>
      <c r="AEM42" s="100"/>
      <c r="AEN42" s="100"/>
      <c r="AEO42" s="100"/>
      <c r="AEP42" s="100"/>
      <c r="AEQ42" s="100"/>
      <c r="AER42" s="100"/>
      <c r="AES42" s="100"/>
      <c r="AET42" s="100"/>
      <c r="AEU42" s="100"/>
      <c r="AEV42" s="100"/>
      <c r="AEW42" s="100"/>
      <c r="AEX42" s="100"/>
      <c r="AEY42" s="100"/>
      <c r="AEZ42" s="100"/>
      <c r="AFA42" s="100"/>
      <c r="AFB42" s="100"/>
      <c r="AFC42" s="100"/>
      <c r="AFD42" s="100"/>
      <c r="AFE42" s="100"/>
      <c r="AFF42" s="100"/>
      <c r="AFG42" s="100"/>
      <c r="AFH42" s="100"/>
      <c r="AFI42" s="100"/>
      <c r="AFJ42" s="100"/>
      <c r="AFK42" s="100"/>
      <c r="AFL42" s="100"/>
      <c r="AFM42" s="100"/>
      <c r="AFN42" s="100"/>
      <c r="AFO42" s="100"/>
      <c r="AFP42" s="100"/>
      <c r="AFQ42" s="100"/>
      <c r="AFR42" s="100"/>
      <c r="AFS42" s="100"/>
      <c r="AFT42" s="100"/>
      <c r="AFU42" s="100"/>
      <c r="AFV42" s="100"/>
      <c r="AFW42" s="100"/>
      <c r="AFX42" s="100"/>
      <c r="AFY42" s="100"/>
      <c r="AFZ42" s="100"/>
      <c r="AGA42" s="100"/>
      <c r="AGB42" s="100"/>
      <c r="AGC42" s="100"/>
      <c r="AGD42" s="100"/>
      <c r="AGE42" s="100"/>
      <c r="AGF42" s="100"/>
      <c r="AGG42" s="100"/>
      <c r="AGH42" s="100"/>
      <c r="AGI42" s="100"/>
      <c r="AGJ42" s="100"/>
      <c r="AGK42" s="100"/>
      <c r="AGL42" s="100"/>
      <c r="AGM42" s="100"/>
      <c r="AGN42" s="100"/>
      <c r="AGO42" s="100"/>
      <c r="AGP42" s="100"/>
      <c r="AGQ42" s="100"/>
      <c r="AGR42" s="100"/>
      <c r="AGS42" s="100"/>
      <c r="AGT42" s="100"/>
      <c r="AGU42" s="100"/>
      <c r="AGV42" s="100"/>
      <c r="AGW42" s="100"/>
      <c r="AGX42" s="100"/>
      <c r="AGY42" s="100"/>
      <c r="AGZ42" s="100"/>
      <c r="AHA42" s="100"/>
      <c r="AHB42" s="100"/>
      <c r="AHC42" s="100"/>
      <c r="AHD42" s="100"/>
      <c r="AHE42" s="100"/>
      <c r="AHF42" s="100"/>
      <c r="AHG42" s="100"/>
      <c r="AHH42" s="100"/>
      <c r="AHI42" s="100"/>
      <c r="AHJ42" s="100"/>
      <c r="AHK42" s="100"/>
      <c r="AHL42" s="100"/>
      <c r="AHM42" s="100"/>
      <c r="AHN42" s="100"/>
      <c r="AHO42" s="100"/>
      <c r="AHP42" s="100"/>
      <c r="AHQ42" s="100"/>
      <c r="AHR42" s="100"/>
      <c r="AHS42" s="100"/>
      <c r="AHT42" s="100"/>
      <c r="AHU42" s="100"/>
      <c r="AHV42" s="100"/>
      <c r="AHW42" s="100"/>
      <c r="AHX42" s="100"/>
      <c r="AHY42" s="100"/>
      <c r="AHZ42" s="100"/>
      <c r="AIA42" s="100"/>
      <c r="AIB42" s="100"/>
      <c r="AIC42" s="100"/>
      <c r="AID42" s="100"/>
      <c r="AIE42" s="100"/>
      <c r="AIF42" s="100"/>
      <c r="AIG42" s="100"/>
      <c r="AIH42" s="100"/>
      <c r="AII42" s="100"/>
      <c r="AIJ42" s="100"/>
      <c r="AIK42" s="100"/>
      <c r="AIL42" s="100"/>
      <c r="AIM42" s="100"/>
      <c r="AIN42" s="100"/>
      <c r="AIO42" s="100"/>
      <c r="AIP42" s="100"/>
      <c r="AIQ42" s="100"/>
      <c r="AIR42" s="100"/>
      <c r="AIS42" s="100"/>
      <c r="AIT42" s="100"/>
      <c r="AIU42" s="100"/>
      <c r="AIV42" s="100"/>
      <c r="AIW42" s="100"/>
      <c r="AIX42" s="100"/>
      <c r="AIY42" s="100"/>
      <c r="AIZ42" s="100"/>
      <c r="AJA42" s="100"/>
      <c r="AJB42" s="100"/>
      <c r="AJC42" s="100"/>
      <c r="AJD42" s="100"/>
      <c r="AJE42" s="100"/>
      <c r="AJF42" s="100"/>
      <c r="AJG42" s="100"/>
      <c r="AJH42" s="100"/>
      <c r="AJI42" s="100"/>
      <c r="AJJ42" s="100"/>
      <c r="AJK42" s="100"/>
      <c r="AJL42" s="100"/>
      <c r="AJM42" s="100"/>
      <c r="AJN42" s="100"/>
      <c r="AJO42" s="100"/>
      <c r="AJP42" s="100"/>
      <c r="AJQ42" s="100"/>
      <c r="AJR42" s="100"/>
      <c r="AJS42" s="100"/>
      <c r="AJT42" s="100"/>
      <c r="AJU42" s="100"/>
      <c r="AJV42" s="100"/>
      <c r="AJW42" s="100"/>
      <c r="AJX42" s="100"/>
      <c r="AJY42" s="100"/>
      <c r="AJZ42" s="100"/>
      <c r="AKA42" s="100"/>
      <c r="AKB42" s="100"/>
      <c r="AKC42" s="100"/>
      <c r="AKD42" s="100"/>
      <c r="AKE42" s="100"/>
      <c r="AKF42" s="100"/>
      <c r="AKG42" s="100"/>
      <c r="AKH42" s="100"/>
      <c r="AKI42" s="100"/>
      <c r="AKJ42" s="100"/>
      <c r="AKK42" s="100"/>
      <c r="AKL42" s="100"/>
      <c r="AKM42" s="100"/>
      <c r="AKN42" s="100"/>
      <c r="AKO42" s="100"/>
      <c r="AKP42" s="100"/>
      <c r="AKQ42" s="100"/>
      <c r="AKR42" s="100"/>
      <c r="AKS42" s="100"/>
      <c r="AKT42" s="100"/>
      <c r="AKU42" s="100"/>
      <c r="AKV42" s="100"/>
      <c r="AKW42" s="100"/>
      <c r="AKX42" s="100"/>
      <c r="AKY42" s="100"/>
      <c r="AKZ42" s="100"/>
      <c r="ALA42" s="100"/>
      <c r="ALB42" s="100"/>
      <c r="ALC42" s="100"/>
      <c r="ALD42" s="100"/>
      <c r="ALE42" s="100"/>
      <c r="ALF42" s="100"/>
      <c r="ALG42" s="100"/>
      <c r="ALH42" s="100"/>
      <c r="ALI42" s="100"/>
      <c r="ALJ42" s="100"/>
      <c r="ALK42" s="100"/>
      <c r="ALL42" s="100"/>
      <c r="ALM42" s="100"/>
      <c r="ALN42" s="100"/>
      <c r="ALO42" s="100"/>
      <c r="ALP42" s="100"/>
      <c r="ALQ42" s="100"/>
      <c r="ALR42" s="100"/>
      <c r="ALS42" s="100"/>
      <c r="ALT42" s="100"/>
      <c r="ALU42" s="100"/>
      <c r="ALV42" s="100"/>
      <c r="ALW42" s="100"/>
      <c r="ALX42" s="100"/>
      <c r="ALY42" s="100"/>
      <c r="ALZ42" s="100"/>
      <c r="AMA42" s="100"/>
      <c r="AMB42" s="100"/>
      <c r="AMC42" s="100"/>
      <c r="AMD42" s="100"/>
      <c r="AME42" s="100"/>
      <c r="AMF42" s="100"/>
      <c r="AMG42" s="100"/>
      <c r="AMH42" s="100"/>
      <c r="AMI42" s="100"/>
      <c r="AMJ42" s="100"/>
      <c r="AMK42" s="100"/>
      <c r="AML42" s="100"/>
      <c r="AMM42" s="100"/>
      <c r="AMN42" s="100"/>
      <c r="AMO42" s="100"/>
      <c r="AMP42" s="100"/>
      <c r="AMQ42" s="100"/>
      <c r="AMR42" s="100"/>
      <c r="AMS42" s="100"/>
      <c r="AMT42" s="100"/>
      <c r="AMU42" s="100"/>
      <c r="AMV42" s="100"/>
      <c r="AMW42" s="100"/>
      <c r="AMX42" s="100"/>
      <c r="AMY42" s="100"/>
      <c r="AMZ42" s="100"/>
      <c r="ANA42" s="100"/>
      <c r="ANB42" s="100"/>
      <c r="ANC42" s="100"/>
      <c r="AND42" s="100"/>
      <c r="ANE42" s="100"/>
      <c r="ANF42" s="100"/>
      <c r="ANG42" s="100"/>
      <c r="ANH42" s="100"/>
      <c r="ANI42" s="100"/>
      <c r="ANJ42" s="100"/>
      <c r="ANK42" s="100"/>
      <c r="ANL42" s="100"/>
      <c r="ANM42" s="100"/>
      <c r="ANN42" s="100"/>
      <c r="ANO42" s="100"/>
      <c r="ANP42" s="100"/>
      <c r="ANQ42" s="100"/>
      <c r="ANR42" s="100"/>
      <c r="ANS42" s="100"/>
      <c r="ANT42" s="100"/>
      <c r="ANU42" s="100"/>
      <c r="ANV42" s="100"/>
      <c r="ANW42" s="100"/>
      <c r="ANX42" s="100"/>
      <c r="ANY42" s="100"/>
      <c r="ANZ42" s="100"/>
      <c r="AOA42" s="100"/>
      <c r="AOB42" s="100"/>
      <c r="AOC42" s="100"/>
      <c r="AOD42" s="100"/>
      <c r="AOE42" s="100"/>
      <c r="AOF42" s="100"/>
      <c r="AOG42" s="100"/>
      <c r="AOH42" s="100"/>
      <c r="AOI42" s="100"/>
      <c r="AOJ42" s="100"/>
      <c r="AOK42" s="100"/>
      <c r="AOL42" s="100"/>
      <c r="AOM42" s="100"/>
      <c r="AON42" s="100"/>
      <c r="AOO42" s="100"/>
      <c r="AOP42" s="100"/>
      <c r="AOQ42" s="100"/>
      <c r="AOR42" s="100"/>
      <c r="AOS42" s="100"/>
      <c r="AOT42" s="100"/>
      <c r="AOU42" s="100"/>
      <c r="AOV42" s="100"/>
      <c r="AOW42" s="100"/>
      <c r="AOX42" s="100"/>
      <c r="AOY42" s="100"/>
      <c r="AOZ42" s="100"/>
      <c r="APA42" s="100"/>
      <c r="APB42" s="100"/>
      <c r="APC42" s="100"/>
      <c r="APD42" s="100"/>
      <c r="APE42" s="100"/>
      <c r="APF42" s="100"/>
      <c r="APG42" s="100"/>
      <c r="APH42" s="100"/>
      <c r="API42" s="100"/>
      <c r="APJ42" s="100"/>
      <c r="APK42" s="100"/>
      <c r="APL42" s="100"/>
      <c r="APM42" s="100"/>
      <c r="APN42" s="100"/>
      <c r="APO42" s="100"/>
      <c r="APP42" s="100"/>
      <c r="APQ42" s="100"/>
      <c r="APR42" s="100"/>
      <c r="APS42" s="100"/>
      <c r="APT42" s="100"/>
      <c r="APU42" s="100"/>
      <c r="APV42" s="100"/>
      <c r="APW42" s="100"/>
      <c r="APX42" s="100"/>
      <c r="APY42" s="100"/>
      <c r="APZ42" s="100"/>
      <c r="AQA42" s="100"/>
      <c r="AQB42" s="100"/>
      <c r="AQC42" s="100"/>
      <c r="AQD42" s="100"/>
      <c r="AQE42" s="100"/>
      <c r="AQF42" s="100"/>
      <c r="AQG42" s="100"/>
      <c r="AQH42" s="100"/>
      <c r="AQI42" s="100"/>
      <c r="AQJ42" s="100"/>
      <c r="AQK42" s="100"/>
      <c r="AQL42" s="100"/>
      <c r="AQM42" s="100"/>
      <c r="AQN42" s="100"/>
      <c r="AQO42" s="100"/>
      <c r="AQP42" s="100"/>
      <c r="AQQ42" s="100"/>
      <c r="AQR42" s="100"/>
      <c r="AQS42" s="100"/>
      <c r="AQT42" s="100"/>
      <c r="AQU42" s="100"/>
      <c r="AQV42" s="100"/>
      <c r="AQW42" s="100"/>
      <c r="AQX42" s="100"/>
      <c r="AQY42" s="100"/>
      <c r="AQZ42" s="100"/>
      <c r="ARA42" s="100"/>
      <c r="ARB42" s="100"/>
      <c r="ARC42" s="100"/>
      <c r="ARD42" s="100"/>
      <c r="ARE42" s="100"/>
      <c r="ARF42" s="100"/>
      <c r="ARG42" s="100"/>
      <c r="ARH42" s="100"/>
      <c r="ARI42" s="100"/>
      <c r="ARJ42" s="100"/>
      <c r="ARK42" s="100"/>
      <c r="ARL42" s="100"/>
      <c r="ARM42" s="100"/>
      <c r="ARN42" s="100"/>
      <c r="ARO42" s="100"/>
      <c r="ARP42" s="100"/>
      <c r="ARQ42" s="100"/>
      <c r="ARR42" s="100"/>
      <c r="ARS42" s="100"/>
      <c r="ART42" s="100"/>
      <c r="ARU42" s="100"/>
      <c r="ARV42" s="100"/>
      <c r="ARW42" s="100"/>
      <c r="ARX42" s="100"/>
      <c r="ARY42" s="100"/>
      <c r="ARZ42" s="100"/>
      <c r="ASA42" s="100"/>
      <c r="ASB42" s="100"/>
      <c r="ASC42" s="100"/>
      <c r="ASD42" s="100"/>
      <c r="ASE42" s="100"/>
      <c r="ASF42" s="100"/>
      <c r="ASG42" s="100"/>
      <c r="ASH42" s="100"/>
      <c r="ASI42" s="100"/>
      <c r="ASJ42" s="100"/>
      <c r="ASK42" s="100"/>
      <c r="ASL42" s="100"/>
      <c r="ASM42" s="100"/>
      <c r="ASN42" s="100"/>
      <c r="ASO42" s="100"/>
      <c r="ASP42" s="100"/>
      <c r="ASQ42" s="100"/>
      <c r="ASR42" s="100"/>
      <c r="ASS42" s="100"/>
      <c r="AST42" s="100"/>
      <c r="ASU42" s="100"/>
      <c r="ASV42" s="100"/>
      <c r="ASW42" s="100"/>
      <c r="ASX42" s="100"/>
      <c r="ASY42" s="100"/>
      <c r="ASZ42" s="100"/>
      <c r="ATA42" s="100"/>
      <c r="ATB42" s="100"/>
      <c r="ATC42" s="100"/>
      <c r="ATD42" s="100"/>
      <c r="ATE42" s="100"/>
      <c r="ATF42" s="100"/>
      <c r="ATG42" s="100"/>
      <c r="ATH42" s="100"/>
      <c r="ATI42" s="100"/>
      <c r="ATJ42" s="100"/>
      <c r="ATK42" s="100"/>
      <c r="ATL42" s="100"/>
      <c r="ATM42" s="100"/>
      <c r="ATN42" s="100"/>
      <c r="ATO42" s="100"/>
      <c r="ATP42" s="100"/>
      <c r="ATQ42" s="100"/>
      <c r="ATR42" s="100"/>
      <c r="ATS42" s="100"/>
      <c r="ATT42" s="100"/>
      <c r="ATU42" s="100"/>
      <c r="ATV42" s="100"/>
      <c r="ATW42" s="100"/>
      <c r="ATX42" s="100"/>
      <c r="ATY42" s="100"/>
      <c r="ATZ42" s="100"/>
      <c r="AUA42" s="100"/>
      <c r="AUB42" s="100"/>
      <c r="AUC42" s="100"/>
      <c r="AUD42" s="100"/>
      <c r="AUE42" s="100"/>
      <c r="AUF42" s="100"/>
      <c r="AUG42" s="100"/>
      <c r="AUH42" s="100"/>
      <c r="AUI42" s="100"/>
      <c r="AUJ42" s="100"/>
      <c r="AUK42" s="100"/>
      <c r="AUL42" s="100"/>
      <c r="AUM42" s="100"/>
      <c r="AUN42" s="100"/>
      <c r="AUO42" s="100"/>
      <c r="AUP42" s="100"/>
      <c r="AUQ42" s="100"/>
      <c r="AUR42" s="100"/>
      <c r="AUS42" s="100"/>
      <c r="AUT42" s="100"/>
      <c r="AUU42" s="100"/>
      <c r="AUV42" s="100"/>
      <c r="AUW42" s="100"/>
      <c r="AUX42" s="100"/>
      <c r="AUY42" s="100"/>
      <c r="AUZ42" s="100"/>
      <c r="AVA42" s="100"/>
      <c r="AVB42" s="100"/>
      <c r="AVC42" s="100"/>
      <c r="AVD42" s="100"/>
      <c r="AVE42" s="100"/>
      <c r="AVF42" s="100"/>
      <c r="AVG42" s="100"/>
      <c r="AVH42" s="100"/>
      <c r="AVI42" s="100"/>
      <c r="AVJ42" s="100"/>
      <c r="AVK42" s="100"/>
      <c r="AVL42" s="100"/>
      <c r="AVM42" s="100"/>
      <c r="AVN42" s="100"/>
      <c r="AVO42" s="100"/>
      <c r="AVP42" s="100"/>
      <c r="AVQ42" s="100"/>
      <c r="AVR42" s="100"/>
      <c r="AVS42" s="100"/>
      <c r="AVT42" s="100"/>
      <c r="AVU42" s="100"/>
      <c r="AVV42" s="100"/>
      <c r="AVW42" s="100"/>
      <c r="AVX42" s="100"/>
      <c r="AVY42" s="100"/>
      <c r="AVZ42" s="100"/>
      <c r="AWA42" s="100"/>
      <c r="AWB42" s="100"/>
      <c r="AWC42" s="100"/>
      <c r="AWD42" s="100"/>
      <c r="AWE42" s="100"/>
      <c r="AWF42" s="100"/>
      <c r="AWG42" s="100"/>
      <c r="AWH42" s="100"/>
      <c r="AWI42" s="100"/>
      <c r="AWJ42" s="100"/>
      <c r="AWK42" s="100"/>
      <c r="AWL42" s="100"/>
      <c r="AWM42" s="100"/>
      <c r="AWN42" s="100"/>
      <c r="AWO42" s="100"/>
      <c r="AWP42" s="100"/>
      <c r="AWQ42" s="100"/>
      <c r="AWR42" s="100"/>
      <c r="AWS42" s="100"/>
      <c r="AWT42" s="100"/>
      <c r="AWU42" s="100"/>
      <c r="AWV42" s="100"/>
      <c r="AWW42" s="100"/>
      <c r="AWX42" s="100"/>
      <c r="AWY42" s="100"/>
      <c r="AWZ42" s="100"/>
      <c r="AXA42" s="100"/>
      <c r="AXB42" s="100"/>
      <c r="AXC42" s="100"/>
      <c r="AXD42" s="100"/>
      <c r="AXE42" s="100"/>
      <c r="AXF42" s="100"/>
      <c r="AXG42" s="100"/>
      <c r="AXH42" s="100"/>
      <c r="AXI42" s="100"/>
      <c r="AXJ42" s="100"/>
      <c r="AXK42" s="100"/>
      <c r="AXL42" s="100"/>
      <c r="AXM42" s="100"/>
      <c r="AXN42" s="100"/>
      <c r="AXO42" s="100"/>
      <c r="AXP42" s="100"/>
      <c r="AXQ42" s="100"/>
      <c r="AXR42" s="100"/>
      <c r="AXS42" s="100"/>
      <c r="AXT42" s="100"/>
      <c r="AXU42" s="100"/>
      <c r="AXV42" s="100"/>
      <c r="AXW42" s="100"/>
      <c r="AXX42" s="100"/>
      <c r="AXY42" s="100"/>
      <c r="AXZ42" s="100"/>
      <c r="AYA42" s="100"/>
      <c r="AYB42" s="100"/>
      <c r="AYC42" s="100"/>
      <c r="AYD42" s="100"/>
      <c r="AYE42" s="100"/>
      <c r="AYF42" s="100"/>
      <c r="AYG42" s="100"/>
      <c r="AYH42" s="100"/>
      <c r="AYI42" s="100"/>
      <c r="AYJ42" s="100"/>
      <c r="AYK42" s="100"/>
      <c r="AYL42" s="100"/>
      <c r="AYM42" s="100"/>
      <c r="AYN42" s="100"/>
      <c r="AYO42" s="100"/>
      <c r="AYP42" s="100"/>
      <c r="AYQ42" s="100"/>
      <c r="AYR42" s="100"/>
      <c r="AYS42" s="100"/>
      <c r="AYT42" s="100"/>
      <c r="AYU42" s="100"/>
      <c r="AYV42" s="100"/>
      <c r="AYW42" s="100"/>
      <c r="AYX42" s="100"/>
      <c r="AYY42" s="100"/>
      <c r="AYZ42" s="100"/>
      <c r="AZA42" s="100"/>
      <c r="AZB42" s="100"/>
      <c r="AZC42" s="100"/>
      <c r="AZD42" s="100"/>
      <c r="AZE42" s="100"/>
      <c r="AZF42" s="100"/>
      <c r="AZG42" s="100"/>
      <c r="AZH42" s="100"/>
      <c r="AZI42" s="100"/>
      <c r="AZJ42" s="100"/>
      <c r="AZK42" s="100"/>
      <c r="AZL42" s="100"/>
      <c r="AZM42" s="100"/>
      <c r="AZN42" s="100"/>
      <c r="AZO42" s="100"/>
      <c r="AZP42" s="100"/>
      <c r="AZQ42" s="100"/>
      <c r="AZR42" s="100"/>
      <c r="AZS42" s="100"/>
      <c r="AZT42" s="100"/>
      <c r="AZU42" s="100"/>
      <c r="AZV42" s="100"/>
      <c r="AZW42" s="100"/>
      <c r="AZX42" s="100"/>
      <c r="AZY42" s="100"/>
      <c r="AZZ42" s="100"/>
      <c r="BAA42" s="100"/>
      <c r="BAB42" s="100"/>
      <c r="BAC42" s="100"/>
      <c r="BAD42" s="100"/>
      <c r="BAE42" s="100"/>
      <c r="BAF42" s="100"/>
      <c r="BAG42" s="100"/>
      <c r="BAH42" s="100"/>
      <c r="BAI42" s="100"/>
      <c r="BAJ42" s="100"/>
      <c r="BAK42" s="100"/>
      <c r="BAL42" s="100"/>
      <c r="BAM42" s="100"/>
      <c r="BAN42" s="100"/>
      <c r="BAO42" s="100"/>
      <c r="BAP42" s="100"/>
      <c r="BAQ42" s="100"/>
      <c r="BAR42" s="100"/>
      <c r="BAS42" s="100"/>
      <c r="BAT42" s="100"/>
      <c r="BAU42" s="100"/>
      <c r="BAV42" s="100"/>
      <c r="BAW42" s="100"/>
      <c r="BAX42" s="100"/>
      <c r="BAY42" s="100"/>
      <c r="BAZ42" s="100"/>
      <c r="BBA42" s="100"/>
      <c r="BBB42" s="100"/>
      <c r="BBC42" s="100"/>
      <c r="BBD42" s="100"/>
      <c r="BBE42" s="100"/>
      <c r="BBF42" s="100"/>
      <c r="BBG42" s="100"/>
      <c r="BBH42" s="100"/>
      <c r="BBI42" s="100"/>
      <c r="BBJ42" s="100"/>
      <c r="BBK42" s="100"/>
      <c r="BBL42" s="100"/>
      <c r="BBM42" s="100"/>
      <c r="BBN42" s="100"/>
      <c r="BBO42" s="100"/>
      <c r="BBP42" s="100"/>
      <c r="BBQ42" s="100"/>
      <c r="BBR42" s="100"/>
      <c r="BBS42" s="100"/>
      <c r="BBT42" s="100"/>
      <c r="BBU42" s="100"/>
      <c r="BBV42" s="100"/>
      <c r="BBW42" s="100"/>
      <c r="BBX42" s="100"/>
      <c r="BBY42" s="100"/>
      <c r="BBZ42" s="100"/>
      <c r="BCA42" s="100"/>
      <c r="BCB42" s="100"/>
      <c r="BCC42" s="100"/>
      <c r="BCD42" s="100"/>
      <c r="BCE42" s="100"/>
      <c r="BCF42" s="100"/>
      <c r="BCG42" s="100"/>
      <c r="BCH42" s="100"/>
      <c r="BCI42" s="100"/>
      <c r="BCJ42" s="100"/>
      <c r="BCK42" s="100"/>
      <c r="BCL42" s="100"/>
      <c r="BCM42" s="100"/>
      <c r="BCN42" s="100"/>
      <c r="BCO42" s="100"/>
      <c r="BCP42" s="100"/>
      <c r="BCQ42" s="100"/>
      <c r="BCR42" s="100"/>
      <c r="BCS42" s="100"/>
      <c r="BCT42" s="100"/>
      <c r="BCU42" s="100"/>
      <c r="BCV42" s="100"/>
      <c r="BCW42" s="100"/>
      <c r="BCX42" s="100"/>
      <c r="BCY42" s="100"/>
      <c r="BCZ42" s="100"/>
      <c r="BDA42" s="100"/>
      <c r="BDB42" s="100"/>
      <c r="BDC42" s="100"/>
      <c r="BDD42" s="100"/>
      <c r="BDE42" s="100"/>
      <c r="BDF42" s="100"/>
      <c r="BDG42" s="100"/>
      <c r="BDH42" s="100"/>
      <c r="BDI42" s="100"/>
      <c r="BDJ42" s="100"/>
      <c r="BDK42" s="100"/>
      <c r="BDL42" s="100"/>
      <c r="BDM42" s="100"/>
      <c r="BDN42" s="100"/>
      <c r="BDO42" s="100"/>
      <c r="BDP42" s="100"/>
      <c r="BDQ42" s="100"/>
      <c r="BDR42" s="100"/>
      <c r="BDS42" s="100"/>
      <c r="BDT42" s="100"/>
      <c r="BDU42" s="100"/>
      <c r="BDV42" s="100"/>
      <c r="BDW42" s="100"/>
      <c r="BDX42" s="100"/>
      <c r="BDY42" s="100"/>
      <c r="BDZ42" s="100"/>
      <c r="BEA42" s="100"/>
      <c r="BEB42" s="100"/>
      <c r="BEC42" s="100"/>
      <c r="BED42" s="100"/>
      <c r="BEE42" s="100"/>
      <c r="BEF42" s="100"/>
      <c r="BEG42" s="100"/>
      <c r="BEH42" s="100"/>
      <c r="BEI42" s="100"/>
      <c r="BEJ42" s="100"/>
      <c r="BEK42" s="100"/>
      <c r="BEL42" s="100"/>
      <c r="BEM42" s="100"/>
      <c r="BEN42" s="100"/>
      <c r="BEO42" s="100"/>
      <c r="BEP42" s="100"/>
      <c r="BEQ42" s="100"/>
      <c r="BER42" s="100"/>
      <c r="BES42" s="100"/>
      <c r="BET42" s="100"/>
      <c r="BEU42" s="100"/>
      <c r="BEV42" s="100"/>
      <c r="BEW42" s="100"/>
      <c r="BEX42" s="100"/>
      <c r="BEY42" s="100"/>
      <c r="BEZ42" s="100"/>
      <c r="BFA42" s="100"/>
      <c r="BFB42" s="100"/>
      <c r="BFC42" s="100"/>
      <c r="BFD42" s="100"/>
      <c r="BFE42" s="100"/>
      <c r="BFF42" s="100"/>
      <c r="BFG42" s="100"/>
      <c r="BFH42" s="100"/>
      <c r="BFI42" s="100"/>
      <c r="BFJ42" s="100"/>
      <c r="BFK42" s="100"/>
      <c r="BFL42" s="100"/>
      <c r="BFM42" s="100"/>
      <c r="BFN42" s="100"/>
      <c r="BFO42" s="100"/>
      <c r="BFP42" s="100"/>
      <c r="BFQ42" s="100"/>
      <c r="BFR42" s="100"/>
      <c r="BFS42" s="100"/>
      <c r="BFT42" s="100"/>
      <c r="BFU42" s="100"/>
      <c r="BFV42" s="100"/>
      <c r="BFW42" s="100"/>
      <c r="BFX42" s="100"/>
      <c r="BFY42" s="100"/>
      <c r="BFZ42" s="100"/>
      <c r="BGA42" s="100"/>
      <c r="BGB42" s="100"/>
      <c r="BGC42" s="100"/>
      <c r="BGD42" s="100"/>
      <c r="BGE42" s="100"/>
      <c r="BGF42" s="100"/>
      <c r="BGG42" s="100"/>
      <c r="BGH42" s="100"/>
      <c r="BGI42" s="100"/>
      <c r="BGJ42" s="100"/>
      <c r="BGK42" s="100"/>
      <c r="BGL42" s="100"/>
      <c r="BGM42" s="100"/>
      <c r="BGN42" s="100"/>
      <c r="BGO42" s="100"/>
      <c r="BGP42" s="100"/>
      <c r="BGQ42" s="100"/>
      <c r="BGR42" s="100"/>
      <c r="BGS42" s="100"/>
      <c r="BGT42" s="100"/>
      <c r="BGU42" s="100"/>
      <c r="BGV42" s="100"/>
      <c r="BGW42" s="100"/>
      <c r="BGX42" s="100"/>
      <c r="BGY42" s="100"/>
      <c r="BGZ42" s="100"/>
      <c r="BHA42" s="100"/>
      <c r="BHB42" s="100"/>
      <c r="BHC42" s="100"/>
      <c r="BHD42" s="100"/>
      <c r="BHE42" s="100"/>
      <c r="BHF42" s="100"/>
      <c r="BHG42" s="100"/>
      <c r="BHH42" s="100"/>
      <c r="BHI42" s="100"/>
      <c r="BHJ42" s="100"/>
      <c r="BHK42" s="100"/>
      <c r="BHL42" s="100"/>
      <c r="BHM42" s="100"/>
      <c r="BHN42" s="100"/>
      <c r="BHO42" s="100"/>
      <c r="BHP42" s="100"/>
      <c r="BHQ42" s="100"/>
      <c r="BHR42" s="100"/>
      <c r="BHS42" s="100"/>
      <c r="BHT42" s="100"/>
      <c r="BHU42" s="100"/>
      <c r="BHV42" s="100"/>
      <c r="BHW42" s="100"/>
      <c r="BHX42" s="100"/>
      <c r="BHY42" s="100"/>
      <c r="BHZ42" s="100"/>
      <c r="BIA42" s="100"/>
      <c r="BIB42" s="100"/>
      <c r="BIC42" s="100"/>
      <c r="BID42" s="100"/>
      <c r="BIE42" s="100"/>
      <c r="BIF42" s="100"/>
      <c r="BIG42" s="100"/>
      <c r="BIH42" s="100"/>
      <c r="BII42" s="100"/>
      <c r="BIJ42" s="100"/>
      <c r="BIK42" s="100"/>
      <c r="BIL42" s="100"/>
      <c r="BIM42" s="100"/>
      <c r="BIN42" s="100"/>
      <c r="BIO42" s="100"/>
      <c r="BIP42" s="100"/>
      <c r="BIQ42" s="100"/>
      <c r="BIR42" s="100"/>
      <c r="BIS42" s="100"/>
      <c r="BIT42" s="100"/>
      <c r="BIU42" s="100"/>
      <c r="BIV42" s="100"/>
      <c r="BIW42" s="100"/>
      <c r="BIX42" s="100"/>
      <c r="BIY42" s="100"/>
      <c r="BIZ42" s="100"/>
      <c r="BJA42" s="100"/>
      <c r="BJB42" s="100"/>
      <c r="BJC42" s="100"/>
      <c r="BJD42" s="100"/>
      <c r="BJE42" s="100"/>
      <c r="BJF42" s="100"/>
      <c r="BJG42" s="100"/>
      <c r="BJH42" s="100"/>
      <c r="BJI42" s="100"/>
      <c r="BJJ42" s="100"/>
      <c r="BJK42" s="100"/>
      <c r="BJL42" s="100"/>
      <c r="BJM42" s="100"/>
      <c r="BJN42" s="100"/>
      <c r="BJO42" s="100"/>
      <c r="BJP42" s="100"/>
      <c r="BJQ42" s="100"/>
      <c r="BJR42" s="100"/>
      <c r="BJS42" s="100"/>
      <c r="BJT42" s="100"/>
      <c r="BJU42" s="100"/>
      <c r="BJV42" s="100"/>
      <c r="BJW42" s="100"/>
      <c r="BJX42" s="100"/>
      <c r="BJY42" s="100"/>
      <c r="BJZ42" s="100"/>
      <c r="BKA42" s="100"/>
      <c r="BKB42" s="100"/>
      <c r="BKC42" s="100"/>
      <c r="BKD42" s="100"/>
      <c r="BKE42" s="100"/>
      <c r="BKF42" s="100"/>
      <c r="BKG42" s="100"/>
      <c r="BKH42" s="100"/>
      <c r="BKI42" s="100"/>
      <c r="BKJ42" s="100"/>
      <c r="BKK42" s="100"/>
      <c r="BKL42" s="100"/>
      <c r="BKM42" s="100"/>
      <c r="BKN42" s="100"/>
      <c r="BKO42" s="100"/>
      <c r="BKP42" s="100"/>
      <c r="BKQ42" s="100"/>
      <c r="BKR42" s="100"/>
      <c r="BKS42" s="100"/>
      <c r="BKT42" s="100"/>
      <c r="BKU42" s="100"/>
      <c r="BKV42" s="100"/>
      <c r="BKW42" s="100"/>
      <c r="BKX42" s="100"/>
      <c r="BKY42" s="100"/>
      <c r="BKZ42" s="100"/>
      <c r="BLA42" s="100"/>
      <c r="BLB42" s="100"/>
      <c r="BLC42" s="100"/>
      <c r="BLD42" s="100"/>
      <c r="BLE42" s="100"/>
      <c r="BLF42" s="100"/>
      <c r="BLG42" s="100"/>
      <c r="BLH42" s="100"/>
      <c r="BLI42" s="100"/>
      <c r="BLJ42" s="100"/>
      <c r="BLK42" s="100"/>
      <c r="BLL42" s="100"/>
      <c r="BLM42" s="100"/>
      <c r="BLN42" s="100"/>
      <c r="BLO42" s="100"/>
      <c r="BLP42" s="100"/>
      <c r="BLQ42" s="100"/>
      <c r="BLR42" s="100"/>
      <c r="BLS42" s="100"/>
      <c r="BLT42" s="100"/>
      <c r="BLU42" s="100"/>
      <c r="BLV42" s="100"/>
      <c r="BLW42" s="100"/>
      <c r="BLX42" s="100"/>
      <c r="BLY42" s="100"/>
      <c r="BLZ42" s="100"/>
      <c r="BMA42" s="100"/>
      <c r="BMB42" s="100"/>
      <c r="BMC42" s="100"/>
      <c r="BMD42" s="100"/>
      <c r="BME42" s="100"/>
      <c r="BMF42" s="100"/>
      <c r="BMG42" s="100"/>
      <c r="BMH42" s="100"/>
      <c r="BMI42" s="100"/>
      <c r="BMJ42" s="100"/>
      <c r="BMK42" s="100"/>
      <c r="BML42" s="100"/>
      <c r="BMM42" s="100"/>
      <c r="BMN42" s="100"/>
      <c r="BMO42" s="100"/>
      <c r="BMP42" s="100"/>
      <c r="BMQ42" s="100"/>
      <c r="BMR42" s="100"/>
      <c r="BMS42" s="100"/>
      <c r="BMT42" s="100"/>
      <c r="BMU42" s="100"/>
      <c r="BMV42" s="100"/>
      <c r="BMW42" s="100"/>
      <c r="BMX42" s="100"/>
      <c r="BMY42" s="100"/>
      <c r="BMZ42" s="100"/>
      <c r="BNA42" s="100"/>
      <c r="BNB42" s="100"/>
      <c r="BNC42" s="100"/>
      <c r="BND42" s="100"/>
      <c r="BNE42" s="100"/>
      <c r="BNF42" s="100"/>
      <c r="BNG42" s="100"/>
      <c r="BNH42" s="100"/>
      <c r="BNI42" s="100"/>
      <c r="BNJ42" s="100"/>
      <c r="BNK42" s="100"/>
      <c r="BNL42" s="100"/>
      <c r="BNM42" s="100"/>
      <c r="BNN42" s="100"/>
      <c r="BNO42" s="100"/>
      <c r="BNP42" s="100"/>
      <c r="BNQ42" s="100"/>
      <c r="BNR42" s="100"/>
      <c r="BNS42" s="100"/>
      <c r="BNT42" s="100"/>
      <c r="BNU42" s="100"/>
      <c r="BNV42" s="100"/>
      <c r="BNW42" s="100"/>
      <c r="BNX42" s="100"/>
      <c r="BNY42" s="100"/>
      <c r="BNZ42" s="100"/>
      <c r="BOA42" s="100"/>
      <c r="BOB42" s="100"/>
      <c r="BOC42" s="100"/>
      <c r="BOD42" s="100"/>
      <c r="BOE42" s="100"/>
      <c r="BOF42" s="100"/>
      <c r="BOG42" s="100"/>
      <c r="BOH42" s="100"/>
      <c r="BOI42" s="100"/>
      <c r="BOJ42" s="100"/>
      <c r="BOK42" s="100"/>
      <c r="BOL42" s="100"/>
      <c r="BOM42" s="100"/>
      <c r="BON42" s="100"/>
      <c r="BOO42" s="100"/>
      <c r="BOP42" s="100"/>
      <c r="BOQ42" s="100"/>
      <c r="BOR42" s="100"/>
      <c r="BOS42" s="100"/>
      <c r="BOT42" s="100"/>
      <c r="BOU42" s="100"/>
      <c r="BOV42" s="100"/>
      <c r="BOW42" s="100"/>
      <c r="BOX42" s="100"/>
      <c r="BOY42" s="100"/>
      <c r="BOZ42" s="100"/>
      <c r="BPA42" s="100"/>
      <c r="BPB42" s="100"/>
      <c r="BPC42" s="100"/>
      <c r="BPD42" s="100"/>
      <c r="BPE42" s="100"/>
      <c r="BPF42" s="100"/>
      <c r="BPG42" s="100"/>
      <c r="BPH42" s="100"/>
      <c r="BPI42" s="100"/>
      <c r="BPJ42" s="100"/>
      <c r="BPK42" s="100"/>
      <c r="BPL42" s="100"/>
      <c r="BPM42" s="100"/>
      <c r="BPN42" s="100"/>
      <c r="BPO42" s="100"/>
      <c r="BPP42" s="100"/>
      <c r="BPQ42" s="100"/>
      <c r="BPR42" s="100"/>
      <c r="BPS42" s="100"/>
      <c r="BPT42" s="100"/>
      <c r="BPU42" s="100"/>
      <c r="BPV42" s="100"/>
      <c r="BPW42" s="100"/>
      <c r="BPX42" s="100"/>
      <c r="BPY42" s="100"/>
      <c r="BPZ42" s="100"/>
      <c r="BQA42" s="100"/>
      <c r="BQB42" s="100"/>
      <c r="BQC42" s="100"/>
      <c r="BQD42" s="100"/>
      <c r="BQE42" s="100"/>
      <c r="BQF42" s="100"/>
      <c r="BQG42" s="100"/>
      <c r="BQH42" s="100"/>
      <c r="BQI42" s="100"/>
      <c r="BQJ42" s="100"/>
      <c r="BQK42" s="100"/>
      <c r="BQL42" s="100"/>
      <c r="BQM42" s="100"/>
      <c r="BQN42" s="100"/>
      <c r="BQO42" s="100"/>
      <c r="BQP42" s="100"/>
      <c r="BQQ42" s="100"/>
      <c r="BQR42" s="100"/>
      <c r="BQS42" s="100"/>
      <c r="BQT42" s="100"/>
      <c r="BQU42" s="100"/>
      <c r="BQV42" s="100"/>
      <c r="BQW42" s="100"/>
      <c r="BQX42" s="100"/>
      <c r="BQY42" s="100"/>
      <c r="BQZ42" s="100"/>
      <c r="BRA42" s="100"/>
      <c r="BRB42" s="100"/>
      <c r="BRC42" s="100"/>
      <c r="BRD42" s="100"/>
      <c r="BRE42" s="100"/>
      <c r="BRF42" s="100"/>
      <c r="BRG42" s="100"/>
      <c r="BRH42" s="100"/>
      <c r="BRI42" s="100"/>
      <c r="BRJ42" s="100"/>
      <c r="BRK42" s="100"/>
      <c r="BRL42" s="100"/>
      <c r="BRM42" s="100"/>
      <c r="BRN42" s="100"/>
      <c r="BRO42" s="100"/>
      <c r="BRP42" s="100"/>
      <c r="BRQ42" s="100"/>
      <c r="BRR42" s="100"/>
      <c r="BRS42" s="100"/>
      <c r="BRT42" s="100"/>
      <c r="BRU42" s="100"/>
      <c r="BRV42" s="100"/>
      <c r="BRW42" s="100"/>
      <c r="BRX42" s="100"/>
      <c r="BRY42" s="100"/>
      <c r="BRZ42" s="100"/>
      <c r="BSA42" s="100"/>
      <c r="BSB42" s="100"/>
      <c r="BSC42" s="100"/>
      <c r="BSD42" s="100"/>
      <c r="BSE42" s="100"/>
      <c r="BSF42" s="100"/>
      <c r="BSG42" s="100"/>
      <c r="BSH42" s="100"/>
      <c r="BSI42" s="100"/>
      <c r="BSJ42" s="100"/>
      <c r="BSK42" s="100"/>
      <c r="BSL42" s="100"/>
      <c r="BSM42" s="100"/>
      <c r="BSN42" s="100"/>
      <c r="BSO42" s="100"/>
      <c r="BSP42" s="100"/>
      <c r="BSQ42" s="100"/>
      <c r="BSR42" s="100"/>
      <c r="BSS42" s="100"/>
      <c r="BST42" s="100"/>
      <c r="BSU42" s="100"/>
      <c r="BSV42" s="100"/>
      <c r="BSW42" s="100"/>
      <c r="BSX42" s="100"/>
      <c r="BSY42" s="100"/>
      <c r="BSZ42" s="100"/>
      <c r="BTA42" s="100"/>
      <c r="BTB42" s="100"/>
      <c r="BTC42" s="100"/>
      <c r="BTD42" s="100"/>
      <c r="BTE42" s="100"/>
      <c r="BTF42" s="100"/>
      <c r="BTG42" s="100"/>
      <c r="BTH42" s="100"/>
      <c r="BTI42" s="100"/>
      <c r="BTJ42" s="100"/>
      <c r="BTK42" s="100"/>
      <c r="BTL42" s="100"/>
      <c r="BTM42" s="100"/>
      <c r="BTN42" s="100"/>
      <c r="BTO42" s="100"/>
      <c r="BTP42" s="100"/>
      <c r="BTQ42" s="100"/>
      <c r="BTR42" s="100"/>
      <c r="BTS42" s="100"/>
      <c r="BTT42" s="100"/>
      <c r="BTU42" s="100"/>
      <c r="BTV42" s="100"/>
      <c r="BTW42" s="100"/>
      <c r="BTX42" s="100"/>
      <c r="BTY42" s="100"/>
      <c r="BTZ42" s="100"/>
      <c r="BUA42" s="100"/>
      <c r="BUB42" s="100"/>
      <c r="BUC42" s="100"/>
      <c r="BUD42" s="100"/>
      <c r="BUE42" s="100"/>
      <c r="BUF42" s="100"/>
      <c r="BUG42" s="100"/>
      <c r="BUH42" s="100"/>
      <c r="BUI42" s="100"/>
      <c r="BUJ42" s="100"/>
      <c r="BUK42" s="100"/>
      <c r="BUL42" s="100"/>
      <c r="BUM42" s="100"/>
      <c r="BUN42" s="100"/>
      <c r="BUO42" s="100"/>
      <c r="BUP42" s="100"/>
      <c r="BUQ42" s="100"/>
      <c r="BUR42" s="100"/>
      <c r="BUS42" s="100"/>
      <c r="BUT42" s="100"/>
      <c r="BUU42" s="100"/>
      <c r="BUV42" s="100"/>
      <c r="BUW42" s="100"/>
      <c r="BUX42" s="100"/>
      <c r="BUY42" s="100"/>
      <c r="BUZ42" s="100"/>
      <c r="BVA42" s="100"/>
      <c r="BVB42" s="100"/>
      <c r="BVC42" s="100"/>
      <c r="BVD42" s="100"/>
      <c r="BVE42" s="100"/>
      <c r="BVF42" s="100"/>
      <c r="BVG42" s="100"/>
      <c r="BVH42" s="100"/>
      <c r="BVI42" s="100"/>
      <c r="BVJ42" s="100"/>
      <c r="BVK42" s="100"/>
      <c r="BVL42" s="100"/>
      <c r="BVM42" s="100"/>
      <c r="BVN42" s="100"/>
      <c r="BVO42" s="100"/>
      <c r="BVP42" s="100"/>
      <c r="BVQ42" s="100"/>
      <c r="BVR42" s="100"/>
      <c r="BVS42" s="100"/>
      <c r="BVT42" s="100"/>
      <c r="BVU42" s="100"/>
      <c r="BVV42" s="100"/>
      <c r="BVW42" s="100"/>
      <c r="BVX42" s="100"/>
      <c r="BVY42" s="100"/>
      <c r="BVZ42" s="100"/>
      <c r="BWA42" s="100"/>
      <c r="BWB42" s="100"/>
      <c r="BWC42" s="100"/>
      <c r="BWD42" s="100"/>
      <c r="BWE42" s="100"/>
      <c r="BWF42" s="100"/>
      <c r="BWG42" s="100"/>
      <c r="BWH42" s="100"/>
      <c r="BWI42" s="100"/>
      <c r="BWJ42" s="100"/>
      <c r="BWK42" s="100"/>
      <c r="BWL42" s="100"/>
      <c r="BWM42" s="100"/>
      <c r="BWN42" s="100"/>
      <c r="BWO42" s="100"/>
      <c r="BWP42" s="100"/>
      <c r="BWQ42" s="100"/>
      <c r="BWR42" s="100"/>
      <c r="BWS42" s="100"/>
      <c r="BWT42" s="100"/>
      <c r="BWU42" s="100"/>
      <c r="BWV42" s="100"/>
      <c r="BWW42" s="100"/>
      <c r="BWX42" s="100"/>
      <c r="BWY42" s="100"/>
      <c r="BWZ42" s="100"/>
      <c r="BXA42" s="100"/>
      <c r="BXB42" s="100"/>
      <c r="BXC42" s="100"/>
      <c r="BXD42" s="100"/>
      <c r="BXE42" s="100"/>
      <c r="BXF42" s="100"/>
      <c r="BXG42" s="100"/>
      <c r="BXH42" s="100"/>
      <c r="BXI42" s="100"/>
      <c r="BXJ42" s="100"/>
      <c r="BXK42" s="100"/>
      <c r="BXL42" s="100"/>
      <c r="BXM42" s="100"/>
      <c r="BXN42" s="100"/>
      <c r="BXO42" s="100"/>
      <c r="BXP42" s="100"/>
      <c r="BXQ42" s="100"/>
      <c r="BXR42" s="100"/>
      <c r="BXS42" s="100"/>
      <c r="BXT42" s="100"/>
      <c r="BXU42" s="100"/>
      <c r="BXV42" s="100"/>
      <c r="BXW42" s="100"/>
      <c r="BXX42" s="100"/>
      <c r="BXY42" s="100"/>
      <c r="BXZ42" s="100"/>
      <c r="BYA42" s="100"/>
      <c r="BYB42" s="100"/>
      <c r="BYC42" s="100"/>
      <c r="BYD42" s="100"/>
      <c r="BYE42" s="100"/>
      <c r="BYF42" s="100"/>
      <c r="BYG42" s="100"/>
    </row>
    <row r="43" spans="1:2009" s="225" customFormat="1" ht="24.95" customHeight="1" thickBot="1" x14ac:dyDescent="0.3">
      <c r="A43" s="222"/>
      <c r="B43" s="223" t="s">
        <v>51</v>
      </c>
      <c r="C43" s="224">
        <f>SUM(C39:C42)</f>
        <v>20744.276666666665</v>
      </c>
      <c r="D43" s="224">
        <f>SUM(D39:D42)</f>
        <v>14083.31</v>
      </c>
      <c r="E43" s="224">
        <f>SUM(E39:E42)</f>
        <v>10541.42</v>
      </c>
      <c r="F43" s="224"/>
      <c r="G43" s="725">
        <f>SUM(G39:G42)</f>
        <v>45369.006670000002</v>
      </c>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8"/>
      <c r="BK43" s="208"/>
      <c r="BL43" s="208"/>
      <c r="BM43" s="208"/>
      <c r="BN43" s="208"/>
      <c r="BO43" s="208"/>
      <c r="BP43" s="208"/>
      <c r="BQ43" s="208"/>
      <c r="BR43" s="208"/>
      <c r="BS43" s="208"/>
      <c r="BT43" s="208"/>
      <c r="BU43" s="208"/>
      <c r="BV43" s="208"/>
      <c r="BW43" s="208"/>
      <c r="BX43" s="208"/>
      <c r="BY43" s="208"/>
      <c r="BZ43" s="208"/>
      <c r="CA43" s="208"/>
      <c r="CB43" s="208"/>
      <c r="CC43" s="208"/>
      <c r="CD43" s="208"/>
      <c r="CE43" s="208"/>
      <c r="CF43" s="208"/>
      <c r="CG43" s="208"/>
      <c r="CH43" s="208"/>
      <c r="CI43" s="208"/>
      <c r="CJ43" s="208"/>
      <c r="CK43" s="208"/>
      <c r="CL43" s="208"/>
      <c r="CM43" s="208"/>
      <c r="CN43" s="208"/>
      <c r="CO43" s="208"/>
      <c r="CP43" s="208"/>
      <c r="CQ43" s="208"/>
      <c r="CR43" s="208"/>
      <c r="CS43" s="208"/>
      <c r="CT43" s="208"/>
      <c r="CU43" s="208"/>
      <c r="CV43" s="208"/>
      <c r="CW43" s="208"/>
      <c r="CX43" s="208"/>
      <c r="CY43" s="208"/>
      <c r="CZ43" s="208"/>
      <c r="DA43" s="208"/>
      <c r="DB43" s="208"/>
      <c r="DC43" s="208"/>
      <c r="DD43" s="208"/>
      <c r="DE43" s="208"/>
      <c r="DF43" s="208"/>
      <c r="DG43" s="208"/>
      <c r="DH43" s="208"/>
      <c r="DI43" s="208"/>
      <c r="DJ43" s="208"/>
      <c r="DK43" s="208"/>
      <c r="DL43" s="208"/>
      <c r="DM43" s="208"/>
      <c r="DN43" s="208"/>
      <c r="DO43" s="208"/>
      <c r="DP43" s="208"/>
      <c r="DQ43" s="208"/>
      <c r="DR43" s="208"/>
      <c r="DS43" s="208"/>
      <c r="DT43" s="208"/>
      <c r="DU43" s="208"/>
      <c r="DV43" s="208"/>
      <c r="DW43" s="208"/>
      <c r="DX43" s="208"/>
      <c r="DY43" s="208"/>
      <c r="DZ43" s="208"/>
      <c r="EA43" s="208"/>
      <c r="EB43" s="208"/>
      <c r="EC43" s="208"/>
      <c r="ED43" s="208"/>
      <c r="EE43" s="208"/>
      <c r="EF43" s="208"/>
      <c r="EG43" s="208"/>
      <c r="EH43" s="208"/>
      <c r="EI43" s="208"/>
      <c r="EJ43" s="208"/>
      <c r="EK43" s="208"/>
      <c r="EL43" s="208"/>
      <c r="EM43" s="208"/>
      <c r="EN43" s="208"/>
      <c r="EO43" s="208"/>
      <c r="EP43" s="208"/>
      <c r="EQ43" s="208"/>
      <c r="ER43" s="208"/>
      <c r="ES43" s="208"/>
      <c r="ET43" s="208"/>
      <c r="EU43" s="208"/>
      <c r="EV43" s="208"/>
      <c r="EW43" s="208"/>
      <c r="EX43" s="208"/>
      <c r="EY43" s="208"/>
      <c r="EZ43" s="208"/>
      <c r="FA43" s="208"/>
      <c r="FB43" s="208"/>
      <c r="FC43" s="208"/>
      <c r="FD43" s="208"/>
      <c r="FE43" s="208"/>
      <c r="FF43" s="208"/>
      <c r="FG43" s="208"/>
      <c r="FH43" s="208"/>
      <c r="FI43" s="208"/>
      <c r="FJ43" s="208"/>
      <c r="FK43" s="208"/>
      <c r="FL43" s="208"/>
      <c r="FM43" s="208"/>
      <c r="FN43" s="208"/>
      <c r="FO43" s="208"/>
      <c r="FP43" s="208"/>
      <c r="FQ43" s="208"/>
      <c r="FR43" s="208"/>
      <c r="FS43" s="208"/>
      <c r="FT43" s="208"/>
      <c r="FU43" s="208"/>
      <c r="FV43" s="208"/>
      <c r="FW43" s="208"/>
      <c r="FX43" s="208"/>
      <c r="FY43" s="208"/>
      <c r="FZ43" s="208"/>
      <c r="GA43" s="208"/>
      <c r="GB43" s="208"/>
      <c r="GC43" s="208"/>
      <c r="GD43" s="208"/>
      <c r="GE43" s="208"/>
      <c r="GF43" s="208"/>
      <c r="GG43" s="208"/>
      <c r="GH43" s="208"/>
      <c r="GI43" s="208"/>
      <c r="GJ43" s="208"/>
      <c r="GK43" s="208"/>
      <c r="GL43" s="208"/>
      <c r="GM43" s="208"/>
      <c r="GN43" s="208"/>
      <c r="GO43" s="208"/>
      <c r="GP43" s="208"/>
      <c r="GQ43" s="208"/>
      <c r="GR43" s="208"/>
      <c r="GS43" s="208"/>
      <c r="GT43" s="208"/>
      <c r="GU43" s="208"/>
      <c r="GV43" s="208"/>
      <c r="GW43" s="208"/>
      <c r="GX43" s="208"/>
      <c r="GY43" s="208"/>
      <c r="GZ43" s="208"/>
      <c r="HA43" s="208"/>
      <c r="HB43" s="208"/>
      <c r="HC43" s="208"/>
      <c r="HD43" s="208"/>
      <c r="HE43" s="208"/>
      <c r="HF43" s="208"/>
      <c r="HG43" s="208"/>
      <c r="HH43" s="208"/>
      <c r="HI43" s="208"/>
      <c r="HJ43" s="208"/>
      <c r="HK43" s="208"/>
      <c r="HL43" s="208"/>
      <c r="HM43" s="208"/>
      <c r="HN43" s="208"/>
      <c r="HO43" s="208"/>
      <c r="HP43" s="208"/>
      <c r="HQ43" s="208"/>
      <c r="HR43" s="208"/>
      <c r="HS43" s="208"/>
      <c r="HT43" s="208"/>
      <c r="HU43" s="208"/>
      <c r="HV43" s="208"/>
      <c r="HW43" s="208"/>
      <c r="HX43" s="208"/>
      <c r="HY43" s="208"/>
      <c r="HZ43" s="208"/>
      <c r="IA43" s="208"/>
      <c r="IB43" s="208"/>
      <c r="IC43" s="208"/>
      <c r="ID43" s="208"/>
      <c r="IE43" s="208"/>
      <c r="IF43" s="208"/>
      <c r="IG43" s="208"/>
      <c r="IH43" s="208"/>
      <c r="II43" s="208"/>
      <c r="IJ43" s="208"/>
      <c r="IK43" s="208"/>
      <c r="IL43" s="208"/>
      <c r="IM43" s="208"/>
      <c r="IN43" s="208"/>
      <c r="IO43" s="208"/>
      <c r="IP43" s="208"/>
      <c r="IQ43" s="208"/>
      <c r="IR43" s="208"/>
      <c r="IS43" s="208"/>
      <c r="IT43" s="208"/>
      <c r="IU43" s="208"/>
      <c r="IV43" s="208"/>
      <c r="IW43" s="208"/>
      <c r="IX43" s="208"/>
      <c r="IY43" s="208"/>
      <c r="IZ43" s="208"/>
      <c r="JA43" s="208"/>
      <c r="JB43" s="208"/>
      <c r="JC43" s="208"/>
      <c r="JD43" s="208"/>
      <c r="JE43" s="208"/>
      <c r="JF43" s="208"/>
      <c r="JG43" s="208"/>
      <c r="JH43" s="208"/>
      <c r="JI43" s="208"/>
      <c r="JJ43" s="208"/>
      <c r="JK43" s="208"/>
      <c r="JL43" s="208"/>
      <c r="JM43" s="208"/>
      <c r="JN43" s="208"/>
      <c r="JO43" s="208"/>
      <c r="JP43" s="208"/>
      <c r="JQ43" s="208"/>
      <c r="JR43" s="208"/>
      <c r="JS43" s="208"/>
      <c r="JT43" s="208"/>
      <c r="JU43" s="208"/>
      <c r="JV43" s="208"/>
      <c r="JW43" s="208"/>
      <c r="JX43" s="208"/>
      <c r="JY43" s="208"/>
      <c r="JZ43" s="208"/>
      <c r="KA43" s="208"/>
      <c r="KB43" s="208"/>
      <c r="KC43" s="208"/>
      <c r="KD43" s="208"/>
      <c r="KE43" s="208"/>
      <c r="KF43" s="208"/>
      <c r="KG43" s="208"/>
      <c r="KH43" s="208"/>
      <c r="KI43" s="208"/>
      <c r="KJ43" s="208"/>
      <c r="KK43" s="208"/>
      <c r="KL43" s="208"/>
      <c r="KM43" s="208"/>
      <c r="KN43" s="208"/>
      <c r="KO43" s="208"/>
      <c r="KP43" s="208"/>
      <c r="KQ43" s="208"/>
      <c r="KR43" s="208"/>
      <c r="KS43" s="208"/>
      <c r="KT43" s="208"/>
      <c r="KU43" s="208"/>
      <c r="KV43" s="208"/>
      <c r="KW43" s="208"/>
      <c r="KX43" s="208"/>
      <c r="KY43" s="208"/>
      <c r="KZ43" s="208"/>
      <c r="LA43" s="208"/>
      <c r="LB43" s="208"/>
      <c r="LC43" s="208"/>
      <c r="LD43" s="208"/>
      <c r="LE43" s="208"/>
      <c r="LF43" s="208"/>
      <c r="LG43" s="208"/>
      <c r="LH43" s="208"/>
      <c r="LI43" s="208"/>
      <c r="LJ43" s="208"/>
      <c r="LK43" s="208"/>
      <c r="LL43" s="208"/>
      <c r="LM43" s="208"/>
      <c r="LN43" s="208"/>
      <c r="LO43" s="208"/>
      <c r="LP43" s="208"/>
      <c r="LQ43" s="208"/>
      <c r="LR43" s="208"/>
      <c r="LS43" s="208"/>
      <c r="LT43" s="208"/>
      <c r="LU43" s="208"/>
      <c r="LV43" s="208"/>
      <c r="LW43" s="208"/>
      <c r="LX43" s="208"/>
      <c r="LY43" s="208"/>
      <c r="LZ43" s="208"/>
      <c r="MA43" s="208"/>
      <c r="MB43" s="208"/>
      <c r="MC43" s="208"/>
      <c r="MD43" s="208"/>
      <c r="ME43" s="208"/>
      <c r="MF43" s="208"/>
      <c r="MG43" s="208"/>
      <c r="MH43" s="208"/>
      <c r="MI43" s="208"/>
      <c r="MJ43" s="208"/>
      <c r="MK43" s="208"/>
      <c r="ML43" s="208"/>
      <c r="MM43" s="208"/>
      <c r="MN43" s="208"/>
      <c r="MO43" s="208"/>
      <c r="MP43" s="208"/>
      <c r="MQ43" s="208"/>
      <c r="MR43" s="208"/>
      <c r="MS43" s="208"/>
      <c r="MT43" s="208"/>
      <c r="MU43" s="208"/>
      <c r="MV43" s="208"/>
      <c r="MW43" s="208"/>
      <c r="MX43" s="208"/>
      <c r="MY43" s="208"/>
      <c r="MZ43" s="208"/>
      <c r="NA43" s="208"/>
      <c r="NB43" s="208"/>
      <c r="NC43" s="208"/>
      <c r="ND43" s="208"/>
      <c r="NE43" s="208"/>
      <c r="NF43" s="208"/>
      <c r="NG43" s="208"/>
      <c r="NH43" s="208"/>
      <c r="NI43" s="208"/>
      <c r="NJ43" s="208"/>
      <c r="NK43" s="208"/>
      <c r="NL43" s="208"/>
      <c r="NM43" s="208"/>
      <c r="NN43" s="208"/>
      <c r="NO43" s="208"/>
      <c r="NP43" s="208"/>
      <c r="NQ43" s="208"/>
      <c r="NR43" s="208"/>
      <c r="NS43" s="208"/>
      <c r="NT43" s="208"/>
      <c r="NU43" s="208"/>
      <c r="NV43" s="208"/>
      <c r="NW43" s="208"/>
      <c r="NX43" s="208"/>
      <c r="NY43" s="208"/>
      <c r="NZ43" s="208"/>
      <c r="OA43" s="208"/>
      <c r="OB43" s="208"/>
      <c r="OC43" s="208"/>
      <c r="OD43" s="208"/>
      <c r="OE43" s="208"/>
      <c r="OF43" s="208"/>
      <c r="OG43" s="208"/>
      <c r="OH43" s="208"/>
      <c r="OI43" s="208"/>
      <c r="OJ43" s="208"/>
      <c r="OK43" s="208"/>
      <c r="OL43" s="208"/>
      <c r="OM43" s="208"/>
      <c r="ON43" s="208"/>
      <c r="OO43" s="208"/>
      <c r="OP43" s="208"/>
      <c r="OQ43" s="208"/>
      <c r="OR43" s="208"/>
      <c r="OS43" s="208"/>
      <c r="OT43" s="208"/>
      <c r="OU43" s="208"/>
      <c r="OV43" s="208"/>
      <c r="OW43" s="208"/>
      <c r="OX43" s="208"/>
      <c r="OY43" s="208"/>
      <c r="OZ43" s="208"/>
      <c r="PA43" s="208"/>
      <c r="PB43" s="208"/>
      <c r="PC43" s="208"/>
      <c r="PD43" s="208"/>
      <c r="PE43" s="208"/>
      <c r="PF43" s="208"/>
      <c r="PG43" s="208"/>
      <c r="PH43" s="208"/>
      <c r="PI43" s="208"/>
      <c r="PJ43" s="208"/>
      <c r="PK43" s="208"/>
      <c r="PL43" s="208"/>
      <c r="PM43" s="208"/>
      <c r="PN43" s="208"/>
      <c r="PO43" s="208"/>
      <c r="PP43" s="208"/>
      <c r="PQ43" s="208"/>
      <c r="PR43" s="208"/>
      <c r="PS43" s="208"/>
      <c r="PT43" s="208"/>
      <c r="PU43" s="208"/>
      <c r="PV43" s="208"/>
      <c r="PW43" s="208"/>
      <c r="PX43" s="208"/>
      <c r="PY43" s="208"/>
      <c r="PZ43" s="208"/>
      <c r="QA43" s="208"/>
      <c r="QB43" s="208"/>
      <c r="QC43" s="208"/>
      <c r="QD43" s="208"/>
      <c r="QE43" s="208"/>
      <c r="QF43" s="208"/>
      <c r="QG43" s="208"/>
      <c r="QH43" s="208"/>
      <c r="QI43" s="208"/>
      <c r="QJ43" s="208"/>
      <c r="QK43" s="208"/>
      <c r="QL43" s="208"/>
      <c r="QM43" s="208"/>
      <c r="QN43" s="208"/>
      <c r="QO43" s="208"/>
      <c r="QP43" s="208"/>
      <c r="QQ43" s="208"/>
      <c r="QR43" s="208"/>
      <c r="QS43" s="208"/>
      <c r="QT43" s="208"/>
      <c r="QU43" s="208"/>
      <c r="QV43" s="208"/>
      <c r="QW43" s="208"/>
      <c r="QX43" s="208"/>
      <c r="QY43" s="208"/>
      <c r="QZ43" s="208"/>
      <c r="RA43" s="208"/>
      <c r="RB43" s="208"/>
      <c r="RC43" s="208"/>
      <c r="RD43" s="208"/>
      <c r="RE43" s="208"/>
      <c r="RF43" s="208"/>
      <c r="RG43" s="208"/>
      <c r="RH43" s="208"/>
      <c r="RI43" s="208"/>
      <c r="RJ43" s="208"/>
      <c r="RK43" s="208"/>
      <c r="RL43" s="208"/>
      <c r="RM43" s="208"/>
      <c r="RN43" s="208"/>
      <c r="RO43" s="208"/>
      <c r="RP43" s="208"/>
      <c r="RQ43" s="208"/>
      <c r="RR43" s="208"/>
      <c r="RS43" s="208"/>
      <c r="RT43" s="208"/>
      <c r="RU43" s="208"/>
      <c r="RV43" s="208"/>
      <c r="RW43" s="208"/>
      <c r="RX43" s="208"/>
      <c r="RY43" s="208"/>
      <c r="RZ43" s="208"/>
      <c r="SA43" s="208"/>
      <c r="SB43" s="208"/>
      <c r="SC43" s="208"/>
      <c r="SD43" s="208"/>
      <c r="SE43" s="208"/>
      <c r="SF43" s="208"/>
      <c r="SG43" s="208"/>
      <c r="SH43" s="208"/>
      <c r="SI43" s="208"/>
      <c r="SJ43" s="208"/>
      <c r="SK43" s="208"/>
      <c r="SL43" s="208"/>
      <c r="SM43" s="208"/>
      <c r="SN43" s="208"/>
      <c r="SO43" s="208"/>
      <c r="SP43" s="208"/>
      <c r="SQ43" s="208"/>
      <c r="SR43" s="208"/>
      <c r="SS43" s="208"/>
      <c r="ST43" s="208"/>
      <c r="SU43" s="208"/>
      <c r="SV43" s="208"/>
      <c r="SW43" s="208"/>
      <c r="SX43" s="208"/>
      <c r="SY43" s="208"/>
      <c r="SZ43" s="208"/>
      <c r="TA43" s="208"/>
      <c r="TB43" s="208"/>
      <c r="TC43" s="208"/>
      <c r="TD43" s="208"/>
      <c r="TE43" s="208"/>
      <c r="TF43" s="208"/>
      <c r="TG43" s="208"/>
      <c r="TH43" s="208"/>
      <c r="TI43" s="208"/>
      <c r="TJ43" s="208"/>
      <c r="TK43" s="208"/>
      <c r="TL43" s="208"/>
      <c r="TM43" s="208"/>
      <c r="TN43" s="208"/>
      <c r="TO43" s="208"/>
      <c r="TP43" s="208"/>
      <c r="TQ43" s="208"/>
      <c r="TR43" s="208"/>
      <c r="TS43" s="208"/>
      <c r="TT43" s="208"/>
      <c r="TU43" s="208"/>
      <c r="TV43" s="208"/>
      <c r="TW43" s="208"/>
      <c r="TX43" s="208"/>
      <c r="TY43" s="208"/>
      <c r="TZ43" s="208"/>
      <c r="UA43" s="208"/>
      <c r="UB43" s="208"/>
      <c r="UC43" s="208"/>
      <c r="UD43" s="208"/>
      <c r="UE43" s="208"/>
      <c r="UF43" s="208"/>
      <c r="UG43" s="208"/>
      <c r="UH43" s="208"/>
      <c r="UI43" s="208"/>
      <c r="UJ43" s="208"/>
      <c r="UK43" s="208"/>
      <c r="UL43" s="208"/>
      <c r="UM43" s="208"/>
      <c r="UN43" s="208"/>
      <c r="UO43" s="208"/>
      <c r="UP43" s="208"/>
      <c r="UQ43" s="208"/>
      <c r="UR43" s="208"/>
      <c r="US43" s="208"/>
      <c r="UT43" s="208"/>
      <c r="UU43" s="208"/>
      <c r="UV43" s="208"/>
      <c r="UW43" s="208"/>
      <c r="UX43" s="208"/>
      <c r="UY43" s="208"/>
      <c r="UZ43" s="208"/>
      <c r="VA43" s="208"/>
      <c r="VB43" s="208"/>
      <c r="VC43" s="208"/>
      <c r="VD43" s="208"/>
      <c r="VE43" s="208"/>
      <c r="VF43" s="208"/>
      <c r="VG43" s="208"/>
      <c r="VH43" s="208"/>
      <c r="VI43" s="208"/>
      <c r="VJ43" s="208"/>
      <c r="VK43" s="208"/>
      <c r="VL43" s="208"/>
      <c r="VM43" s="208"/>
      <c r="VN43" s="208"/>
      <c r="VO43" s="208"/>
      <c r="VP43" s="208"/>
      <c r="VQ43" s="208"/>
      <c r="VR43" s="208"/>
      <c r="VS43" s="208"/>
      <c r="VT43" s="208"/>
      <c r="VU43" s="208"/>
      <c r="VV43" s="208"/>
      <c r="VW43" s="208"/>
      <c r="VX43" s="208"/>
      <c r="VY43" s="208"/>
      <c r="VZ43" s="208"/>
      <c r="WA43" s="208"/>
      <c r="WB43" s="208"/>
      <c r="WC43" s="208"/>
      <c r="WD43" s="208"/>
      <c r="WE43" s="208"/>
      <c r="WF43" s="208"/>
      <c r="WG43" s="208"/>
      <c r="WH43" s="208"/>
      <c r="WI43" s="208"/>
      <c r="WJ43" s="208"/>
      <c r="WK43" s="208"/>
      <c r="WL43" s="208"/>
      <c r="WM43" s="208"/>
      <c r="WN43" s="208"/>
      <c r="WO43" s="208"/>
      <c r="WP43" s="208"/>
      <c r="WQ43" s="208"/>
      <c r="WR43" s="208"/>
      <c r="WS43" s="208"/>
      <c r="WT43" s="208"/>
      <c r="WU43" s="208"/>
      <c r="WV43" s="208"/>
      <c r="WW43" s="208"/>
      <c r="WX43" s="208"/>
      <c r="WY43" s="208"/>
      <c r="WZ43" s="208"/>
      <c r="XA43" s="208"/>
      <c r="XB43" s="208"/>
      <c r="XC43" s="208"/>
      <c r="XD43" s="208"/>
      <c r="XE43" s="208"/>
      <c r="XF43" s="208"/>
      <c r="XG43" s="208"/>
      <c r="XH43" s="208"/>
      <c r="XI43" s="208"/>
      <c r="XJ43" s="208"/>
      <c r="XK43" s="208"/>
      <c r="XL43" s="208"/>
      <c r="XM43" s="208"/>
      <c r="XN43" s="208"/>
      <c r="XO43" s="208"/>
      <c r="XP43" s="208"/>
      <c r="XQ43" s="208"/>
      <c r="XR43" s="208"/>
      <c r="XS43" s="208"/>
      <c r="XT43" s="208"/>
      <c r="XU43" s="208"/>
      <c r="XV43" s="208"/>
      <c r="XW43" s="208"/>
      <c r="XX43" s="208"/>
      <c r="XY43" s="208"/>
      <c r="XZ43" s="208"/>
      <c r="YA43" s="208"/>
      <c r="YB43" s="208"/>
      <c r="YC43" s="208"/>
      <c r="YD43" s="208"/>
      <c r="YE43" s="208"/>
      <c r="YF43" s="208"/>
      <c r="YG43" s="208"/>
      <c r="YH43" s="208"/>
      <c r="YI43" s="208"/>
      <c r="YJ43" s="208"/>
      <c r="YK43" s="208"/>
      <c r="YL43" s="208"/>
      <c r="YM43" s="208"/>
      <c r="YN43" s="208"/>
      <c r="YO43" s="208"/>
      <c r="YP43" s="208"/>
      <c r="YQ43" s="208"/>
      <c r="YR43" s="208"/>
      <c r="YS43" s="208"/>
      <c r="YT43" s="208"/>
      <c r="YU43" s="208"/>
      <c r="YV43" s="208"/>
      <c r="YW43" s="208"/>
      <c r="YX43" s="208"/>
      <c r="YY43" s="208"/>
      <c r="YZ43" s="208"/>
      <c r="ZA43" s="208"/>
      <c r="ZB43" s="208"/>
      <c r="ZC43" s="208"/>
      <c r="ZD43" s="208"/>
      <c r="ZE43" s="208"/>
      <c r="ZF43" s="208"/>
      <c r="ZG43" s="208"/>
      <c r="ZH43" s="208"/>
      <c r="ZI43" s="208"/>
      <c r="ZJ43" s="208"/>
      <c r="ZK43" s="208"/>
      <c r="ZL43" s="208"/>
      <c r="ZM43" s="208"/>
      <c r="ZN43" s="208"/>
      <c r="ZO43" s="208"/>
      <c r="ZP43" s="208"/>
      <c r="ZQ43" s="208"/>
      <c r="ZR43" s="208"/>
      <c r="ZS43" s="208"/>
      <c r="ZT43" s="208"/>
      <c r="ZU43" s="208"/>
      <c r="ZV43" s="208"/>
      <c r="ZW43" s="208"/>
      <c r="ZX43" s="208"/>
      <c r="ZY43" s="208"/>
      <c r="ZZ43" s="208"/>
      <c r="AAA43" s="208"/>
      <c r="AAB43" s="208"/>
      <c r="AAC43" s="208"/>
      <c r="AAD43" s="208"/>
      <c r="AAE43" s="208"/>
      <c r="AAF43" s="208"/>
      <c r="AAG43" s="208"/>
      <c r="AAH43" s="208"/>
      <c r="AAI43" s="208"/>
      <c r="AAJ43" s="208"/>
      <c r="AAK43" s="208"/>
      <c r="AAL43" s="208"/>
      <c r="AAM43" s="208"/>
      <c r="AAN43" s="208"/>
      <c r="AAO43" s="208"/>
      <c r="AAP43" s="208"/>
      <c r="AAQ43" s="208"/>
      <c r="AAR43" s="208"/>
      <c r="AAS43" s="208"/>
      <c r="AAT43" s="208"/>
      <c r="AAU43" s="208"/>
      <c r="AAV43" s="208"/>
      <c r="AAW43" s="208"/>
      <c r="AAX43" s="208"/>
      <c r="AAY43" s="208"/>
      <c r="AAZ43" s="208"/>
      <c r="ABA43" s="208"/>
      <c r="ABB43" s="208"/>
      <c r="ABC43" s="208"/>
      <c r="ABD43" s="208"/>
      <c r="ABE43" s="208"/>
      <c r="ABF43" s="208"/>
      <c r="ABG43" s="208"/>
      <c r="ABH43" s="208"/>
      <c r="ABI43" s="208"/>
      <c r="ABJ43" s="208"/>
      <c r="ABK43" s="208"/>
      <c r="ABL43" s="208"/>
      <c r="ABM43" s="208"/>
      <c r="ABN43" s="208"/>
      <c r="ABO43" s="208"/>
      <c r="ABP43" s="208"/>
      <c r="ABQ43" s="208"/>
      <c r="ABR43" s="208"/>
      <c r="ABS43" s="208"/>
      <c r="ABT43" s="208"/>
      <c r="ABU43" s="208"/>
      <c r="ABV43" s="208"/>
      <c r="ABW43" s="208"/>
      <c r="ABX43" s="208"/>
      <c r="ABY43" s="208"/>
      <c r="ABZ43" s="208"/>
      <c r="ACA43" s="208"/>
      <c r="ACB43" s="208"/>
      <c r="ACC43" s="208"/>
      <c r="ACD43" s="208"/>
      <c r="ACE43" s="208"/>
      <c r="ACF43" s="208"/>
      <c r="ACG43" s="208"/>
      <c r="ACH43" s="208"/>
      <c r="ACI43" s="208"/>
      <c r="ACJ43" s="208"/>
      <c r="ACK43" s="208"/>
      <c r="ACL43" s="208"/>
      <c r="ACM43" s="208"/>
      <c r="ACN43" s="208"/>
      <c r="ACO43" s="208"/>
      <c r="ACP43" s="208"/>
      <c r="ACQ43" s="208"/>
      <c r="ACR43" s="208"/>
      <c r="ACS43" s="208"/>
      <c r="ACT43" s="208"/>
      <c r="ACU43" s="208"/>
      <c r="ACV43" s="208"/>
      <c r="ACW43" s="208"/>
      <c r="ACX43" s="208"/>
      <c r="ACY43" s="208"/>
      <c r="ACZ43" s="208"/>
      <c r="ADA43" s="208"/>
      <c r="ADB43" s="208"/>
      <c r="ADC43" s="208"/>
      <c r="ADD43" s="208"/>
      <c r="ADE43" s="208"/>
      <c r="ADF43" s="208"/>
      <c r="ADG43" s="208"/>
      <c r="ADH43" s="208"/>
      <c r="ADI43" s="208"/>
      <c r="ADJ43" s="208"/>
      <c r="ADK43" s="208"/>
      <c r="ADL43" s="208"/>
      <c r="ADM43" s="208"/>
      <c r="ADN43" s="208"/>
      <c r="ADO43" s="208"/>
      <c r="ADP43" s="208"/>
      <c r="ADQ43" s="208"/>
      <c r="ADR43" s="208"/>
      <c r="ADS43" s="208"/>
      <c r="ADT43" s="208"/>
      <c r="ADU43" s="208"/>
      <c r="ADV43" s="208"/>
      <c r="ADW43" s="208"/>
      <c r="ADX43" s="208"/>
      <c r="ADY43" s="208"/>
      <c r="ADZ43" s="208"/>
      <c r="AEA43" s="208"/>
      <c r="AEB43" s="208"/>
      <c r="AEC43" s="208"/>
      <c r="AED43" s="208"/>
      <c r="AEE43" s="208"/>
      <c r="AEF43" s="208"/>
      <c r="AEG43" s="208"/>
      <c r="AEH43" s="208"/>
      <c r="AEI43" s="208"/>
      <c r="AEJ43" s="208"/>
      <c r="AEK43" s="208"/>
      <c r="AEL43" s="208"/>
      <c r="AEM43" s="208"/>
      <c r="AEN43" s="208"/>
      <c r="AEO43" s="208"/>
      <c r="AEP43" s="208"/>
      <c r="AEQ43" s="208"/>
      <c r="AER43" s="208"/>
      <c r="AES43" s="208"/>
      <c r="AET43" s="208"/>
      <c r="AEU43" s="208"/>
      <c r="AEV43" s="208"/>
      <c r="AEW43" s="208"/>
      <c r="AEX43" s="208"/>
      <c r="AEY43" s="208"/>
      <c r="AEZ43" s="208"/>
      <c r="AFA43" s="208"/>
      <c r="AFB43" s="208"/>
      <c r="AFC43" s="208"/>
      <c r="AFD43" s="208"/>
      <c r="AFE43" s="208"/>
      <c r="AFF43" s="208"/>
      <c r="AFG43" s="208"/>
      <c r="AFH43" s="208"/>
      <c r="AFI43" s="208"/>
      <c r="AFJ43" s="208"/>
      <c r="AFK43" s="208"/>
      <c r="AFL43" s="208"/>
      <c r="AFM43" s="208"/>
      <c r="AFN43" s="208"/>
      <c r="AFO43" s="208"/>
      <c r="AFP43" s="208"/>
      <c r="AFQ43" s="208"/>
      <c r="AFR43" s="208"/>
      <c r="AFS43" s="208"/>
      <c r="AFT43" s="208"/>
      <c r="AFU43" s="208"/>
      <c r="AFV43" s="208"/>
      <c r="AFW43" s="208"/>
      <c r="AFX43" s="208"/>
      <c r="AFY43" s="208"/>
      <c r="AFZ43" s="208"/>
      <c r="AGA43" s="208"/>
      <c r="AGB43" s="208"/>
      <c r="AGC43" s="208"/>
      <c r="AGD43" s="208"/>
      <c r="AGE43" s="208"/>
      <c r="AGF43" s="208"/>
      <c r="AGG43" s="208"/>
      <c r="AGH43" s="208"/>
      <c r="AGI43" s="208"/>
      <c r="AGJ43" s="208"/>
      <c r="AGK43" s="208"/>
      <c r="AGL43" s="208"/>
      <c r="AGM43" s="208"/>
      <c r="AGN43" s="208"/>
      <c r="AGO43" s="208"/>
      <c r="AGP43" s="208"/>
      <c r="AGQ43" s="208"/>
      <c r="AGR43" s="208"/>
      <c r="AGS43" s="208"/>
      <c r="AGT43" s="208"/>
      <c r="AGU43" s="208"/>
      <c r="AGV43" s="208"/>
      <c r="AGW43" s="208"/>
      <c r="AGX43" s="208"/>
      <c r="AGY43" s="208"/>
      <c r="AGZ43" s="208"/>
      <c r="AHA43" s="208"/>
      <c r="AHB43" s="208"/>
      <c r="AHC43" s="208"/>
      <c r="AHD43" s="208"/>
      <c r="AHE43" s="208"/>
      <c r="AHF43" s="208"/>
      <c r="AHG43" s="208"/>
      <c r="AHH43" s="208"/>
      <c r="AHI43" s="208"/>
      <c r="AHJ43" s="208"/>
      <c r="AHK43" s="208"/>
      <c r="AHL43" s="208"/>
      <c r="AHM43" s="208"/>
      <c r="AHN43" s="208"/>
      <c r="AHO43" s="208"/>
      <c r="AHP43" s="208"/>
      <c r="AHQ43" s="208"/>
      <c r="AHR43" s="208"/>
      <c r="AHS43" s="208"/>
      <c r="AHT43" s="208"/>
      <c r="AHU43" s="208"/>
      <c r="AHV43" s="208"/>
      <c r="AHW43" s="208"/>
      <c r="AHX43" s="208"/>
      <c r="AHY43" s="208"/>
      <c r="AHZ43" s="208"/>
      <c r="AIA43" s="208"/>
      <c r="AIB43" s="208"/>
      <c r="AIC43" s="208"/>
      <c r="AID43" s="208"/>
      <c r="AIE43" s="208"/>
      <c r="AIF43" s="208"/>
      <c r="AIG43" s="208"/>
      <c r="AIH43" s="208"/>
      <c r="AII43" s="208"/>
      <c r="AIJ43" s="208"/>
      <c r="AIK43" s="208"/>
      <c r="AIL43" s="208"/>
      <c r="AIM43" s="208"/>
      <c r="AIN43" s="208"/>
      <c r="AIO43" s="208"/>
      <c r="AIP43" s="208"/>
      <c r="AIQ43" s="208"/>
      <c r="AIR43" s="208"/>
      <c r="AIS43" s="208"/>
      <c r="AIT43" s="208"/>
      <c r="AIU43" s="208"/>
      <c r="AIV43" s="208"/>
      <c r="AIW43" s="208"/>
      <c r="AIX43" s="208"/>
      <c r="AIY43" s="208"/>
      <c r="AIZ43" s="208"/>
      <c r="AJA43" s="208"/>
      <c r="AJB43" s="208"/>
      <c r="AJC43" s="208"/>
      <c r="AJD43" s="208"/>
      <c r="AJE43" s="208"/>
      <c r="AJF43" s="208"/>
      <c r="AJG43" s="208"/>
      <c r="AJH43" s="208"/>
      <c r="AJI43" s="208"/>
      <c r="AJJ43" s="208"/>
      <c r="AJK43" s="208"/>
      <c r="AJL43" s="208"/>
      <c r="AJM43" s="208"/>
      <c r="AJN43" s="208"/>
      <c r="AJO43" s="208"/>
      <c r="AJP43" s="208"/>
      <c r="AJQ43" s="208"/>
      <c r="AJR43" s="208"/>
      <c r="AJS43" s="208"/>
      <c r="AJT43" s="208"/>
      <c r="AJU43" s="208"/>
      <c r="AJV43" s="208"/>
      <c r="AJW43" s="208"/>
      <c r="AJX43" s="208"/>
      <c r="AJY43" s="208"/>
      <c r="AJZ43" s="208"/>
      <c r="AKA43" s="208"/>
      <c r="AKB43" s="208"/>
      <c r="AKC43" s="208"/>
      <c r="AKD43" s="208"/>
      <c r="AKE43" s="208"/>
      <c r="AKF43" s="208"/>
      <c r="AKG43" s="208"/>
      <c r="AKH43" s="208"/>
      <c r="AKI43" s="208"/>
      <c r="AKJ43" s="208"/>
      <c r="AKK43" s="208"/>
      <c r="AKL43" s="208"/>
      <c r="AKM43" s="208"/>
      <c r="AKN43" s="208"/>
      <c r="AKO43" s="208"/>
      <c r="AKP43" s="208"/>
      <c r="AKQ43" s="208"/>
      <c r="AKR43" s="208"/>
      <c r="AKS43" s="208"/>
      <c r="AKT43" s="208"/>
      <c r="AKU43" s="208"/>
      <c r="AKV43" s="208"/>
      <c r="AKW43" s="208"/>
      <c r="AKX43" s="208"/>
      <c r="AKY43" s="208"/>
      <c r="AKZ43" s="208"/>
      <c r="ALA43" s="208"/>
      <c r="ALB43" s="208"/>
      <c r="ALC43" s="208"/>
      <c r="ALD43" s="208"/>
      <c r="ALE43" s="208"/>
      <c r="ALF43" s="208"/>
      <c r="ALG43" s="208"/>
      <c r="ALH43" s="208"/>
      <c r="ALI43" s="208"/>
      <c r="ALJ43" s="208"/>
      <c r="ALK43" s="208"/>
      <c r="ALL43" s="208"/>
      <c r="ALM43" s="208"/>
      <c r="ALN43" s="208"/>
      <c r="ALO43" s="208"/>
      <c r="ALP43" s="208"/>
      <c r="ALQ43" s="208"/>
      <c r="ALR43" s="208"/>
      <c r="ALS43" s="208"/>
      <c r="ALT43" s="208"/>
      <c r="ALU43" s="208"/>
      <c r="ALV43" s="208"/>
      <c r="ALW43" s="208"/>
      <c r="ALX43" s="208"/>
      <c r="ALY43" s="208"/>
      <c r="ALZ43" s="208"/>
      <c r="AMA43" s="208"/>
      <c r="AMB43" s="208"/>
      <c r="AMC43" s="208"/>
      <c r="AMD43" s="208"/>
      <c r="AME43" s="208"/>
      <c r="AMF43" s="208"/>
      <c r="AMG43" s="208"/>
      <c r="AMH43" s="208"/>
      <c r="AMI43" s="208"/>
      <c r="AMJ43" s="208"/>
      <c r="AMK43" s="208"/>
      <c r="AML43" s="208"/>
      <c r="AMM43" s="208"/>
      <c r="AMN43" s="208"/>
      <c r="AMO43" s="208"/>
      <c r="AMP43" s="208"/>
      <c r="AMQ43" s="208"/>
      <c r="AMR43" s="208"/>
      <c r="AMS43" s="208"/>
      <c r="AMT43" s="208"/>
      <c r="AMU43" s="208"/>
      <c r="AMV43" s="208"/>
      <c r="AMW43" s="208"/>
      <c r="AMX43" s="208"/>
      <c r="AMY43" s="208"/>
      <c r="AMZ43" s="208"/>
      <c r="ANA43" s="208"/>
      <c r="ANB43" s="208"/>
      <c r="ANC43" s="208"/>
      <c r="AND43" s="208"/>
      <c r="ANE43" s="208"/>
      <c r="ANF43" s="208"/>
      <c r="ANG43" s="208"/>
      <c r="ANH43" s="208"/>
      <c r="ANI43" s="208"/>
      <c r="ANJ43" s="208"/>
      <c r="ANK43" s="208"/>
      <c r="ANL43" s="208"/>
      <c r="ANM43" s="208"/>
      <c r="ANN43" s="208"/>
      <c r="ANO43" s="208"/>
      <c r="ANP43" s="208"/>
      <c r="ANQ43" s="208"/>
      <c r="ANR43" s="208"/>
      <c r="ANS43" s="208"/>
      <c r="ANT43" s="208"/>
      <c r="ANU43" s="208"/>
      <c r="ANV43" s="208"/>
      <c r="ANW43" s="208"/>
      <c r="ANX43" s="208"/>
      <c r="ANY43" s="208"/>
      <c r="ANZ43" s="208"/>
      <c r="AOA43" s="208"/>
      <c r="AOB43" s="208"/>
      <c r="AOC43" s="208"/>
      <c r="AOD43" s="208"/>
      <c r="AOE43" s="208"/>
      <c r="AOF43" s="208"/>
      <c r="AOG43" s="208"/>
      <c r="AOH43" s="208"/>
      <c r="AOI43" s="208"/>
      <c r="AOJ43" s="208"/>
      <c r="AOK43" s="208"/>
      <c r="AOL43" s="208"/>
      <c r="AOM43" s="208"/>
      <c r="AON43" s="208"/>
      <c r="AOO43" s="208"/>
      <c r="AOP43" s="208"/>
      <c r="AOQ43" s="208"/>
      <c r="AOR43" s="208"/>
      <c r="AOS43" s="208"/>
      <c r="AOT43" s="208"/>
      <c r="AOU43" s="208"/>
      <c r="AOV43" s="208"/>
      <c r="AOW43" s="208"/>
      <c r="AOX43" s="208"/>
      <c r="AOY43" s="208"/>
      <c r="AOZ43" s="208"/>
      <c r="APA43" s="208"/>
      <c r="APB43" s="208"/>
      <c r="APC43" s="208"/>
      <c r="APD43" s="208"/>
      <c r="APE43" s="208"/>
      <c r="APF43" s="208"/>
      <c r="APG43" s="208"/>
      <c r="APH43" s="208"/>
      <c r="API43" s="208"/>
      <c r="APJ43" s="208"/>
      <c r="APK43" s="208"/>
      <c r="APL43" s="208"/>
      <c r="APM43" s="208"/>
      <c r="APN43" s="208"/>
      <c r="APO43" s="208"/>
      <c r="APP43" s="208"/>
      <c r="APQ43" s="208"/>
      <c r="APR43" s="208"/>
      <c r="APS43" s="208"/>
      <c r="APT43" s="208"/>
      <c r="APU43" s="208"/>
      <c r="APV43" s="208"/>
      <c r="APW43" s="208"/>
      <c r="APX43" s="208"/>
      <c r="APY43" s="208"/>
      <c r="APZ43" s="208"/>
      <c r="AQA43" s="208"/>
      <c r="AQB43" s="208"/>
      <c r="AQC43" s="208"/>
      <c r="AQD43" s="208"/>
      <c r="AQE43" s="208"/>
      <c r="AQF43" s="208"/>
      <c r="AQG43" s="208"/>
      <c r="AQH43" s="208"/>
      <c r="AQI43" s="208"/>
      <c r="AQJ43" s="208"/>
      <c r="AQK43" s="208"/>
      <c r="AQL43" s="208"/>
      <c r="AQM43" s="208"/>
      <c r="AQN43" s="208"/>
      <c r="AQO43" s="208"/>
      <c r="AQP43" s="208"/>
      <c r="AQQ43" s="208"/>
      <c r="AQR43" s="208"/>
      <c r="AQS43" s="208"/>
      <c r="AQT43" s="208"/>
      <c r="AQU43" s="208"/>
      <c r="AQV43" s="208"/>
      <c r="AQW43" s="208"/>
      <c r="AQX43" s="208"/>
      <c r="AQY43" s="208"/>
      <c r="AQZ43" s="208"/>
      <c r="ARA43" s="208"/>
      <c r="ARB43" s="208"/>
      <c r="ARC43" s="208"/>
      <c r="ARD43" s="208"/>
      <c r="ARE43" s="208"/>
      <c r="ARF43" s="208"/>
      <c r="ARG43" s="208"/>
      <c r="ARH43" s="208"/>
      <c r="ARI43" s="208"/>
      <c r="ARJ43" s="208"/>
      <c r="ARK43" s="208"/>
      <c r="ARL43" s="208"/>
      <c r="ARM43" s="208"/>
      <c r="ARN43" s="208"/>
      <c r="ARO43" s="208"/>
      <c r="ARP43" s="208"/>
      <c r="ARQ43" s="208"/>
      <c r="ARR43" s="208"/>
      <c r="ARS43" s="208"/>
      <c r="ART43" s="208"/>
      <c r="ARU43" s="208"/>
      <c r="ARV43" s="208"/>
      <c r="ARW43" s="208"/>
      <c r="ARX43" s="208"/>
      <c r="ARY43" s="208"/>
      <c r="ARZ43" s="208"/>
      <c r="ASA43" s="208"/>
      <c r="ASB43" s="208"/>
      <c r="ASC43" s="208"/>
      <c r="ASD43" s="208"/>
      <c r="ASE43" s="208"/>
      <c r="ASF43" s="208"/>
      <c r="ASG43" s="208"/>
      <c r="ASH43" s="208"/>
      <c r="ASI43" s="208"/>
      <c r="ASJ43" s="208"/>
      <c r="ASK43" s="208"/>
      <c r="ASL43" s="208"/>
      <c r="ASM43" s="208"/>
      <c r="ASN43" s="208"/>
      <c r="ASO43" s="208"/>
      <c r="ASP43" s="208"/>
      <c r="ASQ43" s="208"/>
      <c r="ASR43" s="208"/>
      <c r="ASS43" s="208"/>
      <c r="AST43" s="208"/>
      <c r="ASU43" s="208"/>
      <c r="ASV43" s="208"/>
      <c r="ASW43" s="208"/>
      <c r="ASX43" s="208"/>
      <c r="ASY43" s="208"/>
      <c r="ASZ43" s="208"/>
      <c r="ATA43" s="208"/>
      <c r="ATB43" s="208"/>
      <c r="ATC43" s="208"/>
      <c r="ATD43" s="208"/>
      <c r="ATE43" s="208"/>
      <c r="ATF43" s="208"/>
      <c r="ATG43" s="208"/>
      <c r="ATH43" s="208"/>
      <c r="ATI43" s="208"/>
      <c r="ATJ43" s="208"/>
      <c r="ATK43" s="208"/>
      <c r="ATL43" s="208"/>
      <c r="ATM43" s="208"/>
      <c r="ATN43" s="208"/>
      <c r="ATO43" s="208"/>
      <c r="ATP43" s="208"/>
      <c r="ATQ43" s="208"/>
      <c r="ATR43" s="208"/>
      <c r="ATS43" s="208"/>
      <c r="ATT43" s="208"/>
      <c r="ATU43" s="208"/>
      <c r="ATV43" s="208"/>
      <c r="ATW43" s="208"/>
      <c r="ATX43" s="208"/>
      <c r="ATY43" s="208"/>
      <c r="ATZ43" s="208"/>
      <c r="AUA43" s="208"/>
      <c r="AUB43" s="208"/>
      <c r="AUC43" s="208"/>
      <c r="AUD43" s="208"/>
      <c r="AUE43" s="208"/>
      <c r="AUF43" s="208"/>
      <c r="AUG43" s="208"/>
      <c r="AUH43" s="208"/>
      <c r="AUI43" s="208"/>
      <c r="AUJ43" s="208"/>
      <c r="AUK43" s="208"/>
      <c r="AUL43" s="208"/>
      <c r="AUM43" s="208"/>
      <c r="AUN43" s="208"/>
      <c r="AUO43" s="208"/>
      <c r="AUP43" s="208"/>
      <c r="AUQ43" s="208"/>
      <c r="AUR43" s="208"/>
      <c r="AUS43" s="208"/>
      <c r="AUT43" s="208"/>
      <c r="AUU43" s="208"/>
      <c r="AUV43" s="208"/>
      <c r="AUW43" s="208"/>
      <c r="AUX43" s="208"/>
      <c r="AUY43" s="208"/>
      <c r="AUZ43" s="208"/>
      <c r="AVA43" s="208"/>
      <c r="AVB43" s="208"/>
      <c r="AVC43" s="208"/>
      <c r="AVD43" s="208"/>
      <c r="AVE43" s="208"/>
      <c r="AVF43" s="208"/>
      <c r="AVG43" s="208"/>
      <c r="AVH43" s="208"/>
      <c r="AVI43" s="208"/>
      <c r="AVJ43" s="208"/>
      <c r="AVK43" s="208"/>
      <c r="AVL43" s="208"/>
      <c r="AVM43" s="208"/>
      <c r="AVN43" s="208"/>
      <c r="AVO43" s="208"/>
      <c r="AVP43" s="208"/>
      <c r="AVQ43" s="208"/>
      <c r="AVR43" s="208"/>
      <c r="AVS43" s="208"/>
      <c r="AVT43" s="208"/>
      <c r="AVU43" s="208"/>
      <c r="AVV43" s="208"/>
      <c r="AVW43" s="208"/>
      <c r="AVX43" s="208"/>
      <c r="AVY43" s="208"/>
      <c r="AVZ43" s="208"/>
      <c r="AWA43" s="208"/>
      <c r="AWB43" s="208"/>
      <c r="AWC43" s="208"/>
      <c r="AWD43" s="208"/>
      <c r="AWE43" s="208"/>
      <c r="AWF43" s="208"/>
      <c r="AWG43" s="208"/>
      <c r="AWH43" s="208"/>
      <c r="AWI43" s="208"/>
      <c r="AWJ43" s="208"/>
      <c r="AWK43" s="208"/>
      <c r="AWL43" s="208"/>
      <c r="AWM43" s="208"/>
      <c r="AWN43" s="208"/>
      <c r="AWO43" s="208"/>
      <c r="AWP43" s="208"/>
      <c r="AWQ43" s="208"/>
      <c r="AWR43" s="208"/>
      <c r="AWS43" s="208"/>
      <c r="AWT43" s="208"/>
      <c r="AWU43" s="208"/>
      <c r="AWV43" s="208"/>
      <c r="AWW43" s="208"/>
      <c r="AWX43" s="208"/>
      <c r="AWY43" s="208"/>
      <c r="AWZ43" s="208"/>
      <c r="AXA43" s="208"/>
      <c r="AXB43" s="208"/>
      <c r="AXC43" s="208"/>
      <c r="AXD43" s="208"/>
      <c r="AXE43" s="208"/>
      <c r="AXF43" s="208"/>
      <c r="AXG43" s="208"/>
      <c r="AXH43" s="208"/>
      <c r="AXI43" s="208"/>
      <c r="AXJ43" s="208"/>
      <c r="AXK43" s="208"/>
      <c r="AXL43" s="208"/>
      <c r="AXM43" s="208"/>
      <c r="AXN43" s="208"/>
      <c r="AXO43" s="208"/>
      <c r="AXP43" s="208"/>
      <c r="AXQ43" s="208"/>
      <c r="AXR43" s="208"/>
      <c r="AXS43" s="208"/>
      <c r="AXT43" s="208"/>
      <c r="AXU43" s="208"/>
      <c r="AXV43" s="208"/>
      <c r="AXW43" s="208"/>
      <c r="AXX43" s="208"/>
      <c r="AXY43" s="208"/>
      <c r="AXZ43" s="208"/>
      <c r="AYA43" s="208"/>
      <c r="AYB43" s="208"/>
      <c r="AYC43" s="208"/>
      <c r="AYD43" s="208"/>
      <c r="AYE43" s="208"/>
      <c r="AYF43" s="208"/>
      <c r="AYG43" s="208"/>
      <c r="AYH43" s="208"/>
      <c r="AYI43" s="208"/>
      <c r="AYJ43" s="208"/>
      <c r="AYK43" s="208"/>
      <c r="AYL43" s="208"/>
      <c r="AYM43" s="208"/>
      <c r="AYN43" s="208"/>
      <c r="AYO43" s="208"/>
      <c r="AYP43" s="208"/>
      <c r="AYQ43" s="208"/>
      <c r="AYR43" s="208"/>
      <c r="AYS43" s="208"/>
      <c r="AYT43" s="208"/>
      <c r="AYU43" s="208"/>
      <c r="AYV43" s="208"/>
      <c r="AYW43" s="208"/>
      <c r="AYX43" s="208"/>
      <c r="AYY43" s="208"/>
      <c r="AYZ43" s="208"/>
      <c r="AZA43" s="208"/>
      <c r="AZB43" s="208"/>
      <c r="AZC43" s="208"/>
      <c r="AZD43" s="208"/>
      <c r="AZE43" s="208"/>
      <c r="AZF43" s="208"/>
      <c r="AZG43" s="208"/>
      <c r="AZH43" s="208"/>
      <c r="AZI43" s="208"/>
      <c r="AZJ43" s="208"/>
      <c r="AZK43" s="208"/>
      <c r="AZL43" s="208"/>
      <c r="AZM43" s="208"/>
      <c r="AZN43" s="208"/>
      <c r="AZO43" s="208"/>
      <c r="AZP43" s="208"/>
      <c r="AZQ43" s="208"/>
      <c r="AZR43" s="208"/>
      <c r="AZS43" s="208"/>
      <c r="AZT43" s="208"/>
      <c r="AZU43" s="208"/>
      <c r="AZV43" s="208"/>
      <c r="AZW43" s="208"/>
      <c r="AZX43" s="208"/>
      <c r="AZY43" s="208"/>
      <c r="AZZ43" s="208"/>
      <c r="BAA43" s="208"/>
      <c r="BAB43" s="208"/>
      <c r="BAC43" s="208"/>
      <c r="BAD43" s="208"/>
      <c r="BAE43" s="208"/>
      <c r="BAF43" s="208"/>
      <c r="BAG43" s="208"/>
      <c r="BAH43" s="208"/>
      <c r="BAI43" s="208"/>
      <c r="BAJ43" s="208"/>
      <c r="BAK43" s="208"/>
      <c r="BAL43" s="208"/>
      <c r="BAM43" s="208"/>
      <c r="BAN43" s="208"/>
      <c r="BAO43" s="208"/>
      <c r="BAP43" s="208"/>
      <c r="BAQ43" s="208"/>
      <c r="BAR43" s="208"/>
      <c r="BAS43" s="208"/>
      <c r="BAT43" s="208"/>
      <c r="BAU43" s="208"/>
      <c r="BAV43" s="208"/>
      <c r="BAW43" s="208"/>
      <c r="BAX43" s="208"/>
      <c r="BAY43" s="208"/>
      <c r="BAZ43" s="208"/>
      <c r="BBA43" s="208"/>
      <c r="BBB43" s="208"/>
      <c r="BBC43" s="208"/>
      <c r="BBD43" s="208"/>
      <c r="BBE43" s="208"/>
      <c r="BBF43" s="208"/>
      <c r="BBG43" s="208"/>
      <c r="BBH43" s="208"/>
      <c r="BBI43" s="208"/>
      <c r="BBJ43" s="208"/>
      <c r="BBK43" s="208"/>
      <c r="BBL43" s="208"/>
      <c r="BBM43" s="208"/>
      <c r="BBN43" s="208"/>
      <c r="BBO43" s="208"/>
      <c r="BBP43" s="208"/>
      <c r="BBQ43" s="208"/>
      <c r="BBR43" s="208"/>
      <c r="BBS43" s="208"/>
      <c r="BBT43" s="208"/>
      <c r="BBU43" s="208"/>
      <c r="BBV43" s="208"/>
      <c r="BBW43" s="208"/>
      <c r="BBX43" s="208"/>
      <c r="BBY43" s="208"/>
      <c r="BBZ43" s="208"/>
      <c r="BCA43" s="208"/>
      <c r="BCB43" s="208"/>
      <c r="BCC43" s="208"/>
      <c r="BCD43" s="208"/>
      <c r="BCE43" s="208"/>
      <c r="BCF43" s="208"/>
      <c r="BCG43" s="208"/>
      <c r="BCH43" s="208"/>
      <c r="BCI43" s="208"/>
      <c r="BCJ43" s="208"/>
      <c r="BCK43" s="208"/>
      <c r="BCL43" s="208"/>
      <c r="BCM43" s="208"/>
      <c r="BCN43" s="208"/>
      <c r="BCO43" s="208"/>
      <c r="BCP43" s="208"/>
      <c r="BCQ43" s="208"/>
      <c r="BCR43" s="208"/>
      <c r="BCS43" s="208"/>
      <c r="BCT43" s="208"/>
      <c r="BCU43" s="208"/>
      <c r="BCV43" s="208"/>
      <c r="BCW43" s="208"/>
      <c r="BCX43" s="208"/>
      <c r="BCY43" s="208"/>
      <c r="BCZ43" s="208"/>
      <c r="BDA43" s="208"/>
      <c r="BDB43" s="208"/>
      <c r="BDC43" s="208"/>
      <c r="BDD43" s="208"/>
      <c r="BDE43" s="208"/>
      <c r="BDF43" s="208"/>
      <c r="BDG43" s="208"/>
      <c r="BDH43" s="208"/>
      <c r="BDI43" s="208"/>
      <c r="BDJ43" s="208"/>
      <c r="BDK43" s="208"/>
      <c r="BDL43" s="208"/>
      <c r="BDM43" s="208"/>
      <c r="BDN43" s="208"/>
      <c r="BDO43" s="208"/>
      <c r="BDP43" s="208"/>
      <c r="BDQ43" s="208"/>
      <c r="BDR43" s="208"/>
      <c r="BDS43" s="208"/>
      <c r="BDT43" s="208"/>
      <c r="BDU43" s="208"/>
      <c r="BDV43" s="208"/>
      <c r="BDW43" s="208"/>
      <c r="BDX43" s="208"/>
      <c r="BDY43" s="208"/>
      <c r="BDZ43" s="208"/>
      <c r="BEA43" s="208"/>
      <c r="BEB43" s="208"/>
      <c r="BEC43" s="208"/>
      <c r="BED43" s="208"/>
      <c r="BEE43" s="208"/>
      <c r="BEF43" s="208"/>
      <c r="BEG43" s="208"/>
      <c r="BEH43" s="208"/>
      <c r="BEI43" s="208"/>
      <c r="BEJ43" s="208"/>
      <c r="BEK43" s="208"/>
      <c r="BEL43" s="208"/>
      <c r="BEM43" s="208"/>
      <c r="BEN43" s="208"/>
      <c r="BEO43" s="208"/>
      <c r="BEP43" s="208"/>
      <c r="BEQ43" s="208"/>
      <c r="BER43" s="208"/>
      <c r="BES43" s="208"/>
      <c r="BET43" s="208"/>
      <c r="BEU43" s="208"/>
      <c r="BEV43" s="208"/>
      <c r="BEW43" s="208"/>
      <c r="BEX43" s="208"/>
      <c r="BEY43" s="208"/>
      <c r="BEZ43" s="208"/>
      <c r="BFA43" s="208"/>
      <c r="BFB43" s="208"/>
      <c r="BFC43" s="208"/>
      <c r="BFD43" s="208"/>
      <c r="BFE43" s="208"/>
      <c r="BFF43" s="208"/>
      <c r="BFG43" s="208"/>
      <c r="BFH43" s="208"/>
      <c r="BFI43" s="208"/>
      <c r="BFJ43" s="208"/>
      <c r="BFK43" s="208"/>
      <c r="BFL43" s="208"/>
      <c r="BFM43" s="208"/>
      <c r="BFN43" s="208"/>
      <c r="BFO43" s="208"/>
      <c r="BFP43" s="208"/>
      <c r="BFQ43" s="208"/>
      <c r="BFR43" s="208"/>
      <c r="BFS43" s="208"/>
      <c r="BFT43" s="208"/>
      <c r="BFU43" s="208"/>
      <c r="BFV43" s="208"/>
      <c r="BFW43" s="208"/>
      <c r="BFX43" s="208"/>
      <c r="BFY43" s="208"/>
      <c r="BFZ43" s="208"/>
      <c r="BGA43" s="208"/>
      <c r="BGB43" s="208"/>
      <c r="BGC43" s="208"/>
      <c r="BGD43" s="208"/>
      <c r="BGE43" s="208"/>
      <c r="BGF43" s="208"/>
      <c r="BGG43" s="208"/>
      <c r="BGH43" s="208"/>
      <c r="BGI43" s="208"/>
      <c r="BGJ43" s="208"/>
      <c r="BGK43" s="208"/>
      <c r="BGL43" s="208"/>
      <c r="BGM43" s="208"/>
      <c r="BGN43" s="208"/>
      <c r="BGO43" s="208"/>
      <c r="BGP43" s="208"/>
      <c r="BGQ43" s="208"/>
      <c r="BGR43" s="208"/>
      <c r="BGS43" s="208"/>
      <c r="BGT43" s="208"/>
      <c r="BGU43" s="208"/>
      <c r="BGV43" s="208"/>
      <c r="BGW43" s="208"/>
      <c r="BGX43" s="208"/>
      <c r="BGY43" s="208"/>
      <c r="BGZ43" s="208"/>
      <c r="BHA43" s="208"/>
      <c r="BHB43" s="208"/>
      <c r="BHC43" s="208"/>
      <c r="BHD43" s="208"/>
      <c r="BHE43" s="208"/>
      <c r="BHF43" s="208"/>
      <c r="BHG43" s="208"/>
      <c r="BHH43" s="208"/>
      <c r="BHI43" s="208"/>
      <c r="BHJ43" s="208"/>
      <c r="BHK43" s="208"/>
      <c r="BHL43" s="208"/>
      <c r="BHM43" s="208"/>
      <c r="BHN43" s="208"/>
      <c r="BHO43" s="208"/>
      <c r="BHP43" s="208"/>
      <c r="BHQ43" s="208"/>
      <c r="BHR43" s="208"/>
      <c r="BHS43" s="208"/>
      <c r="BHT43" s="208"/>
      <c r="BHU43" s="208"/>
      <c r="BHV43" s="208"/>
      <c r="BHW43" s="208"/>
      <c r="BHX43" s="208"/>
      <c r="BHY43" s="208"/>
      <c r="BHZ43" s="208"/>
      <c r="BIA43" s="208"/>
      <c r="BIB43" s="208"/>
      <c r="BIC43" s="208"/>
      <c r="BID43" s="208"/>
      <c r="BIE43" s="208"/>
      <c r="BIF43" s="208"/>
      <c r="BIG43" s="208"/>
      <c r="BIH43" s="208"/>
      <c r="BII43" s="208"/>
      <c r="BIJ43" s="208"/>
      <c r="BIK43" s="208"/>
      <c r="BIL43" s="208"/>
      <c r="BIM43" s="208"/>
      <c r="BIN43" s="208"/>
      <c r="BIO43" s="208"/>
      <c r="BIP43" s="208"/>
      <c r="BIQ43" s="208"/>
      <c r="BIR43" s="208"/>
      <c r="BIS43" s="208"/>
      <c r="BIT43" s="208"/>
      <c r="BIU43" s="208"/>
      <c r="BIV43" s="208"/>
      <c r="BIW43" s="208"/>
      <c r="BIX43" s="208"/>
      <c r="BIY43" s="208"/>
      <c r="BIZ43" s="208"/>
      <c r="BJA43" s="208"/>
      <c r="BJB43" s="208"/>
      <c r="BJC43" s="208"/>
      <c r="BJD43" s="208"/>
      <c r="BJE43" s="208"/>
      <c r="BJF43" s="208"/>
      <c r="BJG43" s="208"/>
      <c r="BJH43" s="208"/>
      <c r="BJI43" s="208"/>
      <c r="BJJ43" s="208"/>
      <c r="BJK43" s="208"/>
      <c r="BJL43" s="208"/>
      <c r="BJM43" s="208"/>
      <c r="BJN43" s="208"/>
      <c r="BJO43" s="208"/>
      <c r="BJP43" s="208"/>
      <c r="BJQ43" s="208"/>
      <c r="BJR43" s="208"/>
      <c r="BJS43" s="208"/>
      <c r="BJT43" s="208"/>
      <c r="BJU43" s="208"/>
      <c r="BJV43" s="208"/>
      <c r="BJW43" s="208"/>
      <c r="BJX43" s="208"/>
      <c r="BJY43" s="208"/>
      <c r="BJZ43" s="208"/>
      <c r="BKA43" s="208"/>
      <c r="BKB43" s="208"/>
      <c r="BKC43" s="208"/>
      <c r="BKD43" s="208"/>
      <c r="BKE43" s="208"/>
      <c r="BKF43" s="208"/>
      <c r="BKG43" s="208"/>
      <c r="BKH43" s="208"/>
      <c r="BKI43" s="208"/>
      <c r="BKJ43" s="208"/>
      <c r="BKK43" s="208"/>
      <c r="BKL43" s="208"/>
      <c r="BKM43" s="208"/>
      <c r="BKN43" s="208"/>
      <c r="BKO43" s="208"/>
      <c r="BKP43" s="208"/>
      <c r="BKQ43" s="208"/>
      <c r="BKR43" s="208"/>
      <c r="BKS43" s="208"/>
      <c r="BKT43" s="208"/>
      <c r="BKU43" s="208"/>
      <c r="BKV43" s="208"/>
      <c r="BKW43" s="208"/>
      <c r="BKX43" s="208"/>
      <c r="BKY43" s="208"/>
      <c r="BKZ43" s="208"/>
      <c r="BLA43" s="208"/>
      <c r="BLB43" s="208"/>
      <c r="BLC43" s="208"/>
      <c r="BLD43" s="208"/>
      <c r="BLE43" s="208"/>
      <c r="BLF43" s="208"/>
      <c r="BLG43" s="208"/>
      <c r="BLH43" s="208"/>
      <c r="BLI43" s="208"/>
      <c r="BLJ43" s="208"/>
      <c r="BLK43" s="208"/>
      <c r="BLL43" s="208"/>
      <c r="BLM43" s="208"/>
      <c r="BLN43" s="208"/>
      <c r="BLO43" s="208"/>
      <c r="BLP43" s="208"/>
      <c r="BLQ43" s="208"/>
      <c r="BLR43" s="208"/>
      <c r="BLS43" s="208"/>
      <c r="BLT43" s="208"/>
      <c r="BLU43" s="208"/>
      <c r="BLV43" s="208"/>
      <c r="BLW43" s="208"/>
      <c r="BLX43" s="208"/>
      <c r="BLY43" s="208"/>
      <c r="BLZ43" s="208"/>
      <c r="BMA43" s="208"/>
      <c r="BMB43" s="208"/>
      <c r="BMC43" s="208"/>
      <c r="BMD43" s="208"/>
      <c r="BME43" s="208"/>
      <c r="BMF43" s="208"/>
      <c r="BMG43" s="208"/>
      <c r="BMH43" s="208"/>
      <c r="BMI43" s="208"/>
      <c r="BMJ43" s="208"/>
      <c r="BMK43" s="208"/>
      <c r="BML43" s="208"/>
      <c r="BMM43" s="208"/>
      <c r="BMN43" s="208"/>
      <c r="BMO43" s="208"/>
      <c r="BMP43" s="208"/>
      <c r="BMQ43" s="208"/>
      <c r="BMR43" s="208"/>
      <c r="BMS43" s="208"/>
      <c r="BMT43" s="208"/>
      <c r="BMU43" s="208"/>
      <c r="BMV43" s="208"/>
      <c r="BMW43" s="208"/>
      <c r="BMX43" s="208"/>
      <c r="BMY43" s="208"/>
      <c r="BMZ43" s="208"/>
      <c r="BNA43" s="208"/>
      <c r="BNB43" s="208"/>
      <c r="BNC43" s="208"/>
      <c r="BND43" s="208"/>
      <c r="BNE43" s="208"/>
      <c r="BNF43" s="208"/>
      <c r="BNG43" s="208"/>
      <c r="BNH43" s="208"/>
      <c r="BNI43" s="208"/>
      <c r="BNJ43" s="208"/>
      <c r="BNK43" s="208"/>
      <c r="BNL43" s="208"/>
      <c r="BNM43" s="208"/>
      <c r="BNN43" s="208"/>
      <c r="BNO43" s="208"/>
      <c r="BNP43" s="208"/>
      <c r="BNQ43" s="208"/>
      <c r="BNR43" s="208"/>
      <c r="BNS43" s="208"/>
      <c r="BNT43" s="208"/>
      <c r="BNU43" s="208"/>
      <c r="BNV43" s="208"/>
      <c r="BNW43" s="208"/>
      <c r="BNX43" s="208"/>
      <c r="BNY43" s="208"/>
      <c r="BNZ43" s="208"/>
      <c r="BOA43" s="208"/>
      <c r="BOB43" s="208"/>
      <c r="BOC43" s="208"/>
      <c r="BOD43" s="208"/>
      <c r="BOE43" s="208"/>
      <c r="BOF43" s="208"/>
      <c r="BOG43" s="208"/>
      <c r="BOH43" s="208"/>
      <c r="BOI43" s="208"/>
      <c r="BOJ43" s="208"/>
      <c r="BOK43" s="208"/>
      <c r="BOL43" s="208"/>
      <c r="BOM43" s="208"/>
      <c r="BON43" s="208"/>
      <c r="BOO43" s="208"/>
      <c r="BOP43" s="208"/>
      <c r="BOQ43" s="208"/>
      <c r="BOR43" s="208"/>
      <c r="BOS43" s="208"/>
      <c r="BOT43" s="208"/>
      <c r="BOU43" s="208"/>
      <c r="BOV43" s="208"/>
      <c r="BOW43" s="208"/>
      <c r="BOX43" s="208"/>
      <c r="BOY43" s="208"/>
      <c r="BOZ43" s="208"/>
      <c r="BPA43" s="208"/>
      <c r="BPB43" s="208"/>
      <c r="BPC43" s="208"/>
      <c r="BPD43" s="208"/>
      <c r="BPE43" s="208"/>
      <c r="BPF43" s="208"/>
      <c r="BPG43" s="208"/>
      <c r="BPH43" s="208"/>
      <c r="BPI43" s="208"/>
      <c r="BPJ43" s="208"/>
      <c r="BPK43" s="208"/>
      <c r="BPL43" s="208"/>
      <c r="BPM43" s="208"/>
      <c r="BPN43" s="208"/>
      <c r="BPO43" s="208"/>
      <c r="BPP43" s="208"/>
      <c r="BPQ43" s="208"/>
      <c r="BPR43" s="208"/>
      <c r="BPS43" s="208"/>
      <c r="BPT43" s="208"/>
      <c r="BPU43" s="208"/>
      <c r="BPV43" s="208"/>
      <c r="BPW43" s="208"/>
      <c r="BPX43" s="208"/>
      <c r="BPY43" s="208"/>
      <c r="BPZ43" s="208"/>
      <c r="BQA43" s="208"/>
      <c r="BQB43" s="208"/>
      <c r="BQC43" s="208"/>
      <c r="BQD43" s="208"/>
      <c r="BQE43" s="208"/>
      <c r="BQF43" s="208"/>
      <c r="BQG43" s="208"/>
      <c r="BQH43" s="208"/>
      <c r="BQI43" s="208"/>
      <c r="BQJ43" s="208"/>
      <c r="BQK43" s="208"/>
      <c r="BQL43" s="208"/>
      <c r="BQM43" s="208"/>
      <c r="BQN43" s="208"/>
      <c r="BQO43" s="208"/>
      <c r="BQP43" s="208"/>
      <c r="BQQ43" s="208"/>
      <c r="BQR43" s="208"/>
      <c r="BQS43" s="208"/>
      <c r="BQT43" s="208"/>
      <c r="BQU43" s="208"/>
      <c r="BQV43" s="208"/>
      <c r="BQW43" s="208"/>
      <c r="BQX43" s="208"/>
      <c r="BQY43" s="208"/>
      <c r="BQZ43" s="208"/>
      <c r="BRA43" s="208"/>
      <c r="BRB43" s="208"/>
      <c r="BRC43" s="208"/>
      <c r="BRD43" s="208"/>
      <c r="BRE43" s="208"/>
      <c r="BRF43" s="208"/>
      <c r="BRG43" s="208"/>
      <c r="BRH43" s="208"/>
      <c r="BRI43" s="208"/>
      <c r="BRJ43" s="208"/>
      <c r="BRK43" s="208"/>
      <c r="BRL43" s="208"/>
      <c r="BRM43" s="208"/>
      <c r="BRN43" s="208"/>
      <c r="BRO43" s="208"/>
      <c r="BRP43" s="208"/>
      <c r="BRQ43" s="208"/>
      <c r="BRR43" s="208"/>
      <c r="BRS43" s="208"/>
      <c r="BRT43" s="208"/>
      <c r="BRU43" s="208"/>
      <c r="BRV43" s="208"/>
      <c r="BRW43" s="208"/>
      <c r="BRX43" s="208"/>
      <c r="BRY43" s="208"/>
      <c r="BRZ43" s="208"/>
      <c r="BSA43" s="208"/>
      <c r="BSB43" s="208"/>
      <c r="BSC43" s="208"/>
      <c r="BSD43" s="208"/>
      <c r="BSE43" s="208"/>
      <c r="BSF43" s="208"/>
      <c r="BSG43" s="208"/>
      <c r="BSH43" s="208"/>
      <c r="BSI43" s="208"/>
      <c r="BSJ43" s="208"/>
      <c r="BSK43" s="208"/>
      <c r="BSL43" s="208"/>
      <c r="BSM43" s="208"/>
      <c r="BSN43" s="208"/>
      <c r="BSO43" s="208"/>
      <c r="BSP43" s="208"/>
      <c r="BSQ43" s="208"/>
      <c r="BSR43" s="208"/>
      <c r="BSS43" s="208"/>
      <c r="BST43" s="208"/>
      <c r="BSU43" s="208"/>
      <c r="BSV43" s="208"/>
      <c r="BSW43" s="208"/>
      <c r="BSX43" s="208"/>
      <c r="BSY43" s="208"/>
      <c r="BSZ43" s="208"/>
      <c r="BTA43" s="208"/>
      <c r="BTB43" s="208"/>
      <c r="BTC43" s="208"/>
      <c r="BTD43" s="208"/>
      <c r="BTE43" s="208"/>
      <c r="BTF43" s="208"/>
      <c r="BTG43" s="208"/>
      <c r="BTH43" s="208"/>
      <c r="BTI43" s="208"/>
      <c r="BTJ43" s="208"/>
      <c r="BTK43" s="208"/>
      <c r="BTL43" s="208"/>
      <c r="BTM43" s="208"/>
      <c r="BTN43" s="208"/>
      <c r="BTO43" s="208"/>
      <c r="BTP43" s="208"/>
      <c r="BTQ43" s="208"/>
      <c r="BTR43" s="208"/>
      <c r="BTS43" s="208"/>
      <c r="BTT43" s="208"/>
      <c r="BTU43" s="208"/>
      <c r="BTV43" s="208"/>
      <c r="BTW43" s="208"/>
      <c r="BTX43" s="208"/>
      <c r="BTY43" s="208"/>
      <c r="BTZ43" s="208"/>
      <c r="BUA43" s="208"/>
      <c r="BUB43" s="208"/>
      <c r="BUC43" s="208"/>
      <c r="BUD43" s="208"/>
      <c r="BUE43" s="208"/>
      <c r="BUF43" s="208"/>
      <c r="BUG43" s="208"/>
      <c r="BUH43" s="208"/>
      <c r="BUI43" s="208"/>
      <c r="BUJ43" s="208"/>
      <c r="BUK43" s="208"/>
      <c r="BUL43" s="208"/>
      <c r="BUM43" s="208"/>
      <c r="BUN43" s="208"/>
      <c r="BUO43" s="208"/>
      <c r="BUP43" s="208"/>
      <c r="BUQ43" s="208"/>
      <c r="BUR43" s="208"/>
      <c r="BUS43" s="208"/>
      <c r="BUT43" s="208"/>
      <c r="BUU43" s="208"/>
      <c r="BUV43" s="208"/>
      <c r="BUW43" s="208"/>
      <c r="BUX43" s="208"/>
      <c r="BUY43" s="208"/>
      <c r="BUZ43" s="208"/>
      <c r="BVA43" s="208"/>
      <c r="BVB43" s="208"/>
      <c r="BVC43" s="208"/>
      <c r="BVD43" s="208"/>
      <c r="BVE43" s="208"/>
      <c r="BVF43" s="208"/>
      <c r="BVG43" s="208"/>
      <c r="BVH43" s="208"/>
      <c r="BVI43" s="208"/>
      <c r="BVJ43" s="208"/>
      <c r="BVK43" s="208"/>
      <c r="BVL43" s="208"/>
      <c r="BVM43" s="208"/>
      <c r="BVN43" s="208"/>
      <c r="BVO43" s="208"/>
      <c r="BVP43" s="208"/>
      <c r="BVQ43" s="208"/>
      <c r="BVR43" s="208"/>
      <c r="BVS43" s="208"/>
      <c r="BVT43" s="208"/>
      <c r="BVU43" s="208"/>
      <c r="BVV43" s="208"/>
      <c r="BVW43" s="208"/>
      <c r="BVX43" s="208"/>
      <c r="BVY43" s="208"/>
      <c r="BVZ43" s="208"/>
      <c r="BWA43" s="208"/>
      <c r="BWB43" s="208"/>
      <c r="BWC43" s="208"/>
      <c r="BWD43" s="208"/>
      <c r="BWE43" s="208"/>
      <c r="BWF43" s="208"/>
      <c r="BWG43" s="208"/>
      <c r="BWH43" s="208"/>
      <c r="BWI43" s="208"/>
      <c r="BWJ43" s="208"/>
      <c r="BWK43" s="208"/>
      <c r="BWL43" s="208"/>
      <c r="BWM43" s="208"/>
      <c r="BWN43" s="208"/>
      <c r="BWO43" s="208"/>
      <c r="BWP43" s="208"/>
      <c r="BWQ43" s="208"/>
      <c r="BWR43" s="208"/>
      <c r="BWS43" s="208"/>
      <c r="BWT43" s="208"/>
      <c r="BWU43" s="208"/>
      <c r="BWV43" s="208"/>
      <c r="BWW43" s="208"/>
      <c r="BWX43" s="208"/>
      <c r="BWY43" s="208"/>
      <c r="BWZ43" s="208"/>
      <c r="BXA43" s="208"/>
      <c r="BXB43" s="208"/>
      <c r="BXC43" s="208"/>
      <c r="BXD43" s="208"/>
      <c r="BXE43" s="208"/>
      <c r="BXF43" s="208"/>
      <c r="BXG43" s="208"/>
      <c r="BXH43" s="208"/>
      <c r="BXI43" s="208"/>
      <c r="BXJ43" s="208"/>
      <c r="BXK43" s="208"/>
      <c r="BXL43" s="208"/>
      <c r="BXM43" s="208"/>
      <c r="BXN43" s="208"/>
      <c r="BXO43" s="208"/>
      <c r="BXP43" s="208"/>
      <c r="BXQ43" s="208"/>
      <c r="BXR43" s="208"/>
      <c r="BXS43" s="208"/>
      <c r="BXT43" s="208"/>
      <c r="BXU43" s="208"/>
      <c r="BXV43" s="208"/>
      <c r="BXW43" s="208"/>
      <c r="BXX43" s="208"/>
      <c r="BXY43" s="208"/>
      <c r="BXZ43" s="208"/>
      <c r="BYA43" s="208"/>
      <c r="BYB43" s="208"/>
      <c r="BYC43" s="208"/>
      <c r="BYD43" s="208"/>
      <c r="BYE43" s="208"/>
      <c r="BYF43" s="208"/>
      <c r="BYG43" s="208"/>
    </row>
    <row r="44" spans="1:2009" s="101" customFormat="1" ht="12.75" customHeight="1" thickBot="1" x14ac:dyDescent="0.3">
      <c r="A44" s="98"/>
      <c r="B44" s="129"/>
      <c r="C44" s="171"/>
      <c r="D44" s="171"/>
      <c r="E44" s="171"/>
      <c r="F44" s="171"/>
      <c r="G44" s="726"/>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c r="GP44" s="100"/>
      <c r="GQ44" s="100"/>
      <c r="GR44" s="100"/>
      <c r="GS44" s="100"/>
      <c r="GT44" s="100"/>
      <c r="GU44" s="100"/>
      <c r="GV44" s="100"/>
      <c r="GW44" s="100"/>
      <c r="GX44" s="100"/>
      <c r="GY44" s="100"/>
      <c r="GZ44" s="100"/>
      <c r="HA44" s="100"/>
      <c r="HB44" s="100"/>
      <c r="HC44" s="100"/>
      <c r="HD44" s="100"/>
      <c r="HE44" s="100"/>
      <c r="HF44" s="100"/>
      <c r="HG44" s="100"/>
      <c r="HH44" s="100"/>
      <c r="HI44" s="100"/>
      <c r="HJ44" s="100"/>
      <c r="HK44" s="100"/>
      <c r="HL44" s="100"/>
      <c r="HM44" s="100"/>
      <c r="HN44" s="100"/>
      <c r="HO44" s="100"/>
      <c r="HP44" s="100"/>
      <c r="HQ44" s="100"/>
      <c r="HR44" s="100"/>
      <c r="HS44" s="100"/>
      <c r="HT44" s="100"/>
      <c r="HU44" s="100"/>
      <c r="HV44" s="100"/>
      <c r="HW44" s="100"/>
      <c r="HX44" s="100"/>
      <c r="HY44" s="100"/>
      <c r="HZ44" s="100"/>
      <c r="IA44" s="100"/>
      <c r="IB44" s="100"/>
      <c r="IC44" s="100"/>
      <c r="ID44" s="100"/>
      <c r="IE44" s="100"/>
      <c r="IF44" s="100"/>
      <c r="IG44" s="100"/>
      <c r="IH44" s="100"/>
      <c r="II44" s="100"/>
      <c r="IJ44" s="100"/>
      <c r="IK44" s="100"/>
      <c r="IL44" s="100"/>
      <c r="IM44" s="100"/>
      <c r="IN44" s="100"/>
      <c r="IO44" s="100"/>
      <c r="IP44" s="100"/>
      <c r="IQ44" s="100"/>
      <c r="IR44" s="100"/>
      <c r="IS44" s="100"/>
      <c r="IT44" s="100"/>
      <c r="IU44" s="100"/>
      <c r="IV44" s="100"/>
      <c r="IW44" s="100"/>
      <c r="IX44" s="100"/>
      <c r="IY44" s="100"/>
      <c r="IZ44" s="100"/>
      <c r="JA44" s="100"/>
      <c r="JB44" s="100"/>
      <c r="JC44" s="100"/>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c r="KJ44" s="100"/>
      <c r="KK44" s="100"/>
      <c r="KL44" s="100"/>
      <c r="KM44" s="100"/>
      <c r="KN44" s="100"/>
      <c r="KO44" s="100"/>
      <c r="KP44" s="100"/>
      <c r="KQ44" s="100"/>
      <c r="KR44" s="100"/>
      <c r="KS44" s="100"/>
      <c r="KT44" s="100"/>
      <c r="KU44" s="100"/>
      <c r="KV44" s="100"/>
      <c r="KW44" s="100"/>
      <c r="KX44" s="100"/>
      <c r="KY44" s="100"/>
      <c r="KZ44" s="100"/>
      <c r="LA44" s="100"/>
      <c r="LB44" s="100"/>
      <c r="LC44" s="100"/>
      <c r="LD44" s="100"/>
      <c r="LE44" s="100"/>
      <c r="LF44" s="100"/>
      <c r="LG44" s="100"/>
      <c r="LH44" s="100"/>
      <c r="LI44" s="100"/>
      <c r="LJ44" s="100"/>
      <c r="LK44" s="100"/>
      <c r="LL44" s="100"/>
      <c r="LM44" s="100"/>
      <c r="LN44" s="100"/>
      <c r="LO44" s="100"/>
      <c r="LP44" s="100"/>
      <c r="LQ44" s="100"/>
      <c r="LR44" s="100"/>
      <c r="LS44" s="100"/>
      <c r="LT44" s="100"/>
      <c r="LU44" s="100"/>
      <c r="LV44" s="100"/>
      <c r="LW44" s="100"/>
      <c r="LX44" s="100"/>
      <c r="LY44" s="100"/>
      <c r="LZ44" s="100"/>
      <c r="MA44" s="100"/>
      <c r="MB44" s="100"/>
      <c r="MC44" s="100"/>
      <c r="MD44" s="100"/>
      <c r="ME44" s="100"/>
      <c r="MF44" s="100"/>
      <c r="MG44" s="100"/>
      <c r="MH44" s="100"/>
      <c r="MI44" s="100"/>
      <c r="MJ44" s="100"/>
      <c r="MK44" s="100"/>
      <c r="ML44" s="100"/>
      <c r="MM44" s="100"/>
      <c r="MN44" s="100"/>
      <c r="MO44" s="100"/>
      <c r="MP44" s="100"/>
      <c r="MQ44" s="100"/>
      <c r="MR44" s="100"/>
      <c r="MS44" s="100"/>
      <c r="MT44" s="100"/>
      <c r="MU44" s="100"/>
      <c r="MV44" s="100"/>
      <c r="MW44" s="100"/>
      <c r="MX44" s="100"/>
      <c r="MY44" s="100"/>
      <c r="MZ44" s="100"/>
      <c r="NA44" s="100"/>
      <c r="NB44" s="100"/>
      <c r="NC44" s="100"/>
      <c r="ND44" s="100"/>
      <c r="NE44" s="100"/>
      <c r="NF44" s="100"/>
      <c r="NG44" s="100"/>
      <c r="NH44" s="100"/>
      <c r="NI44" s="100"/>
      <c r="NJ44" s="100"/>
      <c r="NK44" s="100"/>
      <c r="NL44" s="100"/>
      <c r="NM44" s="100"/>
      <c r="NN44" s="100"/>
      <c r="NO44" s="100"/>
      <c r="NP44" s="100"/>
      <c r="NQ44" s="100"/>
      <c r="NR44" s="100"/>
      <c r="NS44" s="100"/>
      <c r="NT44" s="100"/>
      <c r="NU44" s="100"/>
      <c r="NV44" s="100"/>
      <c r="NW44" s="100"/>
      <c r="NX44" s="100"/>
      <c r="NY44" s="100"/>
      <c r="NZ44" s="100"/>
      <c r="OA44" s="100"/>
      <c r="OB44" s="100"/>
      <c r="OC44" s="100"/>
      <c r="OD44" s="100"/>
      <c r="OE44" s="100"/>
      <c r="OF44" s="100"/>
      <c r="OG44" s="100"/>
      <c r="OH44" s="100"/>
      <c r="OI44" s="100"/>
      <c r="OJ44" s="100"/>
      <c r="OK44" s="100"/>
      <c r="OL44" s="100"/>
      <c r="OM44" s="100"/>
      <c r="ON44" s="100"/>
      <c r="OO44" s="100"/>
      <c r="OP44" s="100"/>
      <c r="OQ44" s="100"/>
      <c r="OR44" s="100"/>
      <c r="OS44" s="100"/>
      <c r="OT44" s="100"/>
      <c r="OU44" s="100"/>
      <c r="OV44" s="100"/>
      <c r="OW44" s="100"/>
      <c r="OX44" s="100"/>
      <c r="OY44" s="100"/>
      <c r="OZ44" s="100"/>
      <c r="PA44" s="100"/>
      <c r="PB44" s="100"/>
      <c r="PC44" s="100"/>
      <c r="PD44" s="100"/>
      <c r="PE44" s="100"/>
      <c r="PF44" s="100"/>
      <c r="PG44" s="100"/>
      <c r="PH44" s="100"/>
      <c r="PI44" s="100"/>
      <c r="PJ44" s="100"/>
      <c r="PK44" s="100"/>
      <c r="PL44" s="100"/>
      <c r="PM44" s="100"/>
      <c r="PN44" s="100"/>
      <c r="PO44" s="100"/>
      <c r="PP44" s="100"/>
      <c r="PQ44" s="100"/>
      <c r="PR44" s="100"/>
      <c r="PS44" s="100"/>
      <c r="PT44" s="100"/>
      <c r="PU44" s="100"/>
      <c r="PV44" s="100"/>
      <c r="PW44" s="100"/>
      <c r="PX44" s="100"/>
      <c r="PY44" s="100"/>
      <c r="PZ44" s="100"/>
      <c r="QA44" s="100"/>
      <c r="QB44" s="100"/>
      <c r="QC44" s="100"/>
      <c r="QD44" s="100"/>
      <c r="QE44" s="100"/>
      <c r="QF44" s="100"/>
      <c r="QG44" s="100"/>
      <c r="QH44" s="100"/>
      <c r="QI44" s="100"/>
      <c r="QJ44" s="100"/>
      <c r="QK44" s="100"/>
      <c r="QL44" s="100"/>
      <c r="QM44" s="100"/>
      <c r="QN44" s="100"/>
      <c r="QO44" s="100"/>
      <c r="QP44" s="100"/>
      <c r="QQ44" s="100"/>
      <c r="QR44" s="100"/>
      <c r="QS44" s="100"/>
      <c r="QT44" s="100"/>
      <c r="QU44" s="100"/>
      <c r="QV44" s="100"/>
      <c r="QW44" s="100"/>
      <c r="QX44" s="100"/>
      <c r="QY44" s="100"/>
      <c r="QZ44" s="100"/>
      <c r="RA44" s="100"/>
      <c r="RB44" s="100"/>
      <c r="RC44" s="100"/>
      <c r="RD44" s="100"/>
      <c r="RE44" s="100"/>
      <c r="RF44" s="100"/>
      <c r="RG44" s="100"/>
      <c r="RH44" s="100"/>
      <c r="RI44" s="100"/>
      <c r="RJ44" s="100"/>
      <c r="RK44" s="100"/>
      <c r="RL44" s="100"/>
      <c r="RM44" s="100"/>
      <c r="RN44" s="100"/>
      <c r="RO44" s="100"/>
      <c r="RP44" s="100"/>
      <c r="RQ44" s="100"/>
      <c r="RR44" s="100"/>
      <c r="RS44" s="100"/>
      <c r="RT44" s="100"/>
      <c r="RU44" s="100"/>
      <c r="RV44" s="100"/>
      <c r="RW44" s="100"/>
      <c r="RX44" s="100"/>
      <c r="RY44" s="100"/>
      <c r="RZ44" s="100"/>
      <c r="SA44" s="100"/>
      <c r="SB44" s="100"/>
      <c r="SC44" s="100"/>
      <c r="SD44" s="100"/>
      <c r="SE44" s="100"/>
      <c r="SF44" s="100"/>
      <c r="SG44" s="100"/>
      <c r="SH44" s="100"/>
      <c r="SI44" s="100"/>
      <c r="SJ44" s="100"/>
      <c r="SK44" s="100"/>
      <c r="SL44" s="100"/>
      <c r="SM44" s="100"/>
      <c r="SN44" s="100"/>
      <c r="SO44" s="100"/>
      <c r="SP44" s="100"/>
      <c r="SQ44" s="100"/>
      <c r="SR44" s="100"/>
      <c r="SS44" s="100"/>
      <c r="ST44" s="100"/>
      <c r="SU44" s="100"/>
      <c r="SV44" s="100"/>
      <c r="SW44" s="100"/>
      <c r="SX44" s="100"/>
      <c r="SY44" s="100"/>
      <c r="SZ44" s="100"/>
      <c r="TA44" s="100"/>
      <c r="TB44" s="100"/>
      <c r="TC44" s="100"/>
      <c r="TD44" s="100"/>
      <c r="TE44" s="100"/>
      <c r="TF44" s="100"/>
      <c r="TG44" s="100"/>
      <c r="TH44" s="100"/>
      <c r="TI44" s="100"/>
      <c r="TJ44" s="100"/>
      <c r="TK44" s="100"/>
      <c r="TL44" s="100"/>
      <c r="TM44" s="100"/>
      <c r="TN44" s="100"/>
      <c r="TO44" s="100"/>
      <c r="TP44" s="100"/>
      <c r="TQ44" s="100"/>
      <c r="TR44" s="100"/>
      <c r="TS44" s="100"/>
      <c r="TT44" s="100"/>
      <c r="TU44" s="100"/>
      <c r="TV44" s="100"/>
      <c r="TW44" s="100"/>
      <c r="TX44" s="100"/>
      <c r="TY44" s="100"/>
      <c r="TZ44" s="100"/>
      <c r="UA44" s="100"/>
      <c r="UB44" s="100"/>
      <c r="UC44" s="100"/>
      <c r="UD44" s="100"/>
      <c r="UE44" s="100"/>
      <c r="UF44" s="100"/>
      <c r="UG44" s="100"/>
      <c r="UH44" s="100"/>
      <c r="UI44" s="100"/>
      <c r="UJ44" s="100"/>
      <c r="UK44" s="100"/>
      <c r="UL44" s="100"/>
      <c r="UM44" s="100"/>
      <c r="UN44" s="100"/>
      <c r="UO44" s="100"/>
      <c r="UP44" s="100"/>
      <c r="UQ44" s="100"/>
      <c r="UR44" s="100"/>
      <c r="US44" s="100"/>
      <c r="UT44" s="100"/>
      <c r="UU44" s="100"/>
      <c r="UV44" s="100"/>
      <c r="UW44" s="100"/>
      <c r="UX44" s="100"/>
      <c r="UY44" s="100"/>
      <c r="UZ44" s="100"/>
      <c r="VA44" s="100"/>
      <c r="VB44" s="100"/>
      <c r="VC44" s="100"/>
      <c r="VD44" s="100"/>
      <c r="VE44" s="100"/>
      <c r="VF44" s="100"/>
      <c r="VG44" s="100"/>
      <c r="VH44" s="100"/>
      <c r="VI44" s="100"/>
      <c r="VJ44" s="100"/>
      <c r="VK44" s="100"/>
      <c r="VL44" s="100"/>
      <c r="VM44" s="100"/>
      <c r="VN44" s="100"/>
      <c r="VO44" s="100"/>
      <c r="VP44" s="100"/>
      <c r="VQ44" s="100"/>
      <c r="VR44" s="100"/>
      <c r="VS44" s="100"/>
      <c r="VT44" s="100"/>
      <c r="VU44" s="100"/>
      <c r="VV44" s="100"/>
      <c r="VW44" s="100"/>
      <c r="VX44" s="100"/>
      <c r="VY44" s="100"/>
      <c r="VZ44" s="100"/>
      <c r="WA44" s="100"/>
      <c r="WB44" s="100"/>
      <c r="WC44" s="100"/>
      <c r="WD44" s="100"/>
      <c r="WE44" s="100"/>
      <c r="WF44" s="100"/>
      <c r="WG44" s="100"/>
      <c r="WH44" s="100"/>
      <c r="WI44" s="100"/>
      <c r="WJ44" s="100"/>
      <c r="WK44" s="100"/>
      <c r="WL44" s="100"/>
      <c r="WM44" s="100"/>
      <c r="WN44" s="100"/>
      <c r="WO44" s="100"/>
      <c r="WP44" s="100"/>
      <c r="WQ44" s="100"/>
      <c r="WR44" s="100"/>
      <c r="WS44" s="100"/>
      <c r="WT44" s="100"/>
      <c r="WU44" s="100"/>
      <c r="WV44" s="100"/>
      <c r="WW44" s="100"/>
      <c r="WX44" s="100"/>
      <c r="WY44" s="100"/>
      <c r="WZ44" s="100"/>
      <c r="XA44" s="100"/>
      <c r="XB44" s="100"/>
      <c r="XC44" s="100"/>
      <c r="XD44" s="100"/>
      <c r="XE44" s="100"/>
      <c r="XF44" s="100"/>
      <c r="XG44" s="100"/>
      <c r="XH44" s="100"/>
      <c r="XI44" s="100"/>
      <c r="XJ44" s="100"/>
      <c r="XK44" s="100"/>
      <c r="XL44" s="100"/>
      <c r="XM44" s="100"/>
      <c r="XN44" s="100"/>
      <c r="XO44" s="100"/>
      <c r="XP44" s="100"/>
      <c r="XQ44" s="100"/>
      <c r="XR44" s="100"/>
      <c r="XS44" s="100"/>
      <c r="XT44" s="100"/>
      <c r="XU44" s="100"/>
      <c r="XV44" s="100"/>
      <c r="XW44" s="100"/>
      <c r="XX44" s="100"/>
      <c r="XY44" s="100"/>
      <c r="XZ44" s="100"/>
      <c r="YA44" s="100"/>
      <c r="YB44" s="100"/>
      <c r="YC44" s="100"/>
      <c r="YD44" s="100"/>
      <c r="YE44" s="100"/>
      <c r="YF44" s="100"/>
      <c r="YG44" s="100"/>
      <c r="YH44" s="100"/>
      <c r="YI44" s="100"/>
      <c r="YJ44" s="100"/>
      <c r="YK44" s="100"/>
      <c r="YL44" s="100"/>
      <c r="YM44" s="100"/>
      <c r="YN44" s="100"/>
      <c r="YO44" s="100"/>
      <c r="YP44" s="100"/>
      <c r="YQ44" s="100"/>
      <c r="YR44" s="100"/>
      <c r="YS44" s="100"/>
      <c r="YT44" s="100"/>
      <c r="YU44" s="100"/>
      <c r="YV44" s="100"/>
      <c r="YW44" s="100"/>
      <c r="YX44" s="100"/>
      <c r="YY44" s="100"/>
      <c r="YZ44" s="100"/>
      <c r="ZA44" s="100"/>
      <c r="ZB44" s="100"/>
      <c r="ZC44" s="100"/>
      <c r="ZD44" s="100"/>
      <c r="ZE44" s="100"/>
      <c r="ZF44" s="100"/>
      <c r="ZG44" s="100"/>
      <c r="ZH44" s="100"/>
      <c r="ZI44" s="100"/>
      <c r="ZJ44" s="100"/>
      <c r="ZK44" s="100"/>
      <c r="ZL44" s="100"/>
      <c r="ZM44" s="100"/>
      <c r="ZN44" s="100"/>
      <c r="ZO44" s="100"/>
      <c r="ZP44" s="100"/>
      <c r="ZQ44" s="100"/>
      <c r="ZR44" s="100"/>
      <c r="ZS44" s="100"/>
      <c r="ZT44" s="100"/>
      <c r="ZU44" s="100"/>
      <c r="ZV44" s="100"/>
      <c r="ZW44" s="100"/>
      <c r="ZX44" s="100"/>
      <c r="ZY44" s="100"/>
      <c r="ZZ44" s="100"/>
      <c r="AAA44" s="100"/>
      <c r="AAB44" s="100"/>
      <c r="AAC44" s="100"/>
      <c r="AAD44" s="100"/>
      <c r="AAE44" s="100"/>
      <c r="AAF44" s="100"/>
      <c r="AAG44" s="100"/>
      <c r="AAH44" s="100"/>
      <c r="AAI44" s="100"/>
      <c r="AAJ44" s="100"/>
      <c r="AAK44" s="100"/>
      <c r="AAL44" s="100"/>
      <c r="AAM44" s="100"/>
      <c r="AAN44" s="100"/>
      <c r="AAO44" s="100"/>
      <c r="AAP44" s="100"/>
      <c r="AAQ44" s="100"/>
      <c r="AAR44" s="100"/>
      <c r="AAS44" s="100"/>
      <c r="AAT44" s="100"/>
      <c r="AAU44" s="100"/>
      <c r="AAV44" s="100"/>
      <c r="AAW44" s="100"/>
      <c r="AAX44" s="100"/>
      <c r="AAY44" s="100"/>
      <c r="AAZ44" s="100"/>
      <c r="ABA44" s="100"/>
      <c r="ABB44" s="100"/>
      <c r="ABC44" s="100"/>
      <c r="ABD44" s="100"/>
      <c r="ABE44" s="100"/>
      <c r="ABF44" s="100"/>
      <c r="ABG44" s="100"/>
      <c r="ABH44" s="100"/>
      <c r="ABI44" s="100"/>
      <c r="ABJ44" s="100"/>
      <c r="ABK44" s="100"/>
      <c r="ABL44" s="100"/>
      <c r="ABM44" s="100"/>
      <c r="ABN44" s="100"/>
      <c r="ABO44" s="100"/>
      <c r="ABP44" s="100"/>
      <c r="ABQ44" s="100"/>
      <c r="ABR44" s="100"/>
      <c r="ABS44" s="100"/>
      <c r="ABT44" s="100"/>
      <c r="ABU44" s="100"/>
      <c r="ABV44" s="100"/>
      <c r="ABW44" s="100"/>
      <c r="ABX44" s="100"/>
      <c r="ABY44" s="100"/>
      <c r="ABZ44" s="100"/>
      <c r="ACA44" s="100"/>
      <c r="ACB44" s="100"/>
      <c r="ACC44" s="100"/>
      <c r="ACD44" s="100"/>
      <c r="ACE44" s="100"/>
      <c r="ACF44" s="100"/>
      <c r="ACG44" s="100"/>
      <c r="ACH44" s="100"/>
      <c r="ACI44" s="100"/>
      <c r="ACJ44" s="100"/>
      <c r="ACK44" s="100"/>
      <c r="ACL44" s="100"/>
      <c r="ACM44" s="100"/>
      <c r="ACN44" s="100"/>
      <c r="ACO44" s="100"/>
      <c r="ACP44" s="100"/>
      <c r="ACQ44" s="100"/>
      <c r="ACR44" s="100"/>
      <c r="ACS44" s="100"/>
      <c r="ACT44" s="100"/>
      <c r="ACU44" s="100"/>
      <c r="ACV44" s="100"/>
      <c r="ACW44" s="100"/>
      <c r="ACX44" s="100"/>
      <c r="ACY44" s="100"/>
      <c r="ACZ44" s="100"/>
      <c r="ADA44" s="100"/>
      <c r="ADB44" s="100"/>
      <c r="ADC44" s="100"/>
      <c r="ADD44" s="100"/>
      <c r="ADE44" s="100"/>
      <c r="ADF44" s="100"/>
      <c r="ADG44" s="100"/>
      <c r="ADH44" s="100"/>
      <c r="ADI44" s="100"/>
      <c r="ADJ44" s="100"/>
      <c r="ADK44" s="100"/>
      <c r="ADL44" s="100"/>
      <c r="ADM44" s="100"/>
      <c r="ADN44" s="100"/>
      <c r="ADO44" s="100"/>
      <c r="ADP44" s="100"/>
      <c r="ADQ44" s="100"/>
      <c r="ADR44" s="100"/>
      <c r="ADS44" s="100"/>
      <c r="ADT44" s="100"/>
      <c r="ADU44" s="100"/>
      <c r="ADV44" s="100"/>
      <c r="ADW44" s="100"/>
      <c r="ADX44" s="100"/>
      <c r="ADY44" s="100"/>
      <c r="ADZ44" s="100"/>
      <c r="AEA44" s="100"/>
      <c r="AEB44" s="100"/>
      <c r="AEC44" s="100"/>
      <c r="AED44" s="100"/>
      <c r="AEE44" s="100"/>
      <c r="AEF44" s="100"/>
      <c r="AEG44" s="100"/>
      <c r="AEH44" s="100"/>
      <c r="AEI44" s="100"/>
      <c r="AEJ44" s="100"/>
      <c r="AEK44" s="100"/>
      <c r="AEL44" s="100"/>
      <c r="AEM44" s="100"/>
      <c r="AEN44" s="100"/>
      <c r="AEO44" s="100"/>
      <c r="AEP44" s="100"/>
      <c r="AEQ44" s="100"/>
      <c r="AER44" s="100"/>
      <c r="AES44" s="100"/>
      <c r="AET44" s="100"/>
      <c r="AEU44" s="100"/>
      <c r="AEV44" s="100"/>
      <c r="AEW44" s="100"/>
      <c r="AEX44" s="100"/>
      <c r="AEY44" s="100"/>
      <c r="AEZ44" s="100"/>
      <c r="AFA44" s="100"/>
      <c r="AFB44" s="100"/>
      <c r="AFC44" s="100"/>
      <c r="AFD44" s="100"/>
      <c r="AFE44" s="100"/>
      <c r="AFF44" s="100"/>
      <c r="AFG44" s="100"/>
      <c r="AFH44" s="100"/>
      <c r="AFI44" s="100"/>
      <c r="AFJ44" s="100"/>
      <c r="AFK44" s="100"/>
      <c r="AFL44" s="100"/>
      <c r="AFM44" s="100"/>
      <c r="AFN44" s="100"/>
      <c r="AFO44" s="100"/>
      <c r="AFP44" s="100"/>
      <c r="AFQ44" s="100"/>
      <c r="AFR44" s="100"/>
      <c r="AFS44" s="100"/>
      <c r="AFT44" s="100"/>
      <c r="AFU44" s="100"/>
      <c r="AFV44" s="100"/>
      <c r="AFW44" s="100"/>
      <c r="AFX44" s="100"/>
      <c r="AFY44" s="100"/>
      <c r="AFZ44" s="100"/>
      <c r="AGA44" s="100"/>
      <c r="AGB44" s="100"/>
      <c r="AGC44" s="100"/>
      <c r="AGD44" s="100"/>
      <c r="AGE44" s="100"/>
      <c r="AGF44" s="100"/>
      <c r="AGG44" s="100"/>
      <c r="AGH44" s="100"/>
      <c r="AGI44" s="100"/>
      <c r="AGJ44" s="100"/>
      <c r="AGK44" s="100"/>
      <c r="AGL44" s="100"/>
      <c r="AGM44" s="100"/>
      <c r="AGN44" s="100"/>
      <c r="AGO44" s="100"/>
      <c r="AGP44" s="100"/>
      <c r="AGQ44" s="100"/>
      <c r="AGR44" s="100"/>
      <c r="AGS44" s="100"/>
      <c r="AGT44" s="100"/>
      <c r="AGU44" s="100"/>
      <c r="AGV44" s="100"/>
      <c r="AGW44" s="100"/>
      <c r="AGX44" s="100"/>
      <c r="AGY44" s="100"/>
      <c r="AGZ44" s="100"/>
      <c r="AHA44" s="100"/>
      <c r="AHB44" s="100"/>
      <c r="AHC44" s="100"/>
      <c r="AHD44" s="100"/>
      <c r="AHE44" s="100"/>
      <c r="AHF44" s="100"/>
      <c r="AHG44" s="100"/>
      <c r="AHH44" s="100"/>
      <c r="AHI44" s="100"/>
      <c r="AHJ44" s="100"/>
      <c r="AHK44" s="100"/>
      <c r="AHL44" s="100"/>
      <c r="AHM44" s="100"/>
      <c r="AHN44" s="100"/>
      <c r="AHO44" s="100"/>
      <c r="AHP44" s="100"/>
      <c r="AHQ44" s="100"/>
      <c r="AHR44" s="100"/>
      <c r="AHS44" s="100"/>
      <c r="AHT44" s="100"/>
      <c r="AHU44" s="100"/>
      <c r="AHV44" s="100"/>
      <c r="AHW44" s="100"/>
      <c r="AHX44" s="100"/>
      <c r="AHY44" s="100"/>
      <c r="AHZ44" s="100"/>
      <c r="AIA44" s="100"/>
      <c r="AIB44" s="100"/>
      <c r="AIC44" s="100"/>
      <c r="AID44" s="100"/>
      <c r="AIE44" s="100"/>
      <c r="AIF44" s="100"/>
      <c r="AIG44" s="100"/>
      <c r="AIH44" s="100"/>
      <c r="AII44" s="100"/>
      <c r="AIJ44" s="100"/>
      <c r="AIK44" s="100"/>
      <c r="AIL44" s="100"/>
      <c r="AIM44" s="100"/>
      <c r="AIN44" s="100"/>
      <c r="AIO44" s="100"/>
      <c r="AIP44" s="100"/>
      <c r="AIQ44" s="100"/>
      <c r="AIR44" s="100"/>
      <c r="AIS44" s="100"/>
      <c r="AIT44" s="100"/>
      <c r="AIU44" s="100"/>
      <c r="AIV44" s="100"/>
      <c r="AIW44" s="100"/>
      <c r="AIX44" s="100"/>
      <c r="AIY44" s="100"/>
      <c r="AIZ44" s="100"/>
      <c r="AJA44" s="100"/>
      <c r="AJB44" s="100"/>
      <c r="AJC44" s="100"/>
      <c r="AJD44" s="100"/>
      <c r="AJE44" s="100"/>
      <c r="AJF44" s="100"/>
      <c r="AJG44" s="100"/>
      <c r="AJH44" s="100"/>
      <c r="AJI44" s="100"/>
      <c r="AJJ44" s="100"/>
      <c r="AJK44" s="100"/>
      <c r="AJL44" s="100"/>
      <c r="AJM44" s="100"/>
      <c r="AJN44" s="100"/>
      <c r="AJO44" s="100"/>
      <c r="AJP44" s="100"/>
      <c r="AJQ44" s="100"/>
      <c r="AJR44" s="100"/>
      <c r="AJS44" s="100"/>
      <c r="AJT44" s="100"/>
      <c r="AJU44" s="100"/>
      <c r="AJV44" s="100"/>
      <c r="AJW44" s="100"/>
      <c r="AJX44" s="100"/>
      <c r="AJY44" s="100"/>
      <c r="AJZ44" s="100"/>
      <c r="AKA44" s="100"/>
      <c r="AKB44" s="100"/>
      <c r="AKC44" s="100"/>
      <c r="AKD44" s="100"/>
      <c r="AKE44" s="100"/>
      <c r="AKF44" s="100"/>
      <c r="AKG44" s="100"/>
      <c r="AKH44" s="100"/>
      <c r="AKI44" s="100"/>
      <c r="AKJ44" s="100"/>
      <c r="AKK44" s="100"/>
      <c r="AKL44" s="100"/>
      <c r="AKM44" s="100"/>
      <c r="AKN44" s="100"/>
      <c r="AKO44" s="100"/>
      <c r="AKP44" s="100"/>
      <c r="AKQ44" s="100"/>
      <c r="AKR44" s="100"/>
      <c r="AKS44" s="100"/>
      <c r="AKT44" s="100"/>
      <c r="AKU44" s="100"/>
      <c r="AKV44" s="100"/>
      <c r="AKW44" s="100"/>
      <c r="AKX44" s="100"/>
      <c r="AKY44" s="100"/>
      <c r="AKZ44" s="100"/>
      <c r="ALA44" s="100"/>
      <c r="ALB44" s="100"/>
      <c r="ALC44" s="100"/>
      <c r="ALD44" s="100"/>
      <c r="ALE44" s="100"/>
      <c r="ALF44" s="100"/>
      <c r="ALG44" s="100"/>
      <c r="ALH44" s="100"/>
      <c r="ALI44" s="100"/>
      <c r="ALJ44" s="100"/>
      <c r="ALK44" s="100"/>
      <c r="ALL44" s="100"/>
      <c r="ALM44" s="100"/>
      <c r="ALN44" s="100"/>
      <c r="ALO44" s="100"/>
      <c r="ALP44" s="100"/>
      <c r="ALQ44" s="100"/>
      <c r="ALR44" s="100"/>
      <c r="ALS44" s="100"/>
      <c r="ALT44" s="100"/>
      <c r="ALU44" s="100"/>
      <c r="ALV44" s="100"/>
      <c r="ALW44" s="100"/>
      <c r="ALX44" s="100"/>
      <c r="ALY44" s="100"/>
      <c r="ALZ44" s="100"/>
      <c r="AMA44" s="100"/>
      <c r="AMB44" s="100"/>
      <c r="AMC44" s="100"/>
      <c r="AMD44" s="100"/>
      <c r="AME44" s="100"/>
      <c r="AMF44" s="100"/>
      <c r="AMG44" s="100"/>
      <c r="AMH44" s="100"/>
      <c r="AMI44" s="100"/>
      <c r="AMJ44" s="100"/>
      <c r="AMK44" s="100"/>
      <c r="AML44" s="100"/>
      <c r="AMM44" s="100"/>
      <c r="AMN44" s="100"/>
      <c r="AMO44" s="100"/>
      <c r="AMP44" s="100"/>
      <c r="AMQ44" s="100"/>
      <c r="AMR44" s="100"/>
      <c r="AMS44" s="100"/>
      <c r="AMT44" s="100"/>
      <c r="AMU44" s="100"/>
      <c r="AMV44" s="100"/>
      <c r="AMW44" s="100"/>
      <c r="AMX44" s="100"/>
      <c r="AMY44" s="100"/>
      <c r="AMZ44" s="100"/>
      <c r="ANA44" s="100"/>
      <c r="ANB44" s="100"/>
      <c r="ANC44" s="100"/>
      <c r="AND44" s="100"/>
      <c r="ANE44" s="100"/>
      <c r="ANF44" s="100"/>
      <c r="ANG44" s="100"/>
      <c r="ANH44" s="100"/>
      <c r="ANI44" s="100"/>
      <c r="ANJ44" s="100"/>
      <c r="ANK44" s="100"/>
      <c r="ANL44" s="100"/>
      <c r="ANM44" s="100"/>
      <c r="ANN44" s="100"/>
      <c r="ANO44" s="100"/>
      <c r="ANP44" s="100"/>
      <c r="ANQ44" s="100"/>
      <c r="ANR44" s="100"/>
      <c r="ANS44" s="100"/>
      <c r="ANT44" s="100"/>
      <c r="ANU44" s="100"/>
      <c r="ANV44" s="100"/>
      <c r="ANW44" s="100"/>
      <c r="ANX44" s="100"/>
      <c r="ANY44" s="100"/>
      <c r="ANZ44" s="100"/>
      <c r="AOA44" s="100"/>
      <c r="AOB44" s="100"/>
      <c r="AOC44" s="100"/>
      <c r="AOD44" s="100"/>
      <c r="AOE44" s="100"/>
      <c r="AOF44" s="100"/>
      <c r="AOG44" s="100"/>
      <c r="AOH44" s="100"/>
      <c r="AOI44" s="100"/>
      <c r="AOJ44" s="100"/>
      <c r="AOK44" s="100"/>
      <c r="AOL44" s="100"/>
      <c r="AOM44" s="100"/>
      <c r="AON44" s="100"/>
      <c r="AOO44" s="100"/>
      <c r="AOP44" s="100"/>
      <c r="AOQ44" s="100"/>
      <c r="AOR44" s="100"/>
      <c r="AOS44" s="100"/>
      <c r="AOT44" s="100"/>
      <c r="AOU44" s="100"/>
      <c r="AOV44" s="100"/>
      <c r="AOW44" s="100"/>
      <c r="AOX44" s="100"/>
      <c r="AOY44" s="100"/>
      <c r="AOZ44" s="100"/>
      <c r="APA44" s="100"/>
      <c r="APB44" s="100"/>
      <c r="APC44" s="100"/>
      <c r="APD44" s="100"/>
      <c r="APE44" s="100"/>
      <c r="APF44" s="100"/>
      <c r="APG44" s="100"/>
      <c r="APH44" s="100"/>
      <c r="API44" s="100"/>
      <c r="APJ44" s="100"/>
      <c r="APK44" s="100"/>
      <c r="APL44" s="100"/>
      <c r="APM44" s="100"/>
      <c r="APN44" s="100"/>
      <c r="APO44" s="100"/>
      <c r="APP44" s="100"/>
      <c r="APQ44" s="100"/>
      <c r="APR44" s="100"/>
      <c r="APS44" s="100"/>
      <c r="APT44" s="100"/>
      <c r="APU44" s="100"/>
      <c r="APV44" s="100"/>
      <c r="APW44" s="100"/>
      <c r="APX44" s="100"/>
      <c r="APY44" s="100"/>
      <c r="APZ44" s="100"/>
      <c r="AQA44" s="100"/>
      <c r="AQB44" s="100"/>
      <c r="AQC44" s="100"/>
      <c r="AQD44" s="100"/>
      <c r="AQE44" s="100"/>
      <c r="AQF44" s="100"/>
      <c r="AQG44" s="100"/>
      <c r="AQH44" s="100"/>
      <c r="AQI44" s="100"/>
      <c r="AQJ44" s="100"/>
      <c r="AQK44" s="100"/>
      <c r="AQL44" s="100"/>
      <c r="AQM44" s="100"/>
      <c r="AQN44" s="100"/>
      <c r="AQO44" s="100"/>
      <c r="AQP44" s="100"/>
      <c r="AQQ44" s="100"/>
      <c r="AQR44" s="100"/>
      <c r="AQS44" s="100"/>
      <c r="AQT44" s="100"/>
      <c r="AQU44" s="100"/>
      <c r="AQV44" s="100"/>
      <c r="AQW44" s="100"/>
      <c r="AQX44" s="100"/>
      <c r="AQY44" s="100"/>
      <c r="AQZ44" s="100"/>
      <c r="ARA44" s="100"/>
      <c r="ARB44" s="100"/>
      <c r="ARC44" s="100"/>
      <c r="ARD44" s="100"/>
      <c r="ARE44" s="100"/>
      <c r="ARF44" s="100"/>
      <c r="ARG44" s="100"/>
      <c r="ARH44" s="100"/>
      <c r="ARI44" s="100"/>
      <c r="ARJ44" s="100"/>
      <c r="ARK44" s="100"/>
      <c r="ARL44" s="100"/>
      <c r="ARM44" s="100"/>
      <c r="ARN44" s="100"/>
      <c r="ARO44" s="100"/>
      <c r="ARP44" s="100"/>
      <c r="ARQ44" s="100"/>
      <c r="ARR44" s="100"/>
      <c r="ARS44" s="100"/>
      <c r="ART44" s="100"/>
      <c r="ARU44" s="100"/>
      <c r="ARV44" s="100"/>
      <c r="ARW44" s="100"/>
      <c r="ARX44" s="100"/>
      <c r="ARY44" s="100"/>
      <c r="ARZ44" s="100"/>
      <c r="ASA44" s="100"/>
      <c r="ASB44" s="100"/>
      <c r="ASC44" s="100"/>
      <c r="ASD44" s="100"/>
      <c r="ASE44" s="100"/>
      <c r="ASF44" s="100"/>
      <c r="ASG44" s="100"/>
      <c r="ASH44" s="100"/>
      <c r="ASI44" s="100"/>
      <c r="ASJ44" s="100"/>
      <c r="ASK44" s="100"/>
      <c r="ASL44" s="100"/>
      <c r="ASM44" s="100"/>
      <c r="ASN44" s="100"/>
      <c r="ASO44" s="100"/>
      <c r="ASP44" s="100"/>
      <c r="ASQ44" s="100"/>
      <c r="ASR44" s="100"/>
      <c r="ASS44" s="100"/>
      <c r="AST44" s="100"/>
      <c r="ASU44" s="100"/>
      <c r="ASV44" s="100"/>
      <c r="ASW44" s="100"/>
      <c r="ASX44" s="100"/>
      <c r="ASY44" s="100"/>
      <c r="ASZ44" s="100"/>
      <c r="ATA44" s="100"/>
      <c r="ATB44" s="100"/>
      <c r="ATC44" s="100"/>
      <c r="ATD44" s="100"/>
      <c r="ATE44" s="100"/>
      <c r="ATF44" s="100"/>
      <c r="ATG44" s="100"/>
      <c r="ATH44" s="100"/>
      <c r="ATI44" s="100"/>
      <c r="ATJ44" s="100"/>
      <c r="ATK44" s="100"/>
      <c r="ATL44" s="100"/>
      <c r="ATM44" s="100"/>
      <c r="ATN44" s="100"/>
      <c r="ATO44" s="100"/>
      <c r="ATP44" s="100"/>
      <c r="ATQ44" s="100"/>
      <c r="ATR44" s="100"/>
      <c r="ATS44" s="100"/>
      <c r="ATT44" s="100"/>
      <c r="ATU44" s="100"/>
      <c r="ATV44" s="100"/>
      <c r="ATW44" s="100"/>
      <c r="ATX44" s="100"/>
      <c r="ATY44" s="100"/>
      <c r="ATZ44" s="100"/>
      <c r="AUA44" s="100"/>
      <c r="AUB44" s="100"/>
      <c r="AUC44" s="100"/>
      <c r="AUD44" s="100"/>
      <c r="AUE44" s="100"/>
      <c r="AUF44" s="100"/>
      <c r="AUG44" s="100"/>
      <c r="AUH44" s="100"/>
      <c r="AUI44" s="100"/>
      <c r="AUJ44" s="100"/>
      <c r="AUK44" s="100"/>
      <c r="AUL44" s="100"/>
      <c r="AUM44" s="100"/>
      <c r="AUN44" s="100"/>
      <c r="AUO44" s="100"/>
      <c r="AUP44" s="100"/>
      <c r="AUQ44" s="100"/>
      <c r="AUR44" s="100"/>
      <c r="AUS44" s="100"/>
      <c r="AUT44" s="100"/>
      <c r="AUU44" s="100"/>
      <c r="AUV44" s="100"/>
      <c r="AUW44" s="100"/>
      <c r="AUX44" s="100"/>
      <c r="AUY44" s="100"/>
      <c r="AUZ44" s="100"/>
      <c r="AVA44" s="100"/>
      <c r="AVB44" s="100"/>
      <c r="AVC44" s="100"/>
      <c r="AVD44" s="100"/>
      <c r="AVE44" s="100"/>
      <c r="AVF44" s="100"/>
      <c r="AVG44" s="100"/>
      <c r="AVH44" s="100"/>
      <c r="AVI44" s="100"/>
      <c r="AVJ44" s="100"/>
      <c r="AVK44" s="100"/>
      <c r="AVL44" s="100"/>
      <c r="AVM44" s="100"/>
      <c r="AVN44" s="100"/>
      <c r="AVO44" s="100"/>
      <c r="AVP44" s="100"/>
      <c r="AVQ44" s="100"/>
      <c r="AVR44" s="100"/>
      <c r="AVS44" s="100"/>
      <c r="AVT44" s="100"/>
      <c r="AVU44" s="100"/>
      <c r="AVV44" s="100"/>
      <c r="AVW44" s="100"/>
      <c r="AVX44" s="100"/>
      <c r="AVY44" s="100"/>
      <c r="AVZ44" s="100"/>
      <c r="AWA44" s="100"/>
      <c r="AWB44" s="100"/>
      <c r="AWC44" s="100"/>
      <c r="AWD44" s="100"/>
      <c r="AWE44" s="100"/>
      <c r="AWF44" s="100"/>
      <c r="AWG44" s="100"/>
      <c r="AWH44" s="100"/>
      <c r="AWI44" s="100"/>
      <c r="AWJ44" s="100"/>
      <c r="AWK44" s="100"/>
      <c r="AWL44" s="100"/>
      <c r="AWM44" s="100"/>
      <c r="AWN44" s="100"/>
      <c r="AWO44" s="100"/>
      <c r="AWP44" s="100"/>
      <c r="AWQ44" s="100"/>
      <c r="AWR44" s="100"/>
      <c r="AWS44" s="100"/>
      <c r="AWT44" s="100"/>
      <c r="AWU44" s="100"/>
      <c r="AWV44" s="100"/>
      <c r="AWW44" s="100"/>
      <c r="AWX44" s="100"/>
      <c r="AWY44" s="100"/>
      <c r="AWZ44" s="100"/>
      <c r="AXA44" s="100"/>
      <c r="AXB44" s="100"/>
      <c r="AXC44" s="100"/>
      <c r="AXD44" s="100"/>
      <c r="AXE44" s="100"/>
      <c r="AXF44" s="100"/>
      <c r="AXG44" s="100"/>
      <c r="AXH44" s="100"/>
      <c r="AXI44" s="100"/>
      <c r="AXJ44" s="100"/>
      <c r="AXK44" s="100"/>
      <c r="AXL44" s="100"/>
      <c r="AXM44" s="100"/>
      <c r="AXN44" s="100"/>
      <c r="AXO44" s="100"/>
      <c r="AXP44" s="100"/>
      <c r="AXQ44" s="100"/>
      <c r="AXR44" s="100"/>
      <c r="AXS44" s="100"/>
      <c r="AXT44" s="100"/>
      <c r="AXU44" s="100"/>
      <c r="AXV44" s="100"/>
      <c r="AXW44" s="100"/>
      <c r="AXX44" s="100"/>
      <c r="AXY44" s="100"/>
      <c r="AXZ44" s="100"/>
      <c r="AYA44" s="100"/>
      <c r="AYB44" s="100"/>
      <c r="AYC44" s="100"/>
      <c r="AYD44" s="100"/>
      <c r="AYE44" s="100"/>
      <c r="AYF44" s="100"/>
      <c r="AYG44" s="100"/>
      <c r="AYH44" s="100"/>
      <c r="AYI44" s="100"/>
      <c r="AYJ44" s="100"/>
      <c r="AYK44" s="100"/>
      <c r="AYL44" s="100"/>
      <c r="AYM44" s="100"/>
      <c r="AYN44" s="100"/>
      <c r="AYO44" s="100"/>
      <c r="AYP44" s="100"/>
      <c r="AYQ44" s="100"/>
      <c r="AYR44" s="100"/>
      <c r="AYS44" s="100"/>
      <c r="AYT44" s="100"/>
      <c r="AYU44" s="100"/>
      <c r="AYV44" s="100"/>
      <c r="AYW44" s="100"/>
      <c r="AYX44" s="100"/>
      <c r="AYY44" s="100"/>
      <c r="AYZ44" s="100"/>
      <c r="AZA44" s="100"/>
      <c r="AZB44" s="100"/>
      <c r="AZC44" s="100"/>
      <c r="AZD44" s="100"/>
      <c r="AZE44" s="100"/>
      <c r="AZF44" s="100"/>
      <c r="AZG44" s="100"/>
      <c r="AZH44" s="100"/>
      <c r="AZI44" s="100"/>
      <c r="AZJ44" s="100"/>
      <c r="AZK44" s="100"/>
      <c r="AZL44" s="100"/>
      <c r="AZM44" s="100"/>
      <c r="AZN44" s="100"/>
      <c r="AZO44" s="100"/>
      <c r="AZP44" s="100"/>
      <c r="AZQ44" s="100"/>
      <c r="AZR44" s="100"/>
      <c r="AZS44" s="100"/>
      <c r="AZT44" s="100"/>
      <c r="AZU44" s="100"/>
      <c r="AZV44" s="100"/>
      <c r="AZW44" s="100"/>
      <c r="AZX44" s="100"/>
      <c r="AZY44" s="100"/>
      <c r="AZZ44" s="100"/>
      <c r="BAA44" s="100"/>
      <c r="BAB44" s="100"/>
      <c r="BAC44" s="100"/>
      <c r="BAD44" s="100"/>
      <c r="BAE44" s="100"/>
      <c r="BAF44" s="100"/>
      <c r="BAG44" s="100"/>
      <c r="BAH44" s="100"/>
      <c r="BAI44" s="100"/>
      <c r="BAJ44" s="100"/>
      <c r="BAK44" s="100"/>
      <c r="BAL44" s="100"/>
      <c r="BAM44" s="100"/>
      <c r="BAN44" s="100"/>
      <c r="BAO44" s="100"/>
      <c r="BAP44" s="100"/>
      <c r="BAQ44" s="100"/>
      <c r="BAR44" s="100"/>
      <c r="BAS44" s="100"/>
      <c r="BAT44" s="100"/>
      <c r="BAU44" s="100"/>
      <c r="BAV44" s="100"/>
      <c r="BAW44" s="100"/>
      <c r="BAX44" s="100"/>
      <c r="BAY44" s="100"/>
      <c r="BAZ44" s="100"/>
      <c r="BBA44" s="100"/>
      <c r="BBB44" s="100"/>
      <c r="BBC44" s="100"/>
      <c r="BBD44" s="100"/>
      <c r="BBE44" s="100"/>
      <c r="BBF44" s="100"/>
      <c r="BBG44" s="100"/>
      <c r="BBH44" s="100"/>
      <c r="BBI44" s="100"/>
      <c r="BBJ44" s="100"/>
      <c r="BBK44" s="100"/>
      <c r="BBL44" s="100"/>
      <c r="BBM44" s="100"/>
      <c r="BBN44" s="100"/>
      <c r="BBO44" s="100"/>
      <c r="BBP44" s="100"/>
      <c r="BBQ44" s="100"/>
      <c r="BBR44" s="100"/>
      <c r="BBS44" s="100"/>
      <c r="BBT44" s="100"/>
      <c r="BBU44" s="100"/>
      <c r="BBV44" s="100"/>
      <c r="BBW44" s="100"/>
      <c r="BBX44" s="100"/>
      <c r="BBY44" s="100"/>
      <c r="BBZ44" s="100"/>
      <c r="BCA44" s="100"/>
      <c r="BCB44" s="100"/>
      <c r="BCC44" s="100"/>
      <c r="BCD44" s="100"/>
      <c r="BCE44" s="100"/>
      <c r="BCF44" s="100"/>
      <c r="BCG44" s="100"/>
      <c r="BCH44" s="100"/>
      <c r="BCI44" s="100"/>
      <c r="BCJ44" s="100"/>
      <c r="BCK44" s="100"/>
      <c r="BCL44" s="100"/>
      <c r="BCM44" s="100"/>
      <c r="BCN44" s="100"/>
      <c r="BCO44" s="100"/>
      <c r="BCP44" s="100"/>
      <c r="BCQ44" s="100"/>
      <c r="BCR44" s="100"/>
      <c r="BCS44" s="100"/>
      <c r="BCT44" s="100"/>
      <c r="BCU44" s="100"/>
      <c r="BCV44" s="100"/>
      <c r="BCW44" s="100"/>
      <c r="BCX44" s="100"/>
      <c r="BCY44" s="100"/>
      <c r="BCZ44" s="100"/>
      <c r="BDA44" s="100"/>
      <c r="BDB44" s="100"/>
      <c r="BDC44" s="100"/>
      <c r="BDD44" s="100"/>
      <c r="BDE44" s="100"/>
      <c r="BDF44" s="100"/>
      <c r="BDG44" s="100"/>
      <c r="BDH44" s="100"/>
      <c r="BDI44" s="100"/>
      <c r="BDJ44" s="100"/>
      <c r="BDK44" s="100"/>
      <c r="BDL44" s="100"/>
      <c r="BDM44" s="100"/>
      <c r="BDN44" s="100"/>
      <c r="BDO44" s="100"/>
      <c r="BDP44" s="100"/>
      <c r="BDQ44" s="100"/>
      <c r="BDR44" s="100"/>
      <c r="BDS44" s="100"/>
      <c r="BDT44" s="100"/>
      <c r="BDU44" s="100"/>
      <c r="BDV44" s="100"/>
      <c r="BDW44" s="100"/>
      <c r="BDX44" s="100"/>
      <c r="BDY44" s="100"/>
      <c r="BDZ44" s="100"/>
      <c r="BEA44" s="100"/>
      <c r="BEB44" s="100"/>
      <c r="BEC44" s="100"/>
      <c r="BED44" s="100"/>
      <c r="BEE44" s="100"/>
      <c r="BEF44" s="100"/>
      <c r="BEG44" s="100"/>
      <c r="BEH44" s="100"/>
      <c r="BEI44" s="100"/>
      <c r="BEJ44" s="100"/>
      <c r="BEK44" s="100"/>
      <c r="BEL44" s="100"/>
      <c r="BEM44" s="100"/>
      <c r="BEN44" s="100"/>
      <c r="BEO44" s="100"/>
      <c r="BEP44" s="100"/>
      <c r="BEQ44" s="100"/>
      <c r="BER44" s="100"/>
      <c r="BES44" s="100"/>
      <c r="BET44" s="100"/>
      <c r="BEU44" s="100"/>
      <c r="BEV44" s="100"/>
      <c r="BEW44" s="100"/>
      <c r="BEX44" s="100"/>
      <c r="BEY44" s="100"/>
      <c r="BEZ44" s="100"/>
      <c r="BFA44" s="100"/>
      <c r="BFB44" s="100"/>
      <c r="BFC44" s="100"/>
      <c r="BFD44" s="100"/>
      <c r="BFE44" s="100"/>
      <c r="BFF44" s="100"/>
      <c r="BFG44" s="100"/>
      <c r="BFH44" s="100"/>
      <c r="BFI44" s="100"/>
      <c r="BFJ44" s="100"/>
      <c r="BFK44" s="100"/>
      <c r="BFL44" s="100"/>
      <c r="BFM44" s="100"/>
      <c r="BFN44" s="100"/>
      <c r="BFO44" s="100"/>
      <c r="BFP44" s="100"/>
      <c r="BFQ44" s="100"/>
      <c r="BFR44" s="100"/>
      <c r="BFS44" s="100"/>
      <c r="BFT44" s="100"/>
      <c r="BFU44" s="100"/>
      <c r="BFV44" s="100"/>
      <c r="BFW44" s="100"/>
      <c r="BFX44" s="100"/>
      <c r="BFY44" s="100"/>
      <c r="BFZ44" s="100"/>
      <c r="BGA44" s="100"/>
      <c r="BGB44" s="100"/>
      <c r="BGC44" s="100"/>
      <c r="BGD44" s="100"/>
      <c r="BGE44" s="100"/>
      <c r="BGF44" s="100"/>
      <c r="BGG44" s="100"/>
      <c r="BGH44" s="100"/>
      <c r="BGI44" s="100"/>
      <c r="BGJ44" s="100"/>
      <c r="BGK44" s="100"/>
      <c r="BGL44" s="100"/>
      <c r="BGM44" s="100"/>
      <c r="BGN44" s="100"/>
      <c r="BGO44" s="100"/>
      <c r="BGP44" s="100"/>
      <c r="BGQ44" s="100"/>
      <c r="BGR44" s="100"/>
      <c r="BGS44" s="100"/>
      <c r="BGT44" s="100"/>
      <c r="BGU44" s="100"/>
      <c r="BGV44" s="100"/>
      <c r="BGW44" s="100"/>
      <c r="BGX44" s="100"/>
      <c r="BGY44" s="100"/>
      <c r="BGZ44" s="100"/>
      <c r="BHA44" s="100"/>
      <c r="BHB44" s="100"/>
      <c r="BHC44" s="100"/>
      <c r="BHD44" s="100"/>
      <c r="BHE44" s="100"/>
      <c r="BHF44" s="100"/>
      <c r="BHG44" s="100"/>
      <c r="BHH44" s="100"/>
      <c r="BHI44" s="100"/>
      <c r="BHJ44" s="100"/>
      <c r="BHK44" s="100"/>
      <c r="BHL44" s="100"/>
      <c r="BHM44" s="100"/>
      <c r="BHN44" s="100"/>
      <c r="BHO44" s="100"/>
      <c r="BHP44" s="100"/>
      <c r="BHQ44" s="100"/>
      <c r="BHR44" s="100"/>
      <c r="BHS44" s="100"/>
      <c r="BHT44" s="100"/>
      <c r="BHU44" s="100"/>
      <c r="BHV44" s="100"/>
      <c r="BHW44" s="100"/>
      <c r="BHX44" s="100"/>
      <c r="BHY44" s="100"/>
      <c r="BHZ44" s="100"/>
      <c r="BIA44" s="100"/>
      <c r="BIB44" s="100"/>
      <c r="BIC44" s="100"/>
      <c r="BID44" s="100"/>
      <c r="BIE44" s="100"/>
      <c r="BIF44" s="100"/>
      <c r="BIG44" s="100"/>
      <c r="BIH44" s="100"/>
      <c r="BII44" s="100"/>
      <c r="BIJ44" s="100"/>
      <c r="BIK44" s="100"/>
      <c r="BIL44" s="100"/>
      <c r="BIM44" s="100"/>
      <c r="BIN44" s="100"/>
      <c r="BIO44" s="100"/>
      <c r="BIP44" s="100"/>
      <c r="BIQ44" s="100"/>
      <c r="BIR44" s="100"/>
      <c r="BIS44" s="100"/>
      <c r="BIT44" s="100"/>
      <c r="BIU44" s="100"/>
      <c r="BIV44" s="100"/>
      <c r="BIW44" s="100"/>
      <c r="BIX44" s="100"/>
      <c r="BIY44" s="100"/>
      <c r="BIZ44" s="100"/>
      <c r="BJA44" s="100"/>
      <c r="BJB44" s="100"/>
      <c r="BJC44" s="100"/>
      <c r="BJD44" s="100"/>
      <c r="BJE44" s="100"/>
      <c r="BJF44" s="100"/>
      <c r="BJG44" s="100"/>
      <c r="BJH44" s="100"/>
      <c r="BJI44" s="100"/>
      <c r="BJJ44" s="100"/>
      <c r="BJK44" s="100"/>
      <c r="BJL44" s="100"/>
      <c r="BJM44" s="100"/>
      <c r="BJN44" s="100"/>
      <c r="BJO44" s="100"/>
      <c r="BJP44" s="100"/>
      <c r="BJQ44" s="100"/>
      <c r="BJR44" s="100"/>
      <c r="BJS44" s="100"/>
      <c r="BJT44" s="100"/>
      <c r="BJU44" s="100"/>
      <c r="BJV44" s="100"/>
      <c r="BJW44" s="100"/>
      <c r="BJX44" s="100"/>
      <c r="BJY44" s="100"/>
      <c r="BJZ44" s="100"/>
      <c r="BKA44" s="100"/>
      <c r="BKB44" s="100"/>
      <c r="BKC44" s="100"/>
      <c r="BKD44" s="100"/>
      <c r="BKE44" s="100"/>
      <c r="BKF44" s="100"/>
      <c r="BKG44" s="100"/>
      <c r="BKH44" s="100"/>
      <c r="BKI44" s="100"/>
      <c r="BKJ44" s="100"/>
      <c r="BKK44" s="100"/>
      <c r="BKL44" s="100"/>
      <c r="BKM44" s="100"/>
      <c r="BKN44" s="100"/>
      <c r="BKO44" s="100"/>
      <c r="BKP44" s="100"/>
      <c r="BKQ44" s="100"/>
      <c r="BKR44" s="100"/>
      <c r="BKS44" s="100"/>
      <c r="BKT44" s="100"/>
      <c r="BKU44" s="100"/>
      <c r="BKV44" s="100"/>
      <c r="BKW44" s="100"/>
      <c r="BKX44" s="100"/>
      <c r="BKY44" s="100"/>
      <c r="BKZ44" s="100"/>
      <c r="BLA44" s="100"/>
      <c r="BLB44" s="100"/>
      <c r="BLC44" s="100"/>
      <c r="BLD44" s="100"/>
      <c r="BLE44" s="100"/>
      <c r="BLF44" s="100"/>
      <c r="BLG44" s="100"/>
      <c r="BLH44" s="100"/>
      <c r="BLI44" s="100"/>
      <c r="BLJ44" s="100"/>
      <c r="BLK44" s="100"/>
      <c r="BLL44" s="100"/>
      <c r="BLM44" s="100"/>
      <c r="BLN44" s="100"/>
      <c r="BLO44" s="100"/>
      <c r="BLP44" s="100"/>
      <c r="BLQ44" s="100"/>
      <c r="BLR44" s="100"/>
      <c r="BLS44" s="100"/>
      <c r="BLT44" s="100"/>
      <c r="BLU44" s="100"/>
      <c r="BLV44" s="100"/>
      <c r="BLW44" s="100"/>
      <c r="BLX44" s="100"/>
      <c r="BLY44" s="100"/>
      <c r="BLZ44" s="100"/>
      <c r="BMA44" s="100"/>
      <c r="BMB44" s="100"/>
      <c r="BMC44" s="100"/>
      <c r="BMD44" s="100"/>
      <c r="BME44" s="100"/>
      <c r="BMF44" s="100"/>
      <c r="BMG44" s="100"/>
      <c r="BMH44" s="100"/>
      <c r="BMI44" s="100"/>
      <c r="BMJ44" s="100"/>
      <c r="BMK44" s="100"/>
      <c r="BML44" s="100"/>
      <c r="BMM44" s="100"/>
      <c r="BMN44" s="100"/>
      <c r="BMO44" s="100"/>
      <c r="BMP44" s="100"/>
      <c r="BMQ44" s="100"/>
      <c r="BMR44" s="100"/>
      <c r="BMS44" s="100"/>
      <c r="BMT44" s="100"/>
      <c r="BMU44" s="100"/>
      <c r="BMV44" s="100"/>
      <c r="BMW44" s="100"/>
      <c r="BMX44" s="100"/>
      <c r="BMY44" s="100"/>
      <c r="BMZ44" s="100"/>
      <c r="BNA44" s="100"/>
      <c r="BNB44" s="100"/>
      <c r="BNC44" s="100"/>
      <c r="BND44" s="100"/>
      <c r="BNE44" s="100"/>
      <c r="BNF44" s="100"/>
      <c r="BNG44" s="100"/>
      <c r="BNH44" s="100"/>
      <c r="BNI44" s="100"/>
      <c r="BNJ44" s="100"/>
      <c r="BNK44" s="100"/>
      <c r="BNL44" s="100"/>
      <c r="BNM44" s="100"/>
      <c r="BNN44" s="100"/>
      <c r="BNO44" s="100"/>
      <c r="BNP44" s="100"/>
      <c r="BNQ44" s="100"/>
      <c r="BNR44" s="100"/>
      <c r="BNS44" s="100"/>
      <c r="BNT44" s="100"/>
      <c r="BNU44" s="100"/>
      <c r="BNV44" s="100"/>
      <c r="BNW44" s="100"/>
      <c r="BNX44" s="100"/>
      <c r="BNY44" s="100"/>
      <c r="BNZ44" s="100"/>
      <c r="BOA44" s="100"/>
      <c r="BOB44" s="100"/>
      <c r="BOC44" s="100"/>
      <c r="BOD44" s="100"/>
      <c r="BOE44" s="100"/>
      <c r="BOF44" s="100"/>
      <c r="BOG44" s="100"/>
      <c r="BOH44" s="100"/>
      <c r="BOI44" s="100"/>
      <c r="BOJ44" s="100"/>
      <c r="BOK44" s="100"/>
      <c r="BOL44" s="100"/>
      <c r="BOM44" s="100"/>
      <c r="BON44" s="100"/>
      <c r="BOO44" s="100"/>
      <c r="BOP44" s="100"/>
      <c r="BOQ44" s="100"/>
      <c r="BOR44" s="100"/>
      <c r="BOS44" s="100"/>
      <c r="BOT44" s="100"/>
      <c r="BOU44" s="100"/>
      <c r="BOV44" s="100"/>
      <c r="BOW44" s="100"/>
      <c r="BOX44" s="100"/>
      <c r="BOY44" s="100"/>
      <c r="BOZ44" s="100"/>
      <c r="BPA44" s="100"/>
      <c r="BPB44" s="100"/>
      <c r="BPC44" s="100"/>
      <c r="BPD44" s="100"/>
      <c r="BPE44" s="100"/>
      <c r="BPF44" s="100"/>
      <c r="BPG44" s="100"/>
      <c r="BPH44" s="100"/>
      <c r="BPI44" s="100"/>
      <c r="BPJ44" s="100"/>
      <c r="BPK44" s="100"/>
      <c r="BPL44" s="100"/>
      <c r="BPM44" s="100"/>
      <c r="BPN44" s="100"/>
      <c r="BPO44" s="100"/>
      <c r="BPP44" s="100"/>
      <c r="BPQ44" s="100"/>
      <c r="BPR44" s="100"/>
      <c r="BPS44" s="100"/>
      <c r="BPT44" s="100"/>
      <c r="BPU44" s="100"/>
      <c r="BPV44" s="100"/>
      <c r="BPW44" s="100"/>
      <c r="BPX44" s="100"/>
      <c r="BPY44" s="100"/>
      <c r="BPZ44" s="100"/>
      <c r="BQA44" s="100"/>
      <c r="BQB44" s="100"/>
      <c r="BQC44" s="100"/>
      <c r="BQD44" s="100"/>
      <c r="BQE44" s="100"/>
      <c r="BQF44" s="100"/>
      <c r="BQG44" s="100"/>
      <c r="BQH44" s="100"/>
      <c r="BQI44" s="100"/>
      <c r="BQJ44" s="100"/>
      <c r="BQK44" s="100"/>
      <c r="BQL44" s="100"/>
      <c r="BQM44" s="100"/>
      <c r="BQN44" s="100"/>
      <c r="BQO44" s="100"/>
      <c r="BQP44" s="100"/>
      <c r="BQQ44" s="100"/>
      <c r="BQR44" s="100"/>
      <c r="BQS44" s="100"/>
      <c r="BQT44" s="100"/>
      <c r="BQU44" s="100"/>
      <c r="BQV44" s="100"/>
      <c r="BQW44" s="100"/>
      <c r="BQX44" s="100"/>
      <c r="BQY44" s="100"/>
      <c r="BQZ44" s="100"/>
      <c r="BRA44" s="100"/>
      <c r="BRB44" s="100"/>
      <c r="BRC44" s="100"/>
      <c r="BRD44" s="100"/>
      <c r="BRE44" s="100"/>
      <c r="BRF44" s="100"/>
      <c r="BRG44" s="100"/>
      <c r="BRH44" s="100"/>
      <c r="BRI44" s="100"/>
      <c r="BRJ44" s="100"/>
      <c r="BRK44" s="100"/>
      <c r="BRL44" s="100"/>
      <c r="BRM44" s="100"/>
      <c r="BRN44" s="100"/>
      <c r="BRO44" s="100"/>
      <c r="BRP44" s="100"/>
      <c r="BRQ44" s="100"/>
      <c r="BRR44" s="100"/>
      <c r="BRS44" s="100"/>
      <c r="BRT44" s="100"/>
      <c r="BRU44" s="100"/>
      <c r="BRV44" s="100"/>
      <c r="BRW44" s="100"/>
      <c r="BRX44" s="100"/>
      <c r="BRY44" s="100"/>
      <c r="BRZ44" s="100"/>
      <c r="BSA44" s="100"/>
      <c r="BSB44" s="100"/>
      <c r="BSC44" s="100"/>
      <c r="BSD44" s="100"/>
      <c r="BSE44" s="100"/>
      <c r="BSF44" s="100"/>
      <c r="BSG44" s="100"/>
      <c r="BSH44" s="100"/>
      <c r="BSI44" s="100"/>
      <c r="BSJ44" s="100"/>
      <c r="BSK44" s="100"/>
      <c r="BSL44" s="100"/>
      <c r="BSM44" s="100"/>
      <c r="BSN44" s="100"/>
      <c r="BSO44" s="100"/>
      <c r="BSP44" s="100"/>
      <c r="BSQ44" s="100"/>
      <c r="BSR44" s="100"/>
      <c r="BSS44" s="100"/>
      <c r="BST44" s="100"/>
      <c r="BSU44" s="100"/>
      <c r="BSV44" s="100"/>
      <c r="BSW44" s="100"/>
      <c r="BSX44" s="100"/>
      <c r="BSY44" s="100"/>
      <c r="BSZ44" s="100"/>
      <c r="BTA44" s="100"/>
      <c r="BTB44" s="100"/>
      <c r="BTC44" s="100"/>
      <c r="BTD44" s="100"/>
      <c r="BTE44" s="100"/>
      <c r="BTF44" s="100"/>
      <c r="BTG44" s="100"/>
      <c r="BTH44" s="100"/>
      <c r="BTI44" s="100"/>
      <c r="BTJ44" s="100"/>
      <c r="BTK44" s="100"/>
      <c r="BTL44" s="100"/>
      <c r="BTM44" s="100"/>
      <c r="BTN44" s="100"/>
      <c r="BTO44" s="100"/>
      <c r="BTP44" s="100"/>
      <c r="BTQ44" s="100"/>
      <c r="BTR44" s="100"/>
      <c r="BTS44" s="100"/>
      <c r="BTT44" s="100"/>
      <c r="BTU44" s="100"/>
      <c r="BTV44" s="100"/>
      <c r="BTW44" s="100"/>
      <c r="BTX44" s="100"/>
      <c r="BTY44" s="100"/>
      <c r="BTZ44" s="100"/>
      <c r="BUA44" s="100"/>
      <c r="BUB44" s="100"/>
      <c r="BUC44" s="100"/>
      <c r="BUD44" s="100"/>
      <c r="BUE44" s="100"/>
      <c r="BUF44" s="100"/>
      <c r="BUG44" s="100"/>
      <c r="BUH44" s="100"/>
      <c r="BUI44" s="100"/>
      <c r="BUJ44" s="100"/>
      <c r="BUK44" s="100"/>
      <c r="BUL44" s="100"/>
      <c r="BUM44" s="100"/>
      <c r="BUN44" s="100"/>
      <c r="BUO44" s="100"/>
      <c r="BUP44" s="100"/>
      <c r="BUQ44" s="100"/>
      <c r="BUR44" s="100"/>
      <c r="BUS44" s="100"/>
      <c r="BUT44" s="100"/>
      <c r="BUU44" s="100"/>
      <c r="BUV44" s="100"/>
      <c r="BUW44" s="100"/>
      <c r="BUX44" s="100"/>
      <c r="BUY44" s="100"/>
      <c r="BUZ44" s="100"/>
      <c r="BVA44" s="100"/>
      <c r="BVB44" s="100"/>
      <c r="BVC44" s="100"/>
      <c r="BVD44" s="100"/>
      <c r="BVE44" s="100"/>
      <c r="BVF44" s="100"/>
      <c r="BVG44" s="100"/>
      <c r="BVH44" s="100"/>
      <c r="BVI44" s="100"/>
      <c r="BVJ44" s="100"/>
      <c r="BVK44" s="100"/>
      <c r="BVL44" s="100"/>
      <c r="BVM44" s="100"/>
      <c r="BVN44" s="100"/>
      <c r="BVO44" s="100"/>
      <c r="BVP44" s="100"/>
      <c r="BVQ44" s="100"/>
      <c r="BVR44" s="100"/>
      <c r="BVS44" s="100"/>
      <c r="BVT44" s="100"/>
      <c r="BVU44" s="100"/>
      <c r="BVV44" s="100"/>
      <c r="BVW44" s="100"/>
      <c r="BVX44" s="100"/>
      <c r="BVY44" s="100"/>
      <c r="BVZ44" s="100"/>
      <c r="BWA44" s="100"/>
      <c r="BWB44" s="100"/>
      <c r="BWC44" s="100"/>
      <c r="BWD44" s="100"/>
      <c r="BWE44" s="100"/>
      <c r="BWF44" s="100"/>
      <c r="BWG44" s="100"/>
      <c r="BWH44" s="100"/>
      <c r="BWI44" s="100"/>
      <c r="BWJ44" s="100"/>
      <c r="BWK44" s="100"/>
      <c r="BWL44" s="100"/>
      <c r="BWM44" s="100"/>
      <c r="BWN44" s="100"/>
      <c r="BWO44" s="100"/>
      <c r="BWP44" s="100"/>
      <c r="BWQ44" s="100"/>
      <c r="BWR44" s="100"/>
      <c r="BWS44" s="100"/>
      <c r="BWT44" s="100"/>
      <c r="BWU44" s="100"/>
      <c r="BWV44" s="100"/>
      <c r="BWW44" s="100"/>
      <c r="BWX44" s="100"/>
      <c r="BWY44" s="100"/>
      <c r="BWZ44" s="100"/>
      <c r="BXA44" s="100"/>
      <c r="BXB44" s="100"/>
      <c r="BXC44" s="100"/>
      <c r="BXD44" s="100"/>
      <c r="BXE44" s="100"/>
      <c r="BXF44" s="100"/>
      <c r="BXG44" s="100"/>
      <c r="BXH44" s="100"/>
      <c r="BXI44" s="100"/>
      <c r="BXJ44" s="100"/>
      <c r="BXK44" s="100"/>
      <c r="BXL44" s="100"/>
      <c r="BXM44" s="100"/>
      <c r="BXN44" s="100"/>
      <c r="BXO44" s="100"/>
      <c r="BXP44" s="100"/>
      <c r="BXQ44" s="100"/>
      <c r="BXR44" s="100"/>
      <c r="BXS44" s="100"/>
      <c r="BXT44" s="100"/>
      <c r="BXU44" s="100"/>
      <c r="BXV44" s="100"/>
      <c r="BXW44" s="100"/>
      <c r="BXX44" s="100"/>
      <c r="BXY44" s="100"/>
      <c r="BXZ44" s="100"/>
      <c r="BYA44" s="100"/>
      <c r="BYB44" s="100"/>
      <c r="BYC44" s="100"/>
      <c r="BYD44" s="100"/>
      <c r="BYE44" s="100"/>
      <c r="BYF44" s="100"/>
      <c r="BYG44" s="100"/>
    </row>
    <row r="45" spans="1:2009" s="118" customFormat="1" ht="24.95" customHeight="1" x14ac:dyDescent="0.25">
      <c r="A45" s="147" t="s">
        <v>298</v>
      </c>
      <c r="B45" s="441"/>
      <c r="C45" s="442"/>
      <c r="D45" s="442"/>
      <c r="E45" s="442"/>
      <c r="F45" s="443"/>
      <c r="G45" s="727"/>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hidden="1" customHeight="1" x14ac:dyDescent="0.25">
      <c r="A46" s="387"/>
      <c r="B46" s="448" t="s">
        <v>350</v>
      </c>
      <c r="C46" s="474"/>
      <c r="D46" s="474"/>
      <c r="E46" s="450"/>
      <c r="F46" s="451"/>
      <c r="G46" s="728">
        <f>ROUND(SUM(C46:F46),5)</f>
        <v>0</v>
      </c>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118" customFormat="1" ht="24.95" hidden="1" customHeight="1" x14ac:dyDescent="0.25">
      <c r="A47" s="387"/>
      <c r="B47" s="448" t="s">
        <v>315</v>
      </c>
      <c r="C47" s="474"/>
      <c r="D47" s="474"/>
      <c r="E47" s="474"/>
      <c r="F47" s="547"/>
      <c r="G47" s="728">
        <f>ROUND(SUM(C47:F47),5)</f>
        <v>0</v>
      </c>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c r="KJ47" s="100"/>
      <c r="KK47" s="100"/>
      <c r="KL47" s="100"/>
      <c r="KM47" s="100"/>
      <c r="KN47" s="100"/>
      <c r="KO47" s="100"/>
      <c r="KP47" s="100"/>
      <c r="KQ47" s="100"/>
      <c r="KR47" s="100"/>
      <c r="KS47" s="100"/>
      <c r="KT47" s="100"/>
      <c r="KU47" s="100"/>
      <c r="KV47" s="100"/>
      <c r="KW47" s="100"/>
      <c r="KX47" s="100"/>
      <c r="KY47" s="100"/>
      <c r="KZ47" s="100"/>
      <c r="LA47" s="100"/>
      <c r="LB47" s="100"/>
      <c r="LC47" s="100"/>
      <c r="LD47" s="100"/>
      <c r="LE47" s="100"/>
      <c r="LF47" s="100"/>
      <c r="LG47" s="100"/>
      <c r="LH47" s="100"/>
      <c r="LI47" s="100"/>
      <c r="LJ47" s="100"/>
      <c r="LK47" s="100"/>
      <c r="LL47" s="100"/>
      <c r="LM47" s="100"/>
      <c r="LN47" s="100"/>
      <c r="LO47" s="100"/>
      <c r="LP47" s="100"/>
      <c r="LQ47" s="100"/>
      <c r="LR47" s="100"/>
      <c r="LS47" s="100"/>
      <c r="LT47" s="100"/>
      <c r="LU47" s="100"/>
      <c r="LV47" s="100"/>
      <c r="LW47" s="100"/>
      <c r="LX47" s="100"/>
      <c r="LY47" s="100"/>
      <c r="LZ47" s="100"/>
      <c r="MA47" s="100"/>
      <c r="MB47" s="100"/>
      <c r="MC47" s="100"/>
      <c r="MD47" s="100"/>
      <c r="ME47" s="100"/>
      <c r="MF47" s="100"/>
      <c r="MG47" s="100"/>
      <c r="MH47" s="100"/>
      <c r="MI47" s="100"/>
      <c r="MJ47" s="100"/>
      <c r="MK47" s="100"/>
      <c r="ML47" s="100"/>
      <c r="MM47" s="100"/>
      <c r="MN47" s="100"/>
      <c r="MO47" s="100"/>
      <c r="MP47" s="100"/>
      <c r="MQ47" s="100"/>
      <c r="MR47" s="100"/>
      <c r="MS47" s="100"/>
      <c r="MT47" s="100"/>
      <c r="MU47" s="100"/>
      <c r="MV47" s="100"/>
      <c r="MW47" s="100"/>
      <c r="MX47" s="100"/>
      <c r="MY47" s="100"/>
      <c r="MZ47" s="100"/>
      <c r="NA47" s="100"/>
      <c r="NB47" s="100"/>
      <c r="NC47" s="100"/>
      <c r="ND47" s="100"/>
      <c r="NE47" s="100"/>
      <c r="NF47" s="100"/>
      <c r="NG47" s="100"/>
      <c r="NH47" s="100"/>
      <c r="NI47" s="100"/>
      <c r="NJ47" s="100"/>
      <c r="NK47" s="100"/>
      <c r="NL47" s="100"/>
      <c r="NM47" s="100"/>
      <c r="NN47" s="100"/>
      <c r="NO47" s="100"/>
      <c r="NP47" s="100"/>
      <c r="NQ47" s="100"/>
      <c r="NR47" s="100"/>
      <c r="NS47" s="100"/>
      <c r="NT47" s="100"/>
      <c r="NU47" s="100"/>
      <c r="NV47" s="100"/>
      <c r="NW47" s="100"/>
      <c r="NX47" s="100"/>
      <c r="NY47" s="100"/>
      <c r="NZ47" s="100"/>
      <c r="OA47" s="100"/>
      <c r="OB47" s="100"/>
      <c r="OC47" s="100"/>
      <c r="OD47" s="100"/>
      <c r="OE47" s="100"/>
      <c r="OF47" s="100"/>
      <c r="OG47" s="100"/>
      <c r="OH47" s="100"/>
      <c r="OI47" s="100"/>
      <c r="OJ47" s="100"/>
      <c r="OK47" s="100"/>
      <c r="OL47" s="100"/>
      <c r="OM47" s="100"/>
      <c r="ON47" s="100"/>
      <c r="OO47" s="100"/>
      <c r="OP47" s="100"/>
      <c r="OQ47" s="100"/>
      <c r="OR47" s="100"/>
      <c r="OS47" s="100"/>
      <c r="OT47" s="100"/>
      <c r="OU47" s="100"/>
      <c r="OV47" s="100"/>
      <c r="OW47" s="100"/>
      <c r="OX47" s="100"/>
      <c r="OY47" s="100"/>
      <c r="OZ47" s="100"/>
      <c r="PA47" s="100"/>
      <c r="PB47" s="100"/>
      <c r="PC47" s="100"/>
      <c r="PD47" s="100"/>
      <c r="PE47" s="100"/>
      <c r="PF47" s="100"/>
      <c r="PG47" s="100"/>
      <c r="PH47" s="100"/>
      <c r="PI47" s="100"/>
      <c r="PJ47" s="100"/>
      <c r="PK47" s="100"/>
      <c r="PL47" s="100"/>
      <c r="PM47" s="100"/>
      <c r="PN47" s="100"/>
      <c r="PO47" s="100"/>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100"/>
      <c r="QW47" s="100"/>
      <c r="QX47" s="100"/>
      <c r="QY47" s="100"/>
      <c r="QZ47" s="100"/>
      <c r="RA47" s="100"/>
      <c r="RB47" s="100"/>
      <c r="RC47" s="100"/>
      <c r="RD47" s="100"/>
      <c r="RE47" s="100"/>
      <c r="RF47" s="100"/>
      <c r="RG47" s="100"/>
      <c r="RH47" s="100"/>
      <c r="RI47" s="100"/>
      <c r="RJ47" s="100"/>
      <c r="RK47" s="100"/>
      <c r="RL47" s="100"/>
      <c r="RM47" s="100"/>
      <c r="RN47" s="100"/>
      <c r="RO47" s="100"/>
      <c r="RP47" s="100"/>
      <c r="RQ47" s="100"/>
      <c r="RR47" s="100"/>
      <c r="RS47" s="100"/>
      <c r="RT47" s="100"/>
      <c r="RU47" s="100"/>
      <c r="RV47" s="100"/>
      <c r="RW47" s="100"/>
      <c r="RX47" s="100"/>
      <c r="RY47" s="100"/>
      <c r="RZ47" s="100"/>
      <c r="SA47" s="100"/>
      <c r="SB47" s="100"/>
      <c r="SC47" s="100"/>
      <c r="SD47" s="100"/>
      <c r="SE47" s="100"/>
      <c r="SF47" s="100"/>
      <c r="SG47" s="100"/>
      <c r="SH47" s="100"/>
      <c r="SI47" s="100"/>
      <c r="SJ47" s="100"/>
      <c r="SK47" s="100"/>
      <c r="SL47" s="100"/>
      <c r="SM47" s="100"/>
      <c r="SN47" s="100"/>
      <c r="SO47" s="100"/>
      <c r="SP47" s="100"/>
      <c r="SQ47" s="100"/>
      <c r="SR47" s="100"/>
      <c r="SS47" s="100"/>
      <c r="ST47" s="100"/>
      <c r="SU47" s="100"/>
      <c r="SV47" s="100"/>
      <c r="SW47" s="100"/>
      <c r="SX47" s="100"/>
      <c r="SY47" s="100"/>
      <c r="SZ47" s="100"/>
      <c r="TA47" s="100"/>
      <c r="TB47" s="100"/>
      <c r="TC47" s="100"/>
      <c r="TD47" s="100"/>
      <c r="TE47" s="100"/>
      <c r="TF47" s="100"/>
      <c r="TG47" s="100"/>
      <c r="TH47" s="100"/>
      <c r="TI47" s="100"/>
      <c r="TJ47" s="100"/>
      <c r="TK47" s="100"/>
      <c r="TL47" s="100"/>
      <c r="TM47" s="100"/>
      <c r="TN47" s="100"/>
      <c r="TO47" s="100"/>
      <c r="TP47" s="100"/>
      <c r="TQ47" s="100"/>
      <c r="TR47" s="100"/>
      <c r="TS47" s="100"/>
      <c r="TT47" s="100"/>
      <c r="TU47" s="100"/>
      <c r="TV47" s="100"/>
      <c r="TW47" s="100"/>
      <c r="TX47" s="100"/>
      <c r="TY47" s="100"/>
      <c r="TZ47" s="100"/>
      <c r="UA47" s="100"/>
      <c r="UB47" s="100"/>
      <c r="UC47" s="100"/>
      <c r="UD47" s="100"/>
      <c r="UE47" s="100"/>
      <c r="UF47" s="100"/>
      <c r="UG47" s="100"/>
      <c r="UH47" s="100"/>
      <c r="UI47" s="100"/>
      <c r="UJ47" s="100"/>
      <c r="UK47" s="100"/>
      <c r="UL47" s="100"/>
      <c r="UM47" s="100"/>
      <c r="UN47" s="100"/>
      <c r="UO47" s="100"/>
      <c r="UP47" s="100"/>
      <c r="UQ47" s="100"/>
      <c r="UR47" s="100"/>
      <c r="US47" s="100"/>
      <c r="UT47" s="100"/>
      <c r="UU47" s="100"/>
      <c r="UV47" s="100"/>
      <c r="UW47" s="100"/>
      <c r="UX47" s="100"/>
      <c r="UY47" s="100"/>
      <c r="UZ47" s="100"/>
      <c r="VA47" s="100"/>
      <c r="VB47" s="100"/>
      <c r="VC47" s="100"/>
      <c r="VD47" s="100"/>
      <c r="VE47" s="100"/>
      <c r="VF47" s="100"/>
      <c r="VG47" s="100"/>
      <c r="VH47" s="100"/>
      <c r="VI47" s="100"/>
      <c r="VJ47" s="100"/>
      <c r="VK47" s="100"/>
      <c r="VL47" s="100"/>
      <c r="VM47" s="100"/>
      <c r="VN47" s="100"/>
      <c r="VO47" s="100"/>
      <c r="VP47" s="100"/>
      <c r="VQ47" s="100"/>
      <c r="VR47" s="100"/>
      <c r="VS47" s="100"/>
      <c r="VT47" s="100"/>
      <c r="VU47" s="100"/>
      <c r="VV47" s="100"/>
      <c r="VW47" s="100"/>
      <c r="VX47" s="100"/>
      <c r="VY47" s="100"/>
      <c r="VZ47" s="100"/>
      <c r="WA47" s="100"/>
      <c r="WB47" s="100"/>
      <c r="WC47" s="100"/>
      <c r="WD47" s="100"/>
      <c r="WE47" s="100"/>
      <c r="WF47" s="100"/>
      <c r="WG47" s="100"/>
      <c r="WH47" s="100"/>
      <c r="WI47" s="100"/>
      <c r="WJ47" s="100"/>
      <c r="WK47" s="100"/>
      <c r="WL47" s="100"/>
      <c r="WM47" s="100"/>
      <c r="WN47" s="100"/>
      <c r="WO47" s="100"/>
      <c r="WP47" s="100"/>
      <c r="WQ47" s="100"/>
      <c r="WR47" s="100"/>
      <c r="WS47" s="100"/>
      <c r="WT47" s="100"/>
      <c r="WU47" s="100"/>
      <c r="WV47" s="100"/>
      <c r="WW47" s="100"/>
      <c r="WX47" s="100"/>
      <c r="WY47" s="100"/>
      <c r="WZ47" s="100"/>
      <c r="XA47" s="100"/>
      <c r="XB47" s="100"/>
      <c r="XC47" s="100"/>
      <c r="XD47" s="100"/>
      <c r="XE47" s="100"/>
      <c r="XF47" s="100"/>
      <c r="XG47" s="100"/>
      <c r="XH47" s="100"/>
      <c r="XI47" s="100"/>
      <c r="XJ47" s="100"/>
      <c r="XK47" s="100"/>
      <c r="XL47" s="100"/>
      <c r="XM47" s="100"/>
      <c r="XN47" s="100"/>
      <c r="XO47" s="100"/>
      <c r="XP47" s="100"/>
      <c r="XQ47" s="100"/>
      <c r="XR47" s="100"/>
      <c r="XS47" s="100"/>
      <c r="XT47" s="100"/>
      <c r="XU47" s="100"/>
      <c r="XV47" s="100"/>
      <c r="XW47" s="100"/>
      <c r="XX47" s="100"/>
      <c r="XY47" s="100"/>
      <c r="XZ47" s="100"/>
      <c r="YA47" s="100"/>
      <c r="YB47" s="100"/>
      <c r="YC47" s="100"/>
      <c r="YD47" s="100"/>
      <c r="YE47" s="100"/>
      <c r="YF47" s="100"/>
      <c r="YG47" s="100"/>
      <c r="YH47" s="100"/>
      <c r="YI47" s="100"/>
      <c r="YJ47" s="100"/>
      <c r="YK47" s="100"/>
      <c r="YL47" s="100"/>
      <c r="YM47" s="100"/>
      <c r="YN47" s="100"/>
      <c r="YO47" s="100"/>
      <c r="YP47" s="100"/>
      <c r="YQ47" s="100"/>
      <c r="YR47" s="100"/>
      <c r="YS47" s="100"/>
      <c r="YT47" s="100"/>
      <c r="YU47" s="100"/>
      <c r="YV47" s="100"/>
      <c r="YW47" s="100"/>
      <c r="YX47" s="100"/>
      <c r="YY47" s="100"/>
      <c r="YZ47" s="100"/>
      <c r="ZA47" s="100"/>
      <c r="ZB47" s="100"/>
      <c r="ZC47" s="100"/>
      <c r="ZD47" s="100"/>
      <c r="ZE47" s="100"/>
      <c r="ZF47" s="100"/>
      <c r="ZG47" s="100"/>
      <c r="ZH47" s="100"/>
      <c r="ZI47" s="100"/>
      <c r="ZJ47" s="100"/>
      <c r="ZK47" s="100"/>
      <c r="ZL47" s="100"/>
      <c r="ZM47" s="100"/>
      <c r="ZN47" s="100"/>
      <c r="ZO47" s="100"/>
      <c r="ZP47" s="100"/>
      <c r="ZQ47" s="100"/>
      <c r="ZR47" s="100"/>
      <c r="ZS47" s="100"/>
      <c r="ZT47" s="100"/>
      <c r="ZU47" s="100"/>
      <c r="ZV47" s="100"/>
      <c r="ZW47" s="100"/>
      <c r="ZX47" s="100"/>
      <c r="ZY47" s="100"/>
      <c r="ZZ47" s="100"/>
      <c r="AAA47" s="100"/>
      <c r="AAB47" s="100"/>
      <c r="AAC47" s="100"/>
      <c r="AAD47" s="100"/>
      <c r="AAE47" s="100"/>
      <c r="AAF47" s="100"/>
      <c r="AAG47" s="100"/>
      <c r="AAH47" s="100"/>
      <c r="AAI47" s="100"/>
      <c r="AAJ47" s="100"/>
      <c r="AAK47" s="100"/>
      <c r="AAL47" s="100"/>
      <c r="AAM47" s="100"/>
      <c r="AAN47" s="100"/>
      <c r="AAO47" s="100"/>
      <c r="AAP47" s="100"/>
      <c r="AAQ47" s="100"/>
      <c r="AAR47" s="100"/>
      <c r="AAS47" s="100"/>
      <c r="AAT47" s="100"/>
      <c r="AAU47" s="100"/>
      <c r="AAV47" s="100"/>
      <c r="AAW47" s="100"/>
      <c r="AAX47" s="100"/>
      <c r="AAY47" s="100"/>
      <c r="AAZ47" s="100"/>
      <c r="ABA47" s="100"/>
      <c r="ABB47" s="100"/>
      <c r="ABC47" s="100"/>
      <c r="ABD47" s="100"/>
      <c r="ABE47" s="100"/>
      <c r="ABF47" s="100"/>
      <c r="ABG47" s="100"/>
      <c r="ABH47" s="100"/>
      <c r="ABI47" s="100"/>
      <c r="ABJ47" s="100"/>
      <c r="ABK47" s="100"/>
      <c r="ABL47" s="100"/>
      <c r="ABM47" s="100"/>
      <c r="ABN47" s="100"/>
      <c r="ABO47" s="100"/>
      <c r="ABP47" s="100"/>
      <c r="ABQ47" s="100"/>
      <c r="ABR47" s="100"/>
      <c r="ABS47" s="100"/>
      <c r="ABT47" s="100"/>
      <c r="ABU47" s="100"/>
      <c r="ABV47" s="100"/>
      <c r="ABW47" s="100"/>
      <c r="ABX47" s="100"/>
      <c r="ABY47" s="100"/>
      <c r="ABZ47" s="100"/>
      <c r="ACA47" s="100"/>
      <c r="ACB47" s="100"/>
      <c r="ACC47" s="100"/>
      <c r="ACD47" s="100"/>
      <c r="ACE47" s="100"/>
      <c r="ACF47" s="100"/>
      <c r="ACG47" s="100"/>
      <c r="ACH47" s="100"/>
      <c r="ACI47" s="100"/>
      <c r="ACJ47" s="100"/>
      <c r="ACK47" s="100"/>
      <c r="ACL47" s="100"/>
      <c r="ACM47" s="100"/>
      <c r="ACN47" s="100"/>
      <c r="ACO47" s="100"/>
      <c r="ACP47" s="100"/>
      <c r="ACQ47" s="100"/>
      <c r="ACR47" s="100"/>
      <c r="ACS47" s="100"/>
      <c r="ACT47" s="100"/>
      <c r="ACU47" s="100"/>
      <c r="ACV47" s="100"/>
      <c r="ACW47" s="100"/>
      <c r="ACX47" s="100"/>
      <c r="ACY47" s="100"/>
      <c r="ACZ47" s="100"/>
      <c r="ADA47" s="100"/>
      <c r="ADB47" s="100"/>
      <c r="ADC47" s="100"/>
      <c r="ADD47" s="100"/>
      <c r="ADE47" s="100"/>
      <c r="ADF47" s="100"/>
      <c r="ADG47" s="100"/>
      <c r="ADH47" s="100"/>
      <c r="ADI47" s="100"/>
      <c r="ADJ47" s="100"/>
      <c r="ADK47" s="100"/>
      <c r="ADL47" s="100"/>
      <c r="ADM47" s="100"/>
      <c r="ADN47" s="100"/>
      <c r="ADO47" s="100"/>
      <c r="ADP47" s="100"/>
      <c r="ADQ47" s="100"/>
      <c r="ADR47" s="100"/>
      <c r="ADS47" s="100"/>
      <c r="ADT47" s="100"/>
      <c r="ADU47" s="100"/>
      <c r="ADV47" s="100"/>
      <c r="ADW47" s="100"/>
      <c r="ADX47" s="100"/>
      <c r="ADY47" s="100"/>
      <c r="ADZ47" s="100"/>
      <c r="AEA47" s="100"/>
      <c r="AEB47" s="100"/>
      <c r="AEC47" s="100"/>
      <c r="AED47" s="100"/>
      <c r="AEE47" s="100"/>
      <c r="AEF47" s="100"/>
      <c r="AEG47" s="100"/>
      <c r="AEH47" s="100"/>
      <c r="AEI47" s="100"/>
      <c r="AEJ47" s="100"/>
      <c r="AEK47" s="100"/>
      <c r="AEL47" s="100"/>
      <c r="AEM47" s="100"/>
      <c r="AEN47" s="100"/>
      <c r="AEO47" s="100"/>
      <c r="AEP47" s="100"/>
      <c r="AEQ47" s="100"/>
      <c r="AER47" s="100"/>
      <c r="AES47" s="100"/>
      <c r="AET47" s="100"/>
      <c r="AEU47" s="100"/>
      <c r="AEV47" s="100"/>
      <c r="AEW47" s="100"/>
      <c r="AEX47" s="100"/>
      <c r="AEY47" s="100"/>
      <c r="AEZ47" s="100"/>
      <c r="AFA47" s="100"/>
      <c r="AFB47" s="100"/>
      <c r="AFC47" s="100"/>
      <c r="AFD47" s="100"/>
      <c r="AFE47" s="100"/>
      <c r="AFF47" s="100"/>
      <c r="AFG47" s="100"/>
      <c r="AFH47" s="100"/>
      <c r="AFI47" s="100"/>
      <c r="AFJ47" s="100"/>
      <c r="AFK47" s="100"/>
      <c r="AFL47" s="100"/>
      <c r="AFM47" s="100"/>
      <c r="AFN47" s="100"/>
      <c r="AFO47" s="100"/>
      <c r="AFP47" s="100"/>
      <c r="AFQ47" s="100"/>
      <c r="AFR47" s="100"/>
      <c r="AFS47" s="100"/>
      <c r="AFT47" s="100"/>
      <c r="AFU47" s="100"/>
      <c r="AFV47" s="100"/>
      <c r="AFW47" s="100"/>
      <c r="AFX47" s="100"/>
      <c r="AFY47" s="100"/>
      <c r="AFZ47" s="100"/>
      <c r="AGA47" s="100"/>
      <c r="AGB47" s="100"/>
      <c r="AGC47" s="100"/>
      <c r="AGD47" s="100"/>
      <c r="AGE47" s="100"/>
      <c r="AGF47" s="100"/>
      <c r="AGG47" s="100"/>
      <c r="AGH47" s="100"/>
      <c r="AGI47" s="100"/>
      <c r="AGJ47" s="100"/>
      <c r="AGK47" s="100"/>
      <c r="AGL47" s="100"/>
      <c r="AGM47" s="100"/>
      <c r="AGN47" s="100"/>
      <c r="AGO47" s="100"/>
      <c r="AGP47" s="100"/>
      <c r="AGQ47" s="100"/>
      <c r="AGR47" s="100"/>
      <c r="AGS47" s="100"/>
      <c r="AGT47" s="100"/>
      <c r="AGU47" s="100"/>
      <c r="AGV47" s="100"/>
      <c r="AGW47" s="100"/>
      <c r="AGX47" s="100"/>
      <c r="AGY47" s="100"/>
      <c r="AGZ47" s="100"/>
      <c r="AHA47" s="100"/>
      <c r="AHB47" s="100"/>
      <c r="AHC47" s="100"/>
      <c r="AHD47" s="100"/>
      <c r="AHE47" s="100"/>
      <c r="AHF47" s="100"/>
      <c r="AHG47" s="100"/>
      <c r="AHH47" s="100"/>
      <c r="AHI47" s="100"/>
      <c r="AHJ47" s="100"/>
      <c r="AHK47" s="100"/>
      <c r="AHL47" s="100"/>
      <c r="AHM47" s="100"/>
      <c r="AHN47" s="100"/>
      <c r="AHO47" s="100"/>
      <c r="AHP47" s="100"/>
      <c r="AHQ47" s="100"/>
      <c r="AHR47" s="100"/>
      <c r="AHS47" s="100"/>
      <c r="AHT47" s="100"/>
      <c r="AHU47" s="100"/>
      <c r="AHV47" s="100"/>
      <c r="AHW47" s="100"/>
      <c r="AHX47" s="100"/>
      <c r="AHY47" s="100"/>
      <c r="AHZ47" s="100"/>
      <c r="AIA47" s="100"/>
      <c r="AIB47" s="100"/>
      <c r="AIC47" s="100"/>
      <c r="AID47" s="100"/>
      <c r="AIE47" s="100"/>
      <c r="AIF47" s="100"/>
      <c r="AIG47" s="100"/>
      <c r="AIH47" s="100"/>
      <c r="AII47" s="100"/>
      <c r="AIJ47" s="100"/>
      <c r="AIK47" s="100"/>
      <c r="AIL47" s="100"/>
      <c r="AIM47" s="100"/>
      <c r="AIN47" s="100"/>
      <c r="AIO47" s="100"/>
      <c r="AIP47" s="100"/>
      <c r="AIQ47" s="100"/>
      <c r="AIR47" s="100"/>
      <c r="AIS47" s="100"/>
      <c r="AIT47" s="100"/>
      <c r="AIU47" s="100"/>
      <c r="AIV47" s="100"/>
      <c r="AIW47" s="100"/>
      <c r="AIX47" s="100"/>
      <c r="AIY47" s="100"/>
      <c r="AIZ47" s="100"/>
      <c r="AJA47" s="100"/>
      <c r="AJB47" s="100"/>
      <c r="AJC47" s="100"/>
      <c r="AJD47" s="100"/>
      <c r="AJE47" s="100"/>
      <c r="AJF47" s="100"/>
      <c r="AJG47" s="100"/>
      <c r="AJH47" s="100"/>
      <c r="AJI47" s="100"/>
      <c r="AJJ47" s="100"/>
      <c r="AJK47" s="100"/>
      <c r="AJL47" s="100"/>
      <c r="AJM47" s="100"/>
      <c r="AJN47" s="100"/>
      <c r="AJO47" s="100"/>
      <c r="AJP47" s="100"/>
      <c r="AJQ47" s="100"/>
      <c r="AJR47" s="100"/>
      <c r="AJS47" s="100"/>
      <c r="AJT47" s="100"/>
      <c r="AJU47" s="100"/>
      <c r="AJV47" s="100"/>
      <c r="AJW47" s="100"/>
      <c r="AJX47" s="100"/>
      <c r="AJY47" s="100"/>
      <c r="AJZ47" s="100"/>
      <c r="AKA47" s="100"/>
      <c r="AKB47" s="100"/>
      <c r="AKC47" s="100"/>
      <c r="AKD47" s="100"/>
      <c r="AKE47" s="100"/>
      <c r="AKF47" s="100"/>
      <c r="AKG47" s="100"/>
      <c r="AKH47" s="100"/>
      <c r="AKI47" s="100"/>
      <c r="AKJ47" s="100"/>
      <c r="AKK47" s="100"/>
      <c r="AKL47" s="100"/>
      <c r="AKM47" s="100"/>
      <c r="AKN47" s="100"/>
      <c r="AKO47" s="100"/>
      <c r="AKP47" s="100"/>
      <c r="AKQ47" s="100"/>
      <c r="AKR47" s="100"/>
      <c r="AKS47" s="100"/>
      <c r="AKT47" s="100"/>
      <c r="AKU47" s="100"/>
      <c r="AKV47" s="100"/>
      <c r="AKW47" s="100"/>
      <c r="AKX47" s="100"/>
      <c r="AKY47" s="100"/>
      <c r="AKZ47" s="100"/>
      <c r="ALA47" s="100"/>
      <c r="ALB47" s="100"/>
      <c r="ALC47" s="100"/>
      <c r="ALD47" s="100"/>
      <c r="ALE47" s="100"/>
      <c r="ALF47" s="100"/>
      <c r="ALG47" s="100"/>
      <c r="ALH47" s="100"/>
      <c r="ALI47" s="100"/>
      <c r="ALJ47" s="100"/>
      <c r="ALK47" s="100"/>
      <c r="ALL47" s="100"/>
      <c r="ALM47" s="100"/>
      <c r="ALN47" s="100"/>
      <c r="ALO47" s="100"/>
      <c r="ALP47" s="100"/>
      <c r="ALQ47" s="100"/>
      <c r="ALR47" s="100"/>
      <c r="ALS47" s="100"/>
      <c r="ALT47" s="100"/>
      <c r="ALU47" s="100"/>
      <c r="ALV47" s="100"/>
      <c r="ALW47" s="100"/>
      <c r="ALX47" s="100"/>
      <c r="ALY47" s="100"/>
      <c r="ALZ47" s="100"/>
      <c r="AMA47" s="100"/>
      <c r="AMB47" s="100"/>
      <c r="AMC47" s="100"/>
      <c r="AMD47" s="100"/>
      <c r="AME47" s="100"/>
      <c r="AMF47" s="100"/>
      <c r="AMG47" s="100"/>
      <c r="AMH47" s="100"/>
      <c r="AMI47" s="100"/>
      <c r="AMJ47" s="100"/>
      <c r="AMK47" s="100"/>
      <c r="AML47" s="100"/>
      <c r="AMM47" s="100"/>
      <c r="AMN47" s="100"/>
      <c r="AMO47" s="100"/>
      <c r="AMP47" s="100"/>
      <c r="AMQ47" s="100"/>
      <c r="AMR47" s="100"/>
      <c r="AMS47" s="100"/>
      <c r="AMT47" s="100"/>
      <c r="AMU47" s="100"/>
      <c r="AMV47" s="100"/>
      <c r="AMW47" s="100"/>
      <c r="AMX47" s="100"/>
      <c r="AMY47" s="100"/>
      <c r="AMZ47" s="100"/>
      <c r="ANA47" s="100"/>
      <c r="ANB47" s="100"/>
      <c r="ANC47" s="100"/>
      <c r="AND47" s="100"/>
      <c r="ANE47" s="100"/>
      <c r="ANF47" s="100"/>
      <c r="ANG47" s="100"/>
      <c r="ANH47" s="100"/>
      <c r="ANI47" s="100"/>
      <c r="ANJ47" s="100"/>
      <c r="ANK47" s="100"/>
      <c r="ANL47" s="100"/>
      <c r="ANM47" s="100"/>
      <c r="ANN47" s="100"/>
      <c r="ANO47" s="100"/>
      <c r="ANP47" s="100"/>
      <c r="ANQ47" s="100"/>
      <c r="ANR47" s="100"/>
      <c r="ANS47" s="100"/>
      <c r="ANT47" s="100"/>
      <c r="ANU47" s="100"/>
      <c r="ANV47" s="100"/>
      <c r="ANW47" s="100"/>
      <c r="ANX47" s="100"/>
      <c r="ANY47" s="100"/>
      <c r="ANZ47" s="100"/>
      <c r="AOA47" s="100"/>
      <c r="AOB47" s="100"/>
      <c r="AOC47" s="100"/>
      <c r="AOD47" s="100"/>
      <c r="AOE47" s="100"/>
      <c r="AOF47" s="100"/>
      <c r="AOG47" s="100"/>
      <c r="AOH47" s="100"/>
      <c r="AOI47" s="100"/>
      <c r="AOJ47" s="100"/>
      <c r="AOK47" s="100"/>
      <c r="AOL47" s="100"/>
      <c r="AOM47" s="100"/>
      <c r="AON47" s="100"/>
      <c r="AOO47" s="100"/>
      <c r="AOP47" s="100"/>
      <c r="AOQ47" s="100"/>
      <c r="AOR47" s="100"/>
      <c r="AOS47" s="100"/>
      <c r="AOT47" s="100"/>
      <c r="AOU47" s="100"/>
      <c r="AOV47" s="100"/>
      <c r="AOW47" s="100"/>
      <c r="AOX47" s="100"/>
      <c r="AOY47" s="100"/>
      <c r="AOZ47" s="100"/>
      <c r="APA47" s="100"/>
      <c r="APB47" s="100"/>
      <c r="APC47" s="100"/>
      <c r="APD47" s="100"/>
      <c r="APE47" s="100"/>
      <c r="APF47" s="100"/>
      <c r="APG47" s="100"/>
      <c r="APH47" s="100"/>
      <c r="API47" s="100"/>
      <c r="APJ47" s="100"/>
      <c r="APK47" s="100"/>
      <c r="APL47" s="100"/>
      <c r="APM47" s="100"/>
      <c r="APN47" s="100"/>
      <c r="APO47" s="100"/>
      <c r="APP47" s="100"/>
      <c r="APQ47" s="100"/>
      <c r="APR47" s="100"/>
      <c r="APS47" s="100"/>
      <c r="APT47" s="100"/>
      <c r="APU47" s="100"/>
      <c r="APV47" s="100"/>
      <c r="APW47" s="100"/>
      <c r="APX47" s="100"/>
      <c r="APY47" s="100"/>
      <c r="APZ47" s="100"/>
      <c r="AQA47" s="100"/>
      <c r="AQB47" s="100"/>
      <c r="AQC47" s="100"/>
      <c r="AQD47" s="100"/>
      <c r="AQE47" s="100"/>
      <c r="AQF47" s="100"/>
      <c r="AQG47" s="100"/>
      <c r="AQH47" s="100"/>
      <c r="AQI47" s="100"/>
      <c r="AQJ47" s="100"/>
      <c r="AQK47" s="100"/>
      <c r="AQL47" s="100"/>
      <c r="AQM47" s="100"/>
      <c r="AQN47" s="100"/>
      <c r="AQO47" s="100"/>
      <c r="AQP47" s="100"/>
      <c r="AQQ47" s="100"/>
      <c r="AQR47" s="100"/>
      <c r="AQS47" s="100"/>
      <c r="AQT47" s="100"/>
      <c r="AQU47" s="100"/>
      <c r="AQV47" s="100"/>
      <c r="AQW47" s="100"/>
      <c r="AQX47" s="100"/>
      <c r="AQY47" s="100"/>
      <c r="AQZ47" s="100"/>
      <c r="ARA47" s="100"/>
      <c r="ARB47" s="100"/>
      <c r="ARC47" s="100"/>
      <c r="ARD47" s="100"/>
      <c r="ARE47" s="100"/>
      <c r="ARF47" s="100"/>
      <c r="ARG47" s="100"/>
      <c r="ARH47" s="100"/>
      <c r="ARI47" s="100"/>
      <c r="ARJ47" s="100"/>
      <c r="ARK47" s="100"/>
      <c r="ARL47" s="100"/>
      <c r="ARM47" s="100"/>
      <c r="ARN47" s="100"/>
      <c r="ARO47" s="100"/>
      <c r="ARP47" s="100"/>
      <c r="ARQ47" s="100"/>
      <c r="ARR47" s="100"/>
      <c r="ARS47" s="100"/>
      <c r="ART47" s="100"/>
      <c r="ARU47" s="100"/>
      <c r="ARV47" s="100"/>
      <c r="ARW47" s="100"/>
      <c r="ARX47" s="100"/>
      <c r="ARY47" s="100"/>
      <c r="ARZ47" s="100"/>
      <c r="ASA47" s="100"/>
      <c r="ASB47" s="100"/>
      <c r="ASC47" s="100"/>
      <c r="ASD47" s="100"/>
      <c r="ASE47" s="100"/>
      <c r="ASF47" s="100"/>
      <c r="ASG47" s="100"/>
      <c r="ASH47" s="100"/>
      <c r="ASI47" s="100"/>
      <c r="ASJ47" s="100"/>
      <c r="ASK47" s="100"/>
      <c r="ASL47" s="100"/>
      <c r="ASM47" s="100"/>
      <c r="ASN47" s="100"/>
      <c r="ASO47" s="100"/>
      <c r="ASP47" s="100"/>
      <c r="ASQ47" s="100"/>
      <c r="ASR47" s="100"/>
      <c r="ASS47" s="100"/>
      <c r="AST47" s="100"/>
      <c r="ASU47" s="100"/>
      <c r="ASV47" s="100"/>
      <c r="ASW47" s="100"/>
      <c r="ASX47" s="100"/>
      <c r="ASY47" s="100"/>
      <c r="ASZ47" s="100"/>
      <c r="ATA47" s="100"/>
      <c r="ATB47" s="100"/>
      <c r="ATC47" s="100"/>
      <c r="ATD47" s="100"/>
      <c r="ATE47" s="100"/>
      <c r="ATF47" s="100"/>
      <c r="ATG47" s="100"/>
      <c r="ATH47" s="100"/>
      <c r="ATI47" s="100"/>
      <c r="ATJ47" s="100"/>
      <c r="ATK47" s="100"/>
      <c r="ATL47" s="100"/>
      <c r="ATM47" s="100"/>
      <c r="ATN47" s="100"/>
      <c r="ATO47" s="100"/>
      <c r="ATP47" s="100"/>
      <c r="ATQ47" s="100"/>
      <c r="ATR47" s="100"/>
      <c r="ATS47" s="100"/>
      <c r="ATT47" s="100"/>
      <c r="ATU47" s="100"/>
      <c r="ATV47" s="100"/>
      <c r="ATW47" s="100"/>
      <c r="ATX47" s="100"/>
      <c r="ATY47" s="100"/>
      <c r="ATZ47" s="100"/>
      <c r="AUA47" s="100"/>
      <c r="AUB47" s="100"/>
      <c r="AUC47" s="100"/>
      <c r="AUD47" s="100"/>
      <c r="AUE47" s="100"/>
      <c r="AUF47" s="100"/>
      <c r="AUG47" s="100"/>
      <c r="AUH47" s="100"/>
      <c r="AUI47" s="100"/>
      <c r="AUJ47" s="100"/>
      <c r="AUK47" s="100"/>
      <c r="AUL47" s="100"/>
      <c r="AUM47" s="100"/>
      <c r="AUN47" s="100"/>
      <c r="AUO47" s="100"/>
      <c r="AUP47" s="100"/>
      <c r="AUQ47" s="100"/>
      <c r="AUR47" s="100"/>
      <c r="AUS47" s="100"/>
      <c r="AUT47" s="100"/>
      <c r="AUU47" s="100"/>
      <c r="AUV47" s="100"/>
      <c r="AUW47" s="100"/>
      <c r="AUX47" s="100"/>
      <c r="AUY47" s="100"/>
      <c r="AUZ47" s="100"/>
      <c r="AVA47" s="100"/>
      <c r="AVB47" s="100"/>
      <c r="AVC47" s="100"/>
      <c r="AVD47" s="100"/>
      <c r="AVE47" s="100"/>
      <c r="AVF47" s="100"/>
      <c r="AVG47" s="100"/>
      <c r="AVH47" s="100"/>
      <c r="AVI47" s="100"/>
      <c r="AVJ47" s="100"/>
      <c r="AVK47" s="100"/>
      <c r="AVL47" s="100"/>
      <c r="AVM47" s="100"/>
      <c r="AVN47" s="100"/>
      <c r="AVO47" s="100"/>
      <c r="AVP47" s="100"/>
      <c r="AVQ47" s="100"/>
      <c r="AVR47" s="100"/>
      <c r="AVS47" s="100"/>
      <c r="AVT47" s="100"/>
      <c r="AVU47" s="100"/>
      <c r="AVV47" s="100"/>
      <c r="AVW47" s="100"/>
      <c r="AVX47" s="100"/>
      <c r="AVY47" s="100"/>
      <c r="AVZ47" s="100"/>
      <c r="AWA47" s="100"/>
      <c r="AWB47" s="100"/>
      <c r="AWC47" s="100"/>
      <c r="AWD47" s="100"/>
      <c r="AWE47" s="100"/>
      <c r="AWF47" s="100"/>
      <c r="AWG47" s="100"/>
      <c r="AWH47" s="100"/>
      <c r="AWI47" s="100"/>
      <c r="AWJ47" s="100"/>
      <c r="AWK47" s="100"/>
      <c r="AWL47" s="100"/>
      <c r="AWM47" s="100"/>
      <c r="AWN47" s="100"/>
      <c r="AWO47" s="100"/>
      <c r="AWP47" s="100"/>
      <c r="AWQ47" s="100"/>
      <c r="AWR47" s="100"/>
      <c r="AWS47" s="100"/>
      <c r="AWT47" s="100"/>
      <c r="AWU47" s="100"/>
      <c r="AWV47" s="100"/>
      <c r="AWW47" s="100"/>
      <c r="AWX47" s="100"/>
      <c r="AWY47" s="100"/>
      <c r="AWZ47" s="100"/>
      <c r="AXA47" s="100"/>
      <c r="AXB47" s="100"/>
      <c r="AXC47" s="100"/>
      <c r="AXD47" s="100"/>
      <c r="AXE47" s="100"/>
      <c r="AXF47" s="100"/>
      <c r="AXG47" s="100"/>
      <c r="AXH47" s="100"/>
      <c r="AXI47" s="100"/>
      <c r="AXJ47" s="100"/>
      <c r="AXK47" s="100"/>
      <c r="AXL47" s="100"/>
      <c r="AXM47" s="100"/>
      <c r="AXN47" s="100"/>
      <c r="AXO47" s="100"/>
      <c r="AXP47" s="100"/>
      <c r="AXQ47" s="100"/>
      <c r="AXR47" s="100"/>
      <c r="AXS47" s="100"/>
      <c r="AXT47" s="100"/>
      <c r="AXU47" s="100"/>
      <c r="AXV47" s="100"/>
      <c r="AXW47" s="100"/>
      <c r="AXX47" s="100"/>
      <c r="AXY47" s="100"/>
      <c r="AXZ47" s="100"/>
      <c r="AYA47" s="100"/>
      <c r="AYB47" s="100"/>
      <c r="AYC47" s="100"/>
      <c r="AYD47" s="100"/>
      <c r="AYE47" s="100"/>
      <c r="AYF47" s="100"/>
      <c r="AYG47" s="100"/>
      <c r="AYH47" s="100"/>
      <c r="AYI47" s="100"/>
      <c r="AYJ47" s="100"/>
      <c r="AYK47" s="100"/>
      <c r="AYL47" s="100"/>
      <c r="AYM47" s="100"/>
      <c r="AYN47" s="100"/>
      <c r="AYO47" s="100"/>
      <c r="AYP47" s="100"/>
      <c r="AYQ47" s="100"/>
      <c r="AYR47" s="100"/>
      <c r="AYS47" s="100"/>
      <c r="AYT47" s="100"/>
      <c r="AYU47" s="100"/>
      <c r="AYV47" s="100"/>
      <c r="AYW47" s="100"/>
      <c r="AYX47" s="100"/>
      <c r="AYY47" s="100"/>
      <c r="AYZ47" s="100"/>
      <c r="AZA47" s="100"/>
      <c r="AZB47" s="100"/>
      <c r="AZC47" s="100"/>
      <c r="AZD47" s="100"/>
      <c r="AZE47" s="100"/>
      <c r="AZF47" s="100"/>
      <c r="AZG47" s="100"/>
      <c r="AZH47" s="100"/>
      <c r="AZI47" s="100"/>
      <c r="AZJ47" s="100"/>
      <c r="AZK47" s="100"/>
      <c r="AZL47" s="100"/>
      <c r="AZM47" s="100"/>
      <c r="AZN47" s="100"/>
      <c r="AZO47" s="100"/>
      <c r="AZP47" s="100"/>
      <c r="AZQ47" s="100"/>
      <c r="AZR47" s="100"/>
      <c r="AZS47" s="100"/>
      <c r="AZT47" s="100"/>
      <c r="AZU47" s="100"/>
      <c r="AZV47" s="100"/>
      <c r="AZW47" s="100"/>
      <c r="AZX47" s="100"/>
      <c r="AZY47" s="100"/>
      <c r="AZZ47" s="100"/>
      <c r="BAA47" s="100"/>
      <c r="BAB47" s="100"/>
      <c r="BAC47" s="100"/>
      <c r="BAD47" s="100"/>
      <c r="BAE47" s="100"/>
      <c r="BAF47" s="100"/>
      <c r="BAG47" s="100"/>
      <c r="BAH47" s="100"/>
      <c r="BAI47" s="100"/>
      <c r="BAJ47" s="100"/>
      <c r="BAK47" s="100"/>
      <c r="BAL47" s="100"/>
      <c r="BAM47" s="100"/>
      <c r="BAN47" s="100"/>
      <c r="BAO47" s="100"/>
      <c r="BAP47" s="100"/>
      <c r="BAQ47" s="100"/>
      <c r="BAR47" s="100"/>
      <c r="BAS47" s="100"/>
      <c r="BAT47" s="100"/>
      <c r="BAU47" s="100"/>
      <c r="BAV47" s="100"/>
      <c r="BAW47" s="100"/>
      <c r="BAX47" s="100"/>
      <c r="BAY47" s="100"/>
      <c r="BAZ47" s="100"/>
      <c r="BBA47" s="100"/>
      <c r="BBB47" s="100"/>
      <c r="BBC47" s="100"/>
      <c r="BBD47" s="100"/>
      <c r="BBE47" s="100"/>
      <c r="BBF47" s="100"/>
      <c r="BBG47" s="100"/>
      <c r="BBH47" s="100"/>
      <c r="BBI47" s="100"/>
      <c r="BBJ47" s="100"/>
      <c r="BBK47" s="100"/>
      <c r="BBL47" s="100"/>
      <c r="BBM47" s="100"/>
      <c r="BBN47" s="100"/>
      <c r="BBO47" s="100"/>
      <c r="BBP47" s="100"/>
      <c r="BBQ47" s="100"/>
      <c r="BBR47" s="100"/>
      <c r="BBS47" s="100"/>
      <c r="BBT47" s="100"/>
      <c r="BBU47" s="100"/>
      <c r="BBV47" s="100"/>
      <c r="BBW47" s="100"/>
      <c r="BBX47" s="100"/>
      <c r="BBY47" s="100"/>
      <c r="BBZ47" s="100"/>
      <c r="BCA47" s="100"/>
      <c r="BCB47" s="100"/>
      <c r="BCC47" s="100"/>
      <c r="BCD47" s="100"/>
      <c r="BCE47" s="100"/>
      <c r="BCF47" s="100"/>
      <c r="BCG47" s="100"/>
      <c r="BCH47" s="100"/>
      <c r="BCI47" s="100"/>
      <c r="BCJ47" s="100"/>
      <c r="BCK47" s="100"/>
      <c r="BCL47" s="100"/>
      <c r="BCM47" s="100"/>
      <c r="BCN47" s="100"/>
      <c r="BCO47" s="100"/>
      <c r="BCP47" s="100"/>
      <c r="BCQ47" s="100"/>
      <c r="BCR47" s="100"/>
      <c r="BCS47" s="100"/>
      <c r="BCT47" s="100"/>
      <c r="BCU47" s="100"/>
      <c r="BCV47" s="100"/>
      <c r="BCW47" s="100"/>
      <c r="BCX47" s="100"/>
      <c r="BCY47" s="100"/>
      <c r="BCZ47" s="100"/>
      <c r="BDA47" s="100"/>
      <c r="BDB47" s="100"/>
      <c r="BDC47" s="100"/>
      <c r="BDD47" s="100"/>
      <c r="BDE47" s="100"/>
      <c r="BDF47" s="100"/>
      <c r="BDG47" s="100"/>
      <c r="BDH47" s="100"/>
      <c r="BDI47" s="100"/>
      <c r="BDJ47" s="100"/>
      <c r="BDK47" s="100"/>
      <c r="BDL47" s="100"/>
      <c r="BDM47" s="100"/>
      <c r="BDN47" s="100"/>
      <c r="BDO47" s="100"/>
      <c r="BDP47" s="100"/>
      <c r="BDQ47" s="100"/>
      <c r="BDR47" s="100"/>
      <c r="BDS47" s="100"/>
      <c r="BDT47" s="100"/>
      <c r="BDU47" s="100"/>
      <c r="BDV47" s="100"/>
      <c r="BDW47" s="100"/>
      <c r="BDX47" s="100"/>
      <c r="BDY47" s="100"/>
      <c r="BDZ47" s="100"/>
      <c r="BEA47" s="100"/>
      <c r="BEB47" s="100"/>
      <c r="BEC47" s="100"/>
      <c r="BED47" s="100"/>
      <c r="BEE47" s="100"/>
      <c r="BEF47" s="100"/>
      <c r="BEG47" s="100"/>
      <c r="BEH47" s="100"/>
      <c r="BEI47" s="100"/>
      <c r="BEJ47" s="100"/>
      <c r="BEK47" s="100"/>
      <c r="BEL47" s="100"/>
      <c r="BEM47" s="100"/>
      <c r="BEN47" s="100"/>
      <c r="BEO47" s="100"/>
      <c r="BEP47" s="100"/>
      <c r="BEQ47" s="100"/>
      <c r="BER47" s="100"/>
      <c r="BES47" s="100"/>
      <c r="BET47" s="100"/>
      <c r="BEU47" s="100"/>
      <c r="BEV47" s="100"/>
      <c r="BEW47" s="100"/>
      <c r="BEX47" s="100"/>
      <c r="BEY47" s="100"/>
      <c r="BEZ47" s="100"/>
      <c r="BFA47" s="100"/>
      <c r="BFB47" s="100"/>
      <c r="BFC47" s="100"/>
      <c r="BFD47" s="100"/>
      <c r="BFE47" s="100"/>
      <c r="BFF47" s="100"/>
      <c r="BFG47" s="100"/>
      <c r="BFH47" s="100"/>
      <c r="BFI47" s="100"/>
      <c r="BFJ47" s="100"/>
      <c r="BFK47" s="100"/>
      <c r="BFL47" s="100"/>
      <c r="BFM47" s="100"/>
      <c r="BFN47" s="100"/>
      <c r="BFO47" s="100"/>
      <c r="BFP47" s="100"/>
      <c r="BFQ47" s="100"/>
      <c r="BFR47" s="100"/>
      <c r="BFS47" s="100"/>
      <c r="BFT47" s="100"/>
      <c r="BFU47" s="100"/>
      <c r="BFV47" s="100"/>
      <c r="BFW47" s="100"/>
      <c r="BFX47" s="100"/>
      <c r="BFY47" s="100"/>
      <c r="BFZ47" s="100"/>
      <c r="BGA47" s="100"/>
      <c r="BGB47" s="100"/>
      <c r="BGC47" s="100"/>
      <c r="BGD47" s="100"/>
      <c r="BGE47" s="100"/>
      <c r="BGF47" s="100"/>
      <c r="BGG47" s="100"/>
      <c r="BGH47" s="100"/>
      <c r="BGI47" s="100"/>
      <c r="BGJ47" s="100"/>
      <c r="BGK47" s="100"/>
      <c r="BGL47" s="100"/>
      <c r="BGM47" s="100"/>
      <c r="BGN47" s="100"/>
      <c r="BGO47" s="100"/>
      <c r="BGP47" s="100"/>
      <c r="BGQ47" s="100"/>
      <c r="BGR47" s="100"/>
      <c r="BGS47" s="100"/>
      <c r="BGT47" s="100"/>
      <c r="BGU47" s="100"/>
      <c r="BGV47" s="100"/>
      <c r="BGW47" s="100"/>
      <c r="BGX47" s="100"/>
      <c r="BGY47" s="100"/>
      <c r="BGZ47" s="100"/>
      <c r="BHA47" s="100"/>
      <c r="BHB47" s="100"/>
      <c r="BHC47" s="100"/>
      <c r="BHD47" s="100"/>
      <c r="BHE47" s="100"/>
      <c r="BHF47" s="100"/>
      <c r="BHG47" s="100"/>
      <c r="BHH47" s="100"/>
      <c r="BHI47" s="100"/>
      <c r="BHJ47" s="100"/>
      <c r="BHK47" s="100"/>
      <c r="BHL47" s="100"/>
      <c r="BHM47" s="100"/>
      <c r="BHN47" s="100"/>
      <c r="BHO47" s="100"/>
      <c r="BHP47" s="100"/>
      <c r="BHQ47" s="100"/>
      <c r="BHR47" s="100"/>
      <c r="BHS47" s="100"/>
      <c r="BHT47" s="100"/>
      <c r="BHU47" s="100"/>
      <c r="BHV47" s="100"/>
      <c r="BHW47" s="100"/>
      <c r="BHX47" s="100"/>
      <c r="BHY47" s="100"/>
      <c r="BHZ47" s="100"/>
      <c r="BIA47" s="100"/>
      <c r="BIB47" s="100"/>
      <c r="BIC47" s="100"/>
      <c r="BID47" s="100"/>
      <c r="BIE47" s="100"/>
      <c r="BIF47" s="100"/>
      <c r="BIG47" s="100"/>
      <c r="BIH47" s="100"/>
      <c r="BII47" s="100"/>
      <c r="BIJ47" s="100"/>
      <c r="BIK47" s="100"/>
      <c r="BIL47" s="100"/>
      <c r="BIM47" s="100"/>
      <c r="BIN47" s="100"/>
      <c r="BIO47" s="100"/>
      <c r="BIP47" s="100"/>
      <c r="BIQ47" s="100"/>
      <c r="BIR47" s="100"/>
      <c r="BIS47" s="100"/>
      <c r="BIT47" s="100"/>
      <c r="BIU47" s="100"/>
      <c r="BIV47" s="100"/>
      <c r="BIW47" s="100"/>
      <c r="BIX47" s="100"/>
      <c r="BIY47" s="100"/>
      <c r="BIZ47" s="100"/>
      <c r="BJA47" s="100"/>
      <c r="BJB47" s="100"/>
      <c r="BJC47" s="100"/>
      <c r="BJD47" s="100"/>
      <c r="BJE47" s="100"/>
      <c r="BJF47" s="100"/>
      <c r="BJG47" s="100"/>
      <c r="BJH47" s="100"/>
      <c r="BJI47" s="100"/>
      <c r="BJJ47" s="100"/>
      <c r="BJK47" s="100"/>
      <c r="BJL47" s="100"/>
      <c r="BJM47" s="100"/>
      <c r="BJN47" s="100"/>
      <c r="BJO47" s="100"/>
      <c r="BJP47" s="100"/>
      <c r="BJQ47" s="100"/>
      <c r="BJR47" s="100"/>
      <c r="BJS47" s="100"/>
      <c r="BJT47" s="100"/>
      <c r="BJU47" s="100"/>
      <c r="BJV47" s="100"/>
      <c r="BJW47" s="100"/>
      <c r="BJX47" s="100"/>
      <c r="BJY47" s="100"/>
      <c r="BJZ47" s="100"/>
      <c r="BKA47" s="100"/>
      <c r="BKB47" s="100"/>
      <c r="BKC47" s="100"/>
      <c r="BKD47" s="100"/>
      <c r="BKE47" s="100"/>
      <c r="BKF47" s="100"/>
      <c r="BKG47" s="100"/>
      <c r="BKH47" s="100"/>
      <c r="BKI47" s="100"/>
      <c r="BKJ47" s="100"/>
      <c r="BKK47" s="100"/>
      <c r="BKL47" s="100"/>
      <c r="BKM47" s="100"/>
      <c r="BKN47" s="100"/>
      <c r="BKO47" s="100"/>
      <c r="BKP47" s="100"/>
      <c r="BKQ47" s="100"/>
      <c r="BKR47" s="100"/>
      <c r="BKS47" s="100"/>
      <c r="BKT47" s="100"/>
      <c r="BKU47" s="100"/>
      <c r="BKV47" s="100"/>
      <c r="BKW47" s="100"/>
      <c r="BKX47" s="100"/>
      <c r="BKY47" s="100"/>
      <c r="BKZ47" s="100"/>
      <c r="BLA47" s="100"/>
      <c r="BLB47" s="100"/>
      <c r="BLC47" s="100"/>
      <c r="BLD47" s="100"/>
      <c r="BLE47" s="100"/>
      <c r="BLF47" s="100"/>
      <c r="BLG47" s="100"/>
      <c r="BLH47" s="100"/>
      <c r="BLI47" s="100"/>
      <c r="BLJ47" s="100"/>
      <c r="BLK47" s="100"/>
      <c r="BLL47" s="100"/>
      <c r="BLM47" s="100"/>
      <c r="BLN47" s="100"/>
      <c r="BLO47" s="100"/>
      <c r="BLP47" s="100"/>
      <c r="BLQ47" s="100"/>
      <c r="BLR47" s="100"/>
      <c r="BLS47" s="100"/>
      <c r="BLT47" s="100"/>
      <c r="BLU47" s="100"/>
      <c r="BLV47" s="100"/>
      <c r="BLW47" s="100"/>
      <c r="BLX47" s="100"/>
      <c r="BLY47" s="100"/>
      <c r="BLZ47" s="100"/>
      <c r="BMA47" s="100"/>
      <c r="BMB47" s="100"/>
      <c r="BMC47" s="100"/>
      <c r="BMD47" s="100"/>
      <c r="BME47" s="100"/>
      <c r="BMF47" s="100"/>
      <c r="BMG47" s="100"/>
      <c r="BMH47" s="100"/>
      <c r="BMI47" s="100"/>
      <c r="BMJ47" s="100"/>
      <c r="BMK47" s="100"/>
      <c r="BML47" s="100"/>
      <c r="BMM47" s="100"/>
      <c r="BMN47" s="100"/>
      <c r="BMO47" s="100"/>
      <c r="BMP47" s="100"/>
      <c r="BMQ47" s="100"/>
      <c r="BMR47" s="100"/>
      <c r="BMS47" s="100"/>
      <c r="BMT47" s="100"/>
      <c r="BMU47" s="100"/>
      <c r="BMV47" s="100"/>
      <c r="BMW47" s="100"/>
      <c r="BMX47" s="100"/>
      <c r="BMY47" s="100"/>
      <c r="BMZ47" s="100"/>
      <c r="BNA47" s="100"/>
      <c r="BNB47" s="100"/>
      <c r="BNC47" s="100"/>
      <c r="BND47" s="100"/>
      <c r="BNE47" s="100"/>
      <c r="BNF47" s="100"/>
      <c r="BNG47" s="100"/>
      <c r="BNH47" s="100"/>
      <c r="BNI47" s="100"/>
      <c r="BNJ47" s="100"/>
      <c r="BNK47" s="100"/>
      <c r="BNL47" s="100"/>
      <c r="BNM47" s="100"/>
      <c r="BNN47" s="100"/>
      <c r="BNO47" s="100"/>
      <c r="BNP47" s="100"/>
      <c r="BNQ47" s="100"/>
      <c r="BNR47" s="100"/>
      <c r="BNS47" s="100"/>
      <c r="BNT47" s="100"/>
      <c r="BNU47" s="100"/>
      <c r="BNV47" s="100"/>
      <c r="BNW47" s="100"/>
      <c r="BNX47" s="100"/>
      <c r="BNY47" s="100"/>
      <c r="BNZ47" s="100"/>
      <c r="BOA47" s="100"/>
      <c r="BOB47" s="100"/>
      <c r="BOC47" s="100"/>
      <c r="BOD47" s="100"/>
      <c r="BOE47" s="100"/>
      <c r="BOF47" s="100"/>
      <c r="BOG47" s="100"/>
      <c r="BOH47" s="100"/>
      <c r="BOI47" s="100"/>
      <c r="BOJ47" s="100"/>
      <c r="BOK47" s="100"/>
      <c r="BOL47" s="100"/>
      <c r="BOM47" s="100"/>
      <c r="BON47" s="100"/>
      <c r="BOO47" s="100"/>
      <c r="BOP47" s="100"/>
      <c r="BOQ47" s="100"/>
      <c r="BOR47" s="100"/>
      <c r="BOS47" s="100"/>
      <c r="BOT47" s="100"/>
      <c r="BOU47" s="100"/>
      <c r="BOV47" s="100"/>
      <c r="BOW47" s="100"/>
      <c r="BOX47" s="100"/>
      <c r="BOY47" s="100"/>
      <c r="BOZ47" s="100"/>
      <c r="BPA47" s="100"/>
      <c r="BPB47" s="100"/>
      <c r="BPC47" s="100"/>
      <c r="BPD47" s="100"/>
      <c r="BPE47" s="100"/>
      <c r="BPF47" s="100"/>
      <c r="BPG47" s="100"/>
      <c r="BPH47" s="100"/>
      <c r="BPI47" s="100"/>
      <c r="BPJ47" s="100"/>
      <c r="BPK47" s="100"/>
      <c r="BPL47" s="100"/>
      <c r="BPM47" s="100"/>
      <c r="BPN47" s="100"/>
      <c r="BPO47" s="100"/>
      <c r="BPP47" s="100"/>
      <c r="BPQ47" s="100"/>
      <c r="BPR47" s="100"/>
      <c r="BPS47" s="100"/>
      <c r="BPT47" s="100"/>
      <c r="BPU47" s="100"/>
      <c r="BPV47" s="100"/>
      <c r="BPW47" s="100"/>
      <c r="BPX47" s="100"/>
      <c r="BPY47" s="100"/>
      <c r="BPZ47" s="100"/>
      <c r="BQA47" s="100"/>
      <c r="BQB47" s="100"/>
      <c r="BQC47" s="100"/>
      <c r="BQD47" s="100"/>
      <c r="BQE47" s="100"/>
      <c r="BQF47" s="100"/>
      <c r="BQG47" s="100"/>
      <c r="BQH47" s="100"/>
      <c r="BQI47" s="100"/>
      <c r="BQJ47" s="100"/>
      <c r="BQK47" s="100"/>
      <c r="BQL47" s="100"/>
      <c r="BQM47" s="100"/>
      <c r="BQN47" s="100"/>
      <c r="BQO47" s="100"/>
      <c r="BQP47" s="100"/>
      <c r="BQQ47" s="100"/>
      <c r="BQR47" s="100"/>
      <c r="BQS47" s="100"/>
      <c r="BQT47" s="100"/>
      <c r="BQU47" s="100"/>
      <c r="BQV47" s="100"/>
      <c r="BQW47" s="100"/>
      <c r="BQX47" s="100"/>
      <c r="BQY47" s="100"/>
      <c r="BQZ47" s="100"/>
      <c r="BRA47" s="100"/>
      <c r="BRB47" s="100"/>
      <c r="BRC47" s="100"/>
      <c r="BRD47" s="100"/>
      <c r="BRE47" s="100"/>
      <c r="BRF47" s="100"/>
      <c r="BRG47" s="100"/>
      <c r="BRH47" s="100"/>
      <c r="BRI47" s="100"/>
      <c r="BRJ47" s="100"/>
      <c r="BRK47" s="100"/>
      <c r="BRL47" s="100"/>
      <c r="BRM47" s="100"/>
      <c r="BRN47" s="100"/>
      <c r="BRO47" s="100"/>
      <c r="BRP47" s="100"/>
      <c r="BRQ47" s="100"/>
      <c r="BRR47" s="100"/>
      <c r="BRS47" s="100"/>
      <c r="BRT47" s="100"/>
      <c r="BRU47" s="100"/>
      <c r="BRV47" s="100"/>
      <c r="BRW47" s="100"/>
      <c r="BRX47" s="100"/>
      <c r="BRY47" s="100"/>
      <c r="BRZ47" s="100"/>
      <c r="BSA47" s="100"/>
      <c r="BSB47" s="100"/>
      <c r="BSC47" s="100"/>
      <c r="BSD47" s="100"/>
      <c r="BSE47" s="100"/>
      <c r="BSF47" s="100"/>
      <c r="BSG47" s="100"/>
      <c r="BSH47" s="100"/>
      <c r="BSI47" s="100"/>
      <c r="BSJ47" s="100"/>
      <c r="BSK47" s="100"/>
      <c r="BSL47" s="100"/>
      <c r="BSM47" s="100"/>
      <c r="BSN47" s="100"/>
      <c r="BSO47" s="100"/>
      <c r="BSP47" s="100"/>
      <c r="BSQ47" s="100"/>
      <c r="BSR47" s="100"/>
      <c r="BSS47" s="100"/>
      <c r="BST47" s="100"/>
      <c r="BSU47" s="100"/>
      <c r="BSV47" s="100"/>
      <c r="BSW47" s="100"/>
      <c r="BSX47" s="100"/>
      <c r="BSY47" s="100"/>
      <c r="BSZ47" s="100"/>
      <c r="BTA47" s="100"/>
      <c r="BTB47" s="100"/>
      <c r="BTC47" s="100"/>
      <c r="BTD47" s="100"/>
      <c r="BTE47" s="100"/>
      <c r="BTF47" s="100"/>
      <c r="BTG47" s="100"/>
      <c r="BTH47" s="100"/>
      <c r="BTI47" s="100"/>
      <c r="BTJ47" s="100"/>
      <c r="BTK47" s="100"/>
      <c r="BTL47" s="100"/>
      <c r="BTM47" s="100"/>
      <c r="BTN47" s="100"/>
      <c r="BTO47" s="100"/>
      <c r="BTP47" s="100"/>
      <c r="BTQ47" s="100"/>
      <c r="BTR47" s="100"/>
      <c r="BTS47" s="100"/>
      <c r="BTT47" s="100"/>
      <c r="BTU47" s="100"/>
      <c r="BTV47" s="100"/>
      <c r="BTW47" s="100"/>
      <c r="BTX47" s="100"/>
      <c r="BTY47" s="100"/>
      <c r="BTZ47" s="100"/>
      <c r="BUA47" s="100"/>
      <c r="BUB47" s="100"/>
      <c r="BUC47" s="100"/>
      <c r="BUD47" s="100"/>
      <c r="BUE47" s="100"/>
      <c r="BUF47" s="100"/>
      <c r="BUG47" s="100"/>
      <c r="BUH47" s="100"/>
      <c r="BUI47" s="100"/>
      <c r="BUJ47" s="100"/>
      <c r="BUK47" s="100"/>
      <c r="BUL47" s="100"/>
      <c r="BUM47" s="100"/>
      <c r="BUN47" s="100"/>
      <c r="BUO47" s="100"/>
      <c r="BUP47" s="100"/>
      <c r="BUQ47" s="100"/>
      <c r="BUR47" s="100"/>
      <c r="BUS47" s="100"/>
      <c r="BUT47" s="100"/>
      <c r="BUU47" s="100"/>
      <c r="BUV47" s="100"/>
      <c r="BUW47" s="100"/>
      <c r="BUX47" s="100"/>
      <c r="BUY47" s="100"/>
      <c r="BUZ47" s="100"/>
      <c r="BVA47" s="100"/>
      <c r="BVB47" s="100"/>
      <c r="BVC47" s="100"/>
      <c r="BVD47" s="100"/>
      <c r="BVE47" s="100"/>
      <c r="BVF47" s="100"/>
      <c r="BVG47" s="100"/>
      <c r="BVH47" s="100"/>
      <c r="BVI47" s="100"/>
      <c r="BVJ47" s="100"/>
      <c r="BVK47" s="100"/>
      <c r="BVL47" s="100"/>
      <c r="BVM47" s="100"/>
      <c r="BVN47" s="100"/>
      <c r="BVO47" s="100"/>
      <c r="BVP47" s="100"/>
      <c r="BVQ47" s="100"/>
      <c r="BVR47" s="100"/>
      <c r="BVS47" s="100"/>
      <c r="BVT47" s="100"/>
      <c r="BVU47" s="100"/>
      <c r="BVV47" s="100"/>
      <c r="BVW47" s="100"/>
      <c r="BVX47" s="100"/>
      <c r="BVY47" s="100"/>
      <c r="BVZ47" s="100"/>
      <c r="BWA47" s="100"/>
      <c r="BWB47" s="100"/>
      <c r="BWC47" s="100"/>
      <c r="BWD47" s="100"/>
      <c r="BWE47" s="100"/>
      <c r="BWF47" s="100"/>
      <c r="BWG47" s="100"/>
      <c r="BWH47" s="100"/>
      <c r="BWI47" s="100"/>
      <c r="BWJ47" s="100"/>
      <c r="BWK47" s="100"/>
      <c r="BWL47" s="100"/>
      <c r="BWM47" s="100"/>
      <c r="BWN47" s="100"/>
      <c r="BWO47" s="100"/>
      <c r="BWP47" s="100"/>
      <c r="BWQ47" s="100"/>
      <c r="BWR47" s="100"/>
      <c r="BWS47" s="100"/>
      <c r="BWT47" s="100"/>
      <c r="BWU47" s="100"/>
      <c r="BWV47" s="100"/>
      <c r="BWW47" s="100"/>
      <c r="BWX47" s="100"/>
      <c r="BWY47" s="100"/>
      <c r="BWZ47" s="100"/>
      <c r="BXA47" s="100"/>
      <c r="BXB47" s="100"/>
      <c r="BXC47" s="100"/>
      <c r="BXD47" s="100"/>
      <c r="BXE47" s="100"/>
      <c r="BXF47" s="100"/>
      <c r="BXG47" s="100"/>
      <c r="BXH47" s="100"/>
      <c r="BXI47" s="100"/>
      <c r="BXJ47" s="100"/>
      <c r="BXK47" s="100"/>
      <c r="BXL47" s="100"/>
      <c r="BXM47" s="100"/>
      <c r="BXN47" s="100"/>
      <c r="BXO47" s="100"/>
      <c r="BXP47" s="100"/>
      <c r="BXQ47" s="100"/>
      <c r="BXR47" s="100"/>
      <c r="BXS47" s="100"/>
      <c r="BXT47" s="100"/>
      <c r="BXU47" s="100"/>
      <c r="BXV47" s="100"/>
      <c r="BXW47" s="100"/>
      <c r="BXX47" s="100"/>
      <c r="BXY47" s="100"/>
      <c r="BXZ47" s="100"/>
      <c r="BYA47" s="100"/>
      <c r="BYB47" s="100"/>
      <c r="BYC47" s="100"/>
      <c r="BYD47" s="100"/>
      <c r="BYE47" s="100"/>
      <c r="BYF47" s="100"/>
      <c r="BYG47" s="100"/>
    </row>
    <row r="48" spans="1:2009" s="118" customFormat="1" ht="24.95" customHeight="1" x14ac:dyDescent="0.25">
      <c r="A48" s="388"/>
      <c r="B48" s="662" t="s">
        <v>349</v>
      </c>
      <c r="C48" s="475">
        <v>12020.1</v>
      </c>
      <c r="D48" s="475">
        <v>13940.57</v>
      </c>
      <c r="E48" s="475"/>
      <c r="F48" s="663"/>
      <c r="G48" s="729">
        <f>ROUND(SUM(C48:F48),5)</f>
        <v>25960.67</v>
      </c>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c r="IW48" s="100"/>
      <c r="IX48" s="100"/>
      <c r="IY48" s="100"/>
      <c r="IZ48" s="100"/>
      <c r="JA48" s="100"/>
      <c r="JB48" s="100"/>
      <c r="JC48" s="100"/>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c r="KJ48" s="100"/>
      <c r="KK48" s="100"/>
      <c r="KL48" s="100"/>
      <c r="KM48" s="100"/>
      <c r="KN48" s="100"/>
      <c r="KO48" s="100"/>
      <c r="KP48" s="100"/>
      <c r="KQ48" s="100"/>
      <c r="KR48" s="100"/>
      <c r="KS48" s="100"/>
      <c r="KT48" s="100"/>
      <c r="KU48" s="100"/>
      <c r="KV48" s="100"/>
      <c r="KW48" s="100"/>
      <c r="KX48" s="100"/>
      <c r="KY48" s="100"/>
      <c r="KZ48" s="100"/>
      <c r="LA48" s="100"/>
      <c r="LB48" s="100"/>
      <c r="LC48" s="100"/>
      <c r="LD48" s="100"/>
      <c r="LE48" s="100"/>
      <c r="LF48" s="100"/>
      <c r="LG48" s="100"/>
      <c r="LH48" s="100"/>
      <c r="LI48" s="100"/>
      <c r="LJ48" s="100"/>
      <c r="LK48" s="100"/>
      <c r="LL48" s="100"/>
      <c r="LM48" s="100"/>
      <c r="LN48" s="100"/>
      <c r="LO48" s="100"/>
      <c r="LP48" s="100"/>
      <c r="LQ48" s="100"/>
      <c r="LR48" s="100"/>
      <c r="LS48" s="100"/>
      <c r="LT48" s="100"/>
      <c r="LU48" s="100"/>
      <c r="LV48" s="100"/>
      <c r="LW48" s="100"/>
      <c r="LX48" s="100"/>
      <c r="LY48" s="100"/>
      <c r="LZ48" s="100"/>
      <c r="MA48" s="100"/>
      <c r="MB48" s="100"/>
      <c r="MC48" s="100"/>
      <c r="MD48" s="100"/>
      <c r="ME48" s="100"/>
      <c r="MF48" s="100"/>
      <c r="MG48" s="100"/>
      <c r="MH48" s="100"/>
      <c r="MI48" s="100"/>
      <c r="MJ48" s="100"/>
      <c r="MK48" s="100"/>
      <c r="ML48" s="100"/>
      <c r="MM48" s="100"/>
      <c r="MN48" s="100"/>
      <c r="MO48" s="100"/>
      <c r="MP48" s="100"/>
      <c r="MQ48" s="100"/>
      <c r="MR48" s="100"/>
      <c r="MS48" s="100"/>
      <c r="MT48" s="100"/>
      <c r="MU48" s="100"/>
      <c r="MV48" s="100"/>
      <c r="MW48" s="100"/>
      <c r="MX48" s="100"/>
      <c r="MY48" s="100"/>
      <c r="MZ48" s="100"/>
      <c r="NA48" s="100"/>
      <c r="NB48" s="100"/>
      <c r="NC48" s="100"/>
      <c r="ND48" s="100"/>
      <c r="NE48" s="100"/>
      <c r="NF48" s="100"/>
      <c r="NG48" s="100"/>
      <c r="NH48" s="100"/>
      <c r="NI48" s="100"/>
      <c r="NJ48" s="100"/>
      <c r="NK48" s="100"/>
      <c r="NL48" s="100"/>
      <c r="NM48" s="100"/>
      <c r="NN48" s="100"/>
      <c r="NO48" s="100"/>
      <c r="NP48" s="100"/>
      <c r="NQ48" s="100"/>
      <c r="NR48" s="100"/>
      <c r="NS48" s="100"/>
      <c r="NT48" s="100"/>
      <c r="NU48" s="100"/>
      <c r="NV48" s="100"/>
      <c r="NW48" s="100"/>
      <c r="NX48" s="100"/>
      <c r="NY48" s="100"/>
      <c r="NZ48" s="100"/>
      <c r="OA48" s="100"/>
      <c r="OB48" s="100"/>
      <c r="OC48" s="100"/>
      <c r="OD48" s="100"/>
      <c r="OE48" s="100"/>
      <c r="OF48" s="100"/>
      <c r="OG48" s="100"/>
      <c r="OH48" s="100"/>
      <c r="OI48" s="100"/>
      <c r="OJ48" s="100"/>
      <c r="OK48" s="100"/>
      <c r="OL48" s="100"/>
      <c r="OM48" s="100"/>
      <c r="ON48" s="100"/>
      <c r="OO48" s="100"/>
      <c r="OP48" s="100"/>
      <c r="OQ48" s="100"/>
      <c r="OR48" s="100"/>
      <c r="OS48" s="100"/>
      <c r="OT48" s="100"/>
      <c r="OU48" s="100"/>
      <c r="OV48" s="100"/>
      <c r="OW48" s="100"/>
      <c r="OX48" s="100"/>
      <c r="OY48" s="100"/>
      <c r="OZ48" s="100"/>
      <c r="PA48" s="100"/>
      <c r="PB48" s="100"/>
      <c r="PC48" s="100"/>
      <c r="PD48" s="100"/>
      <c r="PE48" s="100"/>
      <c r="PF48" s="100"/>
      <c r="PG48" s="100"/>
      <c r="PH48" s="100"/>
      <c r="PI48" s="100"/>
      <c r="PJ48" s="100"/>
      <c r="PK48" s="100"/>
      <c r="PL48" s="100"/>
      <c r="PM48" s="100"/>
      <c r="PN48" s="100"/>
      <c r="PO48" s="100"/>
      <c r="PP48" s="100"/>
      <c r="PQ48" s="100"/>
      <c r="PR48" s="100"/>
      <c r="PS48" s="100"/>
      <c r="PT48" s="100"/>
      <c r="PU48" s="100"/>
      <c r="PV48" s="100"/>
      <c r="PW48" s="100"/>
      <c r="PX48" s="100"/>
      <c r="PY48" s="100"/>
      <c r="PZ48" s="100"/>
      <c r="QA48" s="100"/>
      <c r="QB48" s="100"/>
      <c r="QC48" s="100"/>
      <c r="QD48" s="100"/>
      <c r="QE48" s="100"/>
      <c r="QF48" s="100"/>
      <c r="QG48" s="100"/>
      <c r="QH48" s="100"/>
      <c r="QI48" s="100"/>
      <c r="QJ48" s="100"/>
      <c r="QK48" s="100"/>
      <c r="QL48" s="100"/>
      <c r="QM48" s="100"/>
      <c r="QN48" s="100"/>
      <c r="QO48" s="100"/>
      <c r="QP48" s="100"/>
      <c r="QQ48" s="100"/>
      <c r="QR48" s="100"/>
      <c r="QS48" s="100"/>
      <c r="QT48" s="100"/>
      <c r="QU48" s="100"/>
      <c r="QV48" s="100"/>
      <c r="QW48" s="100"/>
      <c r="QX48" s="100"/>
      <c r="QY48" s="100"/>
      <c r="QZ48" s="100"/>
      <c r="RA48" s="100"/>
      <c r="RB48" s="100"/>
      <c r="RC48" s="100"/>
      <c r="RD48" s="100"/>
      <c r="RE48" s="100"/>
      <c r="RF48" s="100"/>
      <c r="RG48" s="100"/>
      <c r="RH48" s="100"/>
      <c r="RI48" s="100"/>
      <c r="RJ48" s="100"/>
      <c r="RK48" s="100"/>
      <c r="RL48" s="100"/>
      <c r="RM48" s="100"/>
      <c r="RN48" s="100"/>
      <c r="RO48" s="100"/>
      <c r="RP48" s="100"/>
      <c r="RQ48" s="100"/>
      <c r="RR48" s="100"/>
      <c r="RS48" s="100"/>
      <c r="RT48" s="100"/>
      <c r="RU48" s="100"/>
      <c r="RV48" s="100"/>
      <c r="RW48" s="100"/>
      <c r="RX48" s="100"/>
      <c r="RY48" s="100"/>
      <c r="RZ48" s="100"/>
      <c r="SA48" s="100"/>
      <c r="SB48" s="100"/>
      <c r="SC48" s="100"/>
      <c r="SD48" s="100"/>
      <c r="SE48" s="100"/>
      <c r="SF48" s="100"/>
      <c r="SG48" s="100"/>
      <c r="SH48" s="100"/>
      <c r="SI48" s="100"/>
      <c r="SJ48" s="100"/>
      <c r="SK48" s="100"/>
      <c r="SL48" s="100"/>
      <c r="SM48" s="100"/>
      <c r="SN48" s="100"/>
      <c r="SO48" s="100"/>
      <c r="SP48" s="100"/>
      <c r="SQ48" s="100"/>
      <c r="SR48" s="100"/>
      <c r="SS48" s="100"/>
      <c r="ST48" s="100"/>
      <c r="SU48" s="100"/>
      <c r="SV48" s="100"/>
      <c r="SW48" s="100"/>
      <c r="SX48" s="100"/>
      <c r="SY48" s="100"/>
      <c r="SZ48" s="100"/>
      <c r="TA48" s="100"/>
      <c r="TB48" s="100"/>
      <c r="TC48" s="100"/>
      <c r="TD48" s="100"/>
      <c r="TE48" s="100"/>
      <c r="TF48" s="100"/>
      <c r="TG48" s="100"/>
      <c r="TH48" s="100"/>
      <c r="TI48" s="100"/>
      <c r="TJ48" s="100"/>
      <c r="TK48" s="100"/>
      <c r="TL48" s="100"/>
      <c r="TM48" s="100"/>
      <c r="TN48" s="100"/>
      <c r="TO48" s="100"/>
      <c r="TP48" s="100"/>
      <c r="TQ48" s="100"/>
      <c r="TR48" s="100"/>
      <c r="TS48" s="100"/>
      <c r="TT48" s="100"/>
      <c r="TU48" s="100"/>
      <c r="TV48" s="100"/>
      <c r="TW48" s="100"/>
      <c r="TX48" s="100"/>
      <c r="TY48" s="100"/>
      <c r="TZ48" s="100"/>
      <c r="UA48" s="100"/>
      <c r="UB48" s="100"/>
      <c r="UC48" s="100"/>
      <c r="UD48" s="100"/>
      <c r="UE48" s="100"/>
      <c r="UF48" s="100"/>
      <c r="UG48" s="100"/>
      <c r="UH48" s="100"/>
      <c r="UI48" s="100"/>
      <c r="UJ48" s="100"/>
      <c r="UK48" s="100"/>
      <c r="UL48" s="100"/>
      <c r="UM48" s="100"/>
      <c r="UN48" s="100"/>
      <c r="UO48" s="100"/>
      <c r="UP48" s="100"/>
      <c r="UQ48" s="100"/>
      <c r="UR48" s="100"/>
      <c r="US48" s="100"/>
      <c r="UT48" s="100"/>
      <c r="UU48" s="100"/>
      <c r="UV48" s="100"/>
      <c r="UW48" s="100"/>
      <c r="UX48" s="100"/>
      <c r="UY48" s="100"/>
      <c r="UZ48" s="100"/>
      <c r="VA48" s="100"/>
      <c r="VB48" s="100"/>
      <c r="VC48" s="100"/>
      <c r="VD48" s="100"/>
      <c r="VE48" s="100"/>
      <c r="VF48" s="100"/>
      <c r="VG48" s="100"/>
      <c r="VH48" s="100"/>
      <c r="VI48" s="100"/>
      <c r="VJ48" s="100"/>
      <c r="VK48" s="100"/>
      <c r="VL48" s="100"/>
      <c r="VM48" s="100"/>
      <c r="VN48" s="100"/>
      <c r="VO48" s="100"/>
      <c r="VP48" s="100"/>
      <c r="VQ48" s="100"/>
      <c r="VR48" s="100"/>
      <c r="VS48" s="100"/>
      <c r="VT48" s="100"/>
      <c r="VU48" s="100"/>
      <c r="VV48" s="100"/>
      <c r="VW48" s="100"/>
      <c r="VX48" s="100"/>
      <c r="VY48" s="100"/>
      <c r="VZ48" s="100"/>
      <c r="WA48" s="100"/>
      <c r="WB48" s="100"/>
      <c r="WC48" s="100"/>
      <c r="WD48" s="100"/>
      <c r="WE48" s="100"/>
      <c r="WF48" s="100"/>
      <c r="WG48" s="100"/>
      <c r="WH48" s="100"/>
      <c r="WI48" s="100"/>
      <c r="WJ48" s="100"/>
      <c r="WK48" s="100"/>
      <c r="WL48" s="100"/>
      <c r="WM48" s="100"/>
      <c r="WN48" s="100"/>
      <c r="WO48" s="100"/>
      <c r="WP48" s="100"/>
      <c r="WQ48" s="100"/>
      <c r="WR48" s="100"/>
      <c r="WS48" s="100"/>
      <c r="WT48" s="100"/>
      <c r="WU48" s="100"/>
      <c r="WV48" s="100"/>
      <c r="WW48" s="100"/>
      <c r="WX48" s="100"/>
      <c r="WY48" s="100"/>
      <c r="WZ48" s="100"/>
      <c r="XA48" s="100"/>
      <c r="XB48" s="100"/>
      <c r="XC48" s="100"/>
      <c r="XD48" s="100"/>
      <c r="XE48" s="100"/>
      <c r="XF48" s="100"/>
      <c r="XG48" s="100"/>
      <c r="XH48" s="100"/>
      <c r="XI48" s="100"/>
      <c r="XJ48" s="100"/>
      <c r="XK48" s="100"/>
      <c r="XL48" s="100"/>
      <c r="XM48" s="100"/>
      <c r="XN48" s="100"/>
      <c r="XO48" s="100"/>
      <c r="XP48" s="100"/>
      <c r="XQ48" s="100"/>
      <c r="XR48" s="100"/>
      <c r="XS48" s="100"/>
      <c r="XT48" s="100"/>
      <c r="XU48" s="100"/>
      <c r="XV48" s="100"/>
      <c r="XW48" s="100"/>
      <c r="XX48" s="100"/>
      <c r="XY48" s="100"/>
      <c r="XZ48" s="100"/>
      <c r="YA48" s="100"/>
      <c r="YB48" s="100"/>
      <c r="YC48" s="100"/>
      <c r="YD48" s="100"/>
      <c r="YE48" s="100"/>
      <c r="YF48" s="100"/>
      <c r="YG48" s="100"/>
      <c r="YH48" s="100"/>
      <c r="YI48" s="100"/>
      <c r="YJ48" s="100"/>
      <c r="YK48" s="100"/>
      <c r="YL48" s="100"/>
      <c r="YM48" s="100"/>
      <c r="YN48" s="100"/>
      <c r="YO48" s="100"/>
      <c r="YP48" s="100"/>
      <c r="YQ48" s="100"/>
      <c r="YR48" s="100"/>
      <c r="YS48" s="100"/>
      <c r="YT48" s="100"/>
      <c r="YU48" s="100"/>
      <c r="YV48" s="100"/>
      <c r="YW48" s="100"/>
      <c r="YX48" s="100"/>
      <c r="YY48" s="100"/>
      <c r="YZ48" s="100"/>
      <c r="ZA48" s="100"/>
      <c r="ZB48" s="100"/>
      <c r="ZC48" s="100"/>
      <c r="ZD48" s="100"/>
      <c r="ZE48" s="100"/>
      <c r="ZF48" s="100"/>
      <c r="ZG48" s="100"/>
      <c r="ZH48" s="100"/>
      <c r="ZI48" s="100"/>
      <c r="ZJ48" s="100"/>
      <c r="ZK48" s="100"/>
      <c r="ZL48" s="100"/>
      <c r="ZM48" s="100"/>
      <c r="ZN48" s="100"/>
      <c r="ZO48" s="100"/>
      <c r="ZP48" s="100"/>
      <c r="ZQ48" s="100"/>
      <c r="ZR48" s="100"/>
      <c r="ZS48" s="100"/>
      <c r="ZT48" s="100"/>
      <c r="ZU48" s="100"/>
      <c r="ZV48" s="100"/>
      <c r="ZW48" s="100"/>
      <c r="ZX48" s="100"/>
      <c r="ZY48" s="100"/>
      <c r="ZZ48" s="100"/>
      <c r="AAA48" s="100"/>
      <c r="AAB48" s="100"/>
      <c r="AAC48" s="100"/>
      <c r="AAD48" s="100"/>
      <c r="AAE48" s="100"/>
      <c r="AAF48" s="100"/>
      <c r="AAG48" s="100"/>
      <c r="AAH48" s="100"/>
      <c r="AAI48" s="100"/>
      <c r="AAJ48" s="100"/>
      <c r="AAK48" s="100"/>
      <c r="AAL48" s="100"/>
      <c r="AAM48" s="100"/>
      <c r="AAN48" s="100"/>
      <c r="AAO48" s="100"/>
      <c r="AAP48" s="100"/>
      <c r="AAQ48" s="100"/>
      <c r="AAR48" s="100"/>
      <c r="AAS48" s="100"/>
      <c r="AAT48" s="100"/>
      <c r="AAU48" s="100"/>
      <c r="AAV48" s="100"/>
      <c r="AAW48" s="100"/>
      <c r="AAX48" s="100"/>
      <c r="AAY48" s="100"/>
      <c r="AAZ48" s="100"/>
      <c r="ABA48" s="100"/>
      <c r="ABB48" s="100"/>
      <c r="ABC48" s="100"/>
      <c r="ABD48" s="100"/>
      <c r="ABE48" s="100"/>
      <c r="ABF48" s="100"/>
      <c r="ABG48" s="100"/>
      <c r="ABH48" s="100"/>
      <c r="ABI48" s="100"/>
      <c r="ABJ48" s="100"/>
      <c r="ABK48" s="100"/>
      <c r="ABL48" s="100"/>
      <c r="ABM48" s="100"/>
      <c r="ABN48" s="100"/>
      <c r="ABO48" s="100"/>
      <c r="ABP48" s="100"/>
      <c r="ABQ48" s="100"/>
      <c r="ABR48" s="100"/>
      <c r="ABS48" s="100"/>
      <c r="ABT48" s="100"/>
      <c r="ABU48" s="100"/>
      <c r="ABV48" s="100"/>
      <c r="ABW48" s="100"/>
      <c r="ABX48" s="100"/>
      <c r="ABY48" s="100"/>
      <c r="ABZ48" s="100"/>
      <c r="ACA48" s="100"/>
      <c r="ACB48" s="100"/>
      <c r="ACC48" s="100"/>
      <c r="ACD48" s="100"/>
      <c r="ACE48" s="100"/>
      <c r="ACF48" s="100"/>
      <c r="ACG48" s="100"/>
      <c r="ACH48" s="100"/>
      <c r="ACI48" s="100"/>
      <c r="ACJ48" s="100"/>
      <c r="ACK48" s="100"/>
      <c r="ACL48" s="100"/>
      <c r="ACM48" s="100"/>
      <c r="ACN48" s="100"/>
      <c r="ACO48" s="100"/>
      <c r="ACP48" s="100"/>
      <c r="ACQ48" s="100"/>
      <c r="ACR48" s="100"/>
      <c r="ACS48" s="100"/>
      <c r="ACT48" s="100"/>
      <c r="ACU48" s="100"/>
      <c r="ACV48" s="100"/>
      <c r="ACW48" s="100"/>
      <c r="ACX48" s="100"/>
      <c r="ACY48" s="100"/>
      <c r="ACZ48" s="100"/>
      <c r="ADA48" s="100"/>
      <c r="ADB48" s="100"/>
      <c r="ADC48" s="100"/>
      <c r="ADD48" s="100"/>
      <c r="ADE48" s="100"/>
      <c r="ADF48" s="100"/>
      <c r="ADG48" s="100"/>
      <c r="ADH48" s="100"/>
      <c r="ADI48" s="100"/>
      <c r="ADJ48" s="100"/>
      <c r="ADK48" s="100"/>
      <c r="ADL48" s="100"/>
      <c r="ADM48" s="100"/>
      <c r="ADN48" s="100"/>
      <c r="ADO48" s="100"/>
      <c r="ADP48" s="100"/>
      <c r="ADQ48" s="100"/>
      <c r="ADR48" s="100"/>
      <c r="ADS48" s="100"/>
      <c r="ADT48" s="100"/>
      <c r="ADU48" s="100"/>
      <c r="ADV48" s="100"/>
      <c r="ADW48" s="100"/>
      <c r="ADX48" s="100"/>
      <c r="ADY48" s="100"/>
      <c r="ADZ48" s="100"/>
      <c r="AEA48" s="100"/>
      <c r="AEB48" s="100"/>
      <c r="AEC48" s="100"/>
      <c r="AED48" s="100"/>
      <c r="AEE48" s="100"/>
      <c r="AEF48" s="100"/>
      <c r="AEG48" s="100"/>
      <c r="AEH48" s="100"/>
      <c r="AEI48" s="100"/>
      <c r="AEJ48" s="100"/>
      <c r="AEK48" s="100"/>
      <c r="AEL48" s="100"/>
      <c r="AEM48" s="100"/>
      <c r="AEN48" s="100"/>
      <c r="AEO48" s="100"/>
      <c r="AEP48" s="100"/>
      <c r="AEQ48" s="100"/>
      <c r="AER48" s="100"/>
      <c r="AES48" s="100"/>
      <c r="AET48" s="100"/>
      <c r="AEU48" s="100"/>
      <c r="AEV48" s="100"/>
      <c r="AEW48" s="100"/>
      <c r="AEX48" s="100"/>
      <c r="AEY48" s="100"/>
      <c r="AEZ48" s="100"/>
      <c r="AFA48" s="100"/>
      <c r="AFB48" s="100"/>
      <c r="AFC48" s="100"/>
      <c r="AFD48" s="100"/>
      <c r="AFE48" s="100"/>
      <c r="AFF48" s="100"/>
      <c r="AFG48" s="100"/>
      <c r="AFH48" s="100"/>
      <c r="AFI48" s="100"/>
      <c r="AFJ48" s="100"/>
      <c r="AFK48" s="100"/>
      <c r="AFL48" s="100"/>
      <c r="AFM48" s="100"/>
      <c r="AFN48" s="100"/>
      <c r="AFO48" s="100"/>
      <c r="AFP48" s="100"/>
      <c r="AFQ48" s="100"/>
      <c r="AFR48" s="100"/>
      <c r="AFS48" s="100"/>
      <c r="AFT48" s="100"/>
      <c r="AFU48" s="100"/>
      <c r="AFV48" s="100"/>
      <c r="AFW48" s="100"/>
      <c r="AFX48" s="100"/>
      <c r="AFY48" s="100"/>
      <c r="AFZ48" s="100"/>
      <c r="AGA48" s="100"/>
      <c r="AGB48" s="100"/>
      <c r="AGC48" s="100"/>
      <c r="AGD48" s="100"/>
      <c r="AGE48" s="100"/>
      <c r="AGF48" s="100"/>
      <c r="AGG48" s="100"/>
      <c r="AGH48" s="100"/>
      <c r="AGI48" s="100"/>
      <c r="AGJ48" s="100"/>
      <c r="AGK48" s="100"/>
      <c r="AGL48" s="100"/>
      <c r="AGM48" s="100"/>
      <c r="AGN48" s="100"/>
      <c r="AGO48" s="100"/>
      <c r="AGP48" s="100"/>
      <c r="AGQ48" s="100"/>
      <c r="AGR48" s="100"/>
      <c r="AGS48" s="100"/>
      <c r="AGT48" s="100"/>
      <c r="AGU48" s="100"/>
      <c r="AGV48" s="100"/>
      <c r="AGW48" s="100"/>
      <c r="AGX48" s="100"/>
      <c r="AGY48" s="100"/>
      <c r="AGZ48" s="100"/>
      <c r="AHA48" s="100"/>
      <c r="AHB48" s="100"/>
      <c r="AHC48" s="100"/>
      <c r="AHD48" s="100"/>
      <c r="AHE48" s="100"/>
      <c r="AHF48" s="100"/>
      <c r="AHG48" s="100"/>
      <c r="AHH48" s="100"/>
      <c r="AHI48" s="100"/>
      <c r="AHJ48" s="100"/>
      <c r="AHK48" s="100"/>
      <c r="AHL48" s="100"/>
      <c r="AHM48" s="100"/>
      <c r="AHN48" s="100"/>
      <c r="AHO48" s="100"/>
      <c r="AHP48" s="100"/>
      <c r="AHQ48" s="100"/>
      <c r="AHR48" s="100"/>
      <c r="AHS48" s="100"/>
      <c r="AHT48" s="100"/>
      <c r="AHU48" s="100"/>
      <c r="AHV48" s="100"/>
      <c r="AHW48" s="100"/>
      <c r="AHX48" s="100"/>
      <c r="AHY48" s="100"/>
      <c r="AHZ48" s="100"/>
      <c r="AIA48" s="100"/>
      <c r="AIB48" s="100"/>
      <c r="AIC48" s="100"/>
      <c r="AID48" s="100"/>
      <c r="AIE48" s="100"/>
      <c r="AIF48" s="100"/>
      <c r="AIG48" s="100"/>
      <c r="AIH48" s="100"/>
      <c r="AII48" s="100"/>
      <c r="AIJ48" s="100"/>
      <c r="AIK48" s="100"/>
      <c r="AIL48" s="100"/>
      <c r="AIM48" s="100"/>
      <c r="AIN48" s="100"/>
      <c r="AIO48" s="100"/>
      <c r="AIP48" s="100"/>
      <c r="AIQ48" s="100"/>
      <c r="AIR48" s="100"/>
      <c r="AIS48" s="100"/>
      <c r="AIT48" s="100"/>
      <c r="AIU48" s="100"/>
      <c r="AIV48" s="100"/>
      <c r="AIW48" s="100"/>
      <c r="AIX48" s="100"/>
      <c r="AIY48" s="100"/>
      <c r="AIZ48" s="100"/>
      <c r="AJA48" s="100"/>
      <c r="AJB48" s="100"/>
      <c r="AJC48" s="100"/>
      <c r="AJD48" s="100"/>
      <c r="AJE48" s="100"/>
      <c r="AJF48" s="100"/>
      <c r="AJG48" s="100"/>
      <c r="AJH48" s="100"/>
      <c r="AJI48" s="100"/>
      <c r="AJJ48" s="100"/>
      <c r="AJK48" s="100"/>
      <c r="AJL48" s="100"/>
      <c r="AJM48" s="100"/>
      <c r="AJN48" s="100"/>
      <c r="AJO48" s="100"/>
      <c r="AJP48" s="100"/>
      <c r="AJQ48" s="100"/>
      <c r="AJR48" s="100"/>
      <c r="AJS48" s="100"/>
      <c r="AJT48" s="100"/>
      <c r="AJU48" s="100"/>
      <c r="AJV48" s="100"/>
      <c r="AJW48" s="100"/>
      <c r="AJX48" s="100"/>
      <c r="AJY48" s="100"/>
      <c r="AJZ48" s="100"/>
      <c r="AKA48" s="100"/>
      <c r="AKB48" s="100"/>
      <c r="AKC48" s="100"/>
      <c r="AKD48" s="100"/>
      <c r="AKE48" s="100"/>
      <c r="AKF48" s="100"/>
      <c r="AKG48" s="100"/>
      <c r="AKH48" s="100"/>
      <c r="AKI48" s="100"/>
      <c r="AKJ48" s="100"/>
      <c r="AKK48" s="100"/>
      <c r="AKL48" s="100"/>
      <c r="AKM48" s="100"/>
      <c r="AKN48" s="100"/>
      <c r="AKO48" s="100"/>
      <c r="AKP48" s="100"/>
      <c r="AKQ48" s="100"/>
      <c r="AKR48" s="100"/>
      <c r="AKS48" s="100"/>
      <c r="AKT48" s="100"/>
      <c r="AKU48" s="100"/>
      <c r="AKV48" s="100"/>
      <c r="AKW48" s="100"/>
      <c r="AKX48" s="100"/>
      <c r="AKY48" s="100"/>
      <c r="AKZ48" s="100"/>
      <c r="ALA48" s="100"/>
      <c r="ALB48" s="100"/>
      <c r="ALC48" s="100"/>
      <c r="ALD48" s="100"/>
      <c r="ALE48" s="100"/>
      <c r="ALF48" s="100"/>
      <c r="ALG48" s="100"/>
      <c r="ALH48" s="100"/>
      <c r="ALI48" s="100"/>
      <c r="ALJ48" s="100"/>
      <c r="ALK48" s="100"/>
      <c r="ALL48" s="100"/>
      <c r="ALM48" s="100"/>
      <c r="ALN48" s="100"/>
      <c r="ALO48" s="100"/>
      <c r="ALP48" s="100"/>
      <c r="ALQ48" s="100"/>
      <c r="ALR48" s="100"/>
      <c r="ALS48" s="100"/>
      <c r="ALT48" s="100"/>
      <c r="ALU48" s="100"/>
      <c r="ALV48" s="100"/>
      <c r="ALW48" s="100"/>
      <c r="ALX48" s="100"/>
      <c r="ALY48" s="100"/>
      <c r="ALZ48" s="100"/>
      <c r="AMA48" s="100"/>
      <c r="AMB48" s="100"/>
      <c r="AMC48" s="100"/>
      <c r="AMD48" s="100"/>
      <c r="AME48" s="100"/>
      <c r="AMF48" s="100"/>
      <c r="AMG48" s="100"/>
      <c r="AMH48" s="100"/>
      <c r="AMI48" s="100"/>
      <c r="AMJ48" s="100"/>
      <c r="AMK48" s="100"/>
      <c r="AML48" s="100"/>
      <c r="AMM48" s="100"/>
      <c r="AMN48" s="100"/>
      <c r="AMO48" s="100"/>
      <c r="AMP48" s="100"/>
      <c r="AMQ48" s="100"/>
      <c r="AMR48" s="100"/>
      <c r="AMS48" s="100"/>
      <c r="AMT48" s="100"/>
      <c r="AMU48" s="100"/>
      <c r="AMV48" s="100"/>
      <c r="AMW48" s="100"/>
      <c r="AMX48" s="100"/>
      <c r="AMY48" s="100"/>
      <c r="AMZ48" s="100"/>
      <c r="ANA48" s="100"/>
      <c r="ANB48" s="100"/>
      <c r="ANC48" s="100"/>
      <c r="AND48" s="100"/>
      <c r="ANE48" s="100"/>
      <c r="ANF48" s="100"/>
      <c r="ANG48" s="100"/>
      <c r="ANH48" s="100"/>
      <c r="ANI48" s="100"/>
      <c r="ANJ48" s="100"/>
      <c r="ANK48" s="100"/>
      <c r="ANL48" s="100"/>
      <c r="ANM48" s="100"/>
      <c r="ANN48" s="100"/>
      <c r="ANO48" s="100"/>
      <c r="ANP48" s="100"/>
      <c r="ANQ48" s="100"/>
      <c r="ANR48" s="100"/>
      <c r="ANS48" s="100"/>
      <c r="ANT48" s="100"/>
      <c r="ANU48" s="100"/>
      <c r="ANV48" s="100"/>
      <c r="ANW48" s="100"/>
      <c r="ANX48" s="100"/>
      <c r="ANY48" s="100"/>
      <c r="ANZ48" s="100"/>
      <c r="AOA48" s="100"/>
      <c r="AOB48" s="100"/>
      <c r="AOC48" s="100"/>
      <c r="AOD48" s="100"/>
      <c r="AOE48" s="100"/>
      <c r="AOF48" s="100"/>
      <c r="AOG48" s="100"/>
      <c r="AOH48" s="100"/>
      <c r="AOI48" s="100"/>
      <c r="AOJ48" s="100"/>
      <c r="AOK48" s="100"/>
      <c r="AOL48" s="100"/>
      <c r="AOM48" s="100"/>
      <c r="AON48" s="100"/>
      <c r="AOO48" s="100"/>
      <c r="AOP48" s="100"/>
      <c r="AOQ48" s="100"/>
      <c r="AOR48" s="100"/>
      <c r="AOS48" s="100"/>
      <c r="AOT48" s="100"/>
      <c r="AOU48" s="100"/>
      <c r="AOV48" s="100"/>
      <c r="AOW48" s="100"/>
      <c r="AOX48" s="100"/>
      <c r="AOY48" s="100"/>
      <c r="AOZ48" s="100"/>
      <c r="APA48" s="100"/>
      <c r="APB48" s="100"/>
      <c r="APC48" s="100"/>
      <c r="APD48" s="100"/>
      <c r="APE48" s="100"/>
      <c r="APF48" s="100"/>
      <c r="APG48" s="100"/>
      <c r="APH48" s="100"/>
      <c r="API48" s="100"/>
      <c r="APJ48" s="100"/>
      <c r="APK48" s="100"/>
      <c r="APL48" s="100"/>
      <c r="APM48" s="100"/>
      <c r="APN48" s="100"/>
      <c r="APO48" s="100"/>
      <c r="APP48" s="100"/>
      <c r="APQ48" s="100"/>
      <c r="APR48" s="100"/>
      <c r="APS48" s="100"/>
      <c r="APT48" s="100"/>
      <c r="APU48" s="100"/>
      <c r="APV48" s="100"/>
      <c r="APW48" s="100"/>
      <c r="APX48" s="100"/>
      <c r="APY48" s="100"/>
      <c r="APZ48" s="100"/>
      <c r="AQA48" s="100"/>
      <c r="AQB48" s="100"/>
      <c r="AQC48" s="100"/>
      <c r="AQD48" s="100"/>
      <c r="AQE48" s="100"/>
      <c r="AQF48" s="100"/>
      <c r="AQG48" s="100"/>
      <c r="AQH48" s="100"/>
      <c r="AQI48" s="100"/>
      <c r="AQJ48" s="100"/>
      <c r="AQK48" s="100"/>
      <c r="AQL48" s="100"/>
      <c r="AQM48" s="100"/>
      <c r="AQN48" s="100"/>
      <c r="AQO48" s="100"/>
      <c r="AQP48" s="100"/>
      <c r="AQQ48" s="100"/>
      <c r="AQR48" s="100"/>
      <c r="AQS48" s="100"/>
      <c r="AQT48" s="100"/>
      <c r="AQU48" s="100"/>
      <c r="AQV48" s="100"/>
      <c r="AQW48" s="100"/>
      <c r="AQX48" s="100"/>
      <c r="AQY48" s="100"/>
      <c r="AQZ48" s="100"/>
      <c r="ARA48" s="100"/>
      <c r="ARB48" s="100"/>
      <c r="ARC48" s="100"/>
      <c r="ARD48" s="100"/>
      <c r="ARE48" s="100"/>
      <c r="ARF48" s="100"/>
      <c r="ARG48" s="100"/>
      <c r="ARH48" s="100"/>
      <c r="ARI48" s="100"/>
      <c r="ARJ48" s="100"/>
      <c r="ARK48" s="100"/>
      <c r="ARL48" s="100"/>
      <c r="ARM48" s="100"/>
      <c r="ARN48" s="100"/>
      <c r="ARO48" s="100"/>
      <c r="ARP48" s="100"/>
      <c r="ARQ48" s="100"/>
      <c r="ARR48" s="100"/>
      <c r="ARS48" s="100"/>
      <c r="ART48" s="100"/>
      <c r="ARU48" s="100"/>
      <c r="ARV48" s="100"/>
      <c r="ARW48" s="100"/>
      <c r="ARX48" s="100"/>
      <c r="ARY48" s="100"/>
      <c r="ARZ48" s="100"/>
      <c r="ASA48" s="100"/>
      <c r="ASB48" s="100"/>
      <c r="ASC48" s="100"/>
      <c r="ASD48" s="100"/>
      <c r="ASE48" s="100"/>
      <c r="ASF48" s="100"/>
      <c r="ASG48" s="100"/>
      <c r="ASH48" s="100"/>
      <c r="ASI48" s="100"/>
      <c r="ASJ48" s="100"/>
      <c r="ASK48" s="100"/>
      <c r="ASL48" s="100"/>
      <c r="ASM48" s="100"/>
      <c r="ASN48" s="100"/>
      <c r="ASO48" s="100"/>
      <c r="ASP48" s="100"/>
      <c r="ASQ48" s="100"/>
      <c r="ASR48" s="100"/>
      <c r="ASS48" s="100"/>
      <c r="AST48" s="100"/>
      <c r="ASU48" s="100"/>
      <c r="ASV48" s="100"/>
      <c r="ASW48" s="100"/>
      <c r="ASX48" s="100"/>
      <c r="ASY48" s="100"/>
      <c r="ASZ48" s="100"/>
      <c r="ATA48" s="100"/>
      <c r="ATB48" s="100"/>
      <c r="ATC48" s="100"/>
      <c r="ATD48" s="100"/>
      <c r="ATE48" s="100"/>
      <c r="ATF48" s="100"/>
      <c r="ATG48" s="100"/>
      <c r="ATH48" s="100"/>
      <c r="ATI48" s="100"/>
      <c r="ATJ48" s="100"/>
      <c r="ATK48" s="100"/>
      <c r="ATL48" s="100"/>
      <c r="ATM48" s="100"/>
      <c r="ATN48" s="100"/>
      <c r="ATO48" s="100"/>
      <c r="ATP48" s="100"/>
      <c r="ATQ48" s="100"/>
      <c r="ATR48" s="100"/>
      <c r="ATS48" s="100"/>
      <c r="ATT48" s="100"/>
      <c r="ATU48" s="100"/>
      <c r="ATV48" s="100"/>
      <c r="ATW48" s="100"/>
      <c r="ATX48" s="100"/>
      <c r="ATY48" s="100"/>
      <c r="ATZ48" s="100"/>
      <c r="AUA48" s="100"/>
      <c r="AUB48" s="100"/>
      <c r="AUC48" s="100"/>
      <c r="AUD48" s="100"/>
      <c r="AUE48" s="100"/>
      <c r="AUF48" s="100"/>
      <c r="AUG48" s="100"/>
      <c r="AUH48" s="100"/>
      <c r="AUI48" s="100"/>
      <c r="AUJ48" s="100"/>
      <c r="AUK48" s="100"/>
      <c r="AUL48" s="100"/>
      <c r="AUM48" s="100"/>
      <c r="AUN48" s="100"/>
      <c r="AUO48" s="100"/>
      <c r="AUP48" s="100"/>
      <c r="AUQ48" s="100"/>
      <c r="AUR48" s="100"/>
      <c r="AUS48" s="100"/>
      <c r="AUT48" s="100"/>
      <c r="AUU48" s="100"/>
      <c r="AUV48" s="100"/>
      <c r="AUW48" s="100"/>
      <c r="AUX48" s="100"/>
      <c r="AUY48" s="100"/>
      <c r="AUZ48" s="100"/>
      <c r="AVA48" s="100"/>
      <c r="AVB48" s="100"/>
      <c r="AVC48" s="100"/>
      <c r="AVD48" s="100"/>
      <c r="AVE48" s="100"/>
      <c r="AVF48" s="100"/>
      <c r="AVG48" s="100"/>
      <c r="AVH48" s="100"/>
      <c r="AVI48" s="100"/>
      <c r="AVJ48" s="100"/>
      <c r="AVK48" s="100"/>
      <c r="AVL48" s="100"/>
      <c r="AVM48" s="100"/>
      <c r="AVN48" s="100"/>
      <c r="AVO48" s="100"/>
      <c r="AVP48" s="100"/>
      <c r="AVQ48" s="100"/>
      <c r="AVR48" s="100"/>
      <c r="AVS48" s="100"/>
      <c r="AVT48" s="100"/>
      <c r="AVU48" s="100"/>
      <c r="AVV48" s="100"/>
      <c r="AVW48" s="100"/>
      <c r="AVX48" s="100"/>
      <c r="AVY48" s="100"/>
      <c r="AVZ48" s="100"/>
      <c r="AWA48" s="100"/>
      <c r="AWB48" s="100"/>
      <c r="AWC48" s="100"/>
      <c r="AWD48" s="100"/>
      <c r="AWE48" s="100"/>
      <c r="AWF48" s="100"/>
      <c r="AWG48" s="100"/>
      <c r="AWH48" s="100"/>
      <c r="AWI48" s="100"/>
      <c r="AWJ48" s="100"/>
      <c r="AWK48" s="100"/>
      <c r="AWL48" s="100"/>
      <c r="AWM48" s="100"/>
      <c r="AWN48" s="100"/>
      <c r="AWO48" s="100"/>
      <c r="AWP48" s="100"/>
      <c r="AWQ48" s="100"/>
      <c r="AWR48" s="100"/>
      <c r="AWS48" s="100"/>
      <c r="AWT48" s="100"/>
      <c r="AWU48" s="100"/>
      <c r="AWV48" s="100"/>
      <c r="AWW48" s="100"/>
      <c r="AWX48" s="100"/>
      <c r="AWY48" s="100"/>
      <c r="AWZ48" s="100"/>
      <c r="AXA48" s="100"/>
      <c r="AXB48" s="100"/>
      <c r="AXC48" s="100"/>
      <c r="AXD48" s="100"/>
      <c r="AXE48" s="100"/>
      <c r="AXF48" s="100"/>
      <c r="AXG48" s="100"/>
      <c r="AXH48" s="100"/>
      <c r="AXI48" s="100"/>
      <c r="AXJ48" s="100"/>
      <c r="AXK48" s="100"/>
      <c r="AXL48" s="100"/>
      <c r="AXM48" s="100"/>
      <c r="AXN48" s="100"/>
      <c r="AXO48" s="100"/>
      <c r="AXP48" s="100"/>
      <c r="AXQ48" s="100"/>
      <c r="AXR48" s="100"/>
      <c r="AXS48" s="100"/>
      <c r="AXT48" s="100"/>
      <c r="AXU48" s="100"/>
      <c r="AXV48" s="100"/>
      <c r="AXW48" s="100"/>
      <c r="AXX48" s="100"/>
      <c r="AXY48" s="100"/>
      <c r="AXZ48" s="100"/>
      <c r="AYA48" s="100"/>
      <c r="AYB48" s="100"/>
      <c r="AYC48" s="100"/>
      <c r="AYD48" s="100"/>
      <c r="AYE48" s="100"/>
      <c r="AYF48" s="100"/>
      <c r="AYG48" s="100"/>
      <c r="AYH48" s="100"/>
      <c r="AYI48" s="100"/>
      <c r="AYJ48" s="100"/>
      <c r="AYK48" s="100"/>
      <c r="AYL48" s="100"/>
      <c r="AYM48" s="100"/>
      <c r="AYN48" s="100"/>
      <c r="AYO48" s="100"/>
      <c r="AYP48" s="100"/>
      <c r="AYQ48" s="100"/>
      <c r="AYR48" s="100"/>
      <c r="AYS48" s="100"/>
      <c r="AYT48" s="100"/>
      <c r="AYU48" s="100"/>
      <c r="AYV48" s="100"/>
      <c r="AYW48" s="100"/>
      <c r="AYX48" s="100"/>
      <c r="AYY48" s="100"/>
      <c r="AYZ48" s="100"/>
      <c r="AZA48" s="100"/>
      <c r="AZB48" s="100"/>
      <c r="AZC48" s="100"/>
      <c r="AZD48" s="100"/>
      <c r="AZE48" s="100"/>
      <c r="AZF48" s="100"/>
      <c r="AZG48" s="100"/>
      <c r="AZH48" s="100"/>
      <c r="AZI48" s="100"/>
      <c r="AZJ48" s="100"/>
      <c r="AZK48" s="100"/>
      <c r="AZL48" s="100"/>
      <c r="AZM48" s="100"/>
      <c r="AZN48" s="100"/>
      <c r="AZO48" s="100"/>
      <c r="AZP48" s="100"/>
      <c r="AZQ48" s="100"/>
      <c r="AZR48" s="100"/>
      <c r="AZS48" s="100"/>
      <c r="AZT48" s="100"/>
      <c r="AZU48" s="100"/>
      <c r="AZV48" s="100"/>
      <c r="AZW48" s="100"/>
      <c r="AZX48" s="100"/>
      <c r="AZY48" s="100"/>
      <c r="AZZ48" s="100"/>
      <c r="BAA48" s="100"/>
      <c r="BAB48" s="100"/>
      <c r="BAC48" s="100"/>
      <c r="BAD48" s="100"/>
      <c r="BAE48" s="100"/>
      <c r="BAF48" s="100"/>
      <c r="BAG48" s="100"/>
      <c r="BAH48" s="100"/>
      <c r="BAI48" s="100"/>
      <c r="BAJ48" s="100"/>
      <c r="BAK48" s="100"/>
      <c r="BAL48" s="100"/>
      <c r="BAM48" s="100"/>
      <c r="BAN48" s="100"/>
      <c r="BAO48" s="100"/>
      <c r="BAP48" s="100"/>
      <c r="BAQ48" s="100"/>
      <c r="BAR48" s="100"/>
      <c r="BAS48" s="100"/>
      <c r="BAT48" s="100"/>
      <c r="BAU48" s="100"/>
      <c r="BAV48" s="100"/>
      <c r="BAW48" s="100"/>
      <c r="BAX48" s="100"/>
      <c r="BAY48" s="100"/>
      <c r="BAZ48" s="100"/>
      <c r="BBA48" s="100"/>
      <c r="BBB48" s="100"/>
      <c r="BBC48" s="100"/>
      <c r="BBD48" s="100"/>
      <c r="BBE48" s="100"/>
      <c r="BBF48" s="100"/>
      <c r="BBG48" s="100"/>
      <c r="BBH48" s="100"/>
      <c r="BBI48" s="100"/>
      <c r="BBJ48" s="100"/>
      <c r="BBK48" s="100"/>
      <c r="BBL48" s="100"/>
      <c r="BBM48" s="100"/>
      <c r="BBN48" s="100"/>
      <c r="BBO48" s="100"/>
      <c r="BBP48" s="100"/>
      <c r="BBQ48" s="100"/>
      <c r="BBR48" s="100"/>
      <c r="BBS48" s="100"/>
      <c r="BBT48" s="100"/>
      <c r="BBU48" s="100"/>
      <c r="BBV48" s="100"/>
      <c r="BBW48" s="100"/>
      <c r="BBX48" s="100"/>
      <c r="BBY48" s="100"/>
      <c r="BBZ48" s="100"/>
      <c r="BCA48" s="100"/>
      <c r="BCB48" s="100"/>
      <c r="BCC48" s="100"/>
      <c r="BCD48" s="100"/>
      <c r="BCE48" s="100"/>
      <c r="BCF48" s="100"/>
      <c r="BCG48" s="100"/>
      <c r="BCH48" s="100"/>
      <c r="BCI48" s="100"/>
      <c r="BCJ48" s="100"/>
      <c r="BCK48" s="100"/>
      <c r="BCL48" s="100"/>
      <c r="BCM48" s="100"/>
      <c r="BCN48" s="100"/>
      <c r="BCO48" s="100"/>
      <c r="BCP48" s="100"/>
      <c r="BCQ48" s="100"/>
      <c r="BCR48" s="100"/>
      <c r="BCS48" s="100"/>
      <c r="BCT48" s="100"/>
      <c r="BCU48" s="100"/>
      <c r="BCV48" s="100"/>
      <c r="BCW48" s="100"/>
      <c r="BCX48" s="100"/>
      <c r="BCY48" s="100"/>
      <c r="BCZ48" s="100"/>
      <c r="BDA48" s="100"/>
      <c r="BDB48" s="100"/>
      <c r="BDC48" s="100"/>
      <c r="BDD48" s="100"/>
      <c r="BDE48" s="100"/>
      <c r="BDF48" s="100"/>
      <c r="BDG48" s="100"/>
      <c r="BDH48" s="100"/>
      <c r="BDI48" s="100"/>
      <c r="BDJ48" s="100"/>
      <c r="BDK48" s="100"/>
      <c r="BDL48" s="100"/>
      <c r="BDM48" s="100"/>
      <c r="BDN48" s="100"/>
      <c r="BDO48" s="100"/>
      <c r="BDP48" s="100"/>
      <c r="BDQ48" s="100"/>
      <c r="BDR48" s="100"/>
      <c r="BDS48" s="100"/>
      <c r="BDT48" s="100"/>
      <c r="BDU48" s="100"/>
      <c r="BDV48" s="100"/>
      <c r="BDW48" s="100"/>
      <c r="BDX48" s="100"/>
      <c r="BDY48" s="100"/>
      <c r="BDZ48" s="100"/>
      <c r="BEA48" s="100"/>
      <c r="BEB48" s="100"/>
      <c r="BEC48" s="100"/>
      <c r="BED48" s="100"/>
      <c r="BEE48" s="100"/>
      <c r="BEF48" s="100"/>
      <c r="BEG48" s="100"/>
      <c r="BEH48" s="100"/>
      <c r="BEI48" s="100"/>
      <c r="BEJ48" s="100"/>
      <c r="BEK48" s="100"/>
      <c r="BEL48" s="100"/>
      <c r="BEM48" s="100"/>
      <c r="BEN48" s="100"/>
      <c r="BEO48" s="100"/>
      <c r="BEP48" s="100"/>
      <c r="BEQ48" s="100"/>
      <c r="BER48" s="100"/>
      <c r="BES48" s="100"/>
      <c r="BET48" s="100"/>
      <c r="BEU48" s="100"/>
      <c r="BEV48" s="100"/>
      <c r="BEW48" s="100"/>
      <c r="BEX48" s="100"/>
      <c r="BEY48" s="100"/>
      <c r="BEZ48" s="100"/>
      <c r="BFA48" s="100"/>
      <c r="BFB48" s="100"/>
      <c r="BFC48" s="100"/>
      <c r="BFD48" s="100"/>
      <c r="BFE48" s="100"/>
      <c r="BFF48" s="100"/>
      <c r="BFG48" s="100"/>
      <c r="BFH48" s="100"/>
      <c r="BFI48" s="100"/>
      <c r="BFJ48" s="100"/>
      <c r="BFK48" s="100"/>
      <c r="BFL48" s="100"/>
      <c r="BFM48" s="100"/>
      <c r="BFN48" s="100"/>
      <c r="BFO48" s="100"/>
      <c r="BFP48" s="100"/>
      <c r="BFQ48" s="100"/>
      <c r="BFR48" s="100"/>
      <c r="BFS48" s="100"/>
      <c r="BFT48" s="100"/>
      <c r="BFU48" s="100"/>
      <c r="BFV48" s="100"/>
      <c r="BFW48" s="100"/>
      <c r="BFX48" s="100"/>
      <c r="BFY48" s="100"/>
      <c r="BFZ48" s="100"/>
      <c r="BGA48" s="100"/>
      <c r="BGB48" s="100"/>
      <c r="BGC48" s="100"/>
      <c r="BGD48" s="100"/>
      <c r="BGE48" s="100"/>
      <c r="BGF48" s="100"/>
      <c r="BGG48" s="100"/>
      <c r="BGH48" s="100"/>
      <c r="BGI48" s="100"/>
      <c r="BGJ48" s="100"/>
      <c r="BGK48" s="100"/>
      <c r="BGL48" s="100"/>
      <c r="BGM48" s="100"/>
      <c r="BGN48" s="100"/>
      <c r="BGO48" s="100"/>
      <c r="BGP48" s="100"/>
      <c r="BGQ48" s="100"/>
      <c r="BGR48" s="100"/>
      <c r="BGS48" s="100"/>
      <c r="BGT48" s="100"/>
      <c r="BGU48" s="100"/>
      <c r="BGV48" s="100"/>
      <c r="BGW48" s="100"/>
      <c r="BGX48" s="100"/>
      <c r="BGY48" s="100"/>
      <c r="BGZ48" s="100"/>
      <c r="BHA48" s="100"/>
      <c r="BHB48" s="100"/>
      <c r="BHC48" s="100"/>
      <c r="BHD48" s="100"/>
      <c r="BHE48" s="100"/>
      <c r="BHF48" s="100"/>
      <c r="BHG48" s="100"/>
      <c r="BHH48" s="100"/>
      <c r="BHI48" s="100"/>
      <c r="BHJ48" s="100"/>
      <c r="BHK48" s="100"/>
      <c r="BHL48" s="100"/>
      <c r="BHM48" s="100"/>
      <c r="BHN48" s="100"/>
      <c r="BHO48" s="100"/>
      <c r="BHP48" s="100"/>
      <c r="BHQ48" s="100"/>
      <c r="BHR48" s="100"/>
      <c r="BHS48" s="100"/>
      <c r="BHT48" s="100"/>
      <c r="BHU48" s="100"/>
      <c r="BHV48" s="100"/>
      <c r="BHW48" s="100"/>
      <c r="BHX48" s="100"/>
      <c r="BHY48" s="100"/>
      <c r="BHZ48" s="100"/>
      <c r="BIA48" s="100"/>
      <c r="BIB48" s="100"/>
      <c r="BIC48" s="100"/>
      <c r="BID48" s="100"/>
      <c r="BIE48" s="100"/>
      <c r="BIF48" s="100"/>
      <c r="BIG48" s="100"/>
      <c r="BIH48" s="100"/>
      <c r="BII48" s="100"/>
      <c r="BIJ48" s="100"/>
      <c r="BIK48" s="100"/>
      <c r="BIL48" s="100"/>
      <c r="BIM48" s="100"/>
      <c r="BIN48" s="100"/>
      <c r="BIO48" s="100"/>
      <c r="BIP48" s="100"/>
      <c r="BIQ48" s="100"/>
      <c r="BIR48" s="100"/>
      <c r="BIS48" s="100"/>
      <c r="BIT48" s="100"/>
      <c r="BIU48" s="100"/>
      <c r="BIV48" s="100"/>
      <c r="BIW48" s="100"/>
      <c r="BIX48" s="100"/>
      <c r="BIY48" s="100"/>
      <c r="BIZ48" s="100"/>
      <c r="BJA48" s="100"/>
      <c r="BJB48" s="100"/>
      <c r="BJC48" s="100"/>
      <c r="BJD48" s="100"/>
      <c r="BJE48" s="100"/>
      <c r="BJF48" s="100"/>
      <c r="BJG48" s="100"/>
      <c r="BJH48" s="100"/>
      <c r="BJI48" s="100"/>
      <c r="BJJ48" s="100"/>
      <c r="BJK48" s="100"/>
      <c r="BJL48" s="100"/>
      <c r="BJM48" s="100"/>
      <c r="BJN48" s="100"/>
      <c r="BJO48" s="100"/>
      <c r="BJP48" s="100"/>
      <c r="BJQ48" s="100"/>
      <c r="BJR48" s="100"/>
      <c r="BJS48" s="100"/>
      <c r="BJT48" s="100"/>
      <c r="BJU48" s="100"/>
      <c r="BJV48" s="100"/>
      <c r="BJW48" s="100"/>
      <c r="BJX48" s="100"/>
      <c r="BJY48" s="100"/>
      <c r="BJZ48" s="100"/>
      <c r="BKA48" s="100"/>
      <c r="BKB48" s="100"/>
      <c r="BKC48" s="100"/>
      <c r="BKD48" s="100"/>
      <c r="BKE48" s="100"/>
      <c r="BKF48" s="100"/>
      <c r="BKG48" s="100"/>
      <c r="BKH48" s="100"/>
      <c r="BKI48" s="100"/>
      <c r="BKJ48" s="100"/>
      <c r="BKK48" s="100"/>
      <c r="BKL48" s="100"/>
      <c r="BKM48" s="100"/>
      <c r="BKN48" s="100"/>
      <c r="BKO48" s="100"/>
      <c r="BKP48" s="100"/>
      <c r="BKQ48" s="100"/>
      <c r="BKR48" s="100"/>
      <c r="BKS48" s="100"/>
      <c r="BKT48" s="100"/>
      <c r="BKU48" s="100"/>
      <c r="BKV48" s="100"/>
      <c r="BKW48" s="100"/>
      <c r="BKX48" s="100"/>
      <c r="BKY48" s="100"/>
      <c r="BKZ48" s="100"/>
      <c r="BLA48" s="100"/>
      <c r="BLB48" s="100"/>
      <c r="BLC48" s="100"/>
      <c r="BLD48" s="100"/>
      <c r="BLE48" s="100"/>
      <c r="BLF48" s="100"/>
      <c r="BLG48" s="100"/>
      <c r="BLH48" s="100"/>
      <c r="BLI48" s="100"/>
      <c r="BLJ48" s="100"/>
      <c r="BLK48" s="100"/>
      <c r="BLL48" s="100"/>
      <c r="BLM48" s="100"/>
      <c r="BLN48" s="100"/>
      <c r="BLO48" s="100"/>
      <c r="BLP48" s="100"/>
      <c r="BLQ48" s="100"/>
      <c r="BLR48" s="100"/>
      <c r="BLS48" s="100"/>
      <c r="BLT48" s="100"/>
      <c r="BLU48" s="100"/>
      <c r="BLV48" s="100"/>
      <c r="BLW48" s="100"/>
      <c r="BLX48" s="100"/>
      <c r="BLY48" s="100"/>
      <c r="BLZ48" s="100"/>
      <c r="BMA48" s="100"/>
      <c r="BMB48" s="100"/>
      <c r="BMC48" s="100"/>
      <c r="BMD48" s="100"/>
      <c r="BME48" s="100"/>
      <c r="BMF48" s="100"/>
      <c r="BMG48" s="100"/>
      <c r="BMH48" s="100"/>
      <c r="BMI48" s="100"/>
      <c r="BMJ48" s="100"/>
      <c r="BMK48" s="100"/>
      <c r="BML48" s="100"/>
      <c r="BMM48" s="100"/>
      <c r="BMN48" s="100"/>
      <c r="BMO48" s="100"/>
      <c r="BMP48" s="100"/>
      <c r="BMQ48" s="100"/>
      <c r="BMR48" s="100"/>
      <c r="BMS48" s="100"/>
      <c r="BMT48" s="100"/>
      <c r="BMU48" s="100"/>
      <c r="BMV48" s="100"/>
      <c r="BMW48" s="100"/>
      <c r="BMX48" s="100"/>
      <c r="BMY48" s="100"/>
      <c r="BMZ48" s="100"/>
      <c r="BNA48" s="100"/>
      <c r="BNB48" s="100"/>
      <c r="BNC48" s="100"/>
      <c r="BND48" s="100"/>
      <c r="BNE48" s="100"/>
      <c r="BNF48" s="100"/>
      <c r="BNG48" s="100"/>
      <c r="BNH48" s="100"/>
      <c r="BNI48" s="100"/>
      <c r="BNJ48" s="100"/>
      <c r="BNK48" s="100"/>
      <c r="BNL48" s="100"/>
      <c r="BNM48" s="100"/>
      <c r="BNN48" s="100"/>
      <c r="BNO48" s="100"/>
      <c r="BNP48" s="100"/>
      <c r="BNQ48" s="100"/>
      <c r="BNR48" s="100"/>
      <c r="BNS48" s="100"/>
      <c r="BNT48" s="100"/>
      <c r="BNU48" s="100"/>
      <c r="BNV48" s="100"/>
      <c r="BNW48" s="100"/>
      <c r="BNX48" s="100"/>
      <c r="BNY48" s="100"/>
      <c r="BNZ48" s="100"/>
      <c r="BOA48" s="100"/>
      <c r="BOB48" s="100"/>
      <c r="BOC48" s="100"/>
      <c r="BOD48" s="100"/>
      <c r="BOE48" s="100"/>
      <c r="BOF48" s="100"/>
      <c r="BOG48" s="100"/>
      <c r="BOH48" s="100"/>
      <c r="BOI48" s="100"/>
      <c r="BOJ48" s="100"/>
      <c r="BOK48" s="100"/>
      <c r="BOL48" s="100"/>
      <c r="BOM48" s="100"/>
      <c r="BON48" s="100"/>
      <c r="BOO48" s="100"/>
      <c r="BOP48" s="100"/>
      <c r="BOQ48" s="100"/>
      <c r="BOR48" s="100"/>
      <c r="BOS48" s="100"/>
      <c r="BOT48" s="100"/>
      <c r="BOU48" s="100"/>
      <c r="BOV48" s="100"/>
      <c r="BOW48" s="100"/>
      <c r="BOX48" s="100"/>
      <c r="BOY48" s="100"/>
      <c r="BOZ48" s="100"/>
      <c r="BPA48" s="100"/>
      <c r="BPB48" s="100"/>
      <c r="BPC48" s="100"/>
      <c r="BPD48" s="100"/>
      <c r="BPE48" s="100"/>
      <c r="BPF48" s="100"/>
      <c r="BPG48" s="100"/>
      <c r="BPH48" s="100"/>
      <c r="BPI48" s="100"/>
      <c r="BPJ48" s="100"/>
      <c r="BPK48" s="100"/>
      <c r="BPL48" s="100"/>
      <c r="BPM48" s="100"/>
      <c r="BPN48" s="100"/>
      <c r="BPO48" s="100"/>
      <c r="BPP48" s="100"/>
      <c r="BPQ48" s="100"/>
      <c r="BPR48" s="100"/>
      <c r="BPS48" s="100"/>
      <c r="BPT48" s="100"/>
      <c r="BPU48" s="100"/>
      <c r="BPV48" s="100"/>
      <c r="BPW48" s="100"/>
      <c r="BPX48" s="100"/>
      <c r="BPY48" s="100"/>
      <c r="BPZ48" s="100"/>
      <c r="BQA48" s="100"/>
      <c r="BQB48" s="100"/>
      <c r="BQC48" s="100"/>
      <c r="BQD48" s="100"/>
      <c r="BQE48" s="100"/>
      <c r="BQF48" s="100"/>
      <c r="BQG48" s="100"/>
      <c r="BQH48" s="100"/>
      <c r="BQI48" s="100"/>
      <c r="BQJ48" s="100"/>
      <c r="BQK48" s="100"/>
      <c r="BQL48" s="100"/>
      <c r="BQM48" s="100"/>
      <c r="BQN48" s="100"/>
      <c r="BQO48" s="100"/>
      <c r="BQP48" s="100"/>
      <c r="BQQ48" s="100"/>
      <c r="BQR48" s="100"/>
      <c r="BQS48" s="100"/>
      <c r="BQT48" s="100"/>
      <c r="BQU48" s="100"/>
      <c r="BQV48" s="100"/>
      <c r="BQW48" s="100"/>
      <c r="BQX48" s="100"/>
      <c r="BQY48" s="100"/>
      <c r="BQZ48" s="100"/>
      <c r="BRA48" s="100"/>
      <c r="BRB48" s="100"/>
      <c r="BRC48" s="100"/>
      <c r="BRD48" s="100"/>
      <c r="BRE48" s="100"/>
      <c r="BRF48" s="100"/>
      <c r="BRG48" s="100"/>
      <c r="BRH48" s="100"/>
      <c r="BRI48" s="100"/>
      <c r="BRJ48" s="100"/>
      <c r="BRK48" s="100"/>
      <c r="BRL48" s="100"/>
      <c r="BRM48" s="100"/>
      <c r="BRN48" s="100"/>
      <c r="BRO48" s="100"/>
      <c r="BRP48" s="100"/>
      <c r="BRQ48" s="100"/>
      <c r="BRR48" s="100"/>
      <c r="BRS48" s="100"/>
      <c r="BRT48" s="100"/>
      <c r="BRU48" s="100"/>
      <c r="BRV48" s="100"/>
      <c r="BRW48" s="100"/>
      <c r="BRX48" s="100"/>
      <c r="BRY48" s="100"/>
      <c r="BRZ48" s="100"/>
      <c r="BSA48" s="100"/>
      <c r="BSB48" s="100"/>
      <c r="BSC48" s="100"/>
      <c r="BSD48" s="100"/>
      <c r="BSE48" s="100"/>
      <c r="BSF48" s="100"/>
      <c r="BSG48" s="100"/>
      <c r="BSH48" s="100"/>
      <c r="BSI48" s="100"/>
      <c r="BSJ48" s="100"/>
      <c r="BSK48" s="100"/>
      <c r="BSL48" s="100"/>
      <c r="BSM48" s="100"/>
      <c r="BSN48" s="100"/>
      <c r="BSO48" s="100"/>
      <c r="BSP48" s="100"/>
      <c r="BSQ48" s="100"/>
      <c r="BSR48" s="100"/>
      <c r="BSS48" s="100"/>
      <c r="BST48" s="100"/>
      <c r="BSU48" s="100"/>
      <c r="BSV48" s="100"/>
      <c r="BSW48" s="100"/>
      <c r="BSX48" s="100"/>
      <c r="BSY48" s="100"/>
      <c r="BSZ48" s="100"/>
      <c r="BTA48" s="100"/>
      <c r="BTB48" s="100"/>
      <c r="BTC48" s="100"/>
      <c r="BTD48" s="100"/>
      <c r="BTE48" s="100"/>
      <c r="BTF48" s="100"/>
      <c r="BTG48" s="100"/>
      <c r="BTH48" s="100"/>
      <c r="BTI48" s="100"/>
      <c r="BTJ48" s="100"/>
      <c r="BTK48" s="100"/>
      <c r="BTL48" s="100"/>
      <c r="BTM48" s="100"/>
      <c r="BTN48" s="100"/>
      <c r="BTO48" s="100"/>
      <c r="BTP48" s="100"/>
      <c r="BTQ48" s="100"/>
      <c r="BTR48" s="100"/>
      <c r="BTS48" s="100"/>
      <c r="BTT48" s="100"/>
      <c r="BTU48" s="100"/>
      <c r="BTV48" s="100"/>
      <c r="BTW48" s="100"/>
      <c r="BTX48" s="100"/>
      <c r="BTY48" s="100"/>
      <c r="BTZ48" s="100"/>
      <c r="BUA48" s="100"/>
      <c r="BUB48" s="100"/>
      <c r="BUC48" s="100"/>
      <c r="BUD48" s="100"/>
      <c r="BUE48" s="100"/>
      <c r="BUF48" s="100"/>
      <c r="BUG48" s="100"/>
      <c r="BUH48" s="100"/>
      <c r="BUI48" s="100"/>
      <c r="BUJ48" s="100"/>
      <c r="BUK48" s="100"/>
      <c r="BUL48" s="100"/>
      <c r="BUM48" s="100"/>
      <c r="BUN48" s="100"/>
      <c r="BUO48" s="100"/>
      <c r="BUP48" s="100"/>
      <c r="BUQ48" s="100"/>
      <c r="BUR48" s="100"/>
      <c r="BUS48" s="100"/>
      <c r="BUT48" s="100"/>
      <c r="BUU48" s="100"/>
      <c r="BUV48" s="100"/>
      <c r="BUW48" s="100"/>
      <c r="BUX48" s="100"/>
      <c r="BUY48" s="100"/>
      <c r="BUZ48" s="100"/>
      <c r="BVA48" s="100"/>
      <c r="BVB48" s="100"/>
      <c r="BVC48" s="100"/>
      <c r="BVD48" s="100"/>
      <c r="BVE48" s="100"/>
      <c r="BVF48" s="100"/>
      <c r="BVG48" s="100"/>
      <c r="BVH48" s="100"/>
      <c r="BVI48" s="100"/>
      <c r="BVJ48" s="100"/>
      <c r="BVK48" s="100"/>
      <c r="BVL48" s="100"/>
      <c r="BVM48" s="100"/>
      <c r="BVN48" s="100"/>
      <c r="BVO48" s="100"/>
      <c r="BVP48" s="100"/>
      <c r="BVQ48" s="100"/>
      <c r="BVR48" s="100"/>
      <c r="BVS48" s="100"/>
      <c r="BVT48" s="100"/>
      <c r="BVU48" s="100"/>
      <c r="BVV48" s="100"/>
      <c r="BVW48" s="100"/>
      <c r="BVX48" s="100"/>
      <c r="BVY48" s="100"/>
      <c r="BVZ48" s="100"/>
      <c r="BWA48" s="100"/>
      <c r="BWB48" s="100"/>
      <c r="BWC48" s="100"/>
      <c r="BWD48" s="100"/>
      <c r="BWE48" s="100"/>
      <c r="BWF48" s="100"/>
      <c r="BWG48" s="100"/>
      <c r="BWH48" s="100"/>
      <c r="BWI48" s="100"/>
      <c r="BWJ48" s="100"/>
      <c r="BWK48" s="100"/>
      <c r="BWL48" s="100"/>
      <c r="BWM48" s="100"/>
      <c r="BWN48" s="100"/>
      <c r="BWO48" s="100"/>
      <c r="BWP48" s="100"/>
      <c r="BWQ48" s="100"/>
      <c r="BWR48" s="100"/>
      <c r="BWS48" s="100"/>
      <c r="BWT48" s="100"/>
      <c r="BWU48" s="100"/>
      <c r="BWV48" s="100"/>
      <c r="BWW48" s="100"/>
      <c r="BWX48" s="100"/>
      <c r="BWY48" s="100"/>
      <c r="BWZ48" s="100"/>
      <c r="BXA48" s="100"/>
      <c r="BXB48" s="100"/>
      <c r="BXC48" s="100"/>
      <c r="BXD48" s="100"/>
      <c r="BXE48" s="100"/>
      <c r="BXF48" s="100"/>
      <c r="BXG48" s="100"/>
      <c r="BXH48" s="100"/>
      <c r="BXI48" s="100"/>
      <c r="BXJ48" s="100"/>
      <c r="BXK48" s="100"/>
      <c r="BXL48" s="100"/>
      <c r="BXM48" s="100"/>
      <c r="BXN48" s="100"/>
      <c r="BXO48" s="100"/>
      <c r="BXP48" s="100"/>
      <c r="BXQ48" s="100"/>
      <c r="BXR48" s="100"/>
      <c r="BXS48" s="100"/>
      <c r="BXT48" s="100"/>
      <c r="BXU48" s="100"/>
      <c r="BXV48" s="100"/>
      <c r="BXW48" s="100"/>
      <c r="BXX48" s="100"/>
      <c r="BXY48" s="100"/>
      <c r="BXZ48" s="100"/>
      <c r="BYA48" s="100"/>
      <c r="BYB48" s="100"/>
      <c r="BYC48" s="100"/>
      <c r="BYD48" s="100"/>
      <c r="BYE48" s="100"/>
      <c r="BYF48" s="100"/>
      <c r="BYG48" s="100"/>
    </row>
    <row r="49" spans="1:2009" s="118" customFormat="1" ht="24.95" hidden="1" customHeight="1" x14ac:dyDescent="0.25">
      <c r="A49" s="388"/>
      <c r="B49" s="448" t="s">
        <v>316</v>
      </c>
      <c r="C49" s="475"/>
      <c r="D49" s="475"/>
      <c r="E49" s="475"/>
      <c r="F49" s="452"/>
      <c r="G49" s="729">
        <f>ROUND(SUM(C49:F49),5)</f>
        <v>0</v>
      </c>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c r="IW49" s="100"/>
      <c r="IX49" s="100"/>
      <c r="IY49" s="100"/>
      <c r="IZ49" s="100"/>
      <c r="JA49" s="100"/>
      <c r="JB49" s="100"/>
      <c r="JC49" s="100"/>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c r="KJ49" s="100"/>
      <c r="KK49" s="100"/>
      <c r="KL49" s="100"/>
      <c r="KM49" s="100"/>
      <c r="KN49" s="100"/>
      <c r="KO49" s="100"/>
      <c r="KP49" s="100"/>
      <c r="KQ49" s="100"/>
      <c r="KR49" s="100"/>
      <c r="KS49" s="100"/>
      <c r="KT49" s="100"/>
      <c r="KU49" s="100"/>
      <c r="KV49" s="100"/>
      <c r="KW49" s="100"/>
      <c r="KX49" s="100"/>
      <c r="KY49" s="100"/>
      <c r="KZ49" s="100"/>
      <c r="LA49" s="100"/>
      <c r="LB49" s="100"/>
      <c r="LC49" s="100"/>
      <c r="LD49" s="100"/>
      <c r="LE49" s="100"/>
      <c r="LF49" s="100"/>
      <c r="LG49" s="100"/>
      <c r="LH49" s="100"/>
      <c r="LI49" s="100"/>
      <c r="LJ49" s="100"/>
      <c r="LK49" s="100"/>
      <c r="LL49" s="100"/>
      <c r="LM49" s="100"/>
      <c r="LN49" s="100"/>
      <c r="LO49" s="100"/>
      <c r="LP49" s="100"/>
      <c r="LQ49" s="100"/>
      <c r="LR49" s="100"/>
      <c r="LS49" s="100"/>
      <c r="LT49" s="100"/>
      <c r="LU49" s="100"/>
      <c r="LV49" s="100"/>
      <c r="LW49" s="100"/>
      <c r="LX49" s="100"/>
      <c r="LY49" s="100"/>
      <c r="LZ49" s="100"/>
      <c r="MA49" s="100"/>
      <c r="MB49" s="100"/>
      <c r="MC49" s="100"/>
      <c r="MD49" s="100"/>
      <c r="ME49" s="100"/>
      <c r="MF49" s="100"/>
      <c r="MG49" s="100"/>
      <c r="MH49" s="100"/>
      <c r="MI49" s="100"/>
      <c r="MJ49" s="100"/>
      <c r="MK49" s="100"/>
      <c r="ML49" s="100"/>
      <c r="MM49" s="100"/>
      <c r="MN49" s="100"/>
      <c r="MO49" s="100"/>
      <c r="MP49" s="100"/>
      <c r="MQ49" s="100"/>
      <c r="MR49" s="100"/>
      <c r="MS49" s="100"/>
      <c r="MT49" s="100"/>
      <c r="MU49" s="100"/>
      <c r="MV49" s="100"/>
      <c r="MW49" s="100"/>
      <c r="MX49" s="100"/>
      <c r="MY49" s="100"/>
      <c r="MZ49" s="100"/>
      <c r="NA49" s="100"/>
      <c r="NB49" s="100"/>
      <c r="NC49" s="100"/>
      <c r="ND49" s="100"/>
      <c r="NE49" s="100"/>
      <c r="NF49" s="100"/>
      <c r="NG49" s="100"/>
      <c r="NH49" s="100"/>
      <c r="NI49" s="100"/>
      <c r="NJ49" s="100"/>
      <c r="NK49" s="100"/>
      <c r="NL49" s="100"/>
      <c r="NM49" s="100"/>
      <c r="NN49" s="100"/>
      <c r="NO49" s="100"/>
      <c r="NP49" s="100"/>
      <c r="NQ49" s="100"/>
      <c r="NR49" s="100"/>
      <c r="NS49" s="100"/>
      <c r="NT49" s="100"/>
      <c r="NU49" s="100"/>
      <c r="NV49" s="100"/>
      <c r="NW49" s="100"/>
      <c r="NX49" s="100"/>
      <c r="NY49" s="100"/>
      <c r="NZ49" s="100"/>
      <c r="OA49" s="100"/>
      <c r="OB49" s="100"/>
      <c r="OC49" s="100"/>
      <c r="OD49" s="100"/>
      <c r="OE49" s="100"/>
      <c r="OF49" s="100"/>
      <c r="OG49" s="100"/>
      <c r="OH49" s="100"/>
      <c r="OI49" s="100"/>
      <c r="OJ49" s="100"/>
      <c r="OK49" s="100"/>
      <c r="OL49" s="100"/>
      <c r="OM49" s="100"/>
      <c r="ON49" s="100"/>
      <c r="OO49" s="100"/>
      <c r="OP49" s="100"/>
      <c r="OQ49" s="100"/>
      <c r="OR49" s="100"/>
      <c r="OS49" s="100"/>
      <c r="OT49" s="100"/>
      <c r="OU49" s="100"/>
      <c r="OV49" s="100"/>
      <c r="OW49" s="100"/>
      <c r="OX49" s="100"/>
      <c r="OY49" s="100"/>
      <c r="OZ49" s="100"/>
      <c r="PA49" s="100"/>
      <c r="PB49" s="100"/>
      <c r="PC49" s="100"/>
      <c r="PD49" s="100"/>
      <c r="PE49" s="100"/>
      <c r="PF49" s="100"/>
      <c r="PG49" s="100"/>
      <c r="PH49" s="100"/>
      <c r="PI49" s="100"/>
      <c r="PJ49" s="100"/>
      <c r="PK49" s="100"/>
      <c r="PL49" s="100"/>
      <c r="PM49" s="100"/>
      <c r="PN49" s="100"/>
      <c r="PO49" s="100"/>
      <c r="PP49" s="100"/>
      <c r="PQ49" s="100"/>
      <c r="PR49" s="100"/>
      <c r="PS49" s="100"/>
      <c r="PT49" s="100"/>
      <c r="PU49" s="100"/>
      <c r="PV49" s="100"/>
      <c r="PW49" s="100"/>
      <c r="PX49" s="100"/>
      <c r="PY49" s="100"/>
      <c r="PZ49" s="100"/>
      <c r="QA49" s="100"/>
      <c r="QB49" s="100"/>
      <c r="QC49" s="100"/>
      <c r="QD49" s="100"/>
      <c r="QE49" s="100"/>
      <c r="QF49" s="100"/>
      <c r="QG49" s="100"/>
      <c r="QH49" s="100"/>
      <c r="QI49" s="100"/>
      <c r="QJ49" s="100"/>
      <c r="QK49" s="100"/>
      <c r="QL49" s="100"/>
      <c r="QM49" s="100"/>
      <c r="QN49" s="100"/>
      <c r="QO49" s="100"/>
      <c r="QP49" s="100"/>
      <c r="QQ49" s="100"/>
      <c r="QR49" s="100"/>
      <c r="QS49" s="100"/>
      <c r="QT49" s="100"/>
      <c r="QU49" s="100"/>
      <c r="QV49" s="100"/>
      <c r="QW49" s="100"/>
      <c r="QX49" s="100"/>
      <c r="QY49" s="100"/>
      <c r="QZ49" s="100"/>
      <c r="RA49" s="100"/>
      <c r="RB49" s="100"/>
      <c r="RC49" s="100"/>
      <c r="RD49" s="100"/>
      <c r="RE49" s="100"/>
      <c r="RF49" s="100"/>
      <c r="RG49" s="100"/>
      <c r="RH49" s="100"/>
      <c r="RI49" s="100"/>
      <c r="RJ49" s="100"/>
      <c r="RK49" s="100"/>
      <c r="RL49" s="100"/>
      <c r="RM49" s="100"/>
      <c r="RN49" s="100"/>
      <c r="RO49" s="100"/>
      <c r="RP49" s="100"/>
      <c r="RQ49" s="100"/>
      <c r="RR49" s="100"/>
      <c r="RS49" s="100"/>
      <c r="RT49" s="100"/>
      <c r="RU49" s="100"/>
      <c r="RV49" s="100"/>
      <c r="RW49" s="100"/>
      <c r="RX49" s="100"/>
      <c r="RY49" s="100"/>
      <c r="RZ49" s="100"/>
      <c r="SA49" s="100"/>
      <c r="SB49" s="100"/>
      <c r="SC49" s="100"/>
      <c r="SD49" s="100"/>
      <c r="SE49" s="100"/>
      <c r="SF49" s="100"/>
      <c r="SG49" s="100"/>
      <c r="SH49" s="100"/>
      <c r="SI49" s="100"/>
      <c r="SJ49" s="100"/>
      <c r="SK49" s="100"/>
      <c r="SL49" s="100"/>
      <c r="SM49" s="100"/>
      <c r="SN49" s="100"/>
      <c r="SO49" s="100"/>
      <c r="SP49" s="100"/>
      <c r="SQ49" s="100"/>
      <c r="SR49" s="100"/>
      <c r="SS49" s="100"/>
      <c r="ST49" s="100"/>
      <c r="SU49" s="100"/>
      <c r="SV49" s="100"/>
      <c r="SW49" s="100"/>
      <c r="SX49" s="100"/>
      <c r="SY49" s="100"/>
      <c r="SZ49" s="100"/>
      <c r="TA49" s="100"/>
      <c r="TB49" s="100"/>
      <c r="TC49" s="100"/>
      <c r="TD49" s="100"/>
      <c r="TE49" s="100"/>
      <c r="TF49" s="100"/>
      <c r="TG49" s="100"/>
      <c r="TH49" s="100"/>
      <c r="TI49" s="100"/>
      <c r="TJ49" s="100"/>
      <c r="TK49" s="100"/>
      <c r="TL49" s="100"/>
      <c r="TM49" s="100"/>
      <c r="TN49" s="100"/>
      <c r="TO49" s="100"/>
      <c r="TP49" s="100"/>
      <c r="TQ49" s="100"/>
      <c r="TR49" s="100"/>
      <c r="TS49" s="100"/>
      <c r="TT49" s="100"/>
      <c r="TU49" s="100"/>
      <c r="TV49" s="100"/>
      <c r="TW49" s="100"/>
      <c r="TX49" s="100"/>
      <c r="TY49" s="100"/>
      <c r="TZ49" s="100"/>
      <c r="UA49" s="100"/>
      <c r="UB49" s="100"/>
      <c r="UC49" s="100"/>
      <c r="UD49" s="100"/>
      <c r="UE49" s="100"/>
      <c r="UF49" s="100"/>
      <c r="UG49" s="100"/>
      <c r="UH49" s="100"/>
      <c r="UI49" s="100"/>
      <c r="UJ49" s="100"/>
      <c r="UK49" s="100"/>
      <c r="UL49" s="100"/>
      <c r="UM49" s="100"/>
      <c r="UN49" s="100"/>
      <c r="UO49" s="100"/>
      <c r="UP49" s="100"/>
      <c r="UQ49" s="100"/>
      <c r="UR49" s="100"/>
      <c r="US49" s="100"/>
      <c r="UT49" s="100"/>
      <c r="UU49" s="100"/>
      <c r="UV49" s="100"/>
      <c r="UW49" s="100"/>
      <c r="UX49" s="100"/>
      <c r="UY49" s="100"/>
      <c r="UZ49" s="100"/>
      <c r="VA49" s="100"/>
      <c r="VB49" s="100"/>
      <c r="VC49" s="100"/>
      <c r="VD49" s="100"/>
      <c r="VE49" s="100"/>
      <c r="VF49" s="100"/>
      <c r="VG49" s="100"/>
      <c r="VH49" s="100"/>
      <c r="VI49" s="100"/>
      <c r="VJ49" s="100"/>
      <c r="VK49" s="100"/>
      <c r="VL49" s="100"/>
      <c r="VM49" s="100"/>
      <c r="VN49" s="100"/>
      <c r="VO49" s="100"/>
      <c r="VP49" s="100"/>
      <c r="VQ49" s="100"/>
      <c r="VR49" s="100"/>
      <c r="VS49" s="100"/>
      <c r="VT49" s="100"/>
      <c r="VU49" s="100"/>
      <c r="VV49" s="100"/>
      <c r="VW49" s="100"/>
      <c r="VX49" s="100"/>
      <c r="VY49" s="100"/>
      <c r="VZ49" s="100"/>
      <c r="WA49" s="100"/>
      <c r="WB49" s="100"/>
      <c r="WC49" s="100"/>
      <c r="WD49" s="100"/>
      <c r="WE49" s="100"/>
      <c r="WF49" s="100"/>
      <c r="WG49" s="100"/>
      <c r="WH49" s="100"/>
      <c r="WI49" s="100"/>
      <c r="WJ49" s="100"/>
      <c r="WK49" s="100"/>
      <c r="WL49" s="100"/>
      <c r="WM49" s="100"/>
      <c r="WN49" s="100"/>
      <c r="WO49" s="100"/>
      <c r="WP49" s="100"/>
      <c r="WQ49" s="100"/>
      <c r="WR49" s="100"/>
      <c r="WS49" s="100"/>
      <c r="WT49" s="100"/>
      <c r="WU49" s="100"/>
      <c r="WV49" s="100"/>
      <c r="WW49" s="100"/>
      <c r="WX49" s="100"/>
      <c r="WY49" s="100"/>
      <c r="WZ49" s="100"/>
      <c r="XA49" s="100"/>
      <c r="XB49" s="100"/>
      <c r="XC49" s="100"/>
      <c r="XD49" s="100"/>
      <c r="XE49" s="100"/>
      <c r="XF49" s="100"/>
      <c r="XG49" s="100"/>
      <c r="XH49" s="100"/>
      <c r="XI49" s="100"/>
      <c r="XJ49" s="100"/>
      <c r="XK49" s="100"/>
      <c r="XL49" s="100"/>
      <c r="XM49" s="100"/>
      <c r="XN49" s="100"/>
      <c r="XO49" s="100"/>
      <c r="XP49" s="100"/>
      <c r="XQ49" s="100"/>
      <c r="XR49" s="100"/>
      <c r="XS49" s="100"/>
      <c r="XT49" s="100"/>
      <c r="XU49" s="100"/>
      <c r="XV49" s="100"/>
      <c r="XW49" s="100"/>
      <c r="XX49" s="100"/>
      <c r="XY49" s="100"/>
      <c r="XZ49" s="100"/>
      <c r="YA49" s="100"/>
      <c r="YB49" s="100"/>
      <c r="YC49" s="100"/>
      <c r="YD49" s="100"/>
      <c r="YE49" s="100"/>
      <c r="YF49" s="100"/>
      <c r="YG49" s="100"/>
      <c r="YH49" s="100"/>
      <c r="YI49" s="100"/>
      <c r="YJ49" s="100"/>
      <c r="YK49" s="100"/>
      <c r="YL49" s="100"/>
      <c r="YM49" s="100"/>
      <c r="YN49" s="100"/>
      <c r="YO49" s="100"/>
      <c r="YP49" s="100"/>
      <c r="YQ49" s="100"/>
      <c r="YR49" s="100"/>
      <c r="YS49" s="100"/>
      <c r="YT49" s="100"/>
      <c r="YU49" s="100"/>
      <c r="YV49" s="100"/>
      <c r="YW49" s="100"/>
      <c r="YX49" s="100"/>
      <c r="YY49" s="100"/>
      <c r="YZ49" s="100"/>
      <c r="ZA49" s="100"/>
      <c r="ZB49" s="100"/>
      <c r="ZC49" s="100"/>
      <c r="ZD49" s="100"/>
      <c r="ZE49" s="100"/>
      <c r="ZF49" s="100"/>
      <c r="ZG49" s="100"/>
      <c r="ZH49" s="100"/>
      <c r="ZI49" s="100"/>
      <c r="ZJ49" s="100"/>
      <c r="ZK49" s="100"/>
      <c r="ZL49" s="100"/>
      <c r="ZM49" s="100"/>
      <c r="ZN49" s="100"/>
      <c r="ZO49" s="100"/>
      <c r="ZP49" s="100"/>
      <c r="ZQ49" s="100"/>
      <c r="ZR49" s="100"/>
      <c r="ZS49" s="100"/>
      <c r="ZT49" s="100"/>
      <c r="ZU49" s="100"/>
      <c r="ZV49" s="100"/>
      <c r="ZW49" s="100"/>
      <c r="ZX49" s="100"/>
      <c r="ZY49" s="100"/>
      <c r="ZZ49" s="100"/>
      <c r="AAA49" s="100"/>
      <c r="AAB49" s="100"/>
      <c r="AAC49" s="100"/>
      <c r="AAD49" s="100"/>
      <c r="AAE49" s="100"/>
      <c r="AAF49" s="100"/>
      <c r="AAG49" s="100"/>
      <c r="AAH49" s="100"/>
      <c r="AAI49" s="100"/>
      <c r="AAJ49" s="100"/>
      <c r="AAK49" s="100"/>
      <c r="AAL49" s="100"/>
      <c r="AAM49" s="100"/>
      <c r="AAN49" s="100"/>
      <c r="AAO49" s="100"/>
      <c r="AAP49" s="100"/>
      <c r="AAQ49" s="100"/>
      <c r="AAR49" s="100"/>
      <c r="AAS49" s="100"/>
      <c r="AAT49" s="100"/>
      <c r="AAU49" s="100"/>
      <c r="AAV49" s="100"/>
      <c r="AAW49" s="100"/>
      <c r="AAX49" s="100"/>
      <c r="AAY49" s="100"/>
      <c r="AAZ49" s="100"/>
      <c r="ABA49" s="100"/>
      <c r="ABB49" s="100"/>
      <c r="ABC49" s="100"/>
      <c r="ABD49" s="100"/>
      <c r="ABE49" s="100"/>
      <c r="ABF49" s="100"/>
      <c r="ABG49" s="100"/>
      <c r="ABH49" s="100"/>
      <c r="ABI49" s="100"/>
      <c r="ABJ49" s="100"/>
      <c r="ABK49" s="100"/>
      <c r="ABL49" s="100"/>
      <c r="ABM49" s="100"/>
      <c r="ABN49" s="100"/>
      <c r="ABO49" s="100"/>
      <c r="ABP49" s="100"/>
      <c r="ABQ49" s="100"/>
      <c r="ABR49" s="100"/>
      <c r="ABS49" s="100"/>
      <c r="ABT49" s="100"/>
      <c r="ABU49" s="100"/>
      <c r="ABV49" s="100"/>
      <c r="ABW49" s="100"/>
      <c r="ABX49" s="100"/>
      <c r="ABY49" s="100"/>
      <c r="ABZ49" s="100"/>
      <c r="ACA49" s="100"/>
      <c r="ACB49" s="100"/>
      <c r="ACC49" s="100"/>
      <c r="ACD49" s="100"/>
      <c r="ACE49" s="100"/>
      <c r="ACF49" s="100"/>
      <c r="ACG49" s="100"/>
      <c r="ACH49" s="100"/>
      <c r="ACI49" s="100"/>
      <c r="ACJ49" s="100"/>
      <c r="ACK49" s="100"/>
      <c r="ACL49" s="100"/>
      <c r="ACM49" s="100"/>
      <c r="ACN49" s="100"/>
      <c r="ACO49" s="100"/>
      <c r="ACP49" s="100"/>
      <c r="ACQ49" s="100"/>
      <c r="ACR49" s="100"/>
      <c r="ACS49" s="100"/>
      <c r="ACT49" s="100"/>
      <c r="ACU49" s="100"/>
      <c r="ACV49" s="100"/>
      <c r="ACW49" s="100"/>
      <c r="ACX49" s="100"/>
      <c r="ACY49" s="100"/>
      <c r="ACZ49" s="100"/>
      <c r="ADA49" s="100"/>
      <c r="ADB49" s="100"/>
      <c r="ADC49" s="100"/>
      <c r="ADD49" s="100"/>
      <c r="ADE49" s="100"/>
      <c r="ADF49" s="100"/>
      <c r="ADG49" s="100"/>
      <c r="ADH49" s="100"/>
      <c r="ADI49" s="100"/>
      <c r="ADJ49" s="100"/>
      <c r="ADK49" s="100"/>
      <c r="ADL49" s="100"/>
      <c r="ADM49" s="100"/>
      <c r="ADN49" s="100"/>
      <c r="ADO49" s="100"/>
      <c r="ADP49" s="100"/>
      <c r="ADQ49" s="100"/>
      <c r="ADR49" s="100"/>
      <c r="ADS49" s="100"/>
      <c r="ADT49" s="100"/>
      <c r="ADU49" s="100"/>
      <c r="ADV49" s="100"/>
      <c r="ADW49" s="100"/>
      <c r="ADX49" s="100"/>
      <c r="ADY49" s="100"/>
      <c r="ADZ49" s="100"/>
      <c r="AEA49" s="100"/>
      <c r="AEB49" s="100"/>
      <c r="AEC49" s="100"/>
      <c r="AED49" s="100"/>
      <c r="AEE49" s="100"/>
      <c r="AEF49" s="100"/>
      <c r="AEG49" s="100"/>
      <c r="AEH49" s="100"/>
      <c r="AEI49" s="100"/>
      <c r="AEJ49" s="100"/>
      <c r="AEK49" s="100"/>
      <c r="AEL49" s="100"/>
      <c r="AEM49" s="100"/>
      <c r="AEN49" s="100"/>
      <c r="AEO49" s="100"/>
      <c r="AEP49" s="100"/>
      <c r="AEQ49" s="100"/>
      <c r="AER49" s="100"/>
      <c r="AES49" s="100"/>
      <c r="AET49" s="100"/>
      <c r="AEU49" s="100"/>
      <c r="AEV49" s="100"/>
      <c r="AEW49" s="100"/>
      <c r="AEX49" s="100"/>
      <c r="AEY49" s="100"/>
      <c r="AEZ49" s="100"/>
      <c r="AFA49" s="100"/>
      <c r="AFB49" s="100"/>
      <c r="AFC49" s="100"/>
      <c r="AFD49" s="100"/>
      <c r="AFE49" s="100"/>
      <c r="AFF49" s="100"/>
      <c r="AFG49" s="100"/>
      <c r="AFH49" s="100"/>
      <c r="AFI49" s="100"/>
      <c r="AFJ49" s="100"/>
      <c r="AFK49" s="100"/>
      <c r="AFL49" s="100"/>
      <c r="AFM49" s="100"/>
      <c r="AFN49" s="100"/>
      <c r="AFO49" s="100"/>
      <c r="AFP49" s="100"/>
      <c r="AFQ49" s="100"/>
      <c r="AFR49" s="100"/>
      <c r="AFS49" s="100"/>
      <c r="AFT49" s="100"/>
      <c r="AFU49" s="100"/>
      <c r="AFV49" s="100"/>
      <c r="AFW49" s="100"/>
      <c r="AFX49" s="100"/>
      <c r="AFY49" s="100"/>
      <c r="AFZ49" s="100"/>
      <c r="AGA49" s="100"/>
      <c r="AGB49" s="100"/>
      <c r="AGC49" s="100"/>
      <c r="AGD49" s="100"/>
      <c r="AGE49" s="100"/>
      <c r="AGF49" s="100"/>
      <c r="AGG49" s="100"/>
      <c r="AGH49" s="100"/>
      <c r="AGI49" s="100"/>
      <c r="AGJ49" s="100"/>
      <c r="AGK49" s="100"/>
      <c r="AGL49" s="100"/>
      <c r="AGM49" s="100"/>
      <c r="AGN49" s="100"/>
      <c r="AGO49" s="100"/>
      <c r="AGP49" s="100"/>
      <c r="AGQ49" s="100"/>
      <c r="AGR49" s="100"/>
      <c r="AGS49" s="100"/>
      <c r="AGT49" s="100"/>
      <c r="AGU49" s="100"/>
      <c r="AGV49" s="100"/>
      <c r="AGW49" s="100"/>
      <c r="AGX49" s="100"/>
      <c r="AGY49" s="100"/>
      <c r="AGZ49" s="100"/>
      <c r="AHA49" s="100"/>
      <c r="AHB49" s="100"/>
      <c r="AHC49" s="100"/>
      <c r="AHD49" s="100"/>
      <c r="AHE49" s="100"/>
      <c r="AHF49" s="100"/>
      <c r="AHG49" s="100"/>
      <c r="AHH49" s="100"/>
      <c r="AHI49" s="100"/>
      <c r="AHJ49" s="100"/>
      <c r="AHK49" s="100"/>
      <c r="AHL49" s="100"/>
      <c r="AHM49" s="100"/>
      <c r="AHN49" s="100"/>
      <c r="AHO49" s="100"/>
      <c r="AHP49" s="100"/>
      <c r="AHQ49" s="100"/>
      <c r="AHR49" s="100"/>
      <c r="AHS49" s="100"/>
      <c r="AHT49" s="100"/>
      <c r="AHU49" s="100"/>
      <c r="AHV49" s="100"/>
      <c r="AHW49" s="100"/>
      <c r="AHX49" s="100"/>
      <c r="AHY49" s="100"/>
      <c r="AHZ49" s="100"/>
      <c r="AIA49" s="100"/>
      <c r="AIB49" s="100"/>
      <c r="AIC49" s="100"/>
      <c r="AID49" s="100"/>
      <c r="AIE49" s="100"/>
      <c r="AIF49" s="100"/>
      <c r="AIG49" s="100"/>
      <c r="AIH49" s="100"/>
      <c r="AII49" s="100"/>
      <c r="AIJ49" s="100"/>
      <c r="AIK49" s="100"/>
      <c r="AIL49" s="100"/>
      <c r="AIM49" s="100"/>
      <c r="AIN49" s="100"/>
      <c r="AIO49" s="100"/>
      <c r="AIP49" s="100"/>
      <c r="AIQ49" s="100"/>
      <c r="AIR49" s="100"/>
      <c r="AIS49" s="100"/>
      <c r="AIT49" s="100"/>
      <c r="AIU49" s="100"/>
      <c r="AIV49" s="100"/>
      <c r="AIW49" s="100"/>
      <c r="AIX49" s="100"/>
      <c r="AIY49" s="100"/>
      <c r="AIZ49" s="100"/>
      <c r="AJA49" s="100"/>
      <c r="AJB49" s="100"/>
      <c r="AJC49" s="100"/>
      <c r="AJD49" s="100"/>
      <c r="AJE49" s="100"/>
      <c r="AJF49" s="100"/>
      <c r="AJG49" s="100"/>
      <c r="AJH49" s="100"/>
      <c r="AJI49" s="100"/>
      <c r="AJJ49" s="100"/>
      <c r="AJK49" s="100"/>
      <c r="AJL49" s="100"/>
      <c r="AJM49" s="100"/>
      <c r="AJN49" s="100"/>
      <c r="AJO49" s="100"/>
      <c r="AJP49" s="100"/>
      <c r="AJQ49" s="100"/>
      <c r="AJR49" s="100"/>
      <c r="AJS49" s="100"/>
      <c r="AJT49" s="100"/>
      <c r="AJU49" s="100"/>
      <c r="AJV49" s="100"/>
      <c r="AJW49" s="100"/>
      <c r="AJX49" s="100"/>
      <c r="AJY49" s="100"/>
      <c r="AJZ49" s="100"/>
      <c r="AKA49" s="100"/>
      <c r="AKB49" s="100"/>
      <c r="AKC49" s="100"/>
      <c r="AKD49" s="100"/>
      <c r="AKE49" s="100"/>
      <c r="AKF49" s="100"/>
      <c r="AKG49" s="100"/>
      <c r="AKH49" s="100"/>
      <c r="AKI49" s="100"/>
      <c r="AKJ49" s="100"/>
      <c r="AKK49" s="100"/>
      <c r="AKL49" s="100"/>
      <c r="AKM49" s="100"/>
      <c r="AKN49" s="100"/>
      <c r="AKO49" s="100"/>
      <c r="AKP49" s="100"/>
      <c r="AKQ49" s="100"/>
      <c r="AKR49" s="100"/>
      <c r="AKS49" s="100"/>
      <c r="AKT49" s="100"/>
      <c r="AKU49" s="100"/>
      <c r="AKV49" s="100"/>
      <c r="AKW49" s="100"/>
      <c r="AKX49" s="100"/>
      <c r="AKY49" s="100"/>
      <c r="AKZ49" s="100"/>
      <c r="ALA49" s="100"/>
      <c r="ALB49" s="100"/>
      <c r="ALC49" s="100"/>
      <c r="ALD49" s="100"/>
      <c r="ALE49" s="100"/>
      <c r="ALF49" s="100"/>
      <c r="ALG49" s="100"/>
      <c r="ALH49" s="100"/>
      <c r="ALI49" s="100"/>
      <c r="ALJ49" s="100"/>
      <c r="ALK49" s="100"/>
      <c r="ALL49" s="100"/>
      <c r="ALM49" s="100"/>
      <c r="ALN49" s="100"/>
      <c r="ALO49" s="100"/>
      <c r="ALP49" s="100"/>
      <c r="ALQ49" s="100"/>
      <c r="ALR49" s="100"/>
      <c r="ALS49" s="100"/>
      <c r="ALT49" s="100"/>
      <c r="ALU49" s="100"/>
      <c r="ALV49" s="100"/>
      <c r="ALW49" s="100"/>
      <c r="ALX49" s="100"/>
      <c r="ALY49" s="100"/>
      <c r="ALZ49" s="100"/>
      <c r="AMA49" s="100"/>
      <c r="AMB49" s="100"/>
      <c r="AMC49" s="100"/>
      <c r="AMD49" s="100"/>
      <c r="AME49" s="100"/>
      <c r="AMF49" s="100"/>
      <c r="AMG49" s="100"/>
      <c r="AMH49" s="100"/>
      <c r="AMI49" s="100"/>
      <c r="AMJ49" s="100"/>
      <c r="AMK49" s="100"/>
      <c r="AML49" s="100"/>
      <c r="AMM49" s="100"/>
      <c r="AMN49" s="100"/>
      <c r="AMO49" s="100"/>
      <c r="AMP49" s="100"/>
      <c r="AMQ49" s="100"/>
      <c r="AMR49" s="100"/>
      <c r="AMS49" s="100"/>
      <c r="AMT49" s="100"/>
      <c r="AMU49" s="100"/>
      <c r="AMV49" s="100"/>
      <c r="AMW49" s="100"/>
      <c r="AMX49" s="100"/>
      <c r="AMY49" s="100"/>
      <c r="AMZ49" s="100"/>
      <c r="ANA49" s="100"/>
      <c r="ANB49" s="100"/>
      <c r="ANC49" s="100"/>
      <c r="AND49" s="100"/>
      <c r="ANE49" s="100"/>
      <c r="ANF49" s="100"/>
      <c r="ANG49" s="100"/>
      <c r="ANH49" s="100"/>
      <c r="ANI49" s="100"/>
      <c r="ANJ49" s="100"/>
      <c r="ANK49" s="100"/>
      <c r="ANL49" s="100"/>
      <c r="ANM49" s="100"/>
      <c r="ANN49" s="100"/>
      <c r="ANO49" s="100"/>
      <c r="ANP49" s="100"/>
      <c r="ANQ49" s="100"/>
      <c r="ANR49" s="100"/>
      <c r="ANS49" s="100"/>
      <c r="ANT49" s="100"/>
      <c r="ANU49" s="100"/>
      <c r="ANV49" s="100"/>
      <c r="ANW49" s="100"/>
      <c r="ANX49" s="100"/>
      <c r="ANY49" s="100"/>
      <c r="ANZ49" s="100"/>
      <c r="AOA49" s="100"/>
      <c r="AOB49" s="100"/>
      <c r="AOC49" s="100"/>
      <c r="AOD49" s="100"/>
      <c r="AOE49" s="100"/>
      <c r="AOF49" s="100"/>
      <c r="AOG49" s="100"/>
      <c r="AOH49" s="100"/>
      <c r="AOI49" s="100"/>
      <c r="AOJ49" s="100"/>
      <c r="AOK49" s="100"/>
      <c r="AOL49" s="100"/>
      <c r="AOM49" s="100"/>
      <c r="AON49" s="100"/>
      <c r="AOO49" s="100"/>
      <c r="AOP49" s="100"/>
      <c r="AOQ49" s="100"/>
      <c r="AOR49" s="100"/>
      <c r="AOS49" s="100"/>
      <c r="AOT49" s="100"/>
      <c r="AOU49" s="100"/>
      <c r="AOV49" s="100"/>
      <c r="AOW49" s="100"/>
      <c r="AOX49" s="100"/>
      <c r="AOY49" s="100"/>
      <c r="AOZ49" s="100"/>
      <c r="APA49" s="100"/>
      <c r="APB49" s="100"/>
      <c r="APC49" s="100"/>
      <c r="APD49" s="100"/>
      <c r="APE49" s="100"/>
      <c r="APF49" s="100"/>
      <c r="APG49" s="100"/>
      <c r="APH49" s="100"/>
      <c r="API49" s="100"/>
      <c r="APJ49" s="100"/>
      <c r="APK49" s="100"/>
      <c r="APL49" s="100"/>
      <c r="APM49" s="100"/>
      <c r="APN49" s="100"/>
      <c r="APO49" s="100"/>
      <c r="APP49" s="100"/>
      <c r="APQ49" s="100"/>
      <c r="APR49" s="100"/>
      <c r="APS49" s="100"/>
      <c r="APT49" s="100"/>
      <c r="APU49" s="100"/>
      <c r="APV49" s="100"/>
      <c r="APW49" s="100"/>
      <c r="APX49" s="100"/>
      <c r="APY49" s="100"/>
      <c r="APZ49" s="100"/>
      <c r="AQA49" s="100"/>
      <c r="AQB49" s="100"/>
      <c r="AQC49" s="100"/>
      <c r="AQD49" s="100"/>
      <c r="AQE49" s="100"/>
      <c r="AQF49" s="100"/>
      <c r="AQG49" s="100"/>
      <c r="AQH49" s="100"/>
      <c r="AQI49" s="100"/>
      <c r="AQJ49" s="100"/>
      <c r="AQK49" s="100"/>
      <c r="AQL49" s="100"/>
      <c r="AQM49" s="100"/>
      <c r="AQN49" s="100"/>
      <c r="AQO49" s="100"/>
      <c r="AQP49" s="100"/>
      <c r="AQQ49" s="100"/>
      <c r="AQR49" s="100"/>
      <c r="AQS49" s="100"/>
      <c r="AQT49" s="100"/>
      <c r="AQU49" s="100"/>
      <c r="AQV49" s="100"/>
      <c r="AQW49" s="100"/>
      <c r="AQX49" s="100"/>
      <c r="AQY49" s="100"/>
      <c r="AQZ49" s="100"/>
      <c r="ARA49" s="100"/>
      <c r="ARB49" s="100"/>
      <c r="ARC49" s="100"/>
      <c r="ARD49" s="100"/>
      <c r="ARE49" s="100"/>
      <c r="ARF49" s="100"/>
      <c r="ARG49" s="100"/>
      <c r="ARH49" s="100"/>
      <c r="ARI49" s="100"/>
      <c r="ARJ49" s="100"/>
      <c r="ARK49" s="100"/>
      <c r="ARL49" s="100"/>
      <c r="ARM49" s="100"/>
      <c r="ARN49" s="100"/>
      <c r="ARO49" s="100"/>
      <c r="ARP49" s="100"/>
      <c r="ARQ49" s="100"/>
      <c r="ARR49" s="100"/>
      <c r="ARS49" s="100"/>
      <c r="ART49" s="100"/>
      <c r="ARU49" s="100"/>
      <c r="ARV49" s="100"/>
      <c r="ARW49" s="100"/>
      <c r="ARX49" s="100"/>
      <c r="ARY49" s="100"/>
      <c r="ARZ49" s="100"/>
      <c r="ASA49" s="100"/>
      <c r="ASB49" s="100"/>
      <c r="ASC49" s="100"/>
      <c r="ASD49" s="100"/>
      <c r="ASE49" s="100"/>
      <c r="ASF49" s="100"/>
      <c r="ASG49" s="100"/>
      <c r="ASH49" s="100"/>
      <c r="ASI49" s="100"/>
      <c r="ASJ49" s="100"/>
      <c r="ASK49" s="100"/>
      <c r="ASL49" s="100"/>
      <c r="ASM49" s="100"/>
      <c r="ASN49" s="100"/>
      <c r="ASO49" s="100"/>
      <c r="ASP49" s="100"/>
      <c r="ASQ49" s="100"/>
      <c r="ASR49" s="100"/>
      <c r="ASS49" s="100"/>
      <c r="AST49" s="100"/>
      <c r="ASU49" s="100"/>
      <c r="ASV49" s="100"/>
      <c r="ASW49" s="100"/>
      <c r="ASX49" s="100"/>
      <c r="ASY49" s="100"/>
      <c r="ASZ49" s="100"/>
      <c r="ATA49" s="100"/>
      <c r="ATB49" s="100"/>
      <c r="ATC49" s="100"/>
      <c r="ATD49" s="100"/>
      <c r="ATE49" s="100"/>
      <c r="ATF49" s="100"/>
      <c r="ATG49" s="100"/>
      <c r="ATH49" s="100"/>
      <c r="ATI49" s="100"/>
      <c r="ATJ49" s="100"/>
      <c r="ATK49" s="100"/>
      <c r="ATL49" s="100"/>
      <c r="ATM49" s="100"/>
      <c r="ATN49" s="100"/>
      <c r="ATO49" s="100"/>
      <c r="ATP49" s="100"/>
      <c r="ATQ49" s="100"/>
      <c r="ATR49" s="100"/>
      <c r="ATS49" s="100"/>
      <c r="ATT49" s="100"/>
      <c r="ATU49" s="100"/>
      <c r="ATV49" s="100"/>
      <c r="ATW49" s="100"/>
      <c r="ATX49" s="100"/>
      <c r="ATY49" s="100"/>
      <c r="ATZ49" s="100"/>
      <c r="AUA49" s="100"/>
      <c r="AUB49" s="100"/>
      <c r="AUC49" s="100"/>
      <c r="AUD49" s="100"/>
      <c r="AUE49" s="100"/>
      <c r="AUF49" s="100"/>
      <c r="AUG49" s="100"/>
      <c r="AUH49" s="100"/>
      <c r="AUI49" s="100"/>
      <c r="AUJ49" s="100"/>
      <c r="AUK49" s="100"/>
      <c r="AUL49" s="100"/>
      <c r="AUM49" s="100"/>
      <c r="AUN49" s="100"/>
      <c r="AUO49" s="100"/>
      <c r="AUP49" s="100"/>
      <c r="AUQ49" s="100"/>
      <c r="AUR49" s="100"/>
      <c r="AUS49" s="100"/>
      <c r="AUT49" s="100"/>
      <c r="AUU49" s="100"/>
      <c r="AUV49" s="100"/>
      <c r="AUW49" s="100"/>
      <c r="AUX49" s="100"/>
      <c r="AUY49" s="100"/>
      <c r="AUZ49" s="100"/>
      <c r="AVA49" s="100"/>
      <c r="AVB49" s="100"/>
      <c r="AVC49" s="100"/>
      <c r="AVD49" s="100"/>
      <c r="AVE49" s="100"/>
      <c r="AVF49" s="100"/>
      <c r="AVG49" s="100"/>
      <c r="AVH49" s="100"/>
      <c r="AVI49" s="100"/>
      <c r="AVJ49" s="100"/>
      <c r="AVK49" s="100"/>
      <c r="AVL49" s="100"/>
      <c r="AVM49" s="100"/>
      <c r="AVN49" s="100"/>
      <c r="AVO49" s="100"/>
      <c r="AVP49" s="100"/>
      <c r="AVQ49" s="100"/>
      <c r="AVR49" s="100"/>
      <c r="AVS49" s="100"/>
      <c r="AVT49" s="100"/>
      <c r="AVU49" s="100"/>
      <c r="AVV49" s="100"/>
      <c r="AVW49" s="100"/>
      <c r="AVX49" s="100"/>
      <c r="AVY49" s="100"/>
      <c r="AVZ49" s="100"/>
      <c r="AWA49" s="100"/>
      <c r="AWB49" s="100"/>
      <c r="AWC49" s="100"/>
      <c r="AWD49" s="100"/>
      <c r="AWE49" s="100"/>
      <c r="AWF49" s="100"/>
      <c r="AWG49" s="100"/>
      <c r="AWH49" s="100"/>
      <c r="AWI49" s="100"/>
      <c r="AWJ49" s="100"/>
      <c r="AWK49" s="100"/>
      <c r="AWL49" s="100"/>
      <c r="AWM49" s="100"/>
      <c r="AWN49" s="100"/>
      <c r="AWO49" s="100"/>
      <c r="AWP49" s="100"/>
      <c r="AWQ49" s="100"/>
      <c r="AWR49" s="100"/>
      <c r="AWS49" s="100"/>
      <c r="AWT49" s="100"/>
      <c r="AWU49" s="100"/>
      <c r="AWV49" s="100"/>
      <c r="AWW49" s="100"/>
      <c r="AWX49" s="100"/>
      <c r="AWY49" s="100"/>
      <c r="AWZ49" s="100"/>
      <c r="AXA49" s="100"/>
      <c r="AXB49" s="100"/>
      <c r="AXC49" s="100"/>
      <c r="AXD49" s="100"/>
      <c r="AXE49" s="100"/>
      <c r="AXF49" s="100"/>
      <c r="AXG49" s="100"/>
      <c r="AXH49" s="100"/>
      <c r="AXI49" s="100"/>
      <c r="AXJ49" s="100"/>
      <c r="AXK49" s="100"/>
      <c r="AXL49" s="100"/>
      <c r="AXM49" s="100"/>
      <c r="AXN49" s="100"/>
      <c r="AXO49" s="100"/>
      <c r="AXP49" s="100"/>
      <c r="AXQ49" s="100"/>
      <c r="AXR49" s="100"/>
      <c r="AXS49" s="100"/>
      <c r="AXT49" s="100"/>
      <c r="AXU49" s="100"/>
      <c r="AXV49" s="100"/>
      <c r="AXW49" s="100"/>
      <c r="AXX49" s="100"/>
      <c r="AXY49" s="100"/>
      <c r="AXZ49" s="100"/>
      <c r="AYA49" s="100"/>
      <c r="AYB49" s="100"/>
      <c r="AYC49" s="100"/>
      <c r="AYD49" s="100"/>
      <c r="AYE49" s="100"/>
      <c r="AYF49" s="100"/>
      <c r="AYG49" s="100"/>
      <c r="AYH49" s="100"/>
      <c r="AYI49" s="100"/>
      <c r="AYJ49" s="100"/>
      <c r="AYK49" s="100"/>
      <c r="AYL49" s="100"/>
      <c r="AYM49" s="100"/>
      <c r="AYN49" s="100"/>
      <c r="AYO49" s="100"/>
      <c r="AYP49" s="100"/>
      <c r="AYQ49" s="100"/>
      <c r="AYR49" s="100"/>
      <c r="AYS49" s="100"/>
      <c r="AYT49" s="100"/>
      <c r="AYU49" s="100"/>
      <c r="AYV49" s="100"/>
      <c r="AYW49" s="100"/>
      <c r="AYX49" s="100"/>
      <c r="AYY49" s="100"/>
      <c r="AYZ49" s="100"/>
      <c r="AZA49" s="100"/>
      <c r="AZB49" s="100"/>
      <c r="AZC49" s="100"/>
      <c r="AZD49" s="100"/>
      <c r="AZE49" s="100"/>
      <c r="AZF49" s="100"/>
      <c r="AZG49" s="100"/>
      <c r="AZH49" s="100"/>
      <c r="AZI49" s="100"/>
      <c r="AZJ49" s="100"/>
      <c r="AZK49" s="100"/>
      <c r="AZL49" s="100"/>
      <c r="AZM49" s="100"/>
      <c r="AZN49" s="100"/>
      <c r="AZO49" s="100"/>
      <c r="AZP49" s="100"/>
      <c r="AZQ49" s="100"/>
      <c r="AZR49" s="100"/>
      <c r="AZS49" s="100"/>
      <c r="AZT49" s="100"/>
      <c r="AZU49" s="100"/>
      <c r="AZV49" s="100"/>
      <c r="AZW49" s="100"/>
      <c r="AZX49" s="100"/>
      <c r="AZY49" s="100"/>
      <c r="AZZ49" s="100"/>
      <c r="BAA49" s="100"/>
      <c r="BAB49" s="100"/>
      <c r="BAC49" s="100"/>
      <c r="BAD49" s="100"/>
      <c r="BAE49" s="100"/>
      <c r="BAF49" s="100"/>
      <c r="BAG49" s="100"/>
      <c r="BAH49" s="100"/>
      <c r="BAI49" s="100"/>
      <c r="BAJ49" s="100"/>
      <c r="BAK49" s="100"/>
      <c r="BAL49" s="100"/>
      <c r="BAM49" s="100"/>
      <c r="BAN49" s="100"/>
      <c r="BAO49" s="100"/>
      <c r="BAP49" s="100"/>
      <c r="BAQ49" s="100"/>
      <c r="BAR49" s="100"/>
      <c r="BAS49" s="100"/>
      <c r="BAT49" s="100"/>
      <c r="BAU49" s="100"/>
      <c r="BAV49" s="100"/>
      <c r="BAW49" s="100"/>
      <c r="BAX49" s="100"/>
      <c r="BAY49" s="100"/>
      <c r="BAZ49" s="100"/>
      <c r="BBA49" s="100"/>
      <c r="BBB49" s="100"/>
      <c r="BBC49" s="100"/>
      <c r="BBD49" s="100"/>
      <c r="BBE49" s="100"/>
      <c r="BBF49" s="100"/>
      <c r="BBG49" s="100"/>
      <c r="BBH49" s="100"/>
      <c r="BBI49" s="100"/>
      <c r="BBJ49" s="100"/>
      <c r="BBK49" s="100"/>
      <c r="BBL49" s="100"/>
      <c r="BBM49" s="100"/>
      <c r="BBN49" s="100"/>
      <c r="BBO49" s="100"/>
      <c r="BBP49" s="100"/>
      <c r="BBQ49" s="100"/>
      <c r="BBR49" s="100"/>
      <c r="BBS49" s="100"/>
      <c r="BBT49" s="100"/>
      <c r="BBU49" s="100"/>
      <c r="BBV49" s="100"/>
      <c r="BBW49" s="100"/>
      <c r="BBX49" s="100"/>
      <c r="BBY49" s="100"/>
      <c r="BBZ49" s="100"/>
      <c r="BCA49" s="100"/>
      <c r="BCB49" s="100"/>
      <c r="BCC49" s="100"/>
      <c r="BCD49" s="100"/>
      <c r="BCE49" s="100"/>
      <c r="BCF49" s="100"/>
      <c r="BCG49" s="100"/>
      <c r="BCH49" s="100"/>
      <c r="BCI49" s="100"/>
      <c r="BCJ49" s="100"/>
      <c r="BCK49" s="100"/>
      <c r="BCL49" s="100"/>
      <c r="BCM49" s="100"/>
      <c r="BCN49" s="100"/>
      <c r="BCO49" s="100"/>
      <c r="BCP49" s="100"/>
      <c r="BCQ49" s="100"/>
      <c r="BCR49" s="100"/>
      <c r="BCS49" s="100"/>
      <c r="BCT49" s="100"/>
      <c r="BCU49" s="100"/>
      <c r="BCV49" s="100"/>
      <c r="BCW49" s="100"/>
      <c r="BCX49" s="100"/>
      <c r="BCY49" s="100"/>
      <c r="BCZ49" s="100"/>
      <c r="BDA49" s="100"/>
      <c r="BDB49" s="100"/>
      <c r="BDC49" s="100"/>
      <c r="BDD49" s="100"/>
      <c r="BDE49" s="100"/>
      <c r="BDF49" s="100"/>
      <c r="BDG49" s="100"/>
      <c r="BDH49" s="100"/>
      <c r="BDI49" s="100"/>
      <c r="BDJ49" s="100"/>
      <c r="BDK49" s="100"/>
      <c r="BDL49" s="100"/>
      <c r="BDM49" s="100"/>
      <c r="BDN49" s="100"/>
      <c r="BDO49" s="100"/>
      <c r="BDP49" s="100"/>
      <c r="BDQ49" s="100"/>
      <c r="BDR49" s="100"/>
      <c r="BDS49" s="100"/>
      <c r="BDT49" s="100"/>
      <c r="BDU49" s="100"/>
      <c r="BDV49" s="100"/>
      <c r="BDW49" s="100"/>
      <c r="BDX49" s="100"/>
      <c r="BDY49" s="100"/>
      <c r="BDZ49" s="100"/>
      <c r="BEA49" s="100"/>
      <c r="BEB49" s="100"/>
      <c r="BEC49" s="100"/>
      <c r="BED49" s="100"/>
      <c r="BEE49" s="100"/>
      <c r="BEF49" s="100"/>
      <c r="BEG49" s="100"/>
      <c r="BEH49" s="100"/>
      <c r="BEI49" s="100"/>
      <c r="BEJ49" s="100"/>
      <c r="BEK49" s="100"/>
      <c r="BEL49" s="100"/>
      <c r="BEM49" s="100"/>
      <c r="BEN49" s="100"/>
      <c r="BEO49" s="100"/>
      <c r="BEP49" s="100"/>
      <c r="BEQ49" s="100"/>
      <c r="BER49" s="100"/>
      <c r="BES49" s="100"/>
      <c r="BET49" s="100"/>
      <c r="BEU49" s="100"/>
      <c r="BEV49" s="100"/>
      <c r="BEW49" s="100"/>
      <c r="BEX49" s="100"/>
      <c r="BEY49" s="100"/>
      <c r="BEZ49" s="100"/>
      <c r="BFA49" s="100"/>
      <c r="BFB49" s="100"/>
      <c r="BFC49" s="100"/>
      <c r="BFD49" s="100"/>
      <c r="BFE49" s="100"/>
      <c r="BFF49" s="100"/>
      <c r="BFG49" s="100"/>
      <c r="BFH49" s="100"/>
      <c r="BFI49" s="100"/>
      <c r="BFJ49" s="100"/>
      <c r="BFK49" s="100"/>
      <c r="BFL49" s="100"/>
      <c r="BFM49" s="100"/>
      <c r="BFN49" s="100"/>
      <c r="BFO49" s="100"/>
      <c r="BFP49" s="100"/>
      <c r="BFQ49" s="100"/>
      <c r="BFR49" s="100"/>
      <c r="BFS49" s="100"/>
      <c r="BFT49" s="100"/>
      <c r="BFU49" s="100"/>
      <c r="BFV49" s="100"/>
      <c r="BFW49" s="100"/>
      <c r="BFX49" s="100"/>
      <c r="BFY49" s="100"/>
      <c r="BFZ49" s="100"/>
      <c r="BGA49" s="100"/>
      <c r="BGB49" s="100"/>
      <c r="BGC49" s="100"/>
      <c r="BGD49" s="100"/>
      <c r="BGE49" s="100"/>
      <c r="BGF49" s="100"/>
      <c r="BGG49" s="100"/>
      <c r="BGH49" s="100"/>
      <c r="BGI49" s="100"/>
      <c r="BGJ49" s="100"/>
      <c r="BGK49" s="100"/>
      <c r="BGL49" s="100"/>
      <c r="BGM49" s="100"/>
      <c r="BGN49" s="100"/>
      <c r="BGO49" s="100"/>
      <c r="BGP49" s="100"/>
      <c r="BGQ49" s="100"/>
      <c r="BGR49" s="100"/>
      <c r="BGS49" s="100"/>
      <c r="BGT49" s="100"/>
      <c r="BGU49" s="100"/>
      <c r="BGV49" s="100"/>
      <c r="BGW49" s="100"/>
      <c r="BGX49" s="100"/>
      <c r="BGY49" s="100"/>
      <c r="BGZ49" s="100"/>
      <c r="BHA49" s="100"/>
      <c r="BHB49" s="100"/>
      <c r="BHC49" s="100"/>
      <c r="BHD49" s="100"/>
      <c r="BHE49" s="100"/>
      <c r="BHF49" s="100"/>
      <c r="BHG49" s="100"/>
      <c r="BHH49" s="100"/>
      <c r="BHI49" s="100"/>
      <c r="BHJ49" s="100"/>
      <c r="BHK49" s="100"/>
      <c r="BHL49" s="100"/>
      <c r="BHM49" s="100"/>
      <c r="BHN49" s="100"/>
      <c r="BHO49" s="100"/>
      <c r="BHP49" s="100"/>
      <c r="BHQ49" s="100"/>
      <c r="BHR49" s="100"/>
      <c r="BHS49" s="100"/>
      <c r="BHT49" s="100"/>
      <c r="BHU49" s="100"/>
      <c r="BHV49" s="100"/>
      <c r="BHW49" s="100"/>
      <c r="BHX49" s="100"/>
      <c r="BHY49" s="100"/>
      <c r="BHZ49" s="100"/>
      <c r="BIA49" s="100"/>
      <c r="BIB49" s="100"/>
      <c r="BIC49" s="100"/>
      <c r="BID49" s="100"/>
      <c r="BIE49" s="100"/>
      <c r="BIF49" s="100"/>
      <c r="BIG49" s="100"/>
      <c r="BIH49" s="100"/>
      <c r="BII49" s="100"/>
      <c r="BIJ49" s="100"/>
      <c r="BIK49" s="100"/>
      <c r="BIL49" s="100"/>
      <c r="BIM49" s="100"/>
      <c r="BIN49" s="100"/>
      <c r="BIO49" s="100"/>
      <c r="BIP49" s="100"/>
      <c r="BIQ49" s="100"/>
      <c r="BIR49" s="100"/>
      <c r="BIS49" s="100"/>
      <c r="BIT49" s="100"/>
      <c r="BIU49" s="100"/>
      <c r="BIV49" s="100"/>
      <c r="BIW49" s="100"/>
      <c r="BIX49" s="100"/>
      <c r="BIY49" s="100"/>
      <c r="BIZ49" s="100"/>
      <c r="BJA49" s="100"/>
      <c r="BJB49" s="100"/>
      <c r="BJC49" s="100"/>
      <c r="BJD49" s="100"/>
      <c r="BJE49" s="100"/>
      <c r="BJF49" s="100"/>
      <c r="BJG49" s="100"/>
      <c r="BJH49" s="100"/>
      <c r="BJI49" s="100"/>
      <c r="BJJ49" s="100"/>
      <c r="BJK49" s="100"/>
      <c r="BJL49" s="100"/>
      <c r="BJM49" s="100"/>
      <c r="BJN49" s="100"/>
      <c r="BJO49" s="100"/>
      <c r="BJP49" s="100"/>
      <c r="BJQ49" s="100"/>
      <c r="BJR49" s="100"/>
      <c r="BJS49" s="100"/>
      <c r="BJT49" s="100"/>
      <c r="BJU49" s="100"/>
      <c r="BJV49" s="100"/>
      <c r="BJW49" s="100"/>
      <c r="BJX49" s="100"/>
      <c r="BJY49" s="100"/>
      <c r="BJZ49" s="100"/>
      <c r="BKA49" s="100"/>
      <c r="BKB49" s="100"/>
      <c r="BKC49" s="100"/>
      <c r="BKD49" s="100"/>
      <c r="BKE49" s="100"/>
      <c r="BKF49" s="100"/>
      <c r="BKG49" s="100"/>
      <c r="BKH49" s="100"/>
      <c r="BKI49" s="100"/>
      <c r="BKJ49" s="100"/>
      <c r="BKK49" s="100"/>
      <c r="BKL49" s="100"/>
      <c r="BKM49" s="100"/>
      <c r="BKN49" s="100"/>
      <c r="BKO49" s="100"/>
      <c r="BKP49" s="100"/>
      <c r="BKQ49" s="100"/>
      <c r="BKR49" s="100"/>
      <c r="BKS49" s="100"/>
      <c r="BKT49" s="100"/>
      <c r="BKU49" s="100"/>
      <c r="BKV49" s="100"/>
      <c r="BKW49" s="100"/>
      <c r="BKX49" s="100"/>
      <c r="BKY49" s="100"/>
      <c r="BKZ49" s="100"/>
      <c r="BLA49" s="100"/>
      <c r="BLB49" s="100"/>
      <c r="BLC49" s="100"/>
      <c r="BLD49" s="100"/>
      <c r="BLE49" s="100"/>
      <c r="BLF49" s="100"/>
      <c r="BLG49" s="100"/>
      <c r="BLH49" s="100"/>
      <c r="BLI49" s="100"/>
      <c r="BLJ49" s="100"/>
      <c r="BLK49" s="100"/>
      <c r="BLL49" s="100"/>
      <c r="BLM49" s="100"/>
      <c r="BLN49" s="100"/>
      <c r="BLO49" s="100"/>
      <c r="BLP49" s="100"/>
      <c r="BLQ49" s="100"/>
      <c r="BLR49" s="100"/>
      <c r="BLS49" s="100"/>
      <c r="BLT49" s="100"/>
      <c r="BLU49" s="100"/>
      <c r="BLV49" s="100"/>
      <c r="BLW49" s="100"/>
      <c r="BLX49" s="100"/>
      <c r="BLY49" s="100"/>
      <c r="BLZ49" s="100"/>
      <c r="BMA49" s="100"/>
      <c r="BMB49" s="100"/>
      <c r="BMC49" s="100"/>
      <c r="BMD49" s="100"/>
      <c r="BME49" s="100"/>
      <c r="BMF49" s="100"/>
      <c r="BMG49" s="100"/>
      <c r="BMH49" s="100"/>
      <c r="BMI49" s="100"/>
      <c r="BMJ49" s="100"/>
      <c r="BMK49" s="100"/>
      <c r="BML49" s="100"/>
      <c r="BMM49" s="100"/>
      <c r="BMN49" s="100"/>
      <c r="BMO49" s="100"/>
      <c r="BMP49" s="100"/>
      <c r="BMQ49" s="100"/>
      <c r="BMR49" s="100"/>
      <c r="BMS49" s="100"/>
      <c r="BMT49" s="100"/>
      <c r="BMU49" s="100"/>
      <c r="BMV49" s="100"/>
      <c r="BMW49" s="100"/>
      <c r="BMX49" s="100"/>
      <c r="BMY49" s="100"/>
      <c r="BMZ49" s="100"/>
      <c r="BNA49" s="100"/>
      <c r="BNB49" s="100"/>
      <c r="BNC49" s="100"/>
      <c r="BND49" s="100"/>
      <c r="BNE49" s="100"/>
      <c r="BNF49" s="100"/>
      <c r="BNG49" s="100"/>
      <c r="BNH49" s="100"/>
      <c r="BNI49" s="100"/>
      <c r="BNJ49" s="100"/>
      <c r="BNK49" s="100"/>
      <c r="BNL49" s="100"/>
      <c r="BNM49" s="100"/>
      <c r="BNN49" s="100"/>
      <c r="BNO49" s="100"/>
      <c r="BNP49" s="100"/>
      <c r="BNQ49" s="100"/>
      <c r="BNR49" s="100"/>
      <c r="BNS49" s="100"/>
      <c r="BNT49" s="100"/>
      <c r="BNU49" s="100"/>
      <c r="BNV49" s="100"/>
      <c r="BNW49" s="100"/>
      <c r="BNX49" s="100"/>
      <c r="BNY49" s="100"/>
      <c r="BNZ49" s="100"/>
      <c r="BOA49" s="100"/>
      <c r="BOB49" s="100"/>
      <c r="BOC49" s="100"/>
      <c r="BOD49" s="100"/>
      <c r="BOE49" s="100"/>
      <c r="BOF49" s="100"/>
      <c r="BOG49" s="100"/>
      <c r="BOH49" s="100"/>
      <c r="BOI49" s="100"/>
      <c r="BOJ49" s="100"/>
      <c r="BOK49" s="100"/>
      <c r="BOL49" s="100"/>
      <c r="BOM49" s="100"/>
      <c r="BON49" s="100"/>
      <c r="BOO49" s="100"/>
      <c r="BOP49" s="100"/>
      <c r="BOQ49" s="100"/>
      <c r="BOR49" s="100"/>
      <c r="BOS49" s="100"/>
      <c r="BOT49" s="100"/>
      <c r="BOU49" s="100"/>
      <c r="BOV49" s="100"/>
      <c r="BOW49" s="100"/>
      <c r="BOX49" s="100"/>
      <c r="BOY49" s="100"/>
      <c r="BOZ49" s="100"/>
      <c r="BPA49" s="100"/>
      <c r="BPB49" s="100"/>
      <c r="BPC49" s="100"/>
      <c r="BPD49" s="100"/>
      <c r="BPE49" s="100"/>
      <c r="BPF49" s="100"/>
      <c r="BPG49" s="100"/>
      <c r="BPH49" s="100"/>
      <c r="BPI49" s="100"/>
      <c r="BPJ49" s="100"/>
      <c r="BPK49" s="100"/>
      <c r="BPL49" s="100"/>
      <c r="BPM49" s="100"/>
      <c r="BPN49" s="100"/>
      <c r="BPO49" s="100"/>
      <c r="BPP49" s="100"/>
      <c r="BPQ49" s="100"/>
      <c r="BPR49" s="100"/>
      <c r="BPS49" s="100"/>
      <c r="BPT49" s="100"/>
      <c r="BPU49" s="100"/>
      <c r="BPV49" s="100"/>
      <c r="BPW49" s="100"/>
      <c r="BPX49" s="100"/>
      <c r="BPY49" s="100"/>
      <c r="BPZ49" s="100"/>
      <c r="BQA49" s="100"/>
      <c r="BQB49" s="100"/>
      <c r="BQC49" s="100"/>
      <c r="BQD49" s="100"/>
      <c r="BQE49" s="100"/>
      <c r="BQF49" s="100"/>
      <c r="BQG49" s="100"/>
      <c r="BQH49" s="100"/>
      <c r="BQI49" s="100"/>
      <c r="BQJ49" s="100"/>
      <c r="BQK49" s="100"/>
      <c r="BQL49" s="100"/>
      <c r="BQM49" s="100"/>
      <c r="BQN49" s="100"/>
      <c r="BQO49" s="100"/>
      <c r="BQP49" s="100"/>
      <c r="BQQ49" s="100"/>
      <c r="BQR49" s="100"/>
      <c r="BQS49" s="100"/>
      <c r="BQT49" s="100"/>
      <c r="BQU49" s="100"/>
      <c r="BQV49" s="100"/>
      <c r="BQW49" s="100"/>
      <c r="BQX49" s="100"/>
      <c r="BQY49" s="100"/>
      <c r="BQZ49" s="100"/>
      <c r="BRA49" s="100"/>
      <c r="BRB49" s="100"/>
      <c r="BRC49" s="100"/>
      <c r="BRD49" s="100"/>
      <c r="BRE49" s="100"/>
      <c r="BRF49" s="100"/>
      <c r="BRG49" s="100"/>
      <c r="BRH49" s="100"/>
      <c r="BRI49" s="100"/>
      <c r="BRJ49" s="100"/>
      <c r="BRK49" s="100"/>
      <c r="BRL49" s="100"/>
      <c r="BRM49" s="100"/>
      <c r="BRN49" s="100"/>
      <c r="BRO49" s="100"/>
      <c r="BRP49" s="100"/>
      <c r="BRQ49" s="100"/>
      <c r="BRR49" s="100"/>
      <c r="BRS49" s="100"/>
      <c r="BRT49" s="100"/>
      <c r="BRU49" s="100"/>
      <c r="BRV49" s="100"/>
      <c r="BRW49" s="100"/>
      <c r="BRX49" s="100"/>
      <c r="BRY49" s="100"/>
      <c r="BRZ49" s="100"/>
      <c r="BSA49" s="100"/>
      <c r="BSB49" s="100"/>
      <c r="BSC49" s="100"/>
      <c r="BSD49" s="100"/>
      <c r="BSE49" s="100"/>
      <c r="BSF49" s="100"/>
      <c r="BSG49" s="100"/>
      <c r="BSH49" s="100"/>
      <c r="BSI49" s="100"/>
      <c r="BSJ49" s="100"/>
      <c r="BSK49" s="100"/>
      <c r="BSL49" s="100"/>
      <c r="BSM49" s="100"/>
      <c r="BSN49" s="100"/>
      <c r="BSO49" s="100"/>
      <c r="BSP49" s="100"/>
      <c r="BSQ49" s="100"/>
      <c r="BSR49" s="100"/>
      <c r="BSS49" s="100"/>
      <c r="BST49" s="100"/>
      <c r="BSU49" s="100"/>
      <c r="BSV49" s="100"/>
      <c r="BSW49" s="100"/>
      <c r="BSX49" s="100"/>
      <c r="BSY49" s="100"/>
      <c r="BSZ49" s="100"/>
      <c r="BTA49" s="100"/>
      <c r="BTB49" s="100"/>
      <c r="BTC49" s="100"/>
      <c r="BTD49" s="100"/>
      <c r="BTE49" s="100"/>
      <c r="BTF49" s="100"/>
      <c r="BTG49" s="100"/>
      <c r="BTH49" s="100"/>
      <c r="BTI49" s="100"/>
      <c r="BTJ49" s="100"/>
      <c r="BTK49" s="100"/>
      <c r="BTL49" s="100"/>
      <c r="BTM49" s="100"/>
      <c r="BTN49" s="100"/>
      <c r="BTO49" s="100"/>
      <c r="BTP49" s="100"/>
      <c r="BTQ49" s="100"/>
      <c r="BTR49" s="100"/>
      <c r="BTS49" s="100"/>
      <c r="BTT49" s="100"/>
      <c r="BTU49" s="100"/>
      <c r="BTV49" s="100"/>
      <c r="BTW49" s="100"/>
      <c r="BTX49" s="100"/>
      <c r="BTY49" s="100"/>
      <c r="BTZ49" s="100"/>
      <c r="BUA49" s="100"/>
      <c r="BUB49" s="100"/>
      <c r="BUC49" s="100"/>
      <c r="BUD49" s="100"/>
      <c r="BUE49" s="100"/>
      <c r="BUF49" s="100"/>
      <c r="BUG49" s="100"/>
      <c r="BUH49" s="100"/>
      <c r="BUI49" s="100"/>
      <c r="BUJ49" s="100"/>
      <c r="BUK49" s="100"/>
      <c r="BUL49" s="100"/>
      <c r="BUM49" s="100"/>
      <c r="BUN49" s="100"/>
      <c r="BUO49" s="100"/>
      <c r="BUP49" s="100"/>
      <c r="BUQ49" s="100"/>
      <c r="BUR49" s="100"/>
      <c r="BUS49" s="100"/>
      <c r="BUT49" s="100"/>
      <c r="BUU49" s="100"/>
      <c r="BUV49" s="100"/>
      <c r="BUW49" s="100"/>
      <c r="BUX49" s="100"/>
      <c r="BUY49" s="100"/>
      <c r="BUZ49" s="100"/>
      <c r="BVA49" s="100"/>
      <c r="BVB49" s="100"/>
      <c r="BVC49" s="100"/>
      <c r="BVD49" s="100"/>
      <c r="BVE49" s="100"/>
      <c r="BVF49" s="100"/>
      <c r="BVG49" s="100"/>
      <c r="BVH49" s="100"/>
      <c r="BVI49" s="100"/>
      <c r="BVJ49" s="100"/>
      <c r="BVK49" s="100"/>
      <c r="BVL49" s="100"/>
      <c r="BVM49" s="100"/>
      <c r="BVN49" s="100"/>
      <c r="BVO49" s="100"/>
      <c r="BVP49" s="100"/>
      <c r="BVQ49" s="100"/>
      <c r="BVR49" s="100"/>
      <c r="BVS49" s="100"/>
      <c r="BVT49" s="100"/>
      <c r="BVU49" s="100"/>
      <c r="BVV49" s="100"/>
      <c r="BVW49" s="100"/>
      <c r="BVX49" s="100"/>
      <c r="BVY49" s="100"/>
      <c r="BVZ49" s="100"/>
      <c r="BWA49" s="100"/>
      <c r="BWB49" s="100"/>
      <c r="BWC49" s="100"/>
      <c r="BWD49" s="100"/>
      <c r="BWE49" s="100"/>
      <c r="BWF49" s="100"/>
      <c r="BWG49" s="100"/>
      <c r="BWH49" s="100"/>
      <c r="BWI49" s="100"/>
      <c r="BWJ49" s="100"/>
      <c r="BWK49" s="100"/>
      <c r="BWL49" s="100"/>
      <c r="BWM49" s="100"/>
      <c r="BWN49" s="100"/>
      <c r="BWO49" s="100"/>
      <c r="BWP49" s="100"/>
      <c r="BWQ49" s="100"/>
      <c r="BWR49" s="100"/>
      <c r="BWS49" s="100"/>
      <c r="BWT49" s="100"/>
      <c r="BWU49" s="100"/>
      <c r="BWV49" s="100"/>
      <c r="BWW49" s="100"/>
      <c r="BWX49" s="100"/>
      <c r="BWY49" s="100"/>
      <c r="BWZ49" s="100"/>
      <c r="BXA49" s="100"/>
      <c r="BXB49" s="100"/>
      <c r="BXC49" s="100"/>
      <c r="BXD49" s="100"/>
      <c r="BXE49" s="100"/>
      <c r="BXF49" s="100"/>
      <c r="BXG49" s="100"/>
      <c r="BXH49" s="100"/>
      <c r="BXI49" s="100"/>
      <c r="BXJ49" s="100"/>
      <c r="BXK49" s="100"/>
      <c r="BXL49" s="100"/>
      <c r="BXM49" s="100"/>
      <c r="BXN49" s="100"/>
      <c r="BXO49" s="100"/>
      <c r="BXP49" s="100"/>
      <c r="BXQ49" s="100"/>
      <c r="BXR49" s="100"/>
      <c r="BXS49" s="100"/>
      <c r="BXT49" s="100"/>
      <c r="BXU49" s="100"/>
      <c r="BXV49" s="100"/>
      <c r="BXW49" s="100"/>
      <c r="BXX49" s="100"/>
      <c r="BXY49" s="100"/>
      <c r="BXZ49" s="100"/>
      <c r="BYA49" s="100"/>
      <c r="BYB49" s="100"/>
      <c r="BYC49" s="100"/>
      <c r="BYD49" s="100"/>
      <c r="BYE49" s="100"/>
      <c r="BYF49" s="100"/>
      <c r="BYG49" s="100"/>
    </row>
    <row r="50" spans="1:2009" s="227" customFormat="1" ht="24.95" customHeight="1" thickBot="1" x14ac:dyDescent="0.3">
      <c r="A50" s="226"/>
      <c r="B50" s="449" t="s">
        <v>208</v>
      </c>
      <c r="C50" s="444">
        <f>SUM(C45:C49)</f>
        <v>12020.1</v>
      </c>
      <c r="D50" s="444">
        <f>SUM(D45:D49)</f>
        <v>13940.57</v>
      </c>
      <c r="E50" s="444"/>
      <c r="F50" s="444"/>
      <c r="G50" s="730">
        <f>ROUND(SUM(C50:F50),5)</f>
        <v>25960.67</v>
      </c>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c r="CW50" s="198"/>
      <c r="CX50" s="198"/>
      <c r="CY50" s="198"/>
      <c r="CZ50" s="198"/>
      <c r="DA50" s="198"/>
      <c r="DB50" s="198"/>
      <c r="DC50" s="198"/>
      <c r="DD50" s="198"/>
      <c r="DE50" s="198"/>
      <c r="DF50" s="198"/>
      <c r="DG50" s="198"/>
      <c r="DH50" s="198"/>
      <c r="DI50" s="198"/>
      <c r="DJ50" s="198"/>
      <c r="DK50" s="198"/>
      <c r="DL50" s="198"/>
      <c r="DM50" s="198"/>
      <c r="DN50" s="198"/>
      <c r="DO50" s="198"/>
      <c r="DP50" s="198"/>
      <c r="DQ50" s="198"/>
      <c r="DR50" s="198"/>
      <c r="DS50" s="198"/>
      <c r="DT50" s="198"/>
      <c r="DU50" s="198"/>
      <c r="DV50" s="198"/>
      <c r="DW50" s="198"/>
      <c r="DX50" s="198"/>
      <c r="DY50" s="198"/>
      <c r="DZ50" s="198"/>
      <c r="EA50" s="198"/>
      <c r="EB50" s="198"/>
      <c r="EC50" s="198"/>
      <c r="ED50" s="198"/>
      <c r="EE50" s="198"/>
      <c r="EF50" s="198"/>
      <c r="EG50" s="198"/>
      <c r="EH50" s="198"/>
      <c r="EI50" s="198"/>
      <c r="EJ50" s="198"/>
      <c r="EK50" s="198"/>
      <c r="EL50" s="198"/>
      <c r="EM50" s="198"/>
      <c r="EN50" s="198"/>
      <c r="EO50" s="198"/>
      <c r="EP50" s="198"/>
      <c r="EQ50" s="198"/>
      <c r="ER50" s="198"/>
      <c r="ES50" s="198"/>
      <c r="ET50" s="198"/>
      <c r="EU50" s="198"/>
      <c r="EV50" s="198"/>
      <c r="EW50" s="198"/>
      <c r="EX50" s="198"/>
      <c r="EY50" s="198"/>
      <c r="EZ50" s="198"/>
      <c r="FA50" s="198"/>
      <c r="FB50" s="198"/>
      <c r="FC50" s="198"/>
      <c r="FD50" s="198"/>
      <c r="FE50" s="198"/>
      <c r="FF50" s="198"/>
      <c r="FG50" s="198"/>
      <c r="FH50" s="198"/>
      <c r="FI50" s="198"/>
      <c r="FJ50" s="198"/>
      <c r="FK50" s="198"/>
      <c r="FL50" s="198"/>
      <c r="FM50" s="198"/>
      <c r="FN50" s="198"/>
      <c r="FO50" s="198"/>
      <c r="FP50" s="198"/>
      <c r="FQ50" s="198"/>
      <c r="FR50" s="198"/>
      <c r="FS50" s="198"/>
      <c r="FT50" s="198"/>
      <c r="FU50" s="198"/>
      <c r="FV50" s="198"/>
      <c r="FW50" s="198"/>
      <c r="FX50" s="198"/>
      <c r="FY50" s="198"/>
      <c r="FZ50" s="198"/>
      <c r="GA50" s="198"/>
      <c r="GB50" s="198"/>
      <c r="GC50" s="198"/>
      <c r="GD50" s="198"/>
      <c r="GE50" s="198"/>
      <c r="GF50" s="198"/>
      <c r="GG50" s="198"/>
      <c r="GH50" s="198"/>
      <c r="GI50" s="198"/>
      <c r="GJ50" s="198"/>
      <c r="GK50" s="198"/>
      <c r="GL50" s="198"/>
      <c r="GM50" s="198"/>
      <c r="GN50" s="198"/>
      <c r="GO50" s="198"/>
      <c r="GP50" s="198"/>
      <c r="GQ50" s="198"/>
      <c r="GR50" s="198"/>
      <c r="GS50" s="198"/>
      <c r="GT50" s="198"/>
      <c r="GU50" s="198"/>
      <c r="GV50" s="198"/>
      <c r="GW50" s="198"/>
      <c r="GX50" s="198"/>
      <c r="GY50" s="198"/>
      <c r="GZ50" s="198"/>
      <c r="HA50" s="198"/>
      <c r="HB50" s="198"/>
      <c r="HC50" s="198"/>
      <c r="HD50" s="198"/>
      <c r="HE50" s="198"/>
      <c r="HF50" s="198"/>
      <c r="HG50" s="198"/>
      <c r="HH50" s="198"/>
      <c r="HI50" s="198"/>
      <c r="HJ50" s="198"/>
      <c r="HK50" s="198"/>
      <c r="HL50" s="198"/>
      <c r="HM50" s="198"/>
      <c r="HN50" s="198"/>
      <c r="HO50" s="198"/>
      <c r="HP50" s="198"/>
      <c r="HQ50" s="198"/>
      <c r="HR50" s="198"/>
      <c r="HS50" s="198"/>
      <c r="HT50" s="198"/>
      <c r="HU50" s="198"/>
      <c r="HV50" s="198"/>
      <c r="HW50" s="198"/>
      <c r="HX50" s="198"/>
      <c r="HY50" s="198"/>
      <c r="HZ50" s="198"/>
      <c r="IA50" s="198"/>
      <c r="IB50" s="198"/>
      <c r="IC50" s="198"/>
      <c r="ID50" s="198"/>
      <c r="IE50" s="198"/>
      <c r="IF50" s="198"/>
      <c r="IG50" s="198"/>
      <c r="IH50" s="198"/>
      <c r="II50" s="198"/>
      <c r="IJ50" s="198"/>
      <c r="IK50" s="198"/>
      <c r="IL50" s="198"/>
      <c r="IM50" s="198"/>
      <c r="IN50" s="198"/>
      <c r="IO50" s="198"/>
      <c r="IP50" s="198"/>
      <c r="IQ50" s="198"/>
      <c r="IR50" s="198"/>
      <c r="IS50" s="198"/>
      <c r="IT50" s="198"/>
      <c r="IU50" s="198"/>
      <c r="IV50" s="198"/>
      <c r="IW50" s="198"/>
      <c r="IX50" s="198"/>
      <c r="IY50" s="198"/>
      <c r="IZ50" s="198"/>
      <c r="JA50" s="198"/>
      <c r="JB50" s="198"/>
      <c r="JC50" s="198"/>
      <c r="JD50" s="198"/>
      <c r="JE50" s="198"/>
      <c r="JF50" s="198"/>
      <c r="JG50" s="198"/>
      <c r="JH50" s="198"/>
      <c r="JI50" s="198"/>
      <c r="JJ50" s="198"/>
      <c r="JK50" s="198"/>
      <c r="JL50" s="198"/>
      <c r="JM50" s="198"/>
      <c r="JN50" s="198"/>
      <c r="JO50" s="198"/>
      <c r="JP50" s="198"/>
      <c r="JQ50" s="198"/>
      <c r="JR50" s="198"/>
      <c r="JS50" s="198"/>
      <c r="JT50" s="198"/>
      <c r="JU50" s="198"/>
      <c r="JV50" s="198"/>
      <c r="JW50" s="198"/>
      <c r="JX50" s="198"/>
      <c r="JY50" s="198"/>
      <c r="JZ50" s="198"/>
      <c r="KA50" s="198"/>
      <c r="KB50" s="198"/>
      <c r="KC50" s="198"/>
      <c r="KD50" s="198"/>
      <c r="KE50" s="198"/>
      <c r="KF50" s="198"/>
      <c r="KG50" s="198"/>
      <c r="KH50" s="198"/>
      <c r="KI50" s="198"/>
      <c r="KJ50" s="198"/>
      <c r="KK50" s="198"/>
      <c r="KL50" s="198"/>
      <c r="KM50" s="198"/>
      <c r="KN50" s="198"/>
      <c r="KO50" s="198"/>
      <c r="KP50" s="198"/>
      <c r="KQ50" s="198"/>
      <c r="KR50" s="198"/>
      <c r="KS50" s="198"/>
      <c r="KT50" s="198"/>
      <c r="KU50" s="198"/>
      <c r="KV50" s="198"/>
      <c r="KW50" s="198"/>
      <c r="KX50" s="198"/>
      <c r="KY50" s="198"/>
      <c r="KZ50" s="198"/>
      <c r="LA50" s="198"/>
      <c r="LB50" s="198"/>
      <c r="LC50" s="198"/>
      <c r="LD50" s="198"/>
      <c r="LE50" s="198"/>
      <c r="LF50" s="198"/>
      <c r="LG50" s="198"/>
      <c r="LH50" s="198"/>
      <c r="LI50" s="198"/>
      <c r="LJ50" s="198"/>
      <c r="LK50" s="198"/>
      <c r="LL50" s="198"/>
      <c r="LM50" s="198"/>
      <c r="LN50" s="198"/>
      <c r="LO50" s="198"/>
      <c r="LP50" s="198"/>
      <c r="LQ50" s="198"/>
      <c r="LR50" s="198"/>
      <c r="LS50" s="198"/>
      <c r="LT50" s="198"/>
      <c r="LU50" s="198"/>
      <c r="LV50" s="198"/>
      <c r="LW50" s="198"/>
      <c r="LX50" s="198"/>
      <c r="LY50" s="198"/>
      <c r="LZ50" s="198"/>
      <c r="MA50" s="198"/>
      <c r="MB50" s="198"/>
      <c r="MC50" s="198"/>
      <c r="MD50" s="198"/>
      <c r="ME50" s="198"/>
      <c r="MF50" s="198"/>
      <c r="MG50" s="198"/>
      <c r="MH50" s="198"/>
      <c r="MI50" s="198"/>
      <c r="MJ50" s="198"/>
      <c r="MK50" s="198"/>
      <c r="ML50" s="198"/>
      <c r="MM50" s="198"/>
      <c r="MN50" s="198"/>
      <c r="MO50" s="198"/>
      <c r="MP50" s="198"/>
      <c r="MQ50" s="198"/>
      <c r="MR50" s="198"/>
      <c r="MS50" s="198"/>
      <c r="MT50" s="198"/>
      <c r="MU50" s="198"/>
      <c r="MV50" s="198"/>
      <c r="MW50" s="198"/>
      <c r="MX50" s="198"/>
      <c r="MY50" s="198"/>
      <c r="MZ50" s="198"/>
      <c r="NA50" s="198"/>
      <c r="NB50" s="198"/>
      <c r="NC50" s="198"/>
      <c r="ND50" s="198"/>
      <c r="NE50" s="198"/>
      <c r="NF50" s="198"/>
      <c r="NG50" s="198"/>
      <c r="NH50" s="198"/>
      <c r="NI50" s="198"/>
      <c r="NJ50" s="198"/>
      <c r="NK50" s="198"/>
      <c r="NL50" s="198"/>
      <c r="NM50" s="198"/>
      <c r="NN50" s="198"/>
      <c r="NO50" s="198"/>
      <c r="NP50" s="198"/>
      <c r="NQ50" s="198"/>
      <c r="NR50" s="198"/>
      <c r="NS50" s="198"/>
      <c r="NT50" s="198"/>
      <c r="NU50" s="198"/>
      <c r="NV50" s="198"/>
      <c r="NW50" s="198"/>
      <c r="NX50" s="198"/>
      <c r="NY50" s="198"/>
      <c r="NZ50" s="198"/>
      <c r="OA50" s="198"/>
      <c r="OB50" s="198"/>
      <c r="OC50" s="198"/>
      <c r="OD50" s="198"/>
      <c r="OE50" s="198"/>
      <c r="OF50" s="198"/>
      <c r="OG50" s="198"/>
      <c r="OH50" s="198"/>
      <c r="OI50" s="198"/>
      <c r="OJ50" s="198"/>
      <c r="OK50" s="198"/>
      <c r="OL50" s="198"/>
      <c r="OM50" s="198"/>
      <c r="ON50" s="198"/>
      <c r="OO50" s="198"/>
      <c r="OP50" s="198"/>
      <c r="OQ50" s="198"/>
      <c r="OR50" s="198"/>
      <c r="OS50" s="198"/>
      <c r="OT50" s="198"/>
      <c r="OU50" s="198"/>
      <c r="OV50" s="198"/>
      <c r="OW50" s="198"/>
      <c r="OX50" s="198"/>
      <c r="OY50" s="198"/>
      <c r="OZ50" s="198"/>
      <c r="PA50" s="198"/>
      <c r="PB50" s="198"/>
      <c r="PC50" s="198"/>
      <c r="PD50" s="198"/>
      <c r="PE50" s="198"/>
      <c r="PF50" s="198"/>
      <c r="PG50" s="198"/>
      <c r="PH50" s="198"/>
      <c r="PI50" s="198"/>
      <c r="PJ50" s="198"/>
      <c r="PK50" s="198"/>
      <c r="PL50" s="198"/>
      <c r="PM50" s="198"/>
      <c r="PN50" s="198"/>
      <c r="PO50" s="198"/>
      <c r="PP50" s="198"/>
      <c r="PQ50" s="198"/>
      <c r="PR50" s="198"/>
      <c r="PS50" s="198"/>
      <c r="PT50" s="198"/>
      <c r="PU50" s="198"/>
      <c r="PV50" s="198"/>
      <c r="PW50" s="198"/>
      <c r="PX50" s="198"/>
      <c r="PY50" s="198"/>
      <c r="PZ50" s="198"/>
      <c r="QA50" s="198"/>
      <c r="QB50" s="198"/>
      <c r="QC50" s="198"/>
      <c r="QD50" s="198"/>
      <c r="QE50" s="198"/>
      <c r="QF50" s="198"/>
      <c r="QG50" s="198"/>
      <c r="QH50" s="198"/>
      <c r="QI50" s="198"/>
      <c r="QJ50" s="198"/>
      <c r="QK50" s="198"/>
      <c r="QL50" s="198"/>
      <c r="QM50" s="198"/>
      <c r="QN50" s="198"/>
      <c r="QO50" s="198"/>
      <c r="QP50" s="198"/>
      <c r="QQ50" s="198"/>
      <c r="QR50" s="198"/>
      <c r="QS50" s="198"/>
      <c r="QT50" s="198"/>
      <c r="QU50" s="198"/>
      <c r="QV50" s="198"/>
      <c r="QW50" s="198"/>
      <c r="QX50" s="198"/>
      <c r="QY50" s="198"/>
      <c r="QZ50" s="198"/>
      <c r="RA50" s="198"/>
      <c r="RB50" s="198"/>
      <c r="RC50" s="198"/>
      <c r="RD50" s="198"/>
      <c r="RE50" s="198"/>
      <c r="RF50" s="198"/>
      <c r="RG50" s="198"/>
      <c r="RH50" s="198"/>
      <c r="RI50" s="198"/>
      <c r="RJ50" s="198"/>
      <c r="RK50" s="198"/>
      <c r="RL50" s="198"/>
      <c r="RM50" s="198"/>
      <c r="RN50" s="198"/>
      <c r="RO50" s="198"/>
      <c r="RP50" s="198"/>
      <c r="RQ50" s="198"/>
      <c r="RR50" s="198"/>
      <c r="RS50" s="198"/>
      <c r="RT50" s="198"/>
      <c r="RU50" s="198"/>
      <c r="RV50" s="198"/>
      <c r="RW50" s="198"/>
      <c r="RX50" s="198"/>
      <c r="RY50" s="198"/>
      <c r="RZ50" s="198"/>
      <c r="SA50" s="198"/>
      <c r="SB50" s="198"/>
      <c r="SC50" s="198"/>
      <c r="SD50" s="198"/>
      <c r="SE50" s="198"/>
      <c r="SF50" s="198"/>
      <c r="SG50" s="198"/>
      <c r="SH50" s="198"/>
      <c r="SI50" s="198"/>
      <c r="SJ50" s="198"/>
      <c r="SK50" s="198"/>
      <c r="SL50" s="198"/>
      <c r="SM50" s="198"/>
      <c r="SN50" s="198"/>
      <c r="SO50" s="198"/>
      <c r="SP50" s="198"/>
      <c r="SQ50" s="198"/>
      <c r="SR50" s="198"/>
      <c r="SS50" s="198"/>
      <c r="ST50" s="198"/>
      <c r="SU50" s="198"/>
      <c r="SV50" s="198"/>
      <c r="SW50" s="198"/>
      <c r="SX50" s="198"/>
      <c r="SY50" s="198"/>
      <c r="SZ50" s="198"/>
      <c r="TA50" s="198"/>
      <c r="TB50" s="198"/>
      <c r="TC50" s="198"/>
      <c r="TD50" s="198"/>
      <c r="TE50" s="198"/>
      <c r="TF50" s="198"/>
      <c r="TG50" s="198"/>
      <c r="TH50" s="198"/>
      <c r="TI50" s="198"/>
      <c r="TJ50" s="198"/>
      <c r="TK50" s="198"/>
      <c r="TL50" s="198"/>
      <c r="TM50" s="198"/>
      <c r="TN50" s="198"/>
      <c r="TO50" s="198"/>
      <c r="TP50" s="198"/>
      <c r="TQ50" s="198"/>
      <c r="TR50" s="198"/>
      <c r="TS50" s="198"/>
      <c r="TT50" s="198"/>
      <c r="TU50" s="198"/>
      <c r="TV50" s="198"/>
      <c r="TW50" s="198"/>
      <c r="TX50" s="198"/>
      <c r="TY50" s="198"/>
      <c r="TZ50" s="198"/>
      <c r="UA50" s="198"/>
      <c r="UB50" s="198"/>
      <c r="UC50" s="198"/>
      <c r="UD50" s="198"/>
      <c r="UE50" s="198"/>
      <c r="UF50" s="198"/>
      <c r="UG50" s="198"/>
      <c r="UH50" s="198"/>
      <c r="UI50" s="198"/>
      <c r="UJ50" s="198"/>
      <c r="UK50" s="198"/>
      <c r="UL50" s="198"/>
      <c r="UM50" s="198"/>
      <c r="UN50" s="198"/>
      <c r="UO50" s="198"/>
      <c r="UP50" s="198"/>
      <c r="UQ50" s="198"/>
      <c r="UR50" s="198"/>
      <c r="US50" s="198"/>
      <c r="UT50" s="198"/>
      <c r="UU50" s="198"/>
      <c r="UV50" s="198"/>
      <c r="UW50" s="198"/>
      <c r="UX50" s="198"/>
      <c r="UY50" s="198"/>
      <c r="UZ50" s="198"/>
      <c r="VA50" s="198"/>
      <c r="VB50" s="198"/>
      <c r="VC50" s="198"/>
      <c r="VD50" s="198"/>
      <c r="VE50" s="198"/>
      <c r="VF50" s="198"/>
      <c r="VG50" s="198"/>
      <c r="VH50" s="198"/>
      <c r="VI50" s="198"/>
      <c r="VJ50" s="198"/>
      <c r="VK50" s="198"/>
      <c r="VL50" s="198"/>
      <c r="VM50" s="198"/>
      <c r="VN50" s="198"/>
      <c r="VO50" s="198"/>
      <c r="VP50" s="198"/>
      <c r="VQ50" s="198"/>
      <c r="VR50" s="198"/>
      <c r="VS50" s="198"/>
      <c r="VT50" s="198"/>
      <c r="VU50" s="198"/>
      <c r="VV50" s="198"/>
      <c r="VW50" s="198"/>
      <c r="VX50" s="198"/>
      <c r="VY50" s="198"/>
      <c r="VZ50" s="198"/>
      <c r="WA50" s="198"/>
      <c r="WB50" s="198"/>
      <c r="WC50" s="198"/>
      <c r="WD50" s="198"/>
      <c r="WE50" s="198"/>
      <c r="WF50" s="198"/>
      <c r="WG50" s="198"/>
      <c r="WH50" s="198"/>
      <c r="WI50" s="198"/>
      <c r="WJ50" s="198"/>
      <c r="WK50" s="198"/>
      <c r="WL50" s="198"/>
      <c r="WM50" s="198"/>
      <c r="WN50" s="198"/>
      <c r="WO50" s="198"/>
      <c r="WP50" s="198"/>
      <c r="WQ50" s="198"/>
      <c r="WR50" s="198"/>
      <c r="WS50" s="198"/>
      <c r="WT50" s="198"/>
      <c r="WU50" s="198"/>
      <c r="WV50" s="198"/>
      <c r="WW50" s="198"/>
      <c r="WX50" s="198"/>
      <c r="WY50" s="198"/>
      <c r="WZ50" s="198"/>
      <c r="XA50" s="198"/>
      <c r="XB50" s="198"/>
      <c r="XC50" s="198"/>
      <c r="XD50" s="198"/>
      <c r="XE50" s="198"/>
      <c r="XF50" s="198"/>
      <c r="XG50" s="198"/>
      <c r="XH50" s="198"/>
      <c r="XI50" s="198"/>
      <c r="XJ50" s="198"/>
      <c r="XK50" s="198"/>
      <c r="XL50" s="198"/>
      <c r="XM50" s="198"/>
      <c r="XN50" s="198"/>
      <c r="XO50" s="198"/>
      <c r="XP50" s="198"/>
      <c r="XQ50" s="198"/>
      <c r="XR50" s="198"/>
      <c r="XS50" s="198"/>
      <c r="XT50" s="198"/>
      <c r="XU50" s="198"/>
      <c r="XV50" s="198"/>
      <c r="XW50" s="198"/>
      <c r="XX50" s="198"/>
      <c r="XY50" s="198"/>
      <c r="XZ50" s="198"/>
      <c r="YA50" s="198"/>
      <c r="YB50" s="198"/>
      <c r="YC50" s="198"/>
      <c r="YD50" s="198"/>
      <c r="YE50" s="198"/>
      <c r="YF50" s="198"/>
      <c r="YG50" s="198"/>
      <c r="YH50" s="198"/>
      <c r="YI50" s="198"/>
      <c r="YJ50" s="198"/>
      <c r="YK50" s="198"/>
      <c r="YL50" s="198"/>
      <c r="YM50" s="198"/>
      <c r="YN50" s="198"/>
      <c r="YO50" s="198"/>
      <c r="YP50" s="198"/>
      <c r="YQ50" s="198"/>
      <c r="YR50" s="198"/>
      <c r="YS50" s="198"/>
      <c r="YT50" s="198"/>
      <c r="YU50" s="198"/>
      <c r="YV50" s="198"/>
      <c r="YW50" s="198"/>
      <c r="YX50" s="198"/>
      <c r="YY50" s="198"/>
      <c r="YZ50" s="198"/>
      <c r="ZA50" s="198"/>
      <c r="ZB50" s="198"/>
      <c r="ZC50" s="198"/>
      <c r="ZD50" s="198"/>
      <c r="ZE50" s="198"/>
      <c r="ZF50" s="198"/>
      <c r="ZG50" s="198"/>
      <c r="ZH50" s="198"/>
      <c r="ZI50" s="198"/>
      <c r="ZJ50" s="198"/>
      <c r="ZK50" s="198"/>
      <c r="ZL50" s="198"/>
      <c r="ZM50" s="198"/>
      <c r="ZN50" s="198"/>
      <c r="ZO50" s="198"/>
      <c r="ZP50" s="198"/>
      <c r="ZQ50" s="198"/>
      <c r="ZR50" s="198"/>
      <c r="ZS50" s="198"/>
      <c r="ZT50" s="198"/>
      <c r="ZU50" s="198"/>
      <c r="ZV50" s="198"/>
      <c r="ZW50" s="198"/>
      <c r="ZX50" s="198"/>
      <c r="ZY50" s="198"/>
      <c r="ZZ50" s="198"/>
      <c r="AAA50" s="198"/>
      <c r="AAB50" s="198"/>
      <c r="AAC50" s="198"/>
      <c r="AAD50" s="198"/>
      <c r="AAE50" s="198"/>
      <c r="AAF50" s="198"/>
      <c r="AAG50" s="198"/>
      <c r="AAH50" s="198"/>
      <c r="AAI50" s="198"/>
      <c r="AAJ50" s="198"/>
      <c r="AAK50" s="198"/>
      <c r="AAL50" s="198"/>
      <c r="AAM50" s="198"/>
      <c r="AAN50" s="198"/>
      <c r="AAO50" s="198"/>
      <c r="AAP50" s="198"/>
      <c r="AAQ50" s="198"/>
      <c r="AAR50" s="198"/>
      <c r="AAS50" s="198"/>
      <c r="AAT50" s="198"/>
      <c r="AAU50" s="198"/>
      <c r="AAV50" s="198"/>
      <c r="AAW50" s="198"/>
      <c r="AAX50" s="198"/>
      <c r="AAY50" s="198"/>
      <c r="AAZ50" s="198"/>
      <c r="ABA50" s="198"/>
      <c r="ABB50" s="198"/>
      <c r="ABC50" s="198"/>
      <c r="ABD50" s="198"/>
      <c r="ABE50" s="198"/>
      <c r="ABF50" s="198"/>
      <c r="ABG50" s="198"/>
      <c r="ABH50" s="198"/>
      <c r="ABI50" s="198"/>
      <c r="ABJ50" s="198"/>
      <c r="ABK50" s="198"/>
      <c r="ABL50" s="198"/>
      <c r="ABM50" s="198"/>
      <c r="ABN50" s="198"/>
      <c r="ABO50" s="198"/>
      <c r="ABP50" s="198"/>
      <c r="ABQ50" s="198"/>
      <c r="ABR50" s="198"/>
      <c r="ABS50" s="198"/>
      <c r="ABT50" s="198"/>
      <c r="ABU50" s="198"/>
      <c r="ABV50" s="198"/>
      <c r="ABW50" s="198"/>
      <c r="ABX50" s="198"/>
      <c r="ABY50" s="198"/>
      <c r="ABZ50" s="198"/>
      <c r="ACA50" s="198"/>
      <c r="ACB50" s="198"/>
      <c r="ACC50" s="198"/>
      <c r="ACD50" s="198"/>
      <c r="ACE50" s="198"/>
      <c r="ACF50" s="198"/>
      <c r="ACG50" s="198"/>
      <c r="ACH50" s="198"/>
      <c r="ACI50" s="198"/>
      <c r="ACJ50" s="198"/>
      <c r="ACK50" s="198"/>
      <c r="ACL50" s="198"/>
      <c r="ACM50" s="198"/>
      <c r="ACN50" s="198"/>
      <c r="ACO50" s="198"/>
      <c r="ACP50" s="198"/>
      <c r="ACQ50" s="198"/>
      <c r="ACR50" s="198"/>
      <c r="ACS50" s="198"/>
      <c r="ACT50" s="198"/>
      <c r="ACU50" s="198"/>
      <c r="ACV50" s="198"/>
      <c r="ACW50" s="198"/>
      <c r="ACX50" s="198"/>
      <c r="ACY50" s="198"/>
      <c r="ACZ50" s="198"/>
      <c r="ADA50" s="198"/>
      <c r="ADB50" s="198"/>
      <c r="ADC50" s="198"/>
      <c r="ADD50" s="198"/>
      <c r="ADE50" s="198"/>
      <c r="ADF50" s="198"/>
      <c r="ADG50" s="198"/>
      <c r="ADH50" s="198"/>
      <c r="ADI50" s="198"/>
      <c r="ADJ50" s="198"/>
      <c r="ADK50" s="198"/>
      <c r="ADL50" s="198"/>
      <c r="ADM50" s="198"/>
      <c r="ADN50" s="198"/>
      <c r="ADO50" s="198"/>
      <c r="ADP50" s="198"/>
      <c r="ADQ50" s="198"/>
      <c r="ADR50" s="198"/>
      <c r="ADS50" s="198"/>
      <c r="ADT50" s="198"/>
      <c r="ADU50" s="198"/>
      <c r="ADV50" s="198"/>
      <c r="ADW50" s="198"/>
      <c r="ADX50" s="198"/>
      <c r="ADY50" s="198"/>
      <c r="ADZ50" s="198"/>
      <c r="AEA50" s="198"/>
      <c r="AEB50" s="198"/>
      <c r="AEC50" s="198"/>
      <c r="AED50" s="198"/>
      <c r="AEE50" s="198"/>
      <c r="AEF50" s="198"/>
      <c r="AEG50" s="198"/>
      <c r="AEH50" s="198"/>
      <c r="AEI50" s="198"/>
      <c r="AEJ50" s="198"/>
      <c r="AEK50" s="198"/>
      <c r="AEL50" s="198"/>
      <c r="AEM50" s="198"/>
      <c r="AEN50" s="198"/>
      <c r="AEO50" s="198"/>
      <c r="AEP50" s="198"/>
      <c r="AEQ50" s="198"/>
      <c r="AER50" s="198"/>
      <c r="AES50" s="198"/>
      <c r="AET50" s="198"/>
      <c r="AEU50" s="198"/>
      <c r="AEV50" s="198"/>
      <c r="AEW50" s="198"/>
      <c r="AEX50" s="198"/>
      <c r="AEY50" s="198"/>
      <c r="AEZ50" s="198"/>
      <c r="AFA50" s="198"/>
      <c r="AFB50" s="198"/>
      <c r="AFC50" s="198"/>
      <c r="AFD50" s="198"/>
      <c r="AFE50" s="198"/>
      <c r="AFF50" s="198"/>
      <c r="AFG50" s="198"/>
      <c r="AFH50" s="198"/>
      <c r="AFI50" s="198"/>
      <c r="AFJ50" s="198"/>
      <c r="AFK50" s="198"/>
      <c r="AFL50" s="198"/>
      <c r="AFM50" s="198"/>
      <c r="AFN50" s="198"/>
      <c r="AFO50" s="198"/>
      <c r="AFP50" s="198"/>
      <c r="AFQ50" s="198"/>
      <c r="AFR50" s="198"/>
      <c r="AFS50" s="198"/>
      <c r="AFT50" s="198"/>
      <c r="AFU50" s="198"/>
      <c r="AFV50" s="198"/>
      <c r="AFW50" s="198"/>
      <c r="AFX50" s="198"/>
      <c r="AFY50" s="198"/>
      <c r="AFZ50" s="198"/>
      <c r="AGA50" s="198"/>
      <c r="AGB50" s="198"/>
      <c r="AGC50" s="198"/>
      <c r="AGD50" s="198"/>
      <c r="AGE50" s="198"/>
      <c r="AGF50" s="198"/>
      <c r="AGG50" s="198"/>
      <c r="AGH50" s="198"/>
      <c r="AGI50" s="198"/>
      <c r="AGJ50" s="198"/>
      <c r="AGK50" s="198"/>
      <c r="AGL50" s="198"/>
      <c r="AGM50" s="198"/>
      <c r="AGN50" s="198"/>
      <c r="AGO50" s="198"/>
      <c r="AGP50" s="198"/>
      <c r="AGQ50" s="198"/>
      <c r="AGR50" s="198"/>
      <c r="AGS50" s="198"/>
      <c r="AGT50" s="198"/>
      <c r="AGU50" s="198"/>
      <c r="AGV50" s="198"/>
      <c r="AGW50" s="198"/>
      <c r="AGX50" s="198"/>
      <c r="AGY50" s="198"/>
      <c r="AGZ50" s="198"/>
      <c r="AHA50" s="198"/>
      <c r="AHB50" s="198"/>
      <c r="AHC50" s="198"/>
      <c r="AHD50" s="198"/>
      <c r="AHE50" s="198"/>
      <c r="AHF50" s="198"/>
      <c r="AHG50" s="198"/>
      <c r="AHH50" s="198"/>
      <c r="AHI50" s="198"/>
      <c r="AHJ50" s="198"/>
      <c r="AHK50" s="198"/>
      <c r="AHL50" s="198"/>
      <c r="AHM50" s="198"/>
      <c r="AHN50" s="198"/>
      <c r="AHO50" s="198"/>
      <c r="AHP50" s="198"/>
      <c r="AHQ50" s="198"/>
      <c r="AHR50" s="198"/>
      <c r="AHS50" s="198"/>
      <c r="AHT50" s="198"/>
      <c r="AHU50" s="198"/>
      <c r="AHV50" s="198"/>
      <c r="AHW50" s="198"/>
      <c r="AHX50" s="198"/>
      <c r="AHY50" s="198"/>
      <c r="AHZ50" s="198"/>
      <c r="AIA50" s="198"/>
      <c r="AIB50" s="198"/>
      <c r="AIC50" s="198"/>
      <c r="AID50" s="198"/>
      <c r="AIE50" s="198"/>
      <c r="AIF50" s="198"/>
      <c r="AIG50" s="198"/>
      <c r="AIH50" s="198"/>
      <c r="AII50" s="198"/>
      <c r="AIJ50" s="198"/>
      <c r="AIK50" s="198"/>
      <c r="AIL50" s="198"/>
      <c r="AIM50" s="198"/>
      <c r="AIN50" s="198"/>
      <c r="AIO50" s="198"/>
      <c r="AIP50" s="198"/>
      <c r="AIQ50" s="198"/>
      <c r="AIR50" s="198"/>
      <c r="AIS50" s="198"/>
      <c r="AIT50" s="198"/>
      <c r="AIU50" s="198"/>
      <c r="AIV50" s="198"/>
      <c r="AIW50" s="198"/>
      <c r="AIX50" s="198"/>
      <c r="AIY50" s="198"/>
      <c r="AIZ50" s="198"/>
      <c r="AJA50" s="198"/>
      <c r="AJB50" s="198"/>
      <c r="AJC50" s="198"/>
      <c r="AJD50" s="198"/>
      <c r="AJE50" s="198"/>
      <c r="AJF50" s="198"/>
      <c r="AJG50" s="198"/>
      <c r="AJH50" s="198"/>
      <c r="AJI50" s="198"/>
      <c r="AJJ50" s="198"/>
      <c r="AJK50" s="198"/>
      <c r="AJL50" s="198"/>
      <c r="AJM50" s="198"/>
      <c r="AJN50" s="198"/>
      <c r="AJO50" s="198"/>
      <c r="AJP50" s="198"/>
      <c r="AJQ50" s="198"/>
      <c r="AJR50" s="198"/>
      <c r="AJS50" s="198"/>
      <c r="AJT50" s="198"/>
      <c r="AJU50" s="198"/>
      <c r="AJV50" s="198"/>
      <c r="AJW50" s="198"/>
      <c r="AJX50" s="198"/>
      <c r="AJY50" s="198"/>
      <c r="AJZ50" s="198"/>
      <c r="AKA50" s="198"/>
      <c r="AKB50" s="198"/>
      <c r="AKC50" s="198"/>
      <c r="AKD50" s="198"/>
      <c r="AKE50" s="198"/>
      <c r="AKF50" s="198"/>
      <c r="AKG50" s="198"/>
      <c r="AKH50" s="198"/>
      <c r="AKI50" s="198"/>
      <c r="AKJ50" s="198"/>
      <c r="AKK50" s="198"/>
      <c r="AKL50" s="198"/>
      <c r="AKM50" s="198"/>
      <c r="AKN50" s="198"/>
      <c r="AKO50" s="198"/>
      <c r="AKP50" s="198"/>
      <c r="AKQ50" s="198"/>
      <c r="AKR50" s="198"/>
      <c r="AKS50" s="198"/>
      <c r="AKT50" s="198"/>
      <c r="AKU50" s="198"/>
      <c r="AKV50" s="198"/>
      <c r="AKW50" s="198"/>
      <c r="AKX50" s="198"/>
      <c r="AKY50" s="198"/>
      <c r="AKZ50" s="198"/>
      <c r="ALA50" s="198"/>
      <c r="ALB50" s="198"/>
      <c r="ALC50" s="198"/>
      <c r="ALD50" s="198"/>
      <c r="ALE50" s="198"/>
      <c r="ALF50" s="198"/>
      <c r="ALG50" s="198"/>
      <c r="ALH50" s="198"/>
      <c r="ALI50" s="198"/>
      <c r="ALJ50" s="198"/>
      <c r="ALK50" s="198"/>
      <c r="ALL50" s="198"/>
      <c r="ALM50" s="198"/>
      <c r="ALN50" s="198"/>
      <c r="ALO50" s="198"/>
      <c r="ALP50" s="198"/>
      <c r="ALQ50" s="198"/>
      <c r="ALR50" s="198"/>
      <c r="ALS50" s="198"/>
      <c r="ALT50" s="198"/>
      <c r="ALU50" s="198"/>
      <c r="ALV50" s="198"/>
      <c r="ALW50" s="198"/>
      <c r="ALX50" s="198"/>
      <c r="ALY50" s="198"/>
      <c r="ALZ50" s="198"/>
      <c r="AMA50" s="198"/>
      <c r="AMB50" s="198"/>
      <c r="AMC50" s="198"/>
      <c r="AMD50" s="198"/>
      <c r="AME50" s="198"/>
      <c r="AMF50" s="198"/>
      <c r="AMG50" s="198"/>
      <c r="AMH50" s="198"/>
      <c r="AMI50" s="198"/>
      <c r="AMJ50" s="198"/>
      <c r="AMK50" s="198"/>
      <c r="AML50" s="198"/>
      <c r="AMM50" s="198"/>
      <c r="AMN50" s="198"/>
      <c r="AMO50" s="198"/>
      <c r="AMP50" s="198"/>
      <c r="AMQ50" s="198"/>
      <c r="AMR50" s="198"/>
      <c r="AMS50" s="198"/>
      <c r="AMT50" s="198"/>
      <c r="AMU50" s="198"/>
      <c r="AMV50" s="198"/>
      <c r="AMW50" s="198"/>
      <c r="AMX50" s="198"/>
      <c r="AMY50" s="198"/>
      <c r="AMZ50" s="198"/>
      <c r="ANA50" s="198"/>
      <c r="ANB50" s="198"/>
      <c r="ANC50" s="198"/>
      <c r="AND50" s="198"/>
      <c r="ANE50" s="198"/>
      <c r="ANF50" s="198"/>
      <c r="ANG50" s="198"/>
      <c r="ANH50" s="198"/>
      <c r="ANI50" s="198"/>
      <c r="ANJ50" s="198"/>
      <c r="ANK50" s="198"/>
      <c r="ANL50" s="198"/>
      <c r="ANM50" s="198"/>
      <c r="ANN50" s="198"/>
      <c r="ANO50" s="198"/>
      <c r="ANP50" s="198"/>
      <c r="ANQ50" s="198"/>
      <c r="ANR50" s="198"/>
      <c r="ANS50" s="198"/>
      <c r="ANT50" s="198"/>
      <c r="ANU50" s="198"/>
      <c r="ANV50" s="198"/>
      <c r="ANW50" s="198"/>
      <c r="ANX50" s="198"/>
      <c r="ANY50" s="198"/>
      <c r="ANZ50" s="198"/>
      <c r="AOA50" s="198"/>
      <c r="AOB50" s="198"/>
      <c r="AOC50" s="198"/>
      <c r="AOD50" s="198"/>
      <c r="AOE50" s="198"/>
      <c r="AOF50" s="198"/>
      <c r="AOG50" s="198"/>
      <c r="AOH50" s="198"/>
      <c r="AOI50" s="198"/>
      <c r="AOJ50" s="198"/>
      <c r="AOK50" s="198"/>
      <c r="AOL50" s="198"/>
      <c r="AOM50" s="198"/>
      <c r="AON50" s="198"/>
      <c r="AOO50" s="198"/>
      <c r="AOP50" s="198"/>
      <c r="AOQ50" s="198"/>
      <c r="AOR50" s="198"/>
      <c r="AOS50" s="198"/>
      <c r="AOT50" s="198"/>
      <c r="AOU50" s="198"/>
      <c r="AOV50" s="198"/>
      <c r="AOW50" s="198"/>
      <c r="AOX50" s="198"/>
      <c r="AOY50" s="198"/>
      <c r="AOZ50" s="198"/>
      <c r="APA50" s="198"/>
      <c r="APB50" s="198"/>
      <c r="APC50" s="198"/>
      <c r="APD50" s="198"/>
      <c r="APE50" s="198"/>
      <c r="APF50" s="198"/>
      <c r="APG50" s="198"/>
      <c r="APH50" s="198"/>
      <c r="API50" s="198"/>
      <c r="APJ50" s="198"/>
      <c r="APK50" s="198"/>
      <c r="APL50" s="198"/>
      <c r="APM50" s="198"/>
      <c r="APN50" s="198"/>
      <c r="APO50" s="198"/>
      <c r="APP50" s="198"/>
      <c r="APQ50" s="198"/>
      <c r="APR50" s="198"/>
      <c r="APS50" s="198"/>
      <c r="APT50" s="198"/>
      <c r="APU50" s="198"/>
      <c r="APV50" s="198"/>
      <c r="APW50" s="198"/>
      <c r="APX50" s="198"/>
      <c r="APY50" s="198"/>
      <c r="APZ50" s="198"/>
      <c r="AQA50" s="198"/>
      <c r="AQB50" s="198"/>
      <c r="AQC50" s="198"/>
      <c r="AQD50" s="198"/>
      <c r="AQE50" s="198"/>
      <c r="AQF50" s="198"/>
      <c r="AQG50" s="198"/>
      <c r="AQH50" s="198"/>
      <c r="AQI50" s="198"/>
      <c r="AQJ50" s="198"/>
      <c r="AQK50" s="198"/>
      <c r="AQL50" s="198"/>
      <c r="AQM50" s="198"/>
      <c r="AQN50" s="198"/>
      <c r="AQO50" s="198"/>
      <c r="AQP50" s="198"/>
      <c r="AQQ50" s="198"/>
      <c r="AQR50" s="198"/>
      <c r="AQS50" s="198"/>
      <c r="AQT50" s="198"/>
      <c r="AQU50" s="198"/>
      <c r="AQV50" s="198"/>
      <c r="AQW50" s="198"/>
      <c r="AQX50" s="198"/>
      <c r="AQY50" s="198"/>
      <c r="AQZ50" s="198"/>
      <c r="ARA50" s="198"/>
      <c r="ARB50" s="198"/>
      <c r="ARC50" s="198"/>
      <c r="ARD50" s="198"/>
      <c r="ARE50" s="198"/>
      <c r="ARF50" s="198"/>
      <c r="ARG50" s="198"/>
      <c r="ARH50" s="198"/>
      <c r="ARI50" s="198"/>
      <c r="ARJ50" s="198"/>
      <c r="ARK50" s="198"/>
      <c r="ARL50" s="198"/>
      <c r="ARM50" s="198"/>
      <c r="ARN50" s="198"/>
      <c r="ARO50" s="198"/>
      <c r="ARP50" s="198"/>
      <c r="ARQ50" s="198"/>
      <c r="ARR50" s="198"/>
      <c r="ARS50" s="198"/>
      <c r="ART50" s="198"/>
      <c r="ARU50" s="198"/>
      <c r="ARV50" s="198"/>
      <c r="ARW50" s="198"/>
      <c r="ARX50" s="198"/>
      <c r="ARY50" s="198"/>
      <c r="ARZ50" s="198"/>
      <c r="ASA50" s="198"/>
      <c r="ASB50" s="198"/>
      <c r="ASC50" s="198"/>
      <c r="ASD50" s="198"/>
      <c r="ASE50" s="198"/>
      <c r="ASF50" s="198"/>
      <c r="ASG50" s="198"/>
      <c r="ASH50" s="198"/>
      <c r="ASI50" s="198"/>
      <c r="ASJ50" s="198"/>
      <c r="ASK50" s="198"/>
      <c r="ASL50" s="198"/>
      <c r="ASM50" s="198"/>
      <c r="ASN50" s="198"/>
      <c r="ASO50" s="198"/>
      <c r="ASP50" s="198"/>
      <c r="ASQ50" s="198"/>
      <c r="ASR50" s="198"/>
      <c r="ASS50" s="198"/>
      <c r="AST50" s="198"/>
      <c r="ASU50" s="198"/>
      <c r="ASV50" s="198"/>
      <c r="ASW50" s="198"/>
      <c r="ASX50" s="198"/>
      <c r="ASY50" s="198"/>
      <c r="ASZ50" s="198"/>
      <c r="ATA50" s="198"/>
      <c r="ATB50" s="198"/>
      <c r="ATC50" s="198"/>
      <c r="ATD50" s="198"/>
      <c r="ATE50" s="198"/>
      <c r="ATF50" s="198"/>
      <c r="ATG50" s="198"/>
      <c r="ATH50" s="198"/>
      <c r="ATI50" s="198"/>
      <c r="ATJ50" s="198"/>
      <c r="ATK50" s="198"/>
      <c r="ATL50" s="198"/>
      <c r="ATM50" s="198"/>
      <c r="ATN50" s="198"/>
      <c r="ATO50" s="198"/>
      <c r="ATP50" s="198"/>
      <c r="ATQ50" s="198"/>
      <c r="ATR50" s="198"/>
      <c r="ATS50" s="198"/>
      <c r="ATT50" s="198"/>
      <c r="ATU50" s="198"/>
      <c r="ATV50" s="198"/>
      <c r="ATW50" s="198"/>
      <c r="ATX50" s="198"/>
      <c r="ATY50" s="198"/>
      <c r="ATZ50" s="198"/>
      <c r="AUA50" s="198"/>
      <c r="AUB50" s="198"/>
      <c r="AUC50" s="198"/>
      <c r="AUD50" s="198"/>
      <c r="AUE50" s="198"/>
      <c r="AUF50" s="198"/>
      <c r="AUG50" s="198"/>
      <c r="AUH50" s="198"/>
      <c r="AUI50" s="198"/>
      <c r="AUJ50" s="198"/>
      <c r="AUK50" s="198"/>
      <c r="AUL50" s="198"/>
      <c r="AUM50" s="198"/>
      <c r="AUN50" s="198"/>
      <c r="AUO50" s="198"/>
      <c r="AUP50" s="198"/>
      <c r="AUQ50" s="198"/>
      <c r="AUR50" s="198"/>
      <c r="AUS50" s="198"/>
      <c r="AUT50" s="198"/>
      <c r="AUU50" s="198"/>
      <c r="AUV50" s="198"/>
      <c r="AUW50" s="198"/>
      <c r="AUX50" s="198"/>
      <c r="AUY50" s="198"/>
      <c r="AUZ50" s="198"/>
      <c r="AVA50" s="198"/>
      <c r="AVB50" s="198"/>
      <c r="AVC50" s="198"/>
      <c r="AVD50" s="198"/>
      <c r="AVE50" s="198"/>
      <c r="AVF50" s="198"/>
      <c r="AVG50" s="198"/>
      <c r="AVH50" s="198"/>
      <c r="AVI50" s="198"/>
      <c r="AVJ50" s="198"/>
      <c r="AVK50" s="198"/>
      <c r="AVL50" s="198"/>
      <c r="AVM50" s="198"/>
      <c r="AVN50" s="198"/>
      <c r="AVO50" s="198"/>
      <c r="AVP50" s="198"/>
      <c r="AVQ50" s="198"/>
      <c r="AVR50" s="198"/>
      <c r="AVS50" s="198"/>
      <c r="AVT50" s="198"/>
      <c r="AVU50" s="198"/>
      <c r="AVV50" s="198"/>
      <c r="AVW50" s="198"/>
      <c r="AVX50" s="198"/>
      <c r="AVY50" s="198"/>
      <c r="AVZ50" s="198"/>
      <c r="AWA50" s="198"/>
      <c r="AWB50" s="198"/>
      <c r="AWC50" s="198"/>
      <c r="AWD50" s="198"/>
      <c r="AWE50" s="198"/>
      <c r="AWF50" s="198"/>
      <c r="AWG50" s="198"/>
      <c r="AWH50" s="198"/>
      <c r="AWI50" s="198"/>
      <c r="AWJ50" s="198"/>
      <c r="AWK50" s="198"/>
      <c r="AWL50" s="198"/>
      <c r="AWM50" s="198"/>
      <c r="AWN50" s="198"/>
      <c r="AWO50" s="198"/>
      <c r="AWP50" s="198"/>
      <c r="AWQ50" s="198"/>
      <c r="AWR50" s="198"/>
      <c r="AWS50" s="198"/>
      <c r="AWT50" s="198"/>
      <c r="AWU50" s="198"/>
      <c r="AWV50" s="198"/>
      <c r="AWW50" s="198"/>
      <c r="AWX50" s="198"/>
      <c r="AWY50" s="198"/>
      <c r="AWZ50" s="198"/>
      <c r="AXA50" s="198"/>
      <c r="AXB50" s="198"/>
      <c r="AXC50" s="198"/>
      <c r="AXD50" s="198"/>
      <c r="AXE50" s="198"/>
      <c r="AXF50" s="198"/>
      <c r="AXG50" s="198"/>
      <c r="AXH50" s="198"/>
      <c r="AXI50" s="198"/>
      <c r="AXJ50" s="198"/>
      <c r="AXK50" s="198"/>
      <c r="AXL50" s="198"/>
      <c r="AXM50" s="198"/>
      <c r="AXN50" s="198"/>
      <c r="AXO50" s="198"/>
      <c r="AXP50" s="198"/>
      <c r="AXQ50" s="198"/>
      <c r="AXR50" s="198"/>
      <c r="AXS50" s="198"/>
      <c r="AXT50" s="198"/>
      <c r="AXU50" s="198"/>
      <c r="AXV50" s="198"/>
      <c r="AXW50" s="198"/>
      <c r="AXX50" s="198"/>
      <c r="AXY50" s="198"/>
      <c r="AXZ50" s="198"/>
      <c r="AYA50" s="198"/>
      <c r="AYB50" s="198"/>
      <c r="AYC50" s="198"/>
      <c r="AYD50" s="198"/>
      <c r="AYE50" s="198"/>
      <c r="AYF50" s="198"/>
      <c r="AYG50" s="198"/>
      <c r="AYH50" s="198"/>
      <c r="AYI50" s="198"/>
      <c r="AYJ50" s="198"/>
      <c r="AYK50" s="198"/>
      <c r="AYL50" s="198"/>
      <c r="AYM50" s="198"/>
      <c r="AYN50" s="198"/>
      <c r="AYO50" s="198"/>
      <c r="AYP50" s="198"/>
      <c r="AYQ50" s="198"/>
      <c r="AYR50" s="198"/>
      <c r="AYS50" s="198"/>
      <c r="AYT50" s="198"/>
      <c r="AYU50" s="198"/>
      <c r="AYV50" s="198"/>
      <c r="AYW50" s="198"/>
      <c r="AYX50" s="198"/>
      <c r="AYY50" s="198"/>
      <c r="AYZ50" s="198"/>
      <c r="AZA50" s="198"/>
      <c r="AZB50" s="198"/>
      <c r="AZC50" s="198"/>
      <c r="AZD50" s="198"/>
      <c r="AZE50" s="198"/>
      <c r="AZF50" s="198"/>
      <c r="AZG50" s="198"/>
      <c r="AZH50" s="198"/>
      <c r="AZI50" s="198"/>
      <c r="AZJ50" s="198"/>
      <c r="AZK50" s="198"/>
      <c r="AZL50" s="198"/>
      <c r="AZM50" s="198"/>
      <c r="AZN50" s="198"/>
      <c r="AZO50" s="198"/>
      <c r="AZP50" s="198"/>
      <c r="AZQ50" s="198"/>
      <c r="AZR50" s="198"/>
      <c r="AZS50" s="198"/>
      <c r="AZT50" s="198"/>
      <c r="AZU50" s="198"/>
      <c r="AZV50" s="198"/>
      <c r="AZW50" s="198"/>
      <c r="AZX50" s="198"/>
      <c r="AZY50" s="198"/>
      <c r="AZZ50" s="198"/>
      <c r="BAA50" s="198"/>
      <c r="BAB50" s="198"/>
      <c r="BAC50" s="198"/>
      <c r="BAD50" s="198"/>
      <c r="BAE50" s="198"/>
      <c r="BAF50" s="198"/>
      <c r="BAG50" s="198"/>
      <c r="BAH50" s="198"/>
      <c r="BAI50" s="198"/>
      <c r="BAJ50" s="198"/>
      <c r="BAK50" s="198"/>
      <c r="BAL50" s="198"/>
      <c r="BAM50" s="198"/>
      <c r="BAN50" s="198"/>
      <c r="BAO50" s="198"/>
      <c r="BAP50" s="198"/>
      <c r="BAQ50" s="198"/>
      <c r="BAR50" s="198"/>
      <c r="BAS50" s="198"/>
      <c r="BAT50" s="198"/>
      <c r="BAU50" s="198"/>
      <c r="BAV50" s="198"/>
      <c r="BAW50" s="198"/>
      <c r="BAX50" s="198"/>
      <c r="BAY50" s="198"/>
      <c r="BAZ50" s="198"/>
      <c r="BBA50" s="198"/>
      <c r="BBB50" s="198"/>
      <c r="BBC50" s="198"/>
      <c r="BBD50" s="198"/>
      <c r="BBE50" s="198"/>
      <c r="BBF50" s="198"/>
      <c r="BBG50" s="198"/>
      <c r="BBH50" s="198"/>
      <c r="BBI50" s="198"/>
      <c r="BBJ50" s="198"/>
      <c r="BBK50" s="198"/>
      <c r="BBL50" s="198"/>
      <c r="BBM50" s="198"/>
      <c r="BBN50" s="198"/>
      <c r="BBO50" s="198"/>
      <c r="BBP50" s="198"/>
      <c r="BBQ50" s="198"/>
      <c r="BBR50" s="198"/>
      <c r="BBS50" s="198"/>
      <c r="BBT50" s="198"/>
      <c r="BBU50" s="198"/>
      <c r="BBV50" s="198"/>
      <c r="BBW50" s="198"/>
      <c r="BBX50" s="198"/>
      <c r="BBY50" s="198"/>
      <c r="BBZ50" s="198"/>
      <c r="BCA50" s="198"/>
      <c r="BCB50" s="198"/>
      <c r="BCC50" s="198"/>
      <c r="BCD50" s="198"/>
      <c r="BCE50" s="198"/>
      <c r="BCF50" s="198"/>
      <c r="BCG50" s="198"/>
      <c r="BCH50" s="198"/>
      <c r="BCI50" s="198"/>
      <c r="BCJ50" s="198"/>
      <c r="BCK50" s="198"/>
      <c r="BCL50" s="198"/>
      <c r="BCM50" s="198"/>
      <c r="BCN50" s="198"/>
      <c r="BCO50" s="198"/>
      <c r="BCP50" s="198"/>
      <c r="BCQ50" s="198"/>
      <c r="BCR50" s="198"/>
      <c r="BCS50" s="198"/>
      <c r="BCT50" s="198"/>
      <c r="BCU50" s="198"/>
      <c r="BCV50" s="198"/>
      <c r="BCW50" s="198"/>
      <c r="BCX50" s="198"/>
      <c r="BCY50" s="198"/>
      <c r="BCZ50" s="198"/>
      <c r="BDA50" s="198"/>
      <c r="BDB50" s="198"/>
      <c r="BDC50" s="198"/>
      <c r="BDD50" s="198"/>
      <c r="BDE50" s="198"/>
      <c r="BDF50" s="198"/>
      <c r="BDG50" s="198"/>
      <c r="BDH50" s="198"/>
      <c r="BDI50" s="198"/>
      <c r="BDJ50" s="198"/>
      <c r="BDK50" s="198"/>
      <c r="BDL50" s="198"/>
      <c r="BDM50" s="198"/>
      <c r="BDN50" s="198"/>
      <c r="BDO50" s="198"/>
      <c r="BDP50" s="198"/>
      <c r="BDQ50" s="198"/>
      <c r="BDR50" s="198"/>
      <c r="BDS50" s="198"/>
      <c r="BDT50" s="198"/>
      <c r="BDU50" s="198"/>
      <c r="BDV50" s="198"/>
      <c r="BDW50" s="198"/>
      <c r="BDX50" s="198"/>
      <c r="BDY50" s="198"/>
      <c r="BDZ50" s="198"/>
      <c r="BEA50" s="198"/>
      <c r="BEB50" s="198"/>
      <c r="BEC50" s="198"/>
      <c r="BED50" s="198"/>
      <c r="BEE50" s="198"/>
      <c r="BEF50" s="198"/>
      <c r="BEG50" s="198"/>
      <c r="BEH50" s="198"/>
      <c r="BEI50" s="198"/>
      <c r="BEJ50" s="198"/>
      <c r="BEK50" s="198"/>
      <c r="BEL50" s="198"/>
      <c r="BEM50" s="198"/>
      <c r="BEN50" s="198"/>
      <c r="BEO50" s="198"/>
      <c r="BEP50" s="198"/>
      <c r="BEQ50" s="198"/>
      <c r="BER50" s="198"/>
      <c r="BES50" s="198"/>
      <c r="BET50" s="198"/>
      <c r="BEU50" s="198"/>
      <c r="BEV50" s="198"/>
      <c r="BEW50" s="198"/>
      <c r="BEX50" s="198"/>
      <c r="BEY50" s="198"/>
      <c r="BEZ50" s="198"/>
      <c r="BFA50" s="198"/>
      <c r="BFB50" s="198"/>
      <c r="BFC50" s="198"/>
      <c r="BFD50" s="198"/>
      <c r="BFE50" s="198"/>
      <c r="BFF50" s="198"/>
      <c r="BFG50" s="198"/>
      <c r="BFH50" s="198"/>
      <c r="BFI50" s="198"/>
      <c r="BFJ50" s="198"/>
      <c r="BFK50" s="198"/>
      <c r="BFL50" s="198"/>
      <c r="BFM50" s="198"/>
      <c r="BFN50" s="198"/>
      <c r="BFO50" s="198"/>
      <c r="BFP50" s="198"/>
      <c r="BFQ50" s="198"/>
      <c r="BFR50" s="198"/>
      <c r="BFS50" s="198"/>
      <c r="BFT50" s="198"/>
      <c r="BFU50" s="198"/>
      <c r="BFV50" s="198"/>
      <c r="BFW50" s="198"/>
      <c r="BFX50" s="198"/>
      <c r="BFY50" s="198"/>
      <c r="BFZ50" s="198"/>
      <c r="BGA50" s="198"/>
      <c r="BGB50" s="198"/>
      <c r="BGC50" s="198"/>
      <c r="BGD50" s="198"/>
      <c r="BGE50" s="198"/>
      <c r="BGF50" s="198"/>
      <c r="BGG50" s="198"/>
      <c r="BGH50" s="198"/>
      <c r="BGI50" s="198"/>
      <c r="BGJ50" s="198"/>
      <c r="BGK50" s="198"/>
      <c r="BGL50" s="198"/>
      <c r="BGM50" s="198"/>
      <c r="BGN50" s="198"/>
      <c r="BGO50" s="198"/>
      <c r="BGP50" s="198"/>
      <c r="BGQ50" s="198"/>
      <c r="BGR50" s="198"/>
      <c r="BGS50" s="198"/>
      <c r="BGT50" s="198"/>
      <c r="BGU50" s="198"/>
      <c r="BGV50" s="198"/>
      <c r="BGW50" s="198"/>
      <c r="BGX50" s="198"/>
      <c r="BGY50" s="198"/>
      <c r="BGZ50" s="198"/>
      <c r="BHA50" s="198"/>
      <c r="BHB50" s="198"/>
      <c r="BHC50" s="198"/>
      <c r="BHD50" s="198"/>
      <c r="BHE50" s="198"/>
      <c r="BHF50" s="198"/>
      <c r="BHG50" s="198"/>
      <c r="BHH50" s="198"/>
      <c r="BHI50" s="198"/>
      <c r="BHJ50" s="198"/>
      <c r="BHK50" s="198"/>
      <c r="BHL50" s="198"/>
      <c r="BHM50" s="198"/>
      <c r="BHN50" s="198"/>
      <c r="BHO50" s="198"/>
      <c r="BHP50" s="198"/>
      <c r="BHQ50" s="198"/>
      <c r="BHR50" s="198"/>
      <c r="BHS50" s="198"/>
      <c r="BHT50" s="198"/>
      <c r="BHU50" s="198"/>
      <c r="BHV50" s="198"/>
      <c r="BHW50" s="198"/>
      <c r="BHX50" s="198"/>
      <c r="BHY50" s="198"/>
      <c r="BHZ50" s="198"/>
      <c r="BIA50" s="198"/>
      <c r="BIB50" s="198"/>
      <c r="BIC50" s="198"/>
      <c r="BID50" s="198"/>
      <c r="BIE50" s="198"/>
      <c r="BIF50" s="198"/>
      <c r="BIG50" s="198"/>
      <c r="BIH50" s="198"/>
      <c r="BII50" s="198"/>
      <c r="BIJ50" s="198"/>
      <c r="BIK50" s="198"/>
      <c r="BIL50" s="198"/>
      <c r="BIM50" s="198"/>
      <c r="BIN50" s="198"/>
      <c r="BIO50" s="198"/>
      <c r="BIP50" s="198"/>
      <c r="BIQ50" s="198"/>
      <c r="BIR50" s="198"/>
      <c r="BIS50" s="198"/>
      <c r="BIT50" s="198"/>
      <c r="BIU50" s="198"/>
      <c r="BIV50" s="198"/>
      <c r="BIW50" s="198"/>
      <c r="BIX50" s="198"/>
      <c r="BIY50" s="198"/>
      <c r="BIZ50" s="198"/>
      <c r="BJA50" s="198"/>
      <c r="BJB50" s="198"/>
      <c r="BJC50" s="198"/>
      <c r="BJD50" s="198"/>
      <c r="BJE50" s="198"/>
      <c r="BJF50" s="198"/>
      <c r="BJG50" s="198"/>
      <c r="BJH50" s="198"/>
      <c r="BJI50" s="198"/>
      <c r="BJJ50" s="198"/>
      <c r="BJK50" s="198"/>
      <c r="BJL50" s="198"/>
      <c r="BJM50" s="198"/>
      <c r="BJN50" s="198"/>
      <c r="BJO50" s="198"/>
      <c r="BJP50" s="198"/>
      <c r="BJQ50" s="198"/>
      <c r="BJR50" s="198"/>
      <c r="BJS50" s="198"/>
      <c r="BJT50" s="198"/>
      <c r="BJU50" s="198"/>
      <c r="BJV50" s="198"/>
      <c r="BJW50" s="198"/>
      <c r="BJX50" s="198"/>
      <c r="BJY50" s="198"/>
      <c r="BJZ50" s="198"/>
      <c r="BKA50" s="198"/>
      <c r="BKB50" s="198"/>
      <c r="BKC50" s="198"/>
      <c r="BKD50" s="198"/>
      <c r="BKE50" s="198"/>
      <c r="BKF50" s="198"/>
      <c r="BKG50" s="198"/>
      <c r="BKH50" s="198"/>
      <c r="BKI50" s="198"/>
      <c r="BKJ50" s="198"/>
      <c r="BKK50" s="198"/>
      <c r="BKL50" s="198"/>
      <c r="BKM50" s="198"/>
      <c r="BKN50" s="198"/>
      <c r="BKO50" s="198"/>
      <c r="BKP50" s="198"/>
      <c r="BKQ50" s="198"/>
      <c r="BKR50" s="198"/>
      <c r="BKS50" s="198"/>
      <c r="BKT50" s="198"/>
      <c r="BKU50" s="198"/>
      <c r="BKV50" s="198"/>
      <c r="BKW50" s="198"/>
      <c r="BKX50" s="198"/>
      <c r="BKY50" s="198"/>
      <c r="BKZ50" s="198"/>
      <c r="BLA50" s="198"/>
      <c r="BLB50" s="198"/>
      <c r="BLC50" s="198"/>
      <c r="BLD50" s="198"/>
      <c r="BLE50" s="198"/>
      <c r="BLF50" s="198"/>
      <c r="BLG50" s="198"/>
      <c r="BLH50" s="198"/>
      <c r="BLI50" s="198"/>
      <c r="BLJ50" s="198"/>
      <c r="BLK50" s="198"/>
      <c r="BLL50" s="198"/>
      <c r="BLM50" s="198"/>
      <c r="BLN50" s="198"/>
      <c r="BLO50" s="198"/>
      <c r="BLP50" s="198"/>
      <c r="BLQ50" s="198"/>
      <c r="BLR50" s="198"/>
      <c r="BLS50" s="198"/>
      <c r="BLT50" s="198"/>
      <c r="BLU50" s="198"/>
      <c r="BLV50" s="198"/>
      <c r="BLW50" s="198"/>
      <c r="BLX50" s="198"/>
      <c r="BLY50" s="198"/>
      <c r="BLZ50" s="198"/>
      <c r="BMA50" s="198"/>
      <c r="BMB50" s="198"/>
      <c r="BMC50" s="198"/>
      <c r="BMD50" s="198"/>
      <c r="BME50" s="198"/>
      <c r="BMF50" s="198"/>
      <c r="BMG50" s="198"/>
      <c r="BMH50" s="198"/>
      <c r="BMI50" s="198"/>
      <c r="BMJ50" s="198"/>
      <c r="BMK50" s="198"/>
      <c r="BML50" s="198"/>
      <c r="BMM50" s="198"/>
      <c r="BMN50" s="198"/>
      <c r="BMO50" s="198"/>
      <c r="BMP50" s="198"/>
      <c r="BMQ50" s="198"/>
      <c r="BMR50" s="198"/>
      <c r="BMS50" s="198"/>
      <c r="BMT50" s="198"/>
      <c r="BMU50" s="198"/>
      <c r="BMV50" s="198"/>
      <c r="BMW50" s="198"/>
      <c r="BMX50" s="198"/>
      <c r="BMY50" s="198"/>
      <c r="BMZ50" s="198"/>
      <c r="BNA50" s="198"/>
      <c r="BNB50" s="198"/>
      <c r="BNC50" s="198"/>
      <c r="BND50" s="198"/>
      <c r="BNE50" s="198"/>
      <c r="BNF50" s="198"/>
      <c r="BNG50" s="198"/>
      <c r="BNH50" s="198"/>
      <c r="BNI50" s="198"/>
      <c r="BNJ50" s="198"/>
      <c r="BNK50" s="198"/>
      <c r="BNL50" s="198"/>
      <c r="BNM50" s="198"/>
      <c r="BNN50" s="198"/>
      <c r="BNO50" s="198"/>
      <c r="BNP50" s="198"/>
      <c r="BNQ50" s="198"/>
      <c r="BNR50" s="198"/>
      <c r="BNS50" s="198"/>
      <c r="BNT50" s="198"/>
      <c r="BNU50" s="198"/>
      <c r="BNV50" s="198"/>
      <c r="BNW50" s="198"/>
      <c r="BNX50" s="198"/>
      <c r="BNY50" s="198"/>
      <c r="BNZ50" s="198"/>
      <c r="BOA50" s="198"/>
      <c r="BOB50" s="198"/>
      <c r="BOC50" s="198"/>
      <c r="BOD50" s="198"/>
      <c r="BOE50" s="198"/>
      <c r="BOF50" s="198"/>
      <c r="BOG50" s="198"/>
      <c r="BOH50" s="198"/>
      <c r="BOI50" s="198"/>
      <c r="BOJ50" s="198"/>
      <c r="BOK50" s="198"/>
      <c r="BOL50" s="198"/>
      <c r="BOM50" s="198"/>
      <c r="BON50" s="198"/>
      <c r="BOO50" s="198"/>
      <c r="BOP50" s="198"/>
      <c r="BOQ50" s="198"/>
      <c r="BOR50" s="198"/>
      <c r="BOS50" s="198"/>
      <c r="BOT50" s="198"/>
      <c r="BOU50" s="198"/>
      <c r="BOV50" s="198"/>
      <c r="BOW50" s="198"/>
      <c r="BOX50" s="198"/>
      <c r="BOY50" s="198"/>
      <c r="BOZ50" s="198"/>
      <c r="BPA50" s="198"/>
      <c r="BPB50" s="198"/>
      <c r="BPC50" s="198"/>
      <c r="BPD50" s="198"/>
      <c r="BPE50" s="198"/>
      <c r="BPF50" s="198"/>
      <c r="BPG50" s="198"/>
      <c r="BPH50" s="198"/>
      <c r="BPI50" s="198"/>
      <c r="BPJ50" s="198"/>
      <c r="BPK50" s="198"/>
      <c r="BPL50" s="198"/>
      <c r="BPM50" s="198"/>
      <c r="BPN50" s="198"/>
      <c r="BPO50" s="198"/>
      <c r="BPP50" s="198"/>
      <c r="BPQ50" s="198"/>
      <c r="BPR50" s="198"/>
      <c r="BPS50" s="198"/>
      <c r="BPT50" s="198"/>
      <c r="BPU50" s="198"/>
      <c r="BPV50" s="198"/>
      <c r="BPW50" s="198"/>
      <c r="BPX50" s="198"/>
      <c r="BPY50" s="198"/>
      <c r="BPZ50" s="198"/>
      <c r="BQA50" s="198"/>
      <c r="BQB50" s="198"/>
      <c r="BQC50" s="198"/>
      <c r="BQD50" s="198"/>
      <c r="BQE50" s="198"/>
      <c r="BQF50" s="198"/>
      <c r="BQG50" s="198"/>
      <c r="BQH50" s="198"/>
      <c r="BQI50" s="198"/>
      <c r="BQJ50" s="198"/>
      <c r="BQK50" s="198"/>
      <c r="BQL50" s="198"/>
      <c r="BQM50" s="198"/>
      <c r="BQN50" s="198"/>
      <c r="BQO50" s="198"/>
      <c r="BQP50" s="198"/>
      <c r="BQQ50" s="198"/>
      <c r="BQR50" s="198"/>
      <c r="BQS50" s="198"/>
      <c r="BQT50" s="198"/>
      <c r="BQU50" s="198"/>
      <c r="BQV50" s="198"/>
      <c r="BQW50" s="198"/>
      <c r="BQX50" s="198"/>
      <c r="BQY50" s="198"/>
      <c r="BQZ50" s="198"/>
      <c r="BRA50" s="198"/>
      <c r="BRB50" s="198"/>
      <c r="BRC50" s="198"/>
      <c r="BRD50" s="198"/>
      <c r="BRE50" s="198"/>
      <c r="BRF50" s="198"/>
      <c r="BRG50" s="198"/>
      <c r="BRH50" s="198"/>
      <c r="BRI50" s="198"/>
      <c r="BRJ50" s="198"/>
      <c r="BRK50" s="198"/>
      <c r="BRL50" s="198"/>
      <c r="BRM50" s="198"/>
      <c r="BRN50" s="198"/>
      <c r="BRO50" s="198"/>
      <c r="BRP50" s="198"/>
      <c r="BRQ50" s="198"/>
      <c r="BRR50" s="198"/>
      <c r="BRS50" s="198"/>
      <c r="BRT50" s="198"/>
      <c r="BRU50" s="198"/>
      <c r="BRV50" s="198"/>
      <c r="BRW50" s="198"/>
      <c r="BRX50" s="198"/>
      <c r="BRY50" s="198"/>
      <c r="BRZ50" s="198"/>
      <c r="BSA50" s="198"/>
      <c r="BSB50" s="198"/>
      <c r="BSC50" s="198"/>
      <c r="BSD50" s="198"/>
      <c r="BSE50" s="198"/>
      <c r="BSF50" s="198"/>
      <c r="BSG50" s="198"/>
      <c r="BSH50" s="198"/>
      <c r="BSI50" s="198"/>
      <c r="BSJ50" s="198"/>
      <c r="BSK50" s="198"/>
      <c r="BSL50" s="198"/>
      <c r="BSM50" s="198"/>
      <c r="BSN50" s="198"/>
      <c r="BSO50" s="198"/>
      <c r="BSP50" s="198"/>
      <c r="BSQ50" s="198"/>
      <c r="BSR50" s="198"/>
      <c r="BSS50" s="198"/>
      <c r="BST50" s="198"/>
      <c r="BSU50" s="198"/>
      <c r="BSV50" s="198"/>
      <c r="BSW50" s="198"/>
      <c r="BSX50" s="198"/>
      <c r="BSY50" s="198"/>
      <c r="BSZ50" s="198"/>
      <c r="BTA50" s="198"/>
      <c r="BTB50" s="198"/>
      <c r="BTC50" s="198"/>
      <c r="BTD50" s="198"/>
      <c r="BTE50" s="198"/>
      <c r="BTF50" s="198"/>
      <c r="BTG50" s="198"/>
      <c r="BTH50" s="198"/>
      <c r="BTI50" s="198"/>
      <c r="BTJ50" s="198"/>
      <c r="BTK50" s="198"/>
      <c r="BTL50" s="198"/>
      <c r="BTM50" s="198"/>
      <c r="BTN50" s="198"/>
      <c r="BTO50" s="198"/>
      <c r="BTP50" s="198"/>
      <c r="BTQ50" s="198"/>
      <c r="BTR50" s="198"/>
      <c r="BTS50" s="198"/>
      <c r="BTT50" s="198"/>
      <c r="BTU50" s="198"/>
      <c r="BTV50" s="198"/>
      <c r="BTW50" s="198"/>
      <c r="BTX50" s="198"/>
      <c r="BTY50" s="198"/>
      <c r="BTZ50" s="198"/>
      <c r="BUA50" s="198"/>
      <c r="BUB50" s="198"/>
      <c r="BUC50" s="198"/>
      <c r="BUD50" s="198"/>
      <c r="BUE50" s="198"/>
      <c r="BUF50" s="198"/>
      <c r="BUG50" s="198"/>
      <c r="BUH50" s="198"/>
      <c r="BUI50" s="198"/>
      <c r="BUJ50" s="198"/>
      <c r="BUK50" s="198"/>
      <c r="BUL50" s="198"/>
      <c r="BUM50" s="198"/>
      <c r="BUN50" s="198"/>
      <c r="BUO50" s="198"/>
      <c r="BUP50" s="198"/>
      <c r="BUQ50" s="198"/>
      <c r="BUR50" s="198"/>
      <c r="BUS50" s="198"/>
      <c r="BUT50" s="198"/>
      <c r="BUU50" s="198"/>
      <c r="BUV50" s="198"/>
      <c r="BUW50" s="198"/>
      <c r="BUX50" s="198"/>
      <c r="BUY50" s="198"/>
      <c r="BUZ50" s="198"/>
      <c r="BVA50" s="198"/>
      <c r="BVB50" s="198"/>
      <c r="BVC50" s="198"/>
      <c r="BVD50" s="198"/>
      <c r="BVE50" s="198"/>
      <c r="BVF50" s="198"/>
      <c r="BVG50" s="198"/>
      <c r="BVH50" s="198"/>
      <c r="BVI50" s="198"/>
      <c r="BVJ50" s="198"/>
      <c r="BVK50" s="198"/>
      <c r="BVL50" s="198"/>
      <c r="BVM50" s="198"/>
      <c r="BVN50" s="198"/>
      <c r="BVO50" s="198"/>
      <c r="BVP50" s="198"/>
      <c r="BVQ50" s="198"/>
      <c r="BVR50" s="198"/>
      <c r="BVS50" s="198"/>
      <c r="BVT50" s="198"/>
      <c r="BVU50" s="198"/>
      <c r="BVV50" s="198"/>
      <c r="BVW50" s="198"/>
      <c r="BVX50" s="198"/>
      <c r="BVY50" s="198"/>
      <c r="BVZ50" s="198"/>
      <c r="BWA50" s="198"/>
      <c r="BWB50" s="198"/>
      <c r="BWC50" s="198"/>
      <c r="BWD50" s="198"/>
      <c r="BWE50" s="198"/>
      <c r="BWF50" s="198"/>
      <c r="BWG50" s="198"/>
      <c r="BWH50" s="198"/>
      <c r="BWI50" s="198"/>
      <c r="BWJ50" s="198"/>
      <c r="BWK50" s="198"/>
      <c r="BWL50" s="198"/>
      <c r="BWM50" s="198"/>
      <c r="BWN50" s="198"/>
      <c r="BWO50" s="198"/>
      <c r="BWP50" s="198"/>
      <c r="BWQ50" s="198"/>
      <c r="BWR50" s="198"/>
      <c r="BWS50" s="198"/>
      <c r="BWT50" s="198"/>
      <c r="BWU50" s="198"/>
      <c r="BWV50" s="198"/>
      <c r="BWW50" s="198"/>
      <c r="BWX50" s="198"/>
      <c r="BWY50" s="198"/>
      <c r="BWZ50" s="198"/>
      <c r="BXA50" s="198"/>
      <c r="BXB50" s="198"/>
      <c r="BXC50" s="198"/>
      <c r="BXD50" s="198"/>
      <c r="BXE50" s="198"/>
      <c r="BXF50" s="198"/>
      <c r="BXG50" s="198"/>
      <c r="BXH50" s="198"/>
      <c r="BXI50" s="198"/>
      <c r="BXJ50" s="198"/>
      <c r="BXK50" s="198"/>
      <c r="BXL50" s="198"/>
      <c r="BXM50" s="198"/>
      <c r="BXN50" s="198"/>
      <c r="BXO50" s="198"/>
      <c r="BXP50" s="198"/>
      <c r="BXQ50" s="198"/>
      <c r="BXR50" s="198"/>
      <c r="BXS50" s="198"/>
      <c r="BXT50" s="198"/>
      <c r="BXU50" s="198"/>
      <c r="BXV50" s="198"/>
      <c r="BXW50" s="198"/>
      <c r="BXX50" s="198"/>
      <c r="BXY50" s="198"/>
      <c r="BXZ50" s="198"/>
      <c r="BYA50" s="198"/>
      <c r="BYB50" s="198"/>
      <c r="BYC50" s="198"/>
      <c r="BYD50" s="198"/>
      <c r="BYE50" s="198"/>
      <c r="BYF50" s="198"/>
      <c r="BYG50" s="198"/>
    </row>
    <row r="51" spans="1:2009" s="96" customFormat="1" ht="12.75" customHeight="1" x14ac:dyDescent="0.25">
      <c r="A51" s="119"/>
      <c r="B51" s="120"/>
      <c r="C51" s="171"/>
      <c r="D51" s="171"/>
      <c r="E51" s="171"/>
      <c r="F51" s="171"/>
      <c r="G51" s="726"/>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c r="IS51" s="95"/>
      <c r="IT51" s="95"/>
      <c r="IU51" s="95"/>
      <c r="IV51" s="95"/>
      <c r="IW51" s="95"/>
      <c r="IX51" s="95"/>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5"/>
      <c r="NJ51" s="95"/>
      <c r="NK51" s="95"/>
      <c r="NL51" s="95"/>
      <c r="NM51" s="95"/>
      <c r="NN51" s="95"/>
      <c r="NO51" s="95"/>
      <c r="NP51" s="95"/>
      <c r="NQ51" s="95"/>
      <c r="NR51" s="95"/>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5"/>
      <c r="SD51" s="95"/>
      <c r="SE51" s="95"/>
      <c r="SF51" s="95"/>
      <c r="SG51" s="95"/>
      <c r="SH51" s="95"/>
      <c r="SI51" s="95"/>
      <c r="SJ51" s="95"/>
      <c r="SK51" s="95"/>
      <c r="SL51" s="95"/>
      <c r="SM51" s="95"/>
      <c r="SN51" s="95"/>
      <c r="SO51" s="95"/>
      <c r="SP51" s="95"/>
      <c r="SQ51" s="95"/>
      <c r="SR51" s="95"/>
      <c r="SS51" s="95"/>
      <c r="ST51" s="95"/>
      <c r="SU51" s="95"/>
      <c r="SV51" s="95"/>
      <c r="SW51" s="95"/>
      <c r="SX51" s="95"/>
      <c r="SY51" s="95"/>
      <c r="SZ51" s="95"/>
      <c r="TA51" s="95"/>
      <c r="TB51" s="95"/>
      <c r="TC51" s="95"/>
      <c r="TD51" s="95"/>
      <c r="TE51" s="95"/>
      <c r="TF51" s="95"/>
      <c r="TG51" s="95"/>
      <c r="TH51" s="95"/>
      <c r="TI51" s="95"/>
      <c r="TJ51" s="95"/>
      <c r="TK51" s="95"/>
      <c r="TL51" s="95"/>
      <c r="TM51" s="95"/>
      <c r="TN51" s="95"/>
      <c r="TO51" s="95"/>
      <c r="TP51" s="95"/>
      <c r="TQ51" s="95"/>
      <c r="TR51" s="95"/>
      <c r="TS51" s="95"/>
      <c r="TT51" s="95"/>
      <c r="TU51" s="95"/>
      <c r="TV51" s="95"/>
      <c r="TW51" s="95"/>
      <c r="TX51" s="95"/>
      <c r="TY51" s="95"/>
      <c r="TZ51" s="95"/>
      <c r="UA51" s="95"/>
      <c r="UB51" s="95"/>
      <c r="UC51" s="95"/>
      <c r="UD51" s="95"/>
      <c r="UE51" s="95"/>
      <c r="UF51" s="95"/>
      <c r="UG51" s="95"/>
      <c r="UH51" s="95"/>
      <c r="UI51" s="95"/>
      <c r="UJ51" s="95"/>
      <c r="UK51" s="95"/>
      <c r="UL51" s="95"/>
      <c r="UM51" s="95"/>
      <c r="UN51" s="95"/>
      <c r="UO51" s="95"/>
      <c r="UP51" s="95"/>
      <c r="UQ51" s="95"/>
      <c r="UR51" s="95"/>
      <c r="US51" s="95"/>
      <c r="UT51" s="95"/>
      <c r="UU51" s="95"/>
      <c r="UV51" s="95"/>
      <c r="UW51" s="95"/>
      <c r="UX51" s="95"/>
      <c r="UY51" s="95"/>
      <c r="UZ51" s="95"/>
      <c r="VA51" s="95"/>
      <c r="VB51" s="95"/>
      <c r="VC51" s="95"/>
      <c r="VD51" s="95"/>
      <c r="VE51" s="95"/>
      <c r="VF51" s="95"/>
      <c r="VG51" s="95"/>
      <c r="VH51" s="95"/>
      <c r="VI51" s="95"/>
      <c r="VJ51" s="95"/>
      <c r="VK51" s="95"/>
      <c r="VL51" s="95"/>
      <c r="VM51" s="95"/>
      <c r="VN51" s="95"/>
      <c r="VO51" s="95"/>
      <c r="VP51" s="95"/>
      <c r="VQ51" s="95"/>
      <c r="VR51" s="95"/>
      <c r="VS51" s="95"/>
      <c r="VT51" s="95"/>
      <c r="VU51" s="95"/>
      <c r="VV51" s="95"/>
      <c r="VW51" s="95"/>
      <c r="VX51" s="95"/>
      <c r="VY51" s="95"/>
      <c r="VZ51" s="95"/>
      <c r="WA51" s="95"/>
      <c r="WB51" s="95"/>
      <c r="WC51" s="95"/>
      <c r="WD51" s="95"/>
      <c r="WE51" s="95"/>
      <c r="WF51" s="95"/>
      <c r="WG51" s="95"/>
      <c r="WH51" s="95"/>
      <c r="WI51" s="95"/>
      <c r="WJ51" s="95"/>
      <c r="WK51" s="95"/>
      <c r="WL51" s="95"/>
      <c r="WM51" s="95"/>
      <c r="WN51" s="95"/>
      <c r="WO51" s="95"/>
      <c r="WP51" s="95"/>
      <c r="WQ51" s="95"/>
      <c r="WR51" s="95"/>
      <c r="WS51" s="95"/>
      <c r="WT51" s="95"/>
      <c r="WU51" s="95"/>
      <c r="WV51" s="95"/>
      <c r="WW51" s="95"/>
      <c r="WX51" s="95"/>
      <c r="WY51" s="95"/>
      <c r="WZ51" s="95"/>
      <c r="XA51" s="95"/>
      <c r="XB51" s="95"/>
      <c r="XC51" s="95"/>
      <c r="XD51" s="95"/>
      <c r="XE51" s="95"/>
      <c r="XF51" s="95"/>
      <c r="XG51" s="95"/>
      <c r="XH51" s="95"/>
      <c r="XI51" s="95"/>
      <c r="XJ51" s="95"/>
      <c r="XK51" s="95"/>
      <c r="XL51" s="95"/>
      <c r="XM51" s="95"/>
      <c r="XN51" s="95"/>
      <c r="XO51" s="95"/>
      <c r="XP51" s="95"/>
      <c r="XQ51" s="95"/>
      <c r="XR51" s="95"/>
      <c r="XS51" s="95"/>
      <c r="XT51" s="95"/>
      <c r="XU51" s="95"/>
      <c r="XV51" s="95"/>
      <c r="XW51" s="95"/>
      <c r="XX51" s="95"/>
      <c r="XY51" s="95"/>
      <c r="XZ51" s="95"/>
      <c r="YA51" s="95"/>
      <c r="YB51" s="95"/>
      <c r="YC51" s="95"/>
      <c r="YD51" s="95"/>
      <c r="YE51" s="95"/>
      <c r="YF51" s="95"/>
      <c r="YG51" s="95"/>
      <c r="YH51" s="95"/>
      <c r="YI51" s="95"/>
      <c r="YJ51" s="95"/>
      <c r="YK51" s="95"/>
      <c r="YL51" s="95"/>
      <c r="YM51" s="95"/>
      <c r="YN51" s="95"/>
      <c r="YO51" s="95"/>
      <c r="YP51" s="95"/>
      <c r="YQ51" s="95"/>
      <c r="YR51" s="95"/>
      <c r="YS51" s="95"/>
      <c r="YT51" s="95"/>
      <c r="YU51" s="95"/>
      <c r="YV51" s="95"/>
      <c r="YW51" s="95"/>
      <c r="YX51" s="95"/>
      <c r="YY51" s="95"/>
      <c r="YZ51" s="95"/>
      <c r="ZA51" s="95"/>
      <c r="ZB51" s="95"/>
      <c r="ZC51" s="95"/>
      <c r="ZD51" s="95"/>
      <c r="ZE51" s="95"/>
      <c r="ZF51" s="95"/>
      <c r="ZG51" s="95"/>
      <c r="ZH51" s="95"/>
      <c r="ZI51" s="95"/>
      <c r="ZJ51" s="95"/>
      <c r="ZK51" s="95"/>
      <c r="ZL51" s="95"/>
      <c r="ZM51" s="95"/>
      <c r="ZN51" s="95"/>
      <c r="ZO51" s="95"/>
      <c r="ZP51" s="95"/>
      <c r="ZQ51" s="95"/>
      <c r="ZR51" s="95"/>
      <c r="ZS51" s="95"/>
      <c r="ZT51" s="95"/>
      <c r="ZU51" s="95"/>
      <c r="ZV51" s="95"/>
      <c r="ZW51" s="95"/>
      <c r="ZX51" s="95"/>
      <c r="ZY51" s="95"/>
      <c r="ZZ51" s="95"/>
      <c r="AAA51" s="95"/>
      <c r="AAB51" s="95"/>
      <c r="AAC51" s="95"/>
      <c r="AAD51" s="95"/>
      <c r="AAE51" s="95"/>
      <c r="AAF51" s="95"/>
      <c r="AAG51" s="95"/>
      <c r="AAH51" s="95"/>
      <c r="AAI51" s="95"/>
      <c r="AAJ51" s="95"/>
      <c r="AAK51" s="95"/>
      <c r="AAL51" s="95"/>
      <c r="AAM51" s="95"/>
      <c r="AAN51" s="95"/>
      <c r="AAO51" s="95"/>
      <c r="AAP51" s="95"/>
      <c r="AAQ51" s="95"/>
      <c r="AAR51" s="95"/>
      <c r="AAS51" s="95"/>
      <c r="AAT51" s="95"/>
      <c r="AAU51" s="95"/>
      <c r="AAV51" s="95"/>
      <c r="AAW51" s="95"/>
      <c r="AAX51" s="95"/>
      <c r="AAY51" s="95"/>
      <c r="AAZ51" s="95"/>
      <c r="ABA51" s="95"/>
      <c r="ABB51" s="95"/>
      <c r="ABC51" s="95"/>
      <c r="ABD51" s="95"/>
      <c r="ABE51" s="95"/>
      <c r="ABF51" s="95"/>
      <c r="ABG51" s="95"/>
      <c r="ABH51" s="95"/>
      <c r="ABI51" s="95"/>
      <c r="ABJ51" s="95"/>
      <c r="ABK51" s="95"/>
      <c r="ABL51" s="95"/>
      <c r="ABM51" s="95"/>
      <c r="ABN51" s="95"/>
      <c r="ABO51" s="95"/>
      <c r="ABP51" s="95"/>
      <c r="ABQ51" s="95"/>
      <c r="ABR51" s="95"/>
      <c r="ABS51" s="95"/>
      <c r="ABT51" s="95"/>
      <c r="ABU51" s="95"/>
      <c r="ABV51" s="95"/>
      <c r="ABW51" s="95"/>
      <c r="ABX51" s="95"/>
      <c r="ABY51" s="95"/>
      <c r="ABZ51" s="95"/>
      <c r="ACA51" s="95"/>
      <c r="ACB51" s="95"/>
      <c r="ACC51" s="95"/>
      <c r="ACD51" s="95"/>
      <c r="ACE51" s="95"/>
      <c r="ACF51" s="95"/>
      <c r="ACG51" s="95"/>
      <c r="ACH51" s="95"/>
      <c r="ACI51" s="95"/>
      <c r="ACJ51" s="95"/>
      <c r="ACK51" s="95"/>
      <c r="ACL51" s="95"/>
      <c r="ACM51" s="95"/>
      <c r="ACN51" s="95"/>
      <c r="ACO51" s="95"/>
      <c r="ACP51" s="95"/>
      <c r="ACQ51" s="95"/>
      <c r="ACR51" s="95"/>
      <c r="ACS51" s="95"/>
      <c r="ACT51" s="95"/>
      <c r="ACU51" s="95"/>
      <c r="ACV51" s="95"/>
      <c r="ACW51" s="95"/>
      <c r="ACX51" s="95"/>
      <c r="ACY51" s="95"/>
      <c r="ACZ51" s="95"/>
      <c r="ADA51" s="95"/>
      <c r="ADB51" s="95"/>
      <c r="ADC51" s="95"/>
      <c r="ADD51" s="95"/>
      <c r="ADE51" s="95"/>
      <c r="ADF51" s="95"/>
      <c r="ADG51" s="95"/>
      <c r="ADH51" s="95"/>
      <c r="ADI51" s="95"/>
      <c r="ADJ51" s="95"/>
      <c r="ADK51" s="95"/>
      <c r="ADL51" s="95"/>
      <c r="ADM51" s="95"/>
      <c r="ADN51" s="95"/>
      <c r="ADO51" s="95"/>
      <c r="ADP51" s="95"/>
      <c r="ADQ51" s="95"/>
      <c r="ADR51" s="95"/>
      <c r="ADS51" s="95"/>
      <c r="ADT51" s="95"/>
      <c r="ADU51" s="95"/>
      <c r="ADV51" s="95"/>
      <c r="ADW51" s="95"/>
      <c r="ADX51" s="95"/>
      <c r="ADY51" s="95"/>
      <c r="ADZ51" s="95"/>
      <c r="AEA51" s="95"/>
      <c r="AEB51" s="95"/>
      <c r="AEC51" s="95"/>
      <c r="AED51" s="95"/>
      <c r="AEE51" s="95"/>
      <c r="AEF51" s="95"/>
      <c r="AEG51" s="95"/>
      <c r="AEH51" s="95"/>
      <c r="AEI51" s="95"/>
      <c r="AEJ51" s="95"/>
      <c r="AEK51" s="95"/>
      <c r="AEL51" s="95"/>
      <c r="AEM51" s="95"/>
      <c r="AEN51" s="95"/>
      <c r="AEO51" s="95"/>
      <c r="AEP51" s="95"/>
      <c r="AEQ51" s="95"/>
      <c r="AER51" s="95"/>
      <c r="AES51" s="95"/>
      <c r="AET51" s="95"/>
      <c r="AEU51" s="95"/>
      <c r="AEV51" s="95"/>
      <c r="AEW51" s="95"/>
      <c r="AEX51" s="95"/>
      <c r="AEY51" s="95"/>
      <c r="AEZ51" s="95"/>
      <c r="AFA51" s="95"/>
      <c r="AFB51" s="95"/>
      <c r="AFC51" s="95"/>
      <c r="AFD51" s="95"/>
      <c r="AFE51" s="95"/>
      <c r="AFF51" s="95"/>
      <c r="AFG51" s="95"/>
      <c r="AFH51" s="95"/>
      <c r="AFI51" s="95"/>
      <c r="AFJ51" s="95"/>
      <c r="AFK51" s="95"/>
      <c r="AFL51" s="95"/>
      <c r="AFM51" s="95"/>
      <c r="AFN51" s="95"/>
      <c r="AFO51" s="95"/>
      <c r="AFP51" s="95"/>
      <c r="AFQ51" s="95"/>
      <c r="AFR51" s="95"/>
      <c r="AFS51" s="95"/>
      <c r="AFT51" s="95"/>
      <c r="AFU51" s="95"/>
      <c r="AFV51" s="95"/>
      <c r="AFW51" s="95"/>
      <c r="AFX51" s="95"/>
      <c r="AFY51" s="95"/>
      <c r="AFZ51" s="95"/>
      <c r="AGA51" s="95"/>
      <c r="AGB51" s="95"/>
      <c r="AGC51" s="95"/>
      <c r="AGD51" s="95"/>
      <c r="AGE51" s="95"/>
      <c r="AGF51" s="95"/>
      <c r="AGG51" s="95"/>
      <c r="AGH51" s="95"/>
      <c r="AGI51" s="95"/>
      <c r="AGJ51" s="95"/>
      <c r="AGK51" s="95"/>
      <c r="AGL51" s="95"/>
      <c r="AGM51" s="95"/>
      <c r="AGN51" s="95"/>
      <c r="AGO51" s="95"/>
      <c r="AGP51" s="95"/>
      <c r="AGQ51" s="95"/>
      <c r="AGR51" s="95"/>
      <c r="AGS51" s="95"/>
      <c r="AGT51" s="95"/>
      <c r="AGU51" s="95"/>
      <c r="AGV51" s="95"/>
      <c r="AGW51" s="95"/>
      <c r="AGX51" s="95"/>
      <c r="AGY51" s="95"/>
      <c r="AGZ51" s="95"/>
      <c r="AHA51" s="95"/>
      <c r="AHB51" s="95"/>
      <c r="AHC51" s="95"/>
      <c r="AHD51" s="95"/>
      <c r="AHE51" s="95"/>
      <c r="AHF51" s="95"/>
      <c r="AHG51" s="95"/>
      <c r="AHH51" s="95"/>
      <c r="AHI51" s="95"/>
      <c r="AHJ51" s="95"/>
      <c r="AHK51" s="95"/>
      <c r="AHL51" s="95"/>
      <c r="AHM51" s="95"/>
      <c r="AHN51" s="95"/>
      <c r="AHO51" s="95"/>
      <c r="AHP51" s="95"/>
      <c r="AHQ51" s="95"/>
      <c r="AHR51" s="95"/>
      <c r="AHS51" s="95"/>
      <c r="AHT51" s="95"/>
      <c r="AHU51" s="95"/>
      <c r="AHV51" s="95"/>
      <c r="AHW51" s="95"/>
      <c r="AHX51" s="95"/>
      <c r="AHY51" s="95"/>
      <c r="AHZ51" s="95"/>
      <c r="AIA51" s="95"/>
      <c r="AIB51" s="95"/>
      <c r="AIC51" s="95"/>
      <c r="AID51" s="95"/>
      <c r="AIE51" s="95"/>
      <c r="AIF51" s="95"/>
      <c r="AIG51" s="95"/>
      <c r="AIH51" s="95"/>
      <c r="AII51" s="95"/>
      <c r="AIJ51" s="95"/>
      <c r="AIK51" s="95"/>
      <c r="AIL51" s="95"/>
      <c r="AIM51" s="95"/>
      <c r="AIN51" s="95"/>
      <c r="AIO51" s="95"/>
      <c r="AIP51" s="95"/>
      <c r="AIQ51" s="95"/>
      <c r="AIR51" s="95"/>
      <c r="AIS51" s="95"/>
      <c r="AIT51" s="95"/>
      <c r="AIU51" s="95"/>
      <c r="AIV51" s="95"/>
      <c r="AIW51" s="95"/>
      <c r="AIX51" s="95"/>
      <c r="AIY51" s="95"/>
      <c r="AIZ51" s="95"/>
      <c r="AJA51" s="95"/>
      <c r="AJB51" s="95"/>
      <c r="AJC51" s="95"/>
      <c r="AJD51" s="95"/>
      <c r="AJE51" s="95"/>
      <c r="AJF51" s="95"/>
      <c r="AJG51" s="95"/>
      <c r="AJH51" s="95"/>
      <c r="AJI51" s="95"/>
      <c r="AJJ51" s="95"/>
      <c r="AJK51" s="95"/>
      <c r="AJL51" s="95"/>
      <c r="AJM51" s="95"/>
      <c r="AJN51" s="95"/>
      <c r="AJO51" s="95"/>
      <c r="AJP51" s="95"/>
      <c r="AJQ51" s="95"/>
      <c r="AJR51" s="95"/>
      <c r="AJS51" s="95"/>
      <c r="AJT51" s="95"/>
      <c r="AJU51" s="95"/>
      <c r="AJV51" s="95"/>
      <c r="AJW51" s="95"/>
      <c r="AJX51" s="95"/>
      <c r="AJY51" s="95"/>
      <c r="AJZ51" s="95"/>
      <c r="AKA51" s="95"/>
      <c r="AKB51" s="95"/>
      <c r="AKC51" s="95"/>
      <c r="AKD51" s="95"/>
      <c r="AKE51" s="95"/>
      <c r="AKF51" s="95"/>
      <c r="AKG51" s="95"/>
      <c r="AKH51" s="95"/>
      <c r="AKI51" s="95"/>
      <c r="AKJ51" s="95"/>
      <c r="AKK51" s="95"/>
      <c r="AKL51" s="95"/>
      <c r="AKM51" s="95"/>
      <c r="AKN51" s="95"/>
      <c r="AKO51" s="95"/>
      <c r="AKP51" s="95"/>
      <c r="AKQ51" s="95"/>
      <c r="AKR51" s="95"/>
      <c r="AKS51" s="95"/>
      <c r="AKT51" s="95"/>
      <c r="AKU51" s="95"/>
      <c r="AKV51" s="95"/>
      <c r="AKW51" s="95"/>
      <c r="AKX51" s="95"/>
      <c r="AKY51" s="95"/>
      <c r="AKZ51" s="95"/>
      <c r="ALA51" s="95"/>
      <c r="ALB51" s="95"/>
      <c r="ALC51" s="95"/>
      <c r="ALD51" s="95"/>
      <c r="ALE51" s="95"/>
      <c r="ALF51" s="95"/>
      <c r="ALG51" s="95"/>
      <c r="ALH51" s="95"/>
      <c r="ALI51" s="95"/>
      <c r="ALJ51" s="95"/>
      <c r="ALK51" s="95"/>
      <c r="ALL51" s="95"/>
      <c r="ALM51" s="95"/>
      <c r="ALN51" s="95"/>
      <c r="ALO51" s="95"/>
      <c r="ALP51" s="95"/>
      <c r="ALQ51" s="95"/>
      <c r="ALR51" s="95"/>
      <c r="ALS51" s="95"/>
      <c r="ALT51" s="95"/>
      <c r="ALU51" s="95"/>
      <c r="ALV51" s="95"/>
      <c r="ALW51" s="95"/>
      <c r="ALX51" s="95"/>
      <c r="ALY51" s="95"/>
      <c r="ALZ51" s="95"/>
      <c r="AMA51" s="95"/>
      <c r="AMB51" s="95"/>
      <c r="AMC51" s="95"/>
      <c r="AMD51" s="95"/>
      <c r="AME51" s="95"/>
      <c r="AMF51" s="95"/>
      <c r="AMG51" s="95"/>
      <c r="AMH51" s="95"/>
      <c r="AMI51" s="95"/>
      <c r="AMJ51" s="95"/>
      <c r="AMK51" s="95"/>
      <c r="AML51" s="95"/>
      <c r="AMM51" s="95"/>
      <c r="AMN51" s="95"/>
      <c r="AMO51" s="95"/>
      <c r="AMP51" s="95"/>
      <c r="AMQ51" s="95"/>
      <c r="AMR51" s="95"/>
      <c r="AMS51" s="95"/>
      <c r="AMT51" s="95"/>
      <c r="AMU51" s="95"/>
      <c r="AMV51" s="95"/>
      <c r="AMW51" s="95"/>
      <c r="AMX51" s="95"/>
      <c r="AMY51" s="95"/>
      <c r="AMZ51" s="95"/>
      <c r="ANA51" s="95"/>
      <c r="ANB51" s="95"/>
      <c r="ANC51" s="95"/>
      <c r="AND51" s="95"/>
      <c r="ANE51" s="95"/>
      <c r="ANF51" s="95"/>
      <c r="ANG51" s="95"/>
      <c r="ANH51" s="95"/>
      <c r="ANI51" s="95"/>
      <c r="ANJ51" s="95"/>
      <c r="ANK51" s="95"/>
      <c r="ANL51" s="95"/>
      <c r="ANM51" s="95"/>
      <c r="ANN51" s="95"/>
      <c r="ANO51" s="95"/>
      <c r="ANP51" s="95"/>
      <c r="ANQ51" s="95"/>
      <c r="ANR51" s="95"/>
      <c r="ANS51" s="95"/>
      <c r="ANT51" s="95"/>
      <c r="ANU51" s="95"/>
      <c r="ANV51" s="95"/>
      <c r="ANW51" s="95"/>
      <c r="ANX51" s="95"/>
      <c r="ANY51" s="95"/>
      <c r="ANZ51" s="95"/>
      <c r="AOA51" s="95"/>
      <c r="AOB51" s="95"/>
      <c r="AOC51" s="95"/>
      <c r="AOD51" s="95"/>
      <c r="AOE51" s="95"/>
      <c r="AOF51" s="95"/>
      <c r="AOG51" s="95"/>
      <c r="AOH51" s="95"/>
      <c r="AOI51" s="95"/>
      <c r="AOJ51" s="95"/>
      <c r="AOK51" s="95"/>
      <c r="AOL51" s="95"/>
      <c r="AOM51" s="95"/>
      <c r="AON51" s="95"/>
      <c r="AOO51" s="95"/>
      <c r="AOP51" s="95"/>
      <c r="AOQ51" s="95"/>
      <c r="AOR51" s="95"/>
      <c r="AOS51" s="95"/>
      <c r="AOT51" s="95"/>
      <c r="AOU51" s="95"/>
      <c r="AOV51" s="95"/>
      <c r="AOW51" s="95"/>
      <c r="AOX51" s="95"/>
      <c r="AOY51" s="95"/>
      <c r="AOZ51" s="95"/>
      <c r="APA51" s="95"/>
      <c r="APB51" s="95"/>
      <c r="APC51" s="95"/>
      <c r="APD51" s="95"/>
      <c r="APE51" s="95"/>
      <c r="APF51" s="95"/>
      <c r="APG51" s="95"/>
      <c r="APH51" s="95"/>
      <c r="API51" s="95"/>
      <c r="APJ51" s="95"/>
      <c r="APK51" s="95"/>
      <c r="APL51" s="95"/>
      <c r="APM51" s="95"/>
      <c r="APN51" s="95"/>
      <c r="APO51" s="95"/>
      <c r="APP51" s="95"/>
      <c r="APQ51" s="95"/>
      <c r="APR51" s="95"/>
      <c r="APS51" s="95"/>
      <c r="APT51" s="95"/>
      <c r="APU51" s="95"/>
      <c r="APV51" s="95"/>
      <c r="APW51" s="95"/>
      <c r="APX51" s="95"/>
      <c r="APY51" s="95"/>
      <c r="APZ51" s="95"/>
      <c r="AQA51" s="95"/>
      <c r="AQB51" s="95"/>
      <c r="AQC51" s="95"/>
      <c r="AQD51" s="95"/>
      <c r="AQE51" s="95"/>
      <c r="AQF51" s="95"/>
      <c r="AQG51" s="95"/>
      <c r="AQH51" s="95"/>
      <c r="AQI51" s="95"/>
      <c r="AQJ51" s="95"/>
      <c r="AQK51" s="95"/>
      <c r="AQL51" s="95"/>
      <c r="AQM51" s="95"/>
      <c r="AQN51" s="95"/>
      <c r="AQO51" s="95"/>
      <c r="AQP51" s="95"/>
      <c r="AQQ51" s="95"/>
      <c r="AQR51" s="95"/>
      <c r="AQS51" s="95"/>
      <c r="AQT51" s="95"/>
      <c r="AQU51" s="95"/>
      <c r="AQV51" s="95"/>
      <c r="AQW51" s="95"/>
      <c r="AQX51" s="95"/>
      <c r="AQY51" s="95"/>
      <c r="AQZ51" s="95"/>
      <c r="ARA51" s="95"/>
      <c r="ARB51" s="95"/>
      <c r="ARC51" s="95"/>
      <c r="ARD51" s="95"/>
      <c r="ARE51" s="95"/>
      <c r="ARF51" s="95"/>
      <c r="ARG51" s="95"/>
      <c r="ARH51" s="95"/>
      <c r="ARI51" s="95"/>
      <c r="ARJ51" s="95"/>
      <c r="ARK51" s="95"/>
      <c r="ARL51" s="95"/>
      <c r="ARM51" s="95"/>
      <c r="ARN51" s="95"/>
      <c r="ARO51" s="95"/>
      <c r="ARP51" s="95"/>
      <c r="ARQ51" s="95"/>
      <c r="ARR51" s="95"/>
      <c r="ARS51" s="95"/>
      <c r="ART51" s="95"/>
      <c r="ARU51" s="95"/>
      <c r="ARV51" s="95"/>
      <c r="ARW51" s="95"/>
      <c r="ARX51" s="95"/>
      <c r="ARY51" s="95"/>
      <c r="ARZ51" s="95"/>
      <c r="ASA51" s="95"/>
      <c r="ASB51" s="95"/>
      <c r="ASC51" s="95"/>
      <c r="ASD51" s="95"/>
      <c r="ASE51" s="95"/>
      <c r="ASF51" s="95"/>
      <c r="ASG51" s="95"/>
      <c r="ASH51" s="95"/>
      <c r="ASI51" s="95"/>
      <c r="ASJ51" s="95"/>
      <c r="ASK51" s="95"/>
      <c r="ASL51" s="95"/>
      <c r="ASM51" s="95"/>
      <c r="ASN51" s="95"/>
      <c r="ASO51" s="95"/>
      <c r="ASP51" s="95"/>
      <c r="ASQ51" s="95"/>
      <c r="ASR51" s="95"/>
      <c r="ASS51" s="95"/>
      <c r="AST51" s="95"/>
      <c r="ASU51" s="95"/>
      <c r="ASV51" s="95"/>
      <c r="ASW51" s="95"/>
      <c r="ASX51" s="95"/>
      <c r="ASY51" s="95"/>
      <c r="ASZ51" s="95"/>
      <c r="ATA51" s="95"/>
      <c r="ATB51" s="95"/>
      <c r="ATC51" s="95"/>
      <c r="ATD51" s="95"/>
      <c r="ATE51" s="95"/>
      <c r="ATF51" s="95"/>
      <c r="ATG51" s="95"/>
      <c r="ATH51" s="95"/>
      <c r="ATI51" s="95"/>
      <c r="ATJ51" s="95"/>
      <c r="ATK51" s="95"/>
      <c r="ATL51" s="95"/>
      <c r="ATM51" s="95"/>
      <c r="ATN51" s="95"/>
      <c r="ATO51" s="95"/>
      <c r="ATP51" s="95"/>
      <c r="ATQ51" s="95"/>
      <c r="ATR51" s="95"/>
      <c r="ATS51" s="95"/>
      <c r="ATT51" s="95"/>
      <c r="ATU51" s="95"/>
      <c r="ATV51" s="95"/>
      <c r="ATW51" s="95"/>
      <c r="ATX51" s="95"/>
      <c r="ATY51" s="95"/>
      <c r="ATZ51" s="95"/>
      <c r="AUA51" s="95"/>
      <c r="AUB51" s="95"/>
      <c r="AUC51" s="95"/>
      <c r="AUD51" s="95"/>
      <c r="AUE51" s="95"/>
      <c r="AUF51" s="95"/>
      <c r="AUG51" s="95"/>
      <c r="AUH51" s="95"/>
      <c r="AUI51" s="95"/>
      <c r="AUJ51" s="95"/>
      <c r="AUK51" s="95"/>
      <c r="AUL51" s="95"/>
      <c r="AUM51" s="95"/>
      <c r="AUN51" s="95"/>
      <c r="AUO51" s="95"/>
      <c r="AUP51" s="95"/>
      <c r="AUQ51" s="95"/>
      <c r="AUR51" s="95"/>
      <c r="AUS51" s="95"/>
      <c r="AUT51" s="95"/>
      <c r="AUU51" s="95"/>
      <c r="AUV51" s="95"/>
      <c r="AUW51" s="95"/>
      <c r="AUX51" s="95"/>
      <c r="AUY51" s="95"/>
      <c r="AUZ51" s="95"/>
      <c r="AVA51" s="95"/>
      <c r="AVB51" s="95"/>
      <c r="AVC51" s="95"/>
      <c r="AVD51" s="95"/>
      <c r="AVE51" s="95"/>
      <c r="AVF51" s="95"/>
      <c r="AVG51" s="95"/>
      <c r="AVH51" s="95"/>
      <c r="AVI51" s="95"/>
      <c r="AVJ51" s="95"/>
      <c r="AVK51" s="95"/>
      <c r="AVL51" s="95"/>
      <c r="AVM51" s="95"/>
      <c r="AVN51" s="95"/>
      <c r="AVO51" s="95"/>
      <c r="AVP51" s="95"/>
      <c r="AVQ51" s="95"/>
      <c r="AVR51" s="95"/>
      <c r="AVS51" s="95"/>
      <c r="AVT51" s="95"/>
      <c r="AVU51" s="95"/>
      <c r="AVV51" s="95"/>
      <c r="AVW51" s="95"/>
      <c r="AVX51" s="95"/>
      <c r="AVY51" s="95"/>
      <c r="AVZ51" s="95"/>
      <c r="AWA51" s="95"/>
      <c r="AWB51" s="95"/>
      <c r="AWC51" s="95"/>
      <c r="AWD51" s="95"/>
      <c r="AWE51" s="95"/>
      <c r="AWF51" s="95"/>
      <c r="AWG51" s="95"/>
      <c r="AWH51" s="95"/>
      <c r="AWI51" s="95"/>
      <c r="AWJ51" s="95"/>
      <c r="AWK51" s="95"/>
      <c r="AWL51" s="95"/>
      <c r="AWM51" s="95"/>
      <c r="AWN51" s="95"/>
      <c r="AWO51" s="95"/>
      <c r="AWP51" s="95"/>
      <c r="AWQ51" s="95"/>
      <c r="AWR51" s="95"/>
      <c r="AWS51" s="95"/>
      <c r="AWT51" s="95"/>
      <c r="AWU51" s="95"/>
      <c r="AWV51" s="95"/>
      <c r="AWW51" s="95"/>
      <c r="AWX51" s="95"/>
      <c r="AWY51" s="95"/>
      <c r="AWZ51" s="95"/>
      <c r="AXA51" s="95"/>
      <c r="AXB51" s="95"/>
      <c r="AXC51" s="95"/>
      <c r="AXD51" s="95"/>
      <c r="AXE51" s="95"/>
      <c r="AXF51" s="95"/>
      <c r="AXG51" s="95"/>
      <c r="AXH51" s="95"/>
      <c r="AXI51" s="95"/>
      <c r="AXJ51" s="95"/>
      <c r="AXK51" s="95"/>
      <c r="AXL51" s="95"/>
      <c r="AXM51" s="95"/>
      <c r="AXN51" s="95"/>
      <c r="AXO51" s="95"/>
      <c r="AXP51" s="95"/>
      <c r="AXQ51" s="95"/>
      <c r="AXR51" s="95"/>
      <c r="AXS51" s="95"/>
      <c r="AXT51" s="95"/>
      <c r="AXU51" s="95"/>
      <c r="AXV51" s="95"/>
      <c r="AXW51" s="95"/>
      <c r="AXX51" s="95"/>
      <c r="AXY51" s="95"/>
      <c r="AXZ51" s="95"/>
      <c r="AYA51" s="95"/>
      <c r="AYB51" s="95"/>
      <c r="AYC51" s="95"/>
      <c r="AYD51" s="95"/>
      <c r="AYE51" s="95"/>
      <c r="AYF51" s="95"/>
      <c r="AYG51" s="95"/>
      <c r="AYH51" s="95"/>
      <c r="AYI51" s="95"/>
      <c r="AYJ51" s="95"/>
      <c r="AYK51" s="95"/>
      <c r="AYL51" s="95"/>
      <c r="AYM51" s="95"/>
      <c r="AYN51" s="95"/>
      <c r="AYO51" s="95"/>
      <c r="AYP51" s="95"/>
      <c r="AYQ51" s="95"/>
      <c r="AYR51" s="95"/>
      <c r="AYS51" s="95"/>
      <c r="AYT51" s="95"/>
      <c r="AYU51" s="95"/>
      <c r="AYV51" s="95"/>
      <c r="AYW51" s="95"/>
      <c r="AYX51" s="95"/>
      <c r="AYY51" s="95"/>
      <c r="AYZ51" s="95"/>
      <c r="AZA51" s="95"/>
      <c r="AZB51" s="95"/>
      <c r="AZC51" s="95"/>
      <c r="AZD51" s="95"/>
      <c r="AZE51" s="95"/>
      <c r="AZF51" s="95"/>
      <c r="AZG51" s="95"/>
      <c r="AZH51" s="95"/>
      <c r="AZI51" s="95"/>
      <c r="AZJ51" s="95"/>
      <c r="AZK51" s="95"/>
      <c r="AZL51" s="95"/>
      <c r="AZM51" s="95"/>
      <c r="AZN51" s="95"/>
      <c r="AZO51" s="95"/>
      <c r="AZP51" s="95"/>
      <c r="AZQ51" s="95"/>
      <c r="AZR51" s="95"/>
      <c r="AZS51" s="95"/>
      <c r="AZT51" s="95"/>
      <c r="AZU51" s="95"/>
      <c r="AZV51" s="95"/>
      <c r="AZW51" s="95"/>
      <c r="AZX51" s="95"/>
      <c r="AZY51" s="95"/>
      <c r="AZZ51" s="95"/>
      <c r="BAA51" s="95"/>
      <c r="BAB51" s="95"/>
      <c r="BAC51" s="95"/>
      <c r="BAD51" s="95"/>
      <c r="BAE51" s="95"/>
      <c r="BAF51" s="95"/>
      <c r="BAG51" s="95"/>
      <c r="BAH51" s="95"/>
      <c r="BAI51" s="95"/>
      <c r="BAJ51" s="95"/>
      <c r="BAK51" s="95"/>
      <c r="BAL51" s="95"/>
      <c r="BAM51" s="95"/>
      <c r="BAN51" s="95"/>
      <c r="BAO51" s="95"/>
      <c r="BAP51" s="95"/>
      <c r="BAQ51" s="95"/>
      <c r="BAR51" s="95"/>
      <c r="BAS51" s="95"/>
      <c r="BAT51" s="95"/>
      <c r="BAU51" s="95"/>
      <c r="BAV51" s="95"/>
      <c r="BAW51" s="95"/>
      <c r="BAX51" s="95"/>
      <c r="BAY51" s="95"/>
      <c r="BAZ51" s="95"/>
      <c r="BBA51" s="95"/>
      <c r="BBB51" s="95"/>
      <c r="BBC51" s="95"/>
      <c r="BBD51" s="95"/>
      <c r="BBE51" s="95"/>
      <c r="BBF51" s="95"/>
      <c r="BBG51" s="95"/>
      <c r="BBH51" s="95"/>
      <c r="BBI51" s="95"/>
      <c r="BBJ51" s="95"/>
      <c r="BBK51" s="95"/>
      <c r="BBL51" s="95"/>
      <c r="BBM51" s="95"/>
      <c r="BBN51" s="95"/>
      <c r="BBO51" s="95"/>
      <c r="BBP51" s="95"/>
      <c r="BBQ51" s="95"/>
      <c r="BBR51" s="95"/>
      <c r="BBS51" s="95"/>
      <c r="BBT51" s="95"/>
      <c r="BBU51" s="95"/>
      <c r="BBV51" s="95"/>
      <c r="BBW51" s="95"/>
      <c r="BBX51" s="95"/>
      <c r="BBY51" s="95"/>
      <c r="BBZ51" s="95"/>
      <c r="BCA51" s="95"/>
      <c r="BCB51" s="95"/>
      <c r="BCC51" s="95"/>
      <c r="BCD51" s="95"/>
      <c r="BCE51" s="95"/>
      <c r="BCF51" s="95"/>
      <c r="BCG51" s="95"/>
      <c r="BCH51" s="95"/>
      <c r="BCI51" s="95"/>
      <c r="BCJ51" s="95"/>
      <c r="BCK51" s="95"/>
      <c r="BCL51" s="95"/>
      <c r="BCM51" s="95"/>
      <c r="BCN51" s="95"/>
      <c r="BCO51" s="95"/>
      <c r="BCP51" s="95"/>
      <c r="BCQ51" s="95"/>
      <c r="BCR51" s="95"/>
      <c r="BCS51" s="95"/>
      <c r="BCT51" s="95"/>
      <c r="BCU51" s="95"/>
      <c r="BCV51" s="95"/>
      <c r="BCW51" s="95"/>
      <c r="BCX51" s="95"/>
      <c r="BCY51" s="95"/>
      <c r="BCZ51" s="95"/>
      <c r="BDA51" s="95"/>
      <c r="BDB51" s="95"/>
      <c r="BDC51" s="95"/>
      <c r="BDD51" s="95"/>
      <c r="BDE51" s="95"/>
      <c r="BDF51" s="95"/>
      <c r="BDG51" s="95"/>
      <c r="BDH51" s="95"/>
      <c r="BDI51" s="95"/>
      <c r="BDJ51" s="95"/>
      <c r="BDK51" s="95"/>
      <c r="BDL51" s="95"/>
      <c r="BDM51" s="95"/>
      <c r="BDN51" s="95"/>
      <c r="BDO51" s="95"/>
      <c r="BDP51" s="95"/>
      <c r="BDQ51" s="95"/>
      <c r="BDR51" s="95"/>
      <c r="BDS51" s="95"/>
      <c r="BDT51" s="95"/>
      <c r="BDU51" s="95"/>
      <c r="BDV51" s="95"/>
      <c r="BDW51" s="95"/>
      <c r="BDX51" s="95"/>
      <c r="BDY51" s="95"/>
      <c r="BDZ51" s="95"/>
      <c r="BEA51" s="95"/>
      <c r="BEB51" s="95"/>
      <c r="BEC51" s="95"/>
      <c r="BED51" s="95"/>
      <c r="BEE51" s="95"/>
      <c r="BEF51" s="95"/>
      <c r="BEG51" s="95"/>
      <c r="BEH51" s="95"/>
      <c r="BEI51" s="95"/>
      <c r="BEJ51" s="95"/>
      <c r="BEK51" s="95"/>
      <c r="BEL51" s="95"/>
      <c r="BEM51" s="95"/>
      <c r="BEN51" s="95"/>
      <c r="BEO51" s="95"/>
      <c r="BEP51" s="95"/>
      <c r="BEQ51" s="95"/>
      <c r="BER51" s="95"/>
      <c r="BES51" s="95"/>
      <c r="BET51" s="95"/>
      <c r="BEU51" s="95"/>
      <c r="BEV51" s="95"/>
      <c r="BEW51" s="95"/>
      <c r="BEX51" s="95"/>
      <c r="BEY51" s="95"/>
      <c r="BEZ51" s="95"/>
      <c r="BFA51" s="95"/>
      <c r="BFB51" s="95"/>
      <c r="BFC51" s="95"/>
      <c r="BFD51" s="95"/>
      <c r="BFE51" s="95"/>
      <c r="BFF51" s="95"/>
      <c r="BFG51" s="95"/>
      <c r="BFH51" s="95"/>
      <c r="BFI51" s="95"/>
      <c r="BFJ51" s="95"/>
      <c r="BFK51" s="95"/>
      <c r="BFL51" s="95"/>
      <c r="BFM51" s="95"/>
      <c r="BFN51" s="95"/>
      <c r="BFO51" s="95"/>
      <c r="BFP51" s="95"/>
      <c r="BFQ51" s="95"/>
      <c r="BFR51" s="95"/>
      <c r="BFS51" s="95"/>
      <c r="BFT51" s="95"/>
      <c r="BFU51" s="95"/>
      <c r="BFV51" s="95"/>
      <c r="BFW51" s="95"/>
      <c r="BFX51" s="95"/>
      <c r="BFY51" s="95"/>
      <c r="BFZ51" s="95"/>
      <c r="BGA51" s="95"/>
      <c r="BGB51" s="95"/>
      <c r="BGC51" s="95"/>
      <c r="BGD51" s="95"/>
      <c r="BGE51" s="95"/>
      <c r="BGF51" s="95"/>
      <c r="BGG51" s="95"/>
      <c r="BGH51" s="95"/>
      <c r="BGI51" s="95"/>
      <c r="BGJ51" s="95"/>
      <c r="BGK51" s="95"/>
      <c r="BGL51" s="95"/>
      <c r="BGM51" s="95"/>
      <c r="BGN51" s="95"/>
      <c r="BGO51" s="95"/>
      <c r="BGP51" s="95"/>
      <c r="BGQ51" s="95"/>
      <c r="BGR51" s="95"/>
      <c r="BGS51" s="95"/>
      <c r="BGT51" s="95"/>
      <c r="BGU51" s="95"/>
      <c r="BGV51" s="95"/>
      <c r="BGW51" s="95"/>
      <c r="BGX51" s="95"/>
      <c r="BGY51" s="95"/>
      <c r="BGZ51" s="95"/>
      <c r="BHA51" s="95"/>
      <c r="BHB51" s="95"/>
      <c r="BHC51" s="95"/>
      <c r="BHD51" s="95"/>
      <c r="BHE51" s="95"/>
      <c r="BHF51" s="95"/>
      <c r="BHG51" s="95"/>
      <c r="BHH51" s="95"/>
      <c r="BHI51" s="95"/>
      <c r="BHJ51" s="95"/>
      <c r="BHK51" s="95"/>
      <c r="BHL51" s="95"/>
      <c r="BHM51" s="95"/>
      <c r="BHN51" s="95"/>
      <c r="BHO51" s="95"/>
      <c r="BHP51" s="95"/>
      <c r="BHQ51" s="95"/>
      <c r="BHR51" s="95"/>
      <c r="BHS51" s="95"/>
      <c r="BHT51" s="95"/>
      <c r="BHU51" s="95"/>
      <c r="BHV51" s="95"/>
      <c r="BHW51" s="95"/>
      <c r="BHX51" s="95"/>
      <c r="BHY51" s="95"/>
      <c r="BHZ51" s="95"/>
      <c r="BIA51" s="95"/>
      <c r="BIB51" s="95"/>
      <c r="BIC51" s="95"/>
      <c r="BID51" s="95"/>
      <c r="BIE51" s="95"/>
      <c r="BIF51" s="95"/>
      <c r="BIG51" s="95"/>
      <c r="BIH51" s="95"/>
      <c r="BII51" s="95"/>
      <c r="BIJ51" s="95"/>
      <c r="BIK51" s="95"/>
      <c r="BIL51" s="95"/>
      <c r="BIM51" s="95"/>
      <c r="BIN51" s="95"/>
      <c r="BIO51" s="95"/>
      <c r="BIP51" s="95"/>
      <c r="BIQ51" s="95"/>
      <c r="BIR51" s="95"/>
      <c r="BIS51" s="95"/>
      <c r="BIT51" s="95"/>
      <c r="BIU51" s="95"/>
      <c r="BIV51" s="95"/>
      <c r="BIW51" s="95"/>
      <c r="BIX51" s="95"/>
      <c r="BIY51" s="95"/>
      <c r="BIZ51" s="95"/>
      <c r="BJA51" s="95"/>
      <c r="BJB51" s="95"/>
      <c r="BJC51" s="95"/>
      <c r="BJD51" s="95"/>
      <c r="BJE51" s="95"/>
      <c r="BJF51" s="95"/>
      <c r="BJG51" s="95"/>
      <c r="BJH51" s="95"/>
      <c r="BJI51" s="95"/>
      <c r="BJJ51" s="95"/>
      <c r="BJK51" s="95"/>
      <c r="BJL51" s="95"/>
      <c r="BJM51" s="95"/>
      <c r="BJN51" s="95"/>
      <c r="BJO51" s="95"/>
      <c r="BJP51" s="95"/>
      <c r="BJQ51" s="95"/>
      <c r="BJR51" s="95"/>
      <c r="BJS51" s="95"/>
      <c r="BJT51" s="95"/>
      <c r="BJU51" s="95"/>
      <c r="BJV51" s="95"/>
      <c r="BJW51" s="95"/>
      <c r="BJX51" s="95"/>
      <c r="BJY51" s="95"/>
      <c r="BJZ51" s="95"/>
      <c r="BKA51" s="95"/>
      <c r="BKB51" s="95"/>
      <c r="BKC51" s="95"/>
      <c r="BKD51" s="95"/>
      <c r="BKE51" s="95"/>
      <c r="BKF51" s="95"/>
      <c r="BKG51" s="95"/>
      <c r="BKH51" s="95"/>
      <c r="BKI51" s="95"/>
      <c r="BKJ51" s="95"/>
      <c r="BKK51" s="95"/>
      <c r="BKL51" s="95"/>
      <c r="BKM51" s="95"/>
      <c r="BKN51" s="95"/>
      <c r="BKO51" s="95"/>
      <c r="BKP51" s="95"/>
      <c r="BKQ51" s="95"/>
      <c r="BKR51" s="95"/>
      <c r="BKS51" s="95"/>
      <c r="BKT51" s="95"/>
      <c r="BKU51" s="95"/>
      <c r="BKV51" s="95"/>
      <c r="BKW51" s="95"/>
      <c r="BKX51" s="95"/>
      <c r="BKY51" s="95"/>
      <c r="BKZ51" s="95"/>
      <c r="BLA51" s="95"/>
      <c r="BLB51" s="95"/>
      <c r="BLC51" s="95"/>
      <c r="BLD51" s="95"/>
      <c r="BLE51" s="95"/>
      <c r="BLF51" s="95"/>
      <c r="BLG51" s="95"/>
      <c r="BLH51" s="95"/>
      <c r="BLI51" s="95"/>
      <c r="BLJ51" s="95"/>
      <c r="BLK51" s="95"/>
      <c r="BLL51" s="95"/>
      <c r="BLM51" s="95"/>
      <c r="BLN51" s="95"/>
      <c r="BLO51" s="95"/>
      <c r="BLP51" s="95"/>
      <c r="BLQ51" s="95"/>
      <c r="BLR51" s="95"/>
      <c r="BLS51" s="95"/>
      <c r="BLT51" s="95"/>
      <c r="BLU51" s="95"/>
      <c r="BLV51" s="95"/>
      <c r="BLW51" s="95"/>
      <c r="BLX51" s="95"/>
      <c r="BLY51" s="95"/>
      <c r="BLZ51" s="95"/>
      <c r="BMA51" s="95"/>
      <c r="BMB51" s="95"/>
      <c r="BMC51" s="95"/>
      <c r="BMD51" s="95"/>
      <c r="BME51" s="95"/>
      <c r="BMF51" s="95"/>
      <c r="BMG51" s="95"/>
      <c r="BMH51" s="95"/>
      <c r="BMI51" s="95"/>
      <c r="BMJ51" s="95"/>
      <c r="BMK51" s="95"/>
      <c r="BML51" s="95"/>
      <c r="BMM51" s="95"/>
      <c r="BMN51" s="95"/>
      <c r="BMO51" s="95"/>
      <c r="BMP51" s="95"/>
      <c r="BMQ51" s="95"/>
      <c r="BMR51" s="95"/>
      <c r="BMS51" s="95"/>
      <c r="BMT51" s="95"/>
      <c r="BMU51" s="95"/>
      <c r="BMV51" s="95"/>
      <c r="BMW51" s="95"/>
      <c r="BMX51" s="95"/>
      <c r="BMY51" s="95"/>
      <c r="BMZ51" s="95"/>
      <c r="BNA51" s="95"/>
      <c r="BNB51" s="95"/>
      <c r="BNC51" s="95"/>
      <c r="BND51" s="95"/>
      <c r="BNE51" s="95"/>
      <c r="BNF51" s="95"/>
      <c r="BNG51" s="95"/>
      <c r="BNH51" s="95"/>
      <c r="BNI51" s="95"/>
      <c r="BNJ51" s="95"/>
      <c r="BNK51" s="95"/>
      <c r="BNL51" s="95"/>
      <c r="BNM51" s="95"/>
      <c r="BNN51" s="95"/>
      <c r="BNO51" s="95"/>
      <c r="BNP51" s="95"/>
      <c r="BNQ51" s="95"/>
      <c r="BNR51" s="95"/>
      <c r="BNS51" s="95"/>
      <c r="BNT51" s="95"/>
      <c r="BNU51" s="95"/>
      <c r="BNV51" s="95"/>
      <c r="BNW51" s="95"/>
      <c r="BNX51" s="95"/>
      <c r="BNY51" s="95"/>
      <c r="BNZ51" s="95"/>
      <c r="BOA51" s="95"/>
      <c r="BOB51" s="95"/>
      <c r="BOC51" s="95"/>
      <c r="BOD51" s="95"/>
      <c r="BOE51" s="95"/>
      <c r="BOF51" s="95"/>
      <c r="BOG51" s="95"/>
      <c r="BOH51" s="95"/>
      <c r="BOI51" s="95"/>
      <c r="BOJ51" s="95"/>
      <c r="BOK51" s="95"/>
      <c r="BOL51" s="95"/>
      <c r="BOM51" s="95"/>
      <c r="BON51" s="95"/>
      <c r="BOO51" s="95"/>
      <c r="BOP51" s="95"/>
      <c r="BOQ51" s="95"/>
      <c r="BOR51" s="95"/>
      <c r="BOS51" s="95"/>
      <c r="BOT51" s="95"/>
      <c r="BOU51" s="95"/>
      <c r="BOV51" s="95"/>
      <c r="BOW51" s="95"/>
      <c r="BOX51" s="95"/>
      <c r="BOY51" s="95"/>
      <c r="BOZ51" s="95"/>
      <c r="BPA51" s="95"/>
      <c r="BPB51" s="95"/>
      <c r="BPC51" s="95"/>
      <c r="BPD51" s="95"/>
      <c r="BPE51" s="95"/>
      <c r="BPF51" s="95"/>
      <c r="BPG51" s="95"/>
      <c r="BPH51" s="95"/>
      <c r="BPI51" s="95"/>
      <c r="BPJ51" s="95"/>
      <c r="BPK51" s="95"/>
      <c r="BPL51" s="95"/>
      <c r="BPM51" s="95"/>
      <c r="BPN51" s="95"/>
      <c r="BPO51" s="95"/>
      <c r="BPP51" s="95"/>
      <c r="BPQ51" s="95"/>
      <c r="BPR51" s="95"/>
      <c r="BPS51" s="95"/>
      <c r="BPT51" s="95"/>
      <c r="BPU51" s="95"/>
      <c r="BPV51" s="95"/>
      <c r="BPW51" s="95"/>
      <c r="BPX51" s="95"/>
      <c r="BPY51" s="95"/>
      <c r="BPZ51" s="95"/>
      <c r="BQA51" s="95"/>
      <c r="BQB51" s="95"/>
      <c r="BQC51" s="95"/>
      <c r="BQD51" s="95"/>
      <c r="BQE51" s="95"/>
      <c r="BQF51" s="95"/>
      <c r="BQG51" s="95"/>
      <c r="BQH51" s="95"/>
      <c r="BQI51" s="95"/>
      <c r="BQJ51" s="95"/>
      <c r="BQK51" s="95"/>
      <c r="BQL51" s="95"/>
      <c r="BQM51" s="95"/>
      <c r="BQN51" s="95"/>
      <c r="BQO51" s="95"/>
      <c r="BQP51" s="95"/>
      <c r="BQQ51" s="95"/>
      <c r="BQR51" s="95"/>
      <c r="BQS51" s="95"/>
      <c r="BQT51" s="95"/>
      <c r="BQU51" s="95"/>
      <c r="BQV51" s="95"/>
      <c r="BQW51" s="95"/>
      <c r="BQX51" s="95"/>
      <c r="BQY51" s="95"/>
      <c r="BQZ51" s="95"/>
      <c r="BRA51" s="95"/>
      <c r="BRB51" s="95"/>
      <c r="BRC51" s="95"/>
      <c r="BRD51" s="95"/>
      <c r="BRE51" s="95"/>
      <c r="BRF51" s="95"/>
      <c r="BRG51" s="95"/>
      <c r="BRH51" s="95"/>
      <c r="BRI51" s="95"/>
      <c r="BRJ51" s="95"/>
      <c r="BRK51" s="95"/>
      <c r="BRL51" s="95"/>
      <c r="BRM51" s="95"/>
      <c r="BRN51" s="95"/>
      <c r="BRO51" s="95"/>
      <c r="BRP51" s="95"/>
      <c r="BRQ51" s="95"/>
      <c r="BRR51" s="95"/>
      <c r="BRS51" s="95"/>
      <c r="BRT51" s="95"/>
      <c r="BRU51" s="95"/>
      <c r="BRV51" s="95"/>
      <c r="BRW51" s="95"/>
      <c r="BRX51" s="95"/>
      <c r="BRY51" s="95"/>
      <c r="BRZ51" s="95"/>
      <c r="BSA51" s="95"/>
      <c r="BSB51" s="95"/>
      <c r="BSC51" s="95"/>
      <c r="BSD51" s="95"/>
      <c r="BSE51" s="95"/>
      <c r="BSF51" s="95"/>
      <c r="BSG51" s="95"/>
      <c r="BSH51" s="95"/>
      <c r="BSI51" s="95"/>
      <c r="BSJ51" s="95"/>
      <c r="BSK51" s="95"/>
      <c r="BSL51" s="95"/>
      <c r="BSM51" s="95"/>
      <c r="BSN51" s="95"/>
      <c r="BSO51" s="95"/>
      <c r="BSP51" s="95"/>
      <c r="BSQ51" s="95"/>
      <c r="BSR51" s="95"/>
      <c r="BSS51" s="95"/>
      <c r="BST51" s="95"/>
      <c r="BSU51" s="95"/>
      <c r="BSV51" s="95"/>
      <c r="BSW51" s="95"/>
      <c r="BSX51" s="95"/>
      <c r="BSY51" s="95"/>
      <c r="BSZ51" s="95"/>
      <c r="BTA51" s="95"/>
      <c r="BTB51" s="95"/>
      <c r="BTC51" s="95"/>
      <c r="BTD51" s="95"/>
      <c r="BTE51" s="95"/>
      <c r="BTF51" s="95"/>
      <c r="BTG51" s="95"/>
      <c r="BTH51" s="95"/>
      <c r="BTI51" s="95"/>
      <c r="BTJ51" s="95"/>
      <c r="BTK51" s="95"/>
      <c r="BTL51" s="95"/>
      <c r="BTM51" s="95"/>
      <c r="BTN51" s="95"/>
      <c r="BTO51" s="95"/>
      <c r="BTP51" s="95"/>
      <c r="BTQ51" s="95"/>
      <c r="BTR51" s="95"/>
      <c r="BTS51" s="95"/>
      <c r="BTT51" s="95"/>
      <c r="BTU51" s="95"/>
      <c r="BTV51" s="95"/>
      <c r="BTW51" s="95"/>
      <c r="BTX51" s="95"/>
      <c r="BTY51" s="95"/>
      <c r="BTZ51" s="95"/>
      <c r="BUA51" s="95"/>
      <c r="BUB51" s="95"/>
      <c r="BUC51" s="95"/>
      <c r="BUD51" s="95"/>
      <c r="BUE51" s="95"/>
      <c r="BUF51" s="95"/>
      <c r="BUG51" s="95"/>
      <c r="BUH51" s="95"/>
      <c r="BUI51" s="95"/>
      <c r="BUJ51" s="95"/>
      <c r="BUK51" s="95"/>
      <c r="BUL51" s="95"/>
      <c r="BUM51" s="95"/>
      <c r="BUN51" s="95"/>
      <c r="BUO51" s="95"/>
      <c r="BUP51" s="95"/>
      <c r="BUQ51" s="95"/>
      <c r="BUR51" s="95"/>
      <c r="BUS51" s="95"/>
      <c r="BUT51" s="95"/>
      <c r="BUU51" s="95"/>
      <c r="BUV51" s="95"/>
      <c r="BUW51" s="95"/>
      <c r="BUX51" s="95"/>
      <c r="BUY51" s="95"/>
      <c r="BUZ51" s="95"/>
      <c r="BVA51" s="95"/>
      <c r="BVB51" s="95"/>
      <c r="BVC51" s="95"/>
      <c r="BVD51" s="95"/>
      <c r="BVE51" s="95"/>
      <c r="BVF51" s="95"/>
      <c r="BVG51" s="95"/>
      <c r="BVH51" s="95"/>
      <c r="BVI51" s="95"/>
      <c r="BVJ51" s="95"/>
      <c r="BVK51" s="95"/>
      <c r="BVL51" s="95"/>
      <c r="BVM51" s="95"/>
      <c r="BVN51" s="95"/>
      <c r="BVO51" s="95"/>
      <c r="BVP51" s="95"/>
      <c r="BVQ51" s="95"/>
      <c r="BVR51" s="95"/>
      <c r="BVS51" s="95"/>
      <c r="BVT51" s="95"/>
      <c r="BVU51" s="95"/>
      <c r="BVV51" s="95"/>
      <c r="BVW51" s="95"/>
      <c r="BVX51" s="95"/>
      <c r="BVY51" s="95"/>
      <c r="BVZ51" s="95"/>
      <c r="BWA51" s="95"/>
      <c r="BWB51" s="95"/>
      <c r="BWC51" s="95"/>
      <c r="BWD51" s="95"/>
      <c r="BWE51" s="95"/>
      <c r="BWF51" s="95"/>
      <c r="BWG51" s="95"/>
      <c r="BWH51" s="95"/>
      <c r="BWI51" s="95"/>
      <c r="BWJ51" s="95"/>
      <c r="BWK51" s="95"/>
      <c r="BWL51" s="95"/>
      <c r="BWM51" s="95"/>
      <c r="BWN51" s="95"/>
      <c r="BWO51" s="95"/>
      <c r="BWP51" s="95"/>
      <c r="BWQ51" s="95"/>
      <c r="BWR51" s="95"/>
      <c r="BWS51" s="95"/>
      <c r="BWT51" s="95"/>
      <c r="BWU51" s="95"/>
      <c r="BWV51" s="95"/>
      <c r="BWW51" s="95"/>
      <c r="BWX51" s="95"/>
      <c r="BWY51" s="95"/>
      <c r="BWZ51" s="95"/>
      <c r="BXA51" s="95"/>
      <c r="BXB51" s="95"/>
      <c r="BXC51" s="95"/>
      <c r="BXD51" s="95"/>
      <c r="BXE51" s="95"/>
      <c r="BXF51" s="95"/>
      <c r="BXG51" s="95"/>
      <c r="BXH51" s="95"/>
      <c r="BXI51" s="95"/>
      <c r="BXJ51" s="95"/>
      <c r="BXK51" s="95"/>
      <c r="BXL51" s="95"/>
      <c r="BXM51" s="95"/>
      <c r="BXN51" s="95"/>
      <c r="BXO51" s="95"/>
      <c r="BXP51" s="95"/>
      <c r="BXQ51" s="95"/>
      <c r="BXR51" s="95"/>
      <c r="BXS51" s="95"/>
      <c r="BXT51" s="95"/>
      <c r="BXU51" s="95"/>
      <c r="BXV51" s="95"/>
      <c r="BXW51" s="95"/>
      <c r="BXX51" s="95"/>
      <c r="BXY51" s="95"/>
      <c r="BXZ51" s="95"/>
      <c r="BYA51" s="95"/>
      <c r="BYB51" s="95"/>
      <c r="BYC51" s="95"/>
      <c r="BYD51" s="95"/>
      <c r="BYE51" s="95"/>
      <c r="BYF51" s="95"/>
      <c r="BYG51" s="95"/>
    </row>
    <row r="52" spans="1:2009" s="121" customFormat="1" ht="24.95" hidden="1" customHeight="1" x14ac:dyDescent="0.25">
      <c r="A52" s="360" t="s">
        <v>188</v>
      </c>
      <c r="B52" s="361"/>
      <c r="C52" s="362"/>
      <c r="D52" s="372"/>
      <c r="E52" s="372"/>
      <c r="F52" s="372"/>
      <c r="G52" s="731"/>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hidden="1" customHeight="1" x14ac:dyDescent="0.25">
      <c r="A53" s="363"/>
      <c r="B53" s="366" t="s">
        <v>233</v>
      </c>
      <c r="C53" s="476"/>
      <c r="D53" s="476"/>
      <c r="E53" s="476"/>
      <c r="F53" s="476"/>
      <c r="G53" s="732">
        <f>SUM(C53:F53)</f>
        <v>0</v>
      </c>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121" customFormat="1" ht="24.95" hidden="1" customHeight="1" x14ac:dyDescent="0.25">
      <c r="A54" s="364"/>
      <c r="B54" s="367" t="s">
        <v>234</v>
      </c>
      <c r="C54" s="477"/>
      <c r="D54" s="477"/>
      <c r="E54" s="477"/>
      <c r="F54" s="477"/>
      <c r="G54" s="733">
        <f>SUM(C54:F54)</f>
        <v>0</v>
      </c>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c r="IW54" s="95"/>
      <c r="IX54" s="95"/>
      <c r="IY54" s="95"/>
      <c r="IZ54" s="95"/>
      <c r="JA54" s="95"/>
      <c r="JB54" s="95"/>
      <c r="JC54" s="95"/>
      <c r="JD54" s="95"/>
      <c r="JE54" s="95"/>
      <c r="JF54" s="95"/>
      <c r="JG54" s="95"/>
      <c r="JH54" s="95"/>
      <c r="JI54" s="95"/>
      <c r="JJ54" s="95"/>
      <c r="JK54" s="95"/>
      <c r="JL54" s="95"/>
      <c r="JM54" s="95"/>
      <c r="JN54" s="95"/>
      <c r="JO54" s="95"/>
      <c r="JP54" s="95"/>
      <c r="JQ54" s="95"/>
      <c r="JR54" s="95"/>
      <c r="JS54" s="95"/>
      <c r="JT54" s="95"/>
      <c r="JU54" s="95"/>
      <c r="JV54" s="95"/>
      <c r="JW54" s="95"/>
      <c r="JX54" s="95"/>
      <c r="JY54" s="95"/>
      <c r="JZ54" s="95"/>
      <c r="KA54" s="95"/>
      <c r="KB54" s="95"/>
      <c r="KC54" s="95"/>
      <c r="KD54" s="95"/>
      <c r="KE54" s="95"/>
      <c r="KF54" s="95"/>
      <c r="KG54" s="95"/>
      <c r="KH54" s="95"/>
      <c r="KI54" s="95"/>
      <c r="KJ54" s="95"/>
      <c r="KK54" s="95"/>
      <c r="KL54" s="95"/>
      <c r="KM54" s="95"/>
      <c r="KN54" s="95"/>
      <c r="KO54" s="95"/>
      <c r="KP54" s="95"/>
      <c r="KQ54" s="95"/>
      <c r="KR54" s="95"/>
      <c r="KS54" s="95"/>
      <c r="KT54" s="95"/>
      <c r="KU54" s="95"/>
      <c r="KV54" s="95"/>
      <c r="KW54" s="95"/>
      <c r="KX54" s="95"/>
      <c r="KY54" s="95"/>
      <c r="KZ54" s="95"/>
      <c r="LA54" s="95"/>
      <c r="LB54" s="95"/>
      <c r="LC54" s="95"/>
      <c r="LD54" s="95"/>
      <c r="LE54" s="95"/>
      <c r="LF54" s="95"/>
      <c r="LG54" s="95"/>
      <c r="LH54" s="95"/>
      <c r="LI54" s="95"/>
      <c r="LJ54" s="95"/>
      <c r="LK54" s="95"/>
      <c r="LL54" s="95"/>
      <c r="LM54" s="95"/>
      <c r="LN54" s="95"/>
      <c r="LO54" s="95"/>
      <c r="LP54" s="95"/>
      <c r="LQ54" s="95"/>
      <c r="LR54" s="95"/>
      <c r="LS54" s="95"/>
      <c r="LT54" s="95"/>
      <c r="LU54" s="95"/>
      <c r="LV54" s="95"/>
      <c r="LW54" s="95"/>
      <c r="LX54" s="95"/>
      <c r="LY54" s="95"/>
      <c r="LZ54" s="95"/>
      <c r="MA54" s="95"/>
      <c r="MB54" s="95"/>
      <c r="MC54" s="95"/>
      <c r="MD54" s="95"/>
      <c r="ME54" s="95"/>
      <c r="MF54" s="95"/>
      <c r="MG54" s="95"/>
      <c r="MH54" s="95"/>
      <c r="MI54" s="95"/>
      <c r="MJ54" s="95"/>
      <c r="MK54" s="95"/>
      <c r="ML54" s="95"/>
      <c r="MM54" s="95"/>
      <c r="MN54" s="95"/>
      <c r="MO54" s="95"/>
      <c r="MP54" s="95"/>
      <c r="MQ54" s="95"/>
      <c r="MR54" s="95"/>
      <c r="MS54" s="95"/>
      <c r="MT54" s="95"/>
      <c r="MU54" s="95"/>
      <c r="MV54" s="95"/>
      <c r="MW54" s="95"/>
      <c r="MX54" s="95"/>
      <c r="MY54" s="95"/>
      <c r="MZ54" s="95"/>
      <c r="NA54" s="95"/>
      <c r="NB54" s="95"/>
      <c r="NC54" s="95"/>
      <c r="ND54" s="95"/>
      <c r="NE54" s="95"/>
      <c r="NF54" s="95"/>
      <c r="NG54" s="95"/>
      <c r="NH54" s="95"/>
      <c r="NI54" s="95"/>
      <c r="NJ54" s="95"/>
      <c r="NK54" s="95"/>
      <c r="NL54" s="95"/>
      <c r="NM54" s="95"/>
      <c r="NN54" s="95"/>
      <c r="NO54" s="95"/>
      <c r="NP54" s="95"/>
      <c r="NQ54" s="95"/>
      <c r="NR54" s="95"/>
      <c r="NS54" s="95"/>
      <c r="NT54" s="95"/>
      <c r="NU54" s="95"/>
      <c r="NV54" s="95"/>
      <c r="NW54" s="95"/>
      <c r="NX54" s="95"/>
      <c r="NY54" s="95"/>
      <c r="NZ54" s="95"/>
      <c r="OA54" s="95"/>
      <c r="OB54" s="95"/>
      <c r="OC54" s="95"/>
      <c r="OD54" s="95"/>
      <c r="OE54" s="95"/>
      <c r="OF54" s="95"/>
      <c r="OG54" s="95"/>
      <c r="OH54" s="95"/>
      <c r="OI54" s="95"/>
      <c r="OJ54" s="95"/>
      <c r="OK54" s="95"/>
      <c r="OL54" s="95"/>
      <c r="OM54" s="95"/>
      <c r="ON54" s="95"/>
      <c r="OO54" s="95"/>
      <c r="OP54" s="95"/>
      <c r="OQ54" s="95"/>
      <c r="OR54" s="95"/>
      <c r="OS54" s="95"/>
      <c r="OT54" s="95"/>
      <c r="OU54" s="95"/>
      <c r="OV54" s="95"/>
      <c r="OW54" s="95"/>
      <c r="OX54" s="95"/>
      <c r="OY54" s="95"/>
      <c r="OZ54" s="95"/>
      <c r="PA54" s="95"/>
      <c r="PB54" s="95"/>
      <c r="PC54" s="95"/>
      <c r="PD54" s="95"/>
      <c r="PE54" s="95"/>
      <c r="PF54" s="95"/>
      <c r="PG54" s="95"/>
      <c r="PH54" s="95"/>
      <c r="PI54" s="95"/>
      <c r="PJ54" s="95"/>
      <c r="PK54" s="95"/>
      <c r="PL54" s="95"/>
      <c r="PM54" s="95"/>
      <c r="PN54" s="95"/>
      <c r="PO54" s="95"/>
      <c r="PP54" s="95"/>
      <c r="PQ54" s="95"/>
      <c r="PR54" s="95"/>
      <c r="PS54" s="95"/>
      <c r="PT54" s="95"/>
      <c r="PU54" s="95"/>
      <c r="PV54" s="95"/>
      <c r="PW54" s="95"/>
      <c r="PX54" s="95"/>
      <c r="PY54" s="95"/>
      <c r="PZ54" s="95"/>
      <c r="QA54" s="95"/>
      <c r="QB54" s="95"/>
      <c r="QC54" s="95"/>
      <c r="QD54" s="95"/>
      <c r="QE54" s="95"/>
      <c r="QF54" s="95"/>
      <c r="QG54" s="95"/>
      <c r="QH54" s="95"/>
      <c r="QI54" s="95"/>
      <c r="QJ54" s="95"/>
      <c r="QK54" s="95"/>
      <c r="QL54" s="95"/>
      <c r="QM54" s="95"/>
      <c r="QN54" s="95"/>
      <c r="QO54" s="95"/>
      <c r="QP54" s="95"/>
      <c r="QQ54" s="95"/>
      <c r="QR54" s="95"/>
      <c r="QS54" s="95"/>
      <c r="QT54" s="95"/>
      <c r="QU54" s="95"/>
      <c r="QV54" s="95"/>
      <c r="QW54" s="95"/>
      <c r="QX54" s="95"/>
      <c r="QY54" s="95"/>
      <c r="QZ54" s="95"/>
      <c r="RA54" s="95"/>
      <c r="RB54" s="95"/>
      <c r="RC54" s="95"/>
      <c r="RD54" s="95"/>
      <c r="RE54" s="95"/>
      <c r="RF54" s="95"/>
      <c r="RG54" s="95"/>
      <c r="RH54" s="95"/>
      <c r="RI54" s="95"/>
      <c r="RJ54" s="95"/>
      <c r="RK54" s="95"/>
      <c r="RL54" s="95"/>
      <c r="RM54" s="95"/>
      <c r="RN54" s="95"/>
      <c r="RO54" s="95"/>
      <c r="RP54" s="95"/>
      <c r="RQ54" s="95"/>
      <c r="RR54" s="95"/>
      <c r="RS54" s="95"/>
      <c r="RT54" s="95"/>
      <c r="RU54" s="95"/>
      <c r="RV54" s="95"/>
      <c r="RW54" s="95"/>
      <c r="RX54" s="95"/>
      <c r="RY54" s="95"/>
      <c r="RZ54" s="95"/>
      <c r="SA54" s="95"/>
      <c r="SB54" s="95"/>
      <c r="SC54" s="95"/>
      <c r="SD54" s="95"/>
      <c r="SE54" s="95"/>
      <c r="SF54" s="95"/>
      <c r="SG54" s="95"/>
      <c r="SH54" s="95"/>
      <c r="SI54" s="95"/>
      <c r="SJ54" s="95"/>
      <c r="SK54" s="95"/>
      <c r="SL54" s="95"/>
      <c r="SM54" s="95"/>
      <c r="SN54" s="95"/>
      <c r="SO54" s="95"/>
      <c r="SP54" s="95"/>
      <c r="SQ54" s="95"/>
      <c r="SR54" s="95"/>
      <c r="SS54" s="95"/>
      <c r="ST54" s="95"/>
      <c r="SU54" s="95"/>
      <c r="SV54" s="95"/>
      <c r="SW54" s="95"/>
      <c r="SX54" s="95"/>
      <c r="SY54" s="95"/>
      <c r="SZ54" s="95"/>
      <c r="TA54" s="95"/>
      <c r="TB54" s="95"/>
      <c r="TC54" s="95"/>
      <c r="TD54" s="95"/>
      <c r="TE54" s="95"/>
      <c r="TF54" s="95"/>
      <c r="TG54" s="95"/>
      <c r="TH54" s="95"/>
      <c r="TI54" s="95"/>
      <c r="TJ54" s="95"/>
      <c r="TK54" s="95"/>
      <c r="TL54" s="95"/>
      <c r="TM54" s="95"/>
      <c r="TN54" s="95"/>
      <c r="TO54" s="95"/>
      <c r="TP54" s="95"/>
      <c r="TQ54" s="95"/>
      <c r="TR54" s="95"/>
      <c r="TS54" s="95"/>
      <c r="TT54" s="95"/>
      <c r="TU54" s="95"/>
      <c r="TV54" s="95"/>
      <c r="TW54" s="95"/>
      <c r="TX54" s="95"/>
      <c r="TY54" s="95"/>
      <c r="TZ54" s="95"/>
      <c r="UA54" s="95"/>
      <c r="UB54" s="95"/>
      <c r="UC54" s="95"/>
      <c r="UD54" s="95"/>
      <c r="UE54" s="95"/>
      <c r="UF54" s="95"/>
      <c r="UG54" s="95"/>
      <c r="UH54" s="95"/>
      <c r="UI54" s="95"/>
      <c r="UJ54" s="95"/>
      <c r="UK54" s="95"/>
      <c r="UL54" s="95"/>
      <c r="UM54" s="95"/>
      <c r="UN54" s="95"/>
      <c r="UO54" s="95"/>
      <c r="UP54" s="95"/>
      <c r="UQ54" s="95"/>
      <c r="UR54" s="95"/>
      <c r="US54" s="95"/>
      <c r="UT54" s="95"/>
      <c r="UU54" s="95"/>
      <c r="UV54" s="95"/>
      <c r="UW54" s="95"/>
      <c r="UX54" s="95"/>
      <c r="UY54" s="95"/>
      <c r="UZ54" s="95"/>
      <c r="VA54" s="95"/>
      <c r="VB54" s="95"/>
      <c r="VC54" s="95"/>
      <c r="VD54" s="95"/>
      <c r="VE54" s="95"/>
      <c r="VF54" s="95"/>
      <c r="VG54" s="95"/>
      <c r="VH54" s="95"/>
      <c r="VI54" s="95"/>
      <c r="VJ54" s="95"/>
      <c r="VK54" s="95"/>
      <c r="VL54" s="95"/>
      <c r="VM54" s="95"/>
      <c r="VN54" s="95"/>
      <c r="VO54" s="95"/>
      <c r="VP54" s="95"/>
      <c r="VQ54" s="95"/>
      <c r="VR54" s="95"/>
      <c r="VS54" s="95"/>
      <c r="VT54" s="95"/>
      <c r="VU54" s="95"/>
      <c r="VV54" s="95"/>
      <c r="VW54" s="95"/>
      <c r="VX54" s="95"/>
      <c r="VY54" s="95"/>
      <c r="VZ54" s="95"/>
      <c r="WA54" s="95"/>
      <c r="WB54" s="95"/>
      <c r="WC54" s="95"/>
      <c r="WD54" s="95"/>
      <c r="WE54" s="95"/>
      <c r="WF54" s="95"/>
      <c r="WG54" s="95"/>
      <c r="WH54" s="95"/>
      <c r="WI54" s="95"/>
      <c r="WJ54" s="95"/>
      <c r="WK54" s="95"/>
      <c r="WL54" s="95"/>
      <c r="WM54" s="95"/>
      <c r="WN54" s="95"/>
      <c r="WO54" s="95"/>
      <c r="WP54" s="95"/>
      <c r="WQ54" s="95"/>
      <c r="WR54" s="95"/>
      <c r="WS54" s="95"/>
      <c r="WT54" s="95"/>
      <c r="WU54" s="95"/>
      <c r="WV54" s="95"/>
      <c r="WW54" s="95"/>
      <c r="WX54" s="95"/>
      <c r="WY54" s="95"/>
      <c r="WZ54" s="95"/>
      <c r="XA54" s="95"/>
      <c r="XB54" s="95"/>
      <c r="XC54" s="95"/>
      <c r="XD54" s="95"/>
      <c r="XE54" s="95"/>
      <c r="XF54" s="95"/>
      <c r="XG54" s="95"/>
      <c r="XH54" s="95"/>
      <c r="XI54" s="95"/>
      <c r="XJ54" s="95"/>
      <c r="XK54" s="95"/>
      <c r="XL54" s="95"/>
      <c r="XM54" s="95"/>
      <c r="XN54" s="95"/>
      <c r="XO54" s="95"/>
      <c r="XP54" s="95"/>
      <c r="XQ54" s="95"/>
      <c r="XR54" s="95"/>
      <c r="XS54" s="95"/>
      <c r="XT54" s="95"/>
      <c r="XU54" s="95"/>
      <c r="XV54" s="95"/>
      <c r="XW54" s="95"/>
      <c r="XX54" s="95"/>
      <c r="XY54" s="95"/>
      <c r="XZ54" s="95"/>
      <c r="YA54" s="95"/>
      <c r="YB54" s="95"/>
      <c r="YC54" s="95"/>
      <c r="YD54" s="95"/>
      <c r="YE54" s="95"/>
      <c r="YF54" s="95"/>
      <c r="YG54" s="95"/>
      <c r="YH54" s="95"/>
      <c r="YI54" s="95"/>
      <c r="YJ54" s="95"/>
      <c r="YK54" s="95"/>
      <c r="YL54" s="95"/>
      <c r="YM54" s="95"/>
      <c r="YN54" s="95"/>
      <c r="YO54" s="95"/>
      <c r="YP54" s="95"/>
      <c r="YQ54" s="95"/>
      <c r="YR54" s="95"/>
      <c r="YS54" s="95"/>
      <c r="YT54" s="95"/>
      <c r="YU54" s="95"/>
      <c r="YV54" s="95"/>
      <c r="YW54" s="95"/>
      <c r="YX54" s="95"/>
      <c r="YY54" s="95"/>
      <c r="YZ54" s="95"/>
      <c r="ZA54" s="95"/>
      <c r="ZB54" s="95"/>
      <c r="ZC54" s="95"/>
      <c r="ZD54" s="95"/>
      <c r="ZE54" s="95"/>
      <c r="ZF54" s="95"/>
      <c r="ZG54" s="95"/>
      <c r="ZH54" s="95"/>
      <c r="ZI54" s="95"/>
      <c r="ZJ54" s="95"/>
      <c r="ZK54" s="95"/>
      <c r="ZL54" s="95"/>
      <c r="ZM54" s="95"/>
      <c r="ZN54" s="95"/>
      <c r="ZO54" s="95"/>
      <c r="ZP54" s="95"/>
      <c r="ZQ54" s="95"/>
      <c r="ZR54" s="95"/>
      <c r="ZS54" s="95"/>
      <c r="ZT54" s="95"/>
      <c r="ZU54" s="95"/>
      <c r="ZV54" s="95"/>
      <c r="ZW54" s="95"/>
      <c r="ZX54" s="95"/>
      <c r="ZY54" s="95"/>
      <c r="ZZ54" s="95"/>
      <c r="AAA54" s="95"/>
      <c r="AAB54" s="95"/>
      <c r="AAC54" s="95"/>
      <c r="AAD54" s="95"/>
      <c r="AAE54" s="95"/>
      <c r="AAF54" s="95"/>
      <c r="AAG54" s="95"/>
      <c r="AAH54" s="95"/>
      <c r="AAI54" s="95"/>
      <c r="AAJ54" s="95"/>
      <c r="AAK54" s="95"/>
      <c r="AAL54" s="95"/>
      <c r="AAM54" s="95"/>
      <c r="AAN54" s="95"/>
      <c r="AAO54" s="95"/>
      <c r="AAP54" s="95"/>
      <c r="AAQ54" s="95"/>
      <c r="AAR54" s="95"/>
      <c r="AAS54" s="95"/>
      <c r="AAT54" s="95"/>
      <c r="AAU54" s="95"/>
      <c r="AAV54" s="95"/>
      <c r="AAW54" s="95"/>
      <c r="AAX54" s="95"/>
      <c r="AAY54" s="95"/>
      <c r="AAZ54" s="95"/>
      <c r="ABA54" s="95"/>
      <c r="ABB54" s="95"/>
      <c r="ABC54" s="95"/>
      <c r="ABD54" s="95"/>
      <c r="ABE54" s="95"/>
      <c r="ABF54" s="95"/>
      <c r="ABG54" s="95"/>
      <c r="ABH54" s="95"/>
      <c r="ABI54" s="95"/>
      <c r="ABJ54" s="95"/>
      <c r="ABK54" s="95"/>
      <c r="ABL54" s="95"/>
      <c r="ABM54" s="95"/>
      <c r="ABN54" s="95"/>
      <c r="ABO54" s="95"/>
      <c r="ABP54" s="95"/>
      <c r="ABQ54" s="95"/>
      <c r="ABR54" s="95"/>
      <c r="ABS54" s="95"/>
      <c r="ABT54" s="95"/>
      <c r="ABU54" s="95"/>
      <c r="ABV54" s="95"/>
      <c r="ABW54" s="95"/>
      <c r="ABX54" s="95"/>
      <c r="ABY54" s="95"/>
      <c r="ABZ54" s="95"/>
      <c r="ACA54" s="95"/>
      <c r="ACB54" s="95"/>
      <c r="ACC54" s="95"/>
      <c r="ACD54" s="95"/>
      <c r="ACE54" s="95"/>
      <c r="ACF54" s="95"/>
      <c r="ACG54" s="95"/>
      <c r="ACH54" s="95"/>
      <c r="ACI54" s="95"/>
      <c r="ACJ54" s="95"/>
      <c r="ACK54" s="95"/>
      <c r="ACL54" s="95"/>
      <c r="ACM54" s="95"/>
      <c r="ACN54" s="95"/>
      <c r="ACO54" s="95"/>
      <c r="ACP54" s="95"/>
      <c r="ACQ54" s="95"/>
      <c r="ACR54" s="95"/>
      <c r="ACS54" s="95"/>
      <c r="ACT54" s="95"/>
      <c r="ACU54" s="95"/>
      <c r="ACV54" s="95"/>
      <c r="ACW54" s="95"/>
      <c r="ACX54" s="95"/>
      <c r="ACY54" s="95"/>
      <c r="ACZ54" s="95"/>
      <c r="ADA54" s="95"/>
      <c r="ADB54" s="95"/>
      <c r="ADC54" s="95"/>
      <c r="ADD54" s="95"/>
      <c r="ADE54" s="95"/>
      <c r="ADF54" s="95"/>
      <c r="ADG54" s="95"/>
      <c r="ADH54" s="95"/>
      <c r="ADI54" s="95"/>
      <c r="ADJ54" s="95"/>
      <c r="ADK54" s="95"/>
      <c r="ADL54" s="95"/>
      <c r="ADM54" s="95"/>
      <c r="ADN54" s="95"/>
      <c r="ADO54" s="95"/>
      <c r="ADP54" s="95"/>
      <c r="ADQ54" s="95"/>
      <c r="ADR54" s="95"/>
      <c r="ADS54" s="95"/>
      <c r="ADT54" s="95"/>
      <c r="ADU54" s="95"/>
      <c r="ADV54" s="95"/>
      <c r="ADW54" s="95"/>
      <c r="ADX54" s="95"/>
      <c r="ADY54" s="95"/>
      <c r="ADZ54" s="95"/>
      <c r="AEA54" s="95"/>
      <c r="AEB54" s="95"/>
      <c r="AEC54" s="95"/>
      <c r="AED54" s="95"/>
      <c r="AEE54" s="95"/>
      <c r="AEF54" s="95"/>
      <c r="AEG54" s="95"/>
      <c r="AEH54" s="95"/>
      <c r="AEI54" s="95"/>
      <c r="AEJ54" s="95"/>
      <c r="AEK54" s="95"/>
      <c r="AEL54" s="95"/>
      <c r="AEM54" s="95"/>
      <c r="AEN54" s="95"/>
      <c r="AEO54" s="95"/>
      <c r="AEP54" s="95"/>
      <c r="AEQ54" s="95"/>
      <c r="AER54" s="95"/>
      <c r="AES54" s="95"/>
      <c r="AET54" s="95"/>
      <c r="AEU54" s="95"/>
      <c r="AEV54" s="95"/>
      <c r="AEW54" s="95"/>
      <c r="AEX54" s="95"/>
      <c r="AEY54" s="95"/>
      <c r="AEZ54" s="95"/>
      <c r="AFA54" s="95"/>
      <c r="AFB54" s="95"/>
      <c r="AFC54" s="95"/>
      <c r="AFD54" s="95"/>
      <c r="AFE54" s="95"/>
      <c r="AFF54" s="95"/>
      <c r="AFG54" s="95"/>
      <c r="AFH54" s="95"/>
      <c r="AFI54" s="95"/>
      <c r="AFJ54" s="95"/>
      <c r="AFK54" s="95"/>
      <c r="AFL54" s="95"/>
      <c r="AFM54" s="95"/>
      <c r="AFN54" s="95"/>
      <c r="AFO54" s="95"/>
      <c r="AFP54" s="95"/>
      <c r="AFQ54" s="95"/>
      <c r="AFR54" s="95"/>
      <c r="AFS54" s="95"/>
      <c r="AFT54" s="95"/>
      <c r="AFU54" s="95"/>
      <c r="AFV54" s="95"/>
      <c r="AFW54" s="95"/>
      <c r="AFX54" s="95"/>
      <c r="AFY54" s="95"/>
      <c r="AFZ54" s="95"/>
      <c r="AGA54" s="95"/>
      <c r="AGB54" s="95"/>
      <c r="AGC54" s="95"/>
      <c r="AGD54" s="95"/>
      <c r="AGE54" s="95"/>
      <c r="AGF54" s="95"/>
      <c r="AGG54" s="95"/>
      <c r="AGH54" s="95"/>
      <c r="AGI54" s="95"/>
      <c r="AGJ54" s="95"/>
      <c r="AGK54" s="95"/>
      <c r="AGL54" s="95"/>
      <c r="AGM54" s="95"/>
      <c r="AGN54" s="95"/>
      <c r="AGO54" s="95"/>
      <c r="AGP54" s="95"/>
      <c r="AGQ54" s="95"/>
      <c r="AGR54" s="95"/>
      <c r="AGS54" s="95"/>
      <c r="AGT54" s="95"/>
      <c r="AGU54" s="95"/>
      <c r="AGV54" s="95"/>
      <c r="AGW54" s="95"/>
      <c r="AGX54" s="95"/>
      <c r="AGY54" s="95"/>
      <c r="AGZ54" s="95"/>
      <c r="AHA54" s="95"/>
      <c r="AHB54" s="95"/>
      <c r="AHC54" s="95"/>
      <c r="AHD54" s="95"/>
      <c r="AHE54" s="95"/>
      <c r="AHF54" s="95"/>
      <c r="AHG54" s="95"/>
      <c r="AHH54" s="95"/>
      <c r="AHI54" s="95"/>
      <c r="AHJ54" s="95"/>
      <c r="AHK54" s="95"/>
      <c r="AHL54" s="95"/>
      <c r="AHM54" s="95"/>
      <c r="AHN54" s="95"/>
      <c r="AHO54" s="95"/>
      <c r="AHP54" s="95"/>
      <c r="AHQ54" s="95"/>
      <c r="AHR54" s="95"/>
      <c r="AHS54" s="95"/>
      <c r="AHT54" s="95"/>
      <c r="AHU54" s="95"/>
      <c r="AHV54" s="95"/>
      <c r="AHW54" s="95"/>
      <c r="AHX54" s="95"/>
      <c r="AHY54" s="95"/>
      <c r="AHZ54" s="95"/>
      <c r="AIA54" s="95"/>
      <c r="AIB54" s="95"/>
      <c r="AIC54" s="95"/>
      <c r="AID54" s="95"/>
      <c r="AIE54" s="95"/>
      <c r="AIF54" s="95"/>
      <c r="AIG54" s="95"/>
      <c r="AIH54" s="95"/>
      <c r="AII54" s="95"/>
      <c r="AIJ54" s="95"/>
      <c r="AIK54" s="95"/>
      <c r="AIL54" s="95"/>
      <c r="AIM54" s="95"/>
      <c r="AIN54" s="95"/>
      <c r="AIO54" s="95"/>
      <c r="AIP54" s="95"/>
      <c r="AIQ54" s="95"/>
      <c r="AIR54" s="95"/>
      <c r="AIS54" s="95"/>
      <c r="AIT54" s="95"/>
      <c r="AIU54" s="95"/>
      <c r="AIV54" s="95"/>
      <c r="AIW54" s="95"/>
      <c r="AIX54" s="95"/>
      <c r="AIY54" s="95"/>
      <c r="AIZ54" s="95"/>
      <c r="AJA54" s="95"/>
      <c r="AJB54" s="95"/>
      <c r="AJC54" s="95"/>
      <c r="AJD54" s="95"/>
      <c r="AJE54" s="95"/>
      <c r="AJF54" s="95"/>
      <c r="AJG54" s="95"/>
      <c r="AJH54" s="95"/>
      <c r="AJI54" s="95"/>
      <c r="AJJ54" s="95"/>
      <c r="AJK54" s="95"/>
      <c r="AJL54" s="95"/>
      <c r="AJM54" s="95"/>
      <c r="AJN54" s="95"/>
      <c r="AJO54" s="95"/>
      <c r="AJP54" s="95"/>
      <c r="AJQ54" s="95"/>
      <c r="AJR54" s="95"/>
      <c r="AJS54" s="95"/>
      <c r="AJT54" s="95"/>
      <c r="AJU54" s="95"/>
      <c r="AJV54" s="95"/>
      <c r="AJW54" s="95"/>
      <c r="AJX54" s="95"/>
      <c r="AJY54" s="95"/>
      <c r="AJZ54" s="95"/>
      <c r="AKA54" s="95"/>
      <c r="AKB54" s="95"/>
      <c r="AKC54" s="95"/>
      <c r="AKD54" s="95"/>
      <c r="AKE54" s="95"/>
      <c r="AKF54" s="95"/>
      <c r="AKG54" s="95"/>
      <c r="AKH54" s="95"/>
      <c r="AKI54" s="95"/>
      <c r="AKJ54" s="95"/>
      <c r="AKK54" s="95"/>
      <c r="AKL54" s="95"/>
      <c r="AKM54" s="95"/>
      <c r="AKN54" s="95"/>
      <c r="AKO54" s="95"/>
      <c r="AKP54" s="95"/>
      <c r="AKQ54" s="95"/>
      <c r="AKR54" s="95"/>
      <c r="AKS54" s="95"/>
      <c r="AKT54" s="95"/>
      <c r="AKU54" s="95"/>
      <c r="AKV54" s="95"/>
      <c r="AKW54" s="95"/>
      <c r="AKX54" s="95"/>
      <c r="AKY54" s="95"/>
      <c r="AKZ54" s="95"/>
      <c r="ALA54" s="95"/>
      <c r="ALB54" s="95"/>
      <c r="ALC54" s="95"/>
      <c r="ALD54" s="95"/>
      <c r="ALE54" s="95"/>
      <c r="ALF54" s="95"/>
      <c r="ALG54" s="95"/>
      <c r="ALH54" s="95"/>
      <c r="ALI54" s="95"/>
      <c r="ALJ54" s="95"/>
      <c r="ALK54" s="95"/>
      <c r="ALL54" s="95"/>
      <c r="ALM54" s="95"/>
      <c r="ALN54" s="95"/>
      <c r="ALO54" s="95"/>
      <c r="ALP54" s="95"/>
      <c r="ALQ54" s="95"/>
      <c r="ALR54" s="95"/>
      <c r="ALS54" s="95"/>
      <c r="ALT54" s="95"/>
      <c r="ALU54" s="95"/>
      <c r="ALV54" s="95"/>
      <c r="ALW54" s="95"/>
      <c r="ALX54" s="95"/>
      <c r="ALY54" s="95"/>
      <c r="ALZ54" s="95"/>
      <c r="AMA54" s="95"/>
      <c r="AMB54" s="95"/>
      <c r="AMC54" s="95"/>
      <c r="AMD54" s="95"/>
      <c r="AME54" s="95"/>
      <c r="AMF54" s="95"/>
      <c r="AMG54" s="95"/>
      <c r="AMH54" s="95"/>
      <c r="AMI54" s="95"/>
      <c r="AMJ54" s="95"/>
      <c r="AMK54" s="95"/>
      <c r="AML54" s="95"/>
      <c r="AMM54" s="95"/>
      <c r="AMN54" s="95"/>
      <c r="AMO54" s="95"/>
      <c r="AMP54" s="95"/>
      <c r="AMQ54" s="95"/>
      <c r="AMR54" s="95"/>
      <c r="AMS54" s="95"/>
      <c r="AMT54" s="95"/>
      <c r="AMU54" s="95"/>
      <c r="AMV54" s="95"/>
      <c r="AMW54" s="95"/>
      <c r="AMX54" s="95"/>
      <c r="AMY54" s="95"/>
      <c r="AMZ54" s="95"/>
      <c r="ANA54" s="95"/>
      <c r="ANB54" s="95"/>
      <c r="ANC54" s="95"/>
      <c r="AND54" s="95"/>
      <c r="ANE54" s="95"/>
      <c r="ANF54" s="95"/>
      <c r="ANG54" s="95"/>
      <c r="ANH54" s="95"/>
      <c r="ANI54" s="95"/>
      <c r="ANJ54" s="95"/>
      <c r="ANK54" s="95"/>
      <c r="ANL54" s="95"/>
      <c r="ANM54" s="95"/>
      <c r="ANN54" s="95"/>
      <c r="ANO54" s="95"/>
      <c r="ANP54" s="95"/>
      <c r="ANQ54" s="95"/>
      <c r="ANR54" s="95"/>
      <c r="ANS54" s="95"/>
      <c r="ANT54" s="95"/>
      <c r="ANU54" s="95"/>
      <c r="ANV54" s="95"/>
      <c r="ANW54" s="95"/>
      <c r="ANX54" s="95"/>
      <c r="ANY54" s="95"/>
      <c r="ANZ54" s="95"/>
      <c r="AOA54" s="95"/>
      <c r="AOB54" s="95"/>
      <c r="AOC54" s="95"/>
      <c r="AOD54" s="95"/>
      <c r="AOE54" s="95"/>
      <c r="AOF54" s="95"/>
      <c r="AOG54" s="95"/>
      <c r="AOH54" s="95"/>
      <c r="AOI54" s="95"/>
      <c r="AOJ54" s="95"/>
      <c r="AOK54" s="95"/>
      <c r="AOL54" s="95"/>
      <c r="AOM54" s="95"/>
      <c r="AON54" s="95"/>
      <c r="AOO54" s="95"/>
      <c r="AOP54" s="95"/>
      <c r="AOQ54" s="95"/>
      <c r="AOR54" s="95"/>
      <c r="AOS54" s="95"/>
      <c r="AOT54" s="95"/>
      <c r="AOU54" s="95"/>
      <c r="AOV54" s="95"/>
      <c r="AOW54" s="95"/>
      <c r="AOX54" s="95"/>
      <c r="AOY54" s="95"/>
      <c r="AOZ54" s="95"/>
      <c r="APA54" s="95"/>
      <c r="APB54" s="95"/>
      <c r="APC54" s="95"/>
      <c r="APD54" s="95"/>
      <c r="APE54" s="95"/>
      <c r="APF54" s="95"/>
      <c r="APG54" s="95"/>
      <c r="APH54" s="95"/>
      <c r="API54" s="95"/>
      <c r="APJ54" s="95"/>
      <c r="APK54" s="95"/>
      <c r="APL54" s="95"/>
      <c r="APM54" s="95"/>
      <c r="APN54" s="95"/>
      <c r="APO54" s="95"/>
      <c r="APP54" s="95"/>
      <c r="APQ54" s="95"/>
      <c r="APR54" s="95"/>
      <c r="APS54" s="95"/>
      <c r="APT54" s="95"/>
      <c r="APU54" s="95"/>
      <c r="APV54" s="95"/>
      <c r="APW54" s="95"/>
      <c r="APX54" s="95"/>
      <c r="APY54" s="95"/>
      <c r="APZ54" s="95"/>
      <c r="AQA54" s="95"/>
      <c r="AQB54" s="95"/>
      <c r="AQC54" s="95"/>
      <c r="AQD54" s="95"/>
      <c r="AQE54" s="95"/>
      <c r="AQF54" s="95"/>
      <c r="AQG54" s="95"/>
      <c r="AQH54" s="95"/>
      <c r="AQI54" s="95"/>
      <c r="AQJ54" s="95"/>
      <c r="AQK54" s="95"/>
      <c r="AQL54" s="95"/>
      <c r="AQM54" s="95"/>
      <c r="AQN54" s="95"/>
      <c r="AQO54" s="95"/>
      <c r="AQP54" s="95"/>
      <c r="AQQ54" s="95"/>
      <c r="AQR54" s="95"/>
      <c r="AQS54" s="95"/>
      <c r="AQT54" s="95"/>
      <c r="AQU54" s="95"/>
      <c r="AQV54" s="95"/>
      <c r="AQW54" s="95"/>
      <c r="AQX54" s="95"/>
      <c r="AQY54" s="95"/>
      <c r="AQZ54" s="95"/>
      <c r="ARA54" s="95"/>
      <c r="ARB54" s="95"/>
      <c r="ARC54" s="95"/>
      <c r="ARD54" s="95"/>
      <c r="ARE54" s="95"/>
      <c r="ARF54" s="95"/>
      <c r="ARG54" s="95"/>
      <c r="ARH54" s="95"/>
      <c r="ARI54" s="95"/>
      <c r="ARJ54" s="95"/>
      <c r="ARK54" s="95"/>
      <c r="ARL54" s="95"/>
      <c r="ARM54" s="95"/>
      <c r="ARN54" s="95"/>
      <c r="ARO54" s="95"/>
      <c r="ARP54" s="95"/>
      <c r="ARQ54" s="95"/>
      <c r="ARR54" s="95"/>
      <c r="ARS54" s="95"/>
      <c r="ART54" s="95"/>
      <c r="ARU54" s="95"/>
      <c r="ARV54" s="95"/>
      <c r="ARW54" s="95"/>
      <c r="ARX54" s="95"/>
      <c r="ARY54" s="95"/>
      <c r="ARZ54" s="95"/>
      <c r="ASA54" s="95"/>
      <c r="ASB54" s="95"/>
      <c r="ASC54" s="95"/>
      <c r="ASD54" s="95"/>
      <c r="ASE54" s="95"/>
      <c r="ASF54" s="95"/>
      <c r="ASG54" s="95"/>
      <c r="ASH54" s="95"/>
      <c r="ASI54" s="95"/>
      <c r="ASJ54" s="95"/>
      <c r="ASK54" s="95"/>
      <c r="ASL54" s="95"/>
      <c r="ASM54" s="95"/>
      <c r="ASN54" s="95"/>
      <c r="ASO54" s="95"/>
      <c r="ASP54" s="95"/>
      <c r="ASQ54" s="95"/>
      <c r="ASR54" s="95"/>
      <c r="ASS54" s="95"/>
      <c r="AST54" s="95"/>
      <c r="ASU54" s="95"/>
      <c r="ASV54" s="95"/>
      <c r="ASW54" s="95"/>
      <c r="ASX54" s="95"/>
      <c r="ASY54" s="95"/>
      <c r="ASZ54" s="95"/>
      <c r="ATA54" s="95"/>
      <c r="ATB54" s="95"/>
      <c r="ATC54" s="95"/>
      <c r="ATD54" s="95"/>
      <c r="ATE54" s="95"/>
      <c r="ATF54" s="95"/>
      <c r="ATG54" s="95"/>
      <c r="ATH54" s="95"/>
      <c r="ATI54" s="95"/>
      <c r="ATJ54" s="95"/>
      <c r="ATK54" s="95"/>
      <c r="ATL54" s="95"/>
      <c r="ATM54" s="95"/>
      <c r="ATN54" s="95"/>
      <c r="ATO54" s="95"/>
      <c r="ATP54" s="95"/>
      <c r="ATQ54" s="95"/>
      <c r="ATR54" s="95"/>
      <c r="ATS54" s="95"/>
      <c r="ATT54" s="95"/>
      <c r="ATU54" s="95"/>
      <c r="ATV54" s="95"/>
      <c r="ATW54" s="95"/>
      <c r="ATX54" s="95"/>
      <c r="ATY54" s="95"/>
      <c r="ATZ54" s="95"/>
      <c r="AUA54" s="95"/>
      <c r="AUB54" s="95"/>
      <c r="AUC54" s="95"/>
      <c r="AUD54" s="95"/>
      <c r="AUE54" s="95"/>
      <c r="AUF54" s="95"/>
      <c r="AUG54" s="95"/>
      <c r="AUH54" s="95"/>
      <c r="AUI54" s="95"/>
      <c r="AUJ54" s="95"/>
      <c r="AUK54" s="95"/>
      <c r="AUL54" s="95"/>
      <c r="AUM54" s="95"/>
      <c r="AUN54" s="95"/>
      <c r="AUO54" s="95"/>
      <c r="AUP54" s="95"/>
      <c r="AUQ54" s="95"/>
      <c r="AUR54" s="95"/>
      <c r="AUS54" s="95"/>
      <c r="AUT54" s="95"/>
      <c r="AUU54" s="95"/>
      <c r="AUV54" s="95"/>
      <c r="AUW54" s="95"/>
      <c r="AUX54" s="95"/>
      <c r="AUY54" s="95"/>
      <c r="AUZ54" s="95"/>
      <c r="AVA54" s="95"/>
      <c r="AVB54" s="95"/>
      <c r="AVC54" s="95"/>
      <c r="AVD54" s="95"/>
      <c r="AVE54" s="95"/>
      <c r="AVF54" s="95"/>
      <c r="AVG54" s="95"/>
      <c r="AVH54" s="95"/>
      <c r="AVI54" s="95"/>
      <c r="AVJ54" s="95"/>
      <c r="AVK54" s="95"/>
      <c r="AVL54" s="95"/>
      <c r="AVM54" s="95"/>
      <c r="AVN54" s="95"/>
      <c r="AVO54" s="95"/>
      <c r="AVP54" s="95"/>
      <c r="AVQ54" s="95"/>
      <c r="AVR54" s="95"/>
      <c r="AVS54" s="95"/>
      <c r="AVT54" s="95"/>
      <c r="AVU54" s="95"/>
      <c r="AVV54" s="95"/>
      <c r="AVW54" s="95"/>
      <c r="AVX54" s="95"/>
      <c r="AVY54" s="95"/>
      <c r="AVZ54" s="95"/>
      <c r="AWA54" s="95"/>
      <c r="AWB54" s="95"/>
      <c r="AWC54" s="95"/>
      <c r="AWD54" s="95"/>
      <c r="AWE54" s="95"/>
      <c r="AWF54" s="95"/>
      <c r="AWG54" s="95"/>
      <c r="AWH54" s="95"/>
      <c r="AWI54" s="95"/>
      <c r="AWJ54" s="95"/>
      <c r="AWK54" s="95"/>
      <c r="AWL54" s="95"/>
      <c r="AWM54" s="95"/>
      <c r="AWN54" s="95"/>
      <c r="AWO54" s="95"/>
      <c r="AWP54" s="95"/>
      <c r="AWQ54" s="95"/>
      <c r="AWR54" s="95"/>
      <c r="AWS54" s="95"/>
      <c r="AWT54" s="95"/>
      <c r="AWU54" s="95"/>
      <c r="AWV54" s="95"/>
      <c r="AWW54" s="95"/>
      <c r="AWX54" s="95"/>
      <c r="AWY54" s="95"/>
      <c r="AWZ54" s="95"/>
      <c r="AXA54" s="95"/>
      <c r="AXB54" s="95"/>
      <c r="AXC54" s="95"/>
      <c r="AXD54" s="95"/>
      <c r="AXE54" s="95"/>
      <c r="AXF54" s="95"/>
      <c r="AXG54" s="95"/>
      <c r="AXH54" s="95"/>
      <c r="AXI54" s="95"/>
      <c r="AXJ54" s="95"/>
      <c r="AXK54" s="95"/>
      <c r="AXL54" s="95"/>
      <c r="AXM54" s="95"/>
      <c r="AXN54" s="95"/>
      <c r="AXO54" s="95"/>
      <c r="AXP54" s="95"/>
      <c r="AXQ54" s="95"/>
      <c r="AXR54" s="95"/>
      <c r="AXS54" s="95"/>
      <c r="AXT54" s="95"/>
      <c r="AXU54" s="95"/>
      <c r="AXV54" s="95"/>
      <c r="AXW54" s="95"/>
      <c r="AXX54" s="95"/>
      <c r="AXY54" s="95"/>
      <c r="AXZ54" s="95"/>
      <c r="AYA54" s="95"/>
      <c r="AYB54" s="95"/>
      <c r="AYC54" s="95"/>
      <c r="AYD54" s="95"/>
      <c r="AYE54" s="95"/>
      <c r="AYF54" s="95"/>
      <c r="AYG54" s="95"/>
      <c r="AYH54" s="95"/>
      <c r="AYI54" s="95"/>
      <c r="AYJ54" s="95"/>
      <c r="AYK54" s="95"/>
      <c r="AYL54" s="95"/>
      <c r="AYM54" s="95"/>
      <c r="AYN54" s="95"/>
      <c r="AYO54" s="95"/>
      <c r="AYP54" s="95"/>
      <c r="AYQ54" s="95"/>
      <c r="AYR54" s="95"/>
      <c r="AYS54" s="95"/>
      <c r="AYT54" s="95"/>
      <c r="AYU54" s="95"/>
      <c r="AYV54" s="95"/>
      <c r="AYW54" s="95"/>
      <c r="AYX54" s="95"/>
      <c r="AYY54" s="95"/>
      <c r="AYZ54" s="95"/>
      <c r="AZA54" s="95"/>
      <c r="AZB54" s="95"/>
      <c r="AZC54" s="95"/>
      <c r="AZD54" s="95"/>
      <c r="AZE54" s="95"/>
      <c r="AZF54" s="95"/>
      <c r="AZG54" s="95"/>
      <c r="AZH54" s="95"/>
      <c r="AZI54" s="95"/>
      <c r="AZJ54" s="95"/>
      <c r="AZK54" s="95"/>
      <c r="AZL54" s="95"/>
      <c r="AZM54" s="95"/>
      <c r="AZN54" s="95"/>
      <c r="AZO54" s="95"/>
      <c r="AZP54" s="95"/>
      <c r="AZQ54" s="95"/>
      <c r="AZR54" s="95"/>
      <c r="AZS54" s="95"/>
      <c r="AZT54" s="95"/>
      <c r="AZU54" s="95"/>
      <c r="AZV54" s="95"/>
      <c r="AZW54" s="95"/>
      <c r="AZX54" s="95"/>
      <c r="AZY54" s="95"/>
      <c r="AZZ54" s="95"/>
      <c r="BAA54" s="95"/>
      <c r="BAB54" s="95"/>
      <c r="BAC54" s="95"/>
      <c r="BAD54" s="95"/>
      <c r="BAE54" s="95"/>
      <c r="BAF54" s="95"/>
      <c r="BAG54" s="95"/>
      <c r="BAH54" s="95"/>
      <c r="BAI54" s="95"/>
      <c r="BAJ54" s="95"/>
      <c r="BAK54" s="95"/>
      <c r="BAL54" s="95"/>
      <c r="BAM54" s="95"/>
      <c r="BAN54" s="95"/>
      <c r="BAO54" s="95"/>
      <c r="BAP54" s="95"/>
      <c r="BAQ54" s="95"/>
      <c r="BAR54" s="95"/>
      <c r="BAS54" s="95"/>
      <c r="BAT54" s="95"/>
      <c r="BAU54" s="95"/>
      <c r="BAV54" s="95"/>
      <c r="BAW54" s="95"/>
      <c r="BAX54" s="95"/>
      <c r="BAY54" s="95"/>
      <c r="BAZ54" s="95"/>
      <c r="BBA54" s="95"/>
      <c r="BBB54" s="95"/>
      <c r="BBC54" s="95"/>
      <c r="BBD54" s="95"/>
      <c r="BBE54" s="95"/>
      <c r="BBF54" s="95"/>
      <c r="BBG54" s="95"/>
      <c r="BBH54" s="95"/>
      <c r="BBI54" s="95"/>
      <c r="BBJ54" s="95"/>
      <c r="BBK54" s="95"/>
      <c r="BBL54" s="95"/>
      <c r="BBM54" s="95"/>
      <c r="BBN54" s="95"/>
      <c r="BBO54" s="95"/>
      <c r="BBP54" s="95"/>
      <c r="BBQ54" s="95"/>
      <c r="BBR54" s="95"/>
      <c r="BBS54" s="95"/>
      <c r="BBT54" s="95"/>
      <c r="BBU54" s="95"/>
      <c r="BBV54" s="95"/>
      <c r="BBW54" s="95"/>
      <c r="BBX54" s="95"/>
      <c r="BBY54" s="95"/>
      <c r="BBZ54" s="95"/>
      <c r="BCA54" s="95"/>
      <c r="BCB54" s="95"/>
      <c r="BCC54" s="95"/>
      <c r="BCD54" s="95"/>
      <c r="BCE54" s="95"/>
      <c r="BCF54" s="95"/>
      <c r="BCG54" s="95"/>
      <c r="BCH54" s="95"/>
      <c r="BCI54" s="95"/>
      <c r="BCJ54" s="95"/>
      <c r="BCK54" s="95"/>
      <c r="BCL54" s="95"/>
      <c r="BCM54" s="95"/>
      <c r="BCN54" s="95"/>
      <c r="BCO54" s="95"/>
      <c r="BCP54" s="95"/>
      <c r="BCQ54" s="95"/>
      <c r="BCR54" s="95"/>
      <c r="BCS54" s="95"/>
      <c r="BCT54" s="95"/>
      <c r="BCU54" s="95"/>
      <c r="BCV54" s="95"/>
      <c r="BCW54" s="95"/>
      <c r="BCX54" s="95"/>
      <c r="BCY54" s="95"/>
      <c r="BCZ54" s="95"/>
      <c r="BDA54" s="95"/>
      <c r="BDB54" s="95"/>
      <c r="BDC54" s="95"/>
      <c r="BDD54" s="95"/>
      <c r="BDE54" s="95"/>
      <c r="BDF54" s="95"/>
      <c r="BDG54" s="95"/>
      <c r="BDH54" s="95"/>
      <c r="BDI54" s="95"/>
      <c r="BDJ54" s="95"/>
      <c r="BDK54" s="95"/>
      <c r="BDL54" s="95"/>
      <c r="BDM54" s="95"/>
      <c r="BDN54" s="95"/>
      <c r="BDO54" s="95"/>
      <c r="BDP54" s="95"/>
      <c r="BDQ54" s="95"/>
      <c r="BDR54" s="95"/>
      <c r="BDS54" s="95"/>
      <c r="BDT54" s="95"/>
      <c r="BDU54" s="95"/>
      <c r="BDV54" s="95"/>
      <c r="BDW54" s="95"/>
      <c r="BDX54" s="95"/>
      <c r="BDY54" s="95"/>
      <c r="BDZ54" s="95"/>
      <c r="BEA54" s="95"/>
      <c r="BEB54" s="95"/>
      <c r="BEC54" s="95"/>
      <c r="BED54" s="95"/>
      <c r="BEE54" s="95"/>
      <c r="BEF54" s="95"/>
      <c r="BEG54" s="95"/>
      <c r="BEH54" s="95"/>
      <c r="BEI54" s="95"/>
      <c r="BEJ54" s="95"/>
      <c r="BEK54" s="95"/>
      <c r="BEL54" s="95"/>
      <c r="BEM54" s="95"/>
      <c r="BEN54" s="95"/>
      <c r="BEO54" s="95"/>
      <c r="BEP54" s="95"/>
      <c r="BEQ54" s="95"/>
      <c r="BER54" s="95"/>
      <c r="BES54" s="95"/>
      <c r="BET54" s="95"/>
      <c r="BEU54" s="95"/>
      <c r="BEV54" s="95"/>
      <c r="BEW54" s="95"/>
      <c r="BEX54" s="95"/>
      <c r="BEY54" s="95"/>
      <c r="BEZ54" s="95"/>
      <c r="BFA54" s="95"/>
      <c r="BFB54" s="95"/>
      <c r="BFC54" s="95"/>
      <c r="BFD54" s="95"/>
      <c r="BFE54" s="95"/>
      <c r="BFF54" s="95"/>
      <c r="BFG54" s="95"/>
      <c r="BFH54" s="95"/>
      <c r="BFI54" s="95"/>
      <c r="BFJ54" s="95"/>
      <c r="BFK54" s="95"/>
      <c r="BFL54" s="95"/>
      <c r="BFM54" s="95"/>
      <c r="BFN54" s="95"/>
      <c r="BFO54" s="95"/>
      <c r="BFP54" s="95"/>
      <c r="BFQ54" s="95"/>
      <c r="BFR54" s="95"/>
      <c r="BFS54" s="95"/>
      <c r="BFT54" s="95"/>
      <c r="BFU54" s="95"/>
      <c r="BFV54" s="95"/>
      <c r="BFW54" s="95"/>
      <c r="BFX54" s="95"/>
      <c r="BFY54" s="95"/>
      <c r="BFZ54" s="95"/>
      <c r="BGA54" s="95"/>
      <c r="BGB54" s="95"/>
      <c r="BGC54" s="95"/>
      <c r="BGD54" s="95"/>
      <c r="BGE54" s="95"/>
      <c r="BGF54" s="95"/>
      <c r="BGG54" s="95"/>
      <c r="BGH54" s="95"/>
      <c r="BGI54" s="95"/>
      <c r="BGJ54" s="95"/>
      <c r="BGK54" s="95"/>
      <c r="BGL54" s="95"/>
      <c r="BGM54" s="95"/>
      <c r="BGN54" s="95"/>
      <c r="BGO54" s="95"/>
      <c r="BGP54" s="95"/>
      <c r="BGQ54" s="95"/>
      <c r="BGR54" s="95"/>
      <c r="BGS54" s="95"/>
      <c r="BGT54" s="95"/>
      <c r="BGU54" s="95"/>
      <c r="BGV54" s="95"/>
      <c r="BGW54" s="95"/>
      <c r="BGX54" s="95"/>
      <c r="BGY54" s="95"/>
      <c r="BGZ54" s="95"/>
      <c r="BHA54" s="95"/>
      <c r="BHB54" s="95"/>
      <c r="BHC54" s="95"/>
      <c r="BHD54" s="95"/>
      <c r="BHE54" s="95"/>
      <c r="BHF54" s="95"/>
      <c r="BHG54" s="95"/>
      <c r="BHH54" s="95"/>
      <c r="BHI54" s="95"/>
      <c r="BHJ54" s="95"/>
      <c r="BHK54" s="95"/>
      <c r="BHL54" s="95"/>
      <c r="BHM54" s="95"/>
      <c r="BHN54" s="95"/>
      <c r="BHO54" s="95"/>
      <c r="BHP54" s="95"/>
      <c r="BHQ54" s="95"/>
      <c r="BHR54" s="95"/>
      <c r="BHS54" s="95"/>
      <c r="BHT54" s="95"/>
      <c r="BHU54" s="95"/>
      <c r="BHV54" s="95"/>
      <c r="BHW54" s="95"/>
      <c r="BHX54" s="95"/>
      <c r="BHY54" s="95"/>
      <c r="BHZ54" s="95"/>
      <c r="BIA54" s="95"/>
      <c r="BIB54" s="95"/>
      <c r="BIC54" s="95"/>
      <c r="BID54" s="95"/>
      <c r="BIE54" s="95"/>
      <c r="BIF54" s="95"/>
      <c r="BIG54" s="95"/>
      <c r="BIH54" s="95"/>
      <c r="BII54" s="95"/>
      <c r="BIJ54" s="95"/>
      <c r="BIK54" s="95"/>
      <c r="BIL54" s="95"/>
      <c r="BIM54" s="95"/>
      <c r="BIN54" s="95"/>
      <c r="BIO54" s="95"/>
      <c r="BIP54" s="95"/>
      <c r="BIQ54" s="95"/>
      <c r="BIR54" s="95"/>
      <c r="BIS54" s="95"/>
      <c r="BIT54" s="95"/>
      <c r="BIU54" s="95"/>
      <c r="BIV54" s="95"/>
      <c r="BIW54" s="95"/>
      <c r="BIX54" s="95"/>
      <c r="BIY54" s="95"/>
      <c r="BIZ54" s="95"/>
      <c r="BJA54" s="95"/>
      <c r="BJB54" s="95"/>
      <c r="BJC54" s="95"/>
      <c r="BJD54" s="95"/>
      <c r="BJE54" s="95"/>
      <c r="BJF54" s="95"/>
      <c r="BJG54" s="95"/>
      <c r="BJH54" s="95"/>
      <c r="BJI54" s="95"/>
      <c r="BJJ54" s="95"/>
      <c r="BJK54" s="95"/>
      <c r="BJL54" s="95"/>
      <c r="BJM54" s="95"/>
      <c r="BJN54" s="95"/>
      <c r="BJO54" s="95"/>
      <c r="BJP54" s="95"/>
      <c r="BJQ54" s="95"/>
      <c r="BJR54" s="95"/>
      <c r="BJS54" s="95"/>
      <c r="BJT54" s="95"/>
      <c r="BJU54" s="95"/>
      <c r="BJV54" s="95"/>
      <c r="BJW54" s="95"/>
      <c r="BJX54" s="95"/>
      <c r="BJY54" s="95"/>
      <c r="BJZ54" s="95"/>
      <c r="BKA54" s="95"/>
      <c r="BKB54" s="95"/>
      <c r="BKC54" s="95"/>
      <c r="BKD54" s="95"/>
      <c r="BKE54" s="95"/>
      <c r="BKF54" s="95"/>
      <c r="BKG54" s="95"/>
      <c r="BKH54" s="95"/>
      <c r="BKI54" s="95"/>
      <c r="BKJ54" s="95"/>
      <c r="BKK54" s="95"/>
      <c r="BKL54" s="95"/>
      <c r="BKM54" s="95"/>
      <c r="BKN54" s="95"/>
      <c r="BKO54" s="95"/>
      <c r="BKP54" s="95"/>
      <c r="BKQ54" s="95"/>
      <c r="BKR54" s="95"/>
      <c r="BKS54" s="95"/>
      <c r="BKT54" s="95"/>
      <c r="BKU54" s="95"/>
      <c r="BKV54" s="95"/>
      <c r="BKW54" s="95"/>
      <c r="BKX54" s="95"/>
      <c r="BKY54" s="95"/>
      <c r="BKZ54" s="95"/>
      <c r="BLA54" s="95"/>
      <c r="BLB54" s="95"/>
      <c r="BLC54" s="95"/>
      <c r="BLD54" s="95"/>
      <c r="BLE54" s="95"/>
      <c r="BLF54" s="95"/>
      <c r="BLG54" s="95"/>
      <c r="BLH54" s="95"/>
      <c r="BLI54" s="95"/>
      <c r="BLJ54" s="95"/>
      <c r="BLK54" s="95"/>
      <c r="BLL54" s="95"/>
      <c r="BLM54" s="95"/>
      <c r="BLN54" s="95"/>
      <c r="BLO54" s="95"/>
      <c r="BLP54" s="95"/>
      <c r="BLQ54" s="95"/>
      <c r="BLR54" s="95"/>
      <c r="BLS54" s="95"/>
      <c r="BLT54" s="95"/>
      <c r="BLU54" s="95"/>
      <c r="BLV54" s="95"/>
      <c r="BLW54" s="95"/>
      <c r="BLX54" s="95"/>
      <c r="BLY54" s="95"/>
      <c r="BLZ54" s="95"/>
      <c r="BMA54" s="95"/>
      <c r="BMB54" s="95"/>
      <c r="BMC54" s="95"/>
      <c r="BMD54" s="95"/>
      <c r="BME54" s="95"/>
      <c r="BMF54" s="95"/>
      <c r="BMG54" s="95"/>
      <c r="BMH54" s="95"/>
      <c r="BMI54" s="95"/>
      <c r="BMJ54" s="95"/>
      <c r="BMK54" s="95"/>
      <c r="BML54" s="95"/>
      <c r="BMM54" s="95"/>
      <c r="BMN54" s="95"/>
      <c r="BMO54" s="95"/>
      <c r="BMP54" s="95"/>
      <c r="BMQ54" s="95"/>
      <c r="BMR54" s="95"/>
      <c r="BMS54" s="95"/>
      <c r="BMT54" s="95"/>
      <c r="BMU54" s="95"/>
      <c r="BMV54" s="95"/>
      <c r="BMW54" s="95"/>
      <c r="BMX54" s="95"/>
      <c r="BMY54" s="95"/>
      <c r="BMZ54" s="95"/>
      <c r="BNA54" s="95"/>
      <c r="BNB54" s="95"/>
      <c r="BNC54" s="95"/>
      <c r="BND54" s="95"/>
      <c r="BNE54" s="95"/>
      <c r="BNF54" s="95"/>
      <c r="BNG54" s="95"/>
      <c r="BNH54" s="95"/>
      <c r="BNI54" s="95"/>
      <c r="BNJ54" s="95"/>
      <c r="BNK54" s="95"/>
      <c r="BNL54" s="95"/>
      <c r="BNM54" s="95"/>
      <c r="BNN54" s="95"/>
      <c r="BNO54" s="95"/>
      <c r="BNP54" s="95"/>
      <c r="BNQ54" s="95"/>
      <c r="BNR54" s="95"/>
      <c r="BNS54" s="95"/>
      <c r="BNT54" s="95"/>
      <c r="BNU54" s="95"/>
      <c r="BNV54" s="95"/>
      <c r="BNW54" s="95"/>
      <c r="BNX54" s="95"/>
      <c r="BNY54" s="95"/>
      <c r="BNZ54" s="95"/>
      <c r="BOA54" s="95"/>
      <c r="BOB54" s="95"/>
      <c r="BOC54" s="95"/>
      <c r="BOD54" s="95"/>
      <c r="BOE54" s="95"/>
      <c r="BOF54" s="95"/>
      <c r="BOG54" s="95"/>
      <c r="BOH54" s="95"/>
      <c r="BOI54" s="95"/>
      <c r="BOJ54" s="95"/>
      <c r="BOK54" s="95"/>
      <c r="BOL54" s="95"/>
      <c r="BOM54" s="95"/>
      <c r="BON54" s="95"/>
      <c r="BOO54" s="95"/>
      <c r="BOP54" s="95"/>
      <c r="BOQ54" s="95"/>
      <c r="BOR54" s="95"/>
      <c r="BOS54" s="95"/>
      <c r="BOT54" s="95"/>
      <c r="BOU54" s="95"/>
      <c r="BOV54" s="95"/>
      <c r="BOW54" s="95"/>
      <c r="BOX54" s="95"/>
      <c r="BOY54" s="95"/>
      <c r="BOZ54" s="95"/>
      <c r="BPA54" s="95"/>
      <c r="BPB54" s="95"/>
      <c r="BPC54" s="95"/>
      <c r="BPD54" s="95"/>
      <c r="BPE54" s="95"/>
      <c r="BPF54" s="95"/>
      <c r="BPG54" s="95"/>
      <c r="BPH54" s="95"/>
      <c r="BPI54" s="95"/>
      <c r="BPJ54" s="95"/>
      <c r="BPK54" s="95"/>
      <c r="BPL54" s="95"/>
      <c r="BPM54" s="95"/>
      <c r="BPN54" s="95"/>
      <c r="BPO54" s="95"/>
      <c r="BPP54" s="95"/>
      <c r="BPQ54" s="95"/>
      <c r="BPR54" s="95"/>
      <c r="BPS54" s="95"/>
      <c r="BPT54" s="95"/>
      <c r="BPU54" s="95"/>
      <c r="BPV54" s="95"/>
      <c r="BPW54" s="95"/>
      <c r="BPX54" s="95"/>
      <c r="BPY54" s="95"/>
      <c r="BPZ54" s="95"/>
      <c r="BQA54" s="95"/>
      <c r="BQB54" s="95"/>
      <c r="BQC54" s="95"/>
      <c r="BQD54" s="95"/>
      <c r="BQE54" s="95"/>
      <c r="BQF54" s="95"/>
      <c r="BQG54" s="95"/>
      <c r="BQH54" s="95"/>
      <c r="BQI54" s="95"/>
      <c r="BQJ54" s="95"/>
      <c r="BQK54" s="95"/>
      <c r="BQL54" s="95"/>
      <c r="BQM54" s="95"/>
      <c r="BQN54" s="95"/>
      <c r="BQO54" s="95"/>
      <c r="BQP54" s="95"/>
      <c r="BQQ54" s="95"/>
      <c r="BQR54" s="95"/>
      <c r="BQS54" s="95"/>
      <c r="BQT54" s="95"/>
      <c r="BQU54" s="95"/>
      <c r="BQV54" s="95"/>
      <c r="BQW54" s="95"/>
      <c r="BQX54" s="95"/>
      <c r="BQY54" s="95"/>
      <c r="BQZ54" s="95"/>
      <c r="BRA54" s="95"/>
      <c r="BRB54" s="95"/>
      <c r="BRC54" s="95"/>
      <c r="BRD54" s="95"/>
      <c r="BRE54" s="95"/>
      <c r="BRF54" s="95"/>
      <c r="BRG54" s="95"/>
      <c r="BRH54" s="95"/>
      <c r="BRI54" s="95"/>
      <c r="BRJ54" s="95"/>
      <c r="BRK54" s="95"/>
      <c r="BRL54" s="95"/>
      <c r="BRM54" s="95"/>
      <c r="BRN54" s="95"/>
      <c r="BRO54" s="95"/>
      <c r="BRP54" s="95"/>
      <c r="BRQ54" s="95"/>
      <c r="BRR54" s="95"/>
      <c r="BRS54" s="95"/>
      <c r="BRT54" s="95"/>
      <c r="BRU54" s="95"/>
      <c r="BRV54" s="95"/>
      <c r="BRW54" s="95"/>
      <c r="BRX54" s="95"/>
      <c r="BRY54" s="95"/>
      <c r="BRZ54" s="95"/>
      <c r="BSA54" s="95"/>
      <c r="BSB54" s="95"/>
      <c r="BSC54" s="95"/>
      <c r="BSD54" s="95"/>
      <c r="BSE54" s="95"/>
      <c r="BSF54" s="95"/>
      <c r="BSG54" s="95"/>
      <c r="BSH54" s="95"/>
      <c r="BSI54" s="95"/>
      <c r="BSJ54" s="95"/>
      <c r="BSK54" s="95"/>
      <c r="BSL54" s="95"/>
      <c r="BSM54" s="95"/>
      <c r="BSN54" s="95"/>
      <c r="BSO54" s="95"/>
      <c r="BSP54" s="95"/>
      <c r="BSQ54" s="95"/>
      <c r="BSR54" s="95"/>
      <c r="BSS54" s="95"/>
      <c r="BST54" s="95"/>
      <c r="BSU54" s="95"/>
      <c r="BSV54" s="95"/>
      <c r="BSW54" s="95"/>
      <c r="BSX54" s="95"/>
      <c r="BSY54" s="95"/>
      <c r="BSZ54" s="95"/>
      <c r="BTA54" s="95"/>
      <c r="BTB54" s="95"/>
      <c r="BTC54" s="95"/>
      <c r="BTD54" s="95"/>
      <c r="BTE54" s="95"/>
      <c r="BTF54" s="95"/>
      <c r="BTG54" s="95"/>
      <c r="BTH54" s="95"/>
      <c r="BTI54" s="95"/>
      <c r="BTJ54" s="95"/>
      <c r="BTK54" s="95"/>
      <c r="BTL54" s="95"/>
      <c r="BTM54" s="95"/>
      <c r="BTN54" s="95"/>
      <c r="BTO54" s="95"/>
      <c r="BTP54" s="95"/>
      <c r="BTQ54" s="95"/>
      <c r="BTR54" s="95"/>
      <c r="BTS54" s="95"/>
      <c r="BTT54" s="95"/>
      <c r="BTU54" s="95"/>
      <c r="BTV54" s="95"/>
      <c r="BTW54" s="95"/>
      <c r="BTX54" s="95"/>
      <c r="BTY54" s="95"/>
      <c r="BTZ54" s="95"/>
      <c r="BUA54" s="95"/>
      <c r="BUB54" s="95"/>
      <c r="BUC54" s="95"/>
      <c r="BUD54" s="95"/>
      <c r="BUE54" s="95"/>
      <c r="BUF54" s="95"/>
      <c r="BUG54" s="95"/>
      <c r="BUH54" s="95"/>
      <c r="BUI54" s="95"/>
      <c r="BUJ54" s="95"/>
      <c r="BUK54" s="95"/>
      <c r="BUL54" s="95"/>
      <c r="BUM54" s="95"/>
      <c r="BUN54" s="95"/>
      <c r="BUO54" s="95"/>
      <c r="BUP54" s="95"/>
      <c r="BUQ54" s="95"/>
      <c r="BUR54" s="95"/>
      <c r="BUS54" s="95"/>
      <c r="BUT54" s="95"/>
      <c r="BUU54" s="95"/>
      <c r="BUV54" s="95"/>
      <c r="BUW54" s="95"/>
      <c r="BUX54" s="95"/>
      <c r="BUY54" s="95"/>
      <c r="BUZ54" s="95"/>
      <c r="BVA54" s="95"/>
      <c r="BVB54" s="95"/>
      <c r="BVC54" s="95"/>
      <c r="BVD54" s="95"/>
      <c r="BVE54" s="95"/>
      <c r="BVF54" s="95"/>
      <c r="BVG54" s="95"/>
      <c r="BVH54" s="95"/>
      <c r="BVI54" s="95"/>
      <c r="BVJ54" s="95"/>
      <c r="BVK54" s="95"/>
      <c r="BVL54" s="95"/>
      <c r="BVM54" s="95"/>
      <c r="BVN54" s="95"/>
      <c r="BVO54" s="95"/>
      <c r="BVP54" s="95"/>
      <c r="BVQ54" s="95"/>
      <c r="BVR54" s="95"/>
      <c r="BVS54" s="95"/>
      <c r="BVT54" s="95"/>
      <c r="BVU54" s="95"/>
      <c r="BVV54" s="95"/>
      <c r="BVW54" s="95"/>
      <c r="BVX54" s="95"/>
      <c r="BVY54" s="95"/>
      <c r="BVZ54" s="95"/>
      <c r="BWA54" s="95"/>
      <c r="BWB54" s="95"/>
      <c r="BWC54" s="95"/>
      <c r="BWD54" s="95"/>
      <c r="BWE54" s="95"/>
      <c r="BWF54" s="95"/>
      <c r="BWG54" s="95"/>
      <c r="BWH54" s="95"/>
      <c r="BWI54" s="95"/>
      <c r="BWJ54" s="95"/>
      <c r="BWK54" s="95"/>
      <c r="BWL54" s="95"/>
      <c r="BWM54" s="95"/>
      <c r="BWN54" s="95"/>
      <c r="BWO54" s="95"/>
      <c r="BWP54" s="95"/>
      <c r="BWQ54" s="95"/>
      <c r="BWR54" s="95"/>
      <c r="BWS54" s="95"/>
      <c r="BWT54" s="95"/>
      <c r="BWU54" s="95"/>
      <c r="BWV54" s="95"/>
      <c r="BWW54" s="95"/>
      <c r="BWX54" s="95"/>
      <c r="BWY54" s="95"/>
      <c r="BWZ54" s="95"/>
      <c r="BXA54" s="95"/>
      <c r="BXB54" s="95"/>
      <c r="BXC54" s="95"/>
      <c r="BXD54" s="95"/>
      <c r="BXE54" s="95"/>
      <c r="BXF54" s="95"/>
      <c r="BXG54" s="95"/>
      <c r="BXH54" s="95"/>
      <c r="BXI54" s="95"/>
      <c r="BXJ54" s="95"/>
      <c r="BXK54" s="95"/>
      <c r="BXL54" s="95"/>
      <c r="BXM54" s="95"/>
      <c r="BXN54" s="95"/>
      <c r="BXO54" s="95"/>
      <c r="BXP54" s="95"/>
      <c r="BXQ54" s="95"/>
      <c r="BXR54" s="95"/>
      <c r="BXS54" s="95"/>
      <c r="BXT54" s="95"/>
      <c r="BXU54" s="95"/>
      <c r="BXV54" s="95"/>
      <c r="BXW54" s="95"/>
      <c r="BXX54" s="95"/>
      <c r="BXY54" s="95"/>
      <c r="BXZ54" s="95"/>
      <c r="BYA54" s="95"/>
      <c r="BYB54" s="95"/>
      <c r="BYC54" s="95"/>
      <c r="BYD54" s="95"/>
      <c r="BYE54" s="95"/>
      <c r="BYF54" s="95"/>
      <c r="BYG54" s="95"/>
    </row>
    <row r="55" spans="1:2009" s="121" customFormat="1" ht="24.75" hidden="1" customHeight="1" thickBot="1" x14ac:dyDescent="0.3">
      <c r="A55" s="801" t="s">
        <v>189</v>
      </c>
      <c r="B55" s="802"/>
      <c r="C55" s="365">
        <f t="shared" ref="C55" si="2">SUM(C52:C54)</f>
        <v>0</v>
      </c>
      <c r="D55" s="365"/>
      <c r="E55" s="365"/>
      <c r="F55" s="365"/>
      <c r="G55" s="734">
        <f t="shared" ref="G55" si="3">SUM(G52:G54)</f>
        <v>0</v>
      </c>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c r="IW55" s="95"/>
      <c r="IX55" s="95"/>
      <c r="IY55" s="95"/>
      <c r="IZ55" s="95"/>
      <c r="JA55" s="95"/>
      <c r="JB55" s="95"/>
      <c r="JC55" s="95"/>
      <c r="JD55" s="95"/>
      <c r="JE55" s="95"/>
      <c r="JF55" s="95"/>
      <c r="JG55" s="95"/>
      <c r="JH55" s="95"/>
      <c r="JI55" s="95"/>
      <c r="JJ55" s="95"/>
      <c r="JK55" s="95"/>
      <c r="JL55" s="95"/>
      <c r="JM55" s="95"/>
      <c r="JN55" s="95"/>
      <c r="JO55" s="95"/>
      <c r="JP55" s="95"/>
      <c r="JQ55" s="95"/>
      <c r="JR55" s="95"/>
      <c r="JS55" s="95"/>
      <c r="JT55" s="95"/>
      <c r="JU55" s="95"/>
      <c r="JV55" s="95"/>
      <c r="JW55" s="95"/>
      <c r="JX55" s="95"/>
      <c r="JY55" s="95"/>
      <c r="JZ55" s="95"/>
      <c r="KA55" s="95"/>
      <c r="KB55" s="95"/>
      <c r="KC55" s="95"/>
      <c r="KD55" s="95"/>
      <c r="KE55" s="95"/>
      <c r="KF55" s="95"/>
      <c r="KG55" s="95"/>
      <c r="KH55" s="95"/>
      <c r="KI55" s="95"/>
      <c r="KJ55" s="95"/>
      <c r="KK55" s="95"/>
      <c r="KL55" s="95"/>
      <c r="KM55" s="95"/>
      <c r="KN55" s="95"/>
      <c r="KO55" s="95"/>
      <c r="KP55" s="95"/>
      <c r="KQ55" s="95"/>
      <c r="KR55" s="95"/>
      <c r="KS55" s="95"/>
      <c r="KT55" s="95"/>
      <c r="KU55" s="95"/>
      <c r="KV55" s="95"/>
      <c r="KW55" s="95"/>
      <c r="KX55" s="95"/>
      <c r="KY55" s="95"/>
      <c r="KZ55" s="95"/>
      <c r="LA55" s="95"/>
      <c r="LB55" s="95"/>
      <c r="LC55" s="95"/>
      <c r="LD55" s="95"/>
      <c r="LE55" s="95"/>
      <c r="LF55" s="95"/>
      <c r="LG55" s="95"/>
      <c r="LH55" s="95"/>
      <c r="LI55" s="95"/>
      <c r="LJ55" s="95"/>
      <c r="LK55" s="95"/>
      <c r="LL55" s="95"/>
      <c r="LM55" s="95"/>
      <c r="LN55" s="95"/>
      <c r="LO55" s="95"/>
      <c r="LP55" s="95"/>
      <c r="LQ55" s="95"/>
      <c r="LR55" s="95"/>
      <c r="LS55" s="95"/>
      <c r="LT55" s="95"/>
      <c r="LU55" s="95"/>
      <c r="LV55" s="95"/>
      <c r="LW55" s="95"/>
      <c r="LX55" s="95"/>
      <c r="LY55" s="95"/>
      <c r="LZ55" s="95"/>
      <c r="MA55" s="95"/>
      <c r="MB55" s="95"/>
      <c r="MC55" s="95"/>
      <c r="MD55" s="95"/>
      <c r="ME55" s="95"/>
      <c r="MF55" s="95"/>
      <c r="MG55" s="95"/>
      <c r="MH55" s="95"/>
      <c r="MI55" s="95"/>
      <c r="MJ55" s="95"/>
      <c r="MK55" s="95"/>
      <c r="ML55" s="95"/>
      <c r="MM55" s="95"/>
      <c r="MN55" s="95"/>
      <c r="MO55" s="95"/>
      <c r="MP55" s="95"/>
      <c r="MQ55" s="95"/>
      <c r="MR55" s="95"/>
      <c r="MS55" s="95"/>
      <c r="MT55" s="95"/>
      <c r="MU55" s="95"/>
      <c r="MV55" s="95"/>
      <c r="MW55" s="95"/>
      <c r="MX55" s="95"/>
      <c r="MY55" s="95"/>
      <c r="MZ55" s="95"/>
      <c r="NA55" s="95"/>
      <c r="NB55" s="95"/>
      <c r="NC55" s="95"/>
      <c r="ND55" s="95"/>
      <c r="NE55" s="95"/>
      <c r="NF55" s="95"/>
      <c r="NG55" s="95"/>
      <c r="NH55" s="95"/>
      <c r="NI55" s="95"/>
      <c r="NJ55" s="95"/>
      <c r="NK55" s="95"/>
      <c r="NL55" s="95"/>
      <c r="NM55" s="95"/>
      <c r="NN55" s="95"/>
      <c r="NO55" s="95"/>
      <c r="NP55" s="95"/>
      <c r="NQ55" s="95"/>
      <c r="NR55" s="95"/>
      <c r="NS55" s="95"/>
      <c r="NT55" s="95"/>
      <c r="NU55" s="95"/>
      <c r="NV55" s="95"/>
      <c r="NW55" s="95"/>
      <c r="NX55" s="95"/>
      <c r="NY55" s="95"/>
      <c r="NZ55" s="95"/>
      <c r="OA55" s="95"/>
      <c r="OB55" s="95"/>
      <c r="OC55" s="95"/>
      <c r="OD55" s="95"/>
      <c r="OE55" s="95"/>
      <c r="OF55" s="95"/>
      <c r="OG55" s="95"/>
      <c r="OH55" s="95"/>
      <c r="OI55" s="95"/>
      <c r="OJ55" s="95"/>
      <c r="OK55" s="95"/>
      <c r="OL55" s="95"/>
      <c r="OM55" s="95"/>
      <c r="ON55" s="95"/>
      <c r="OO55" s="95"/>
      <c r="OP55" s="95"/>
      <c r="OQ55" s="95"/>
      <c r="OR55" s="95"/>
      <c r="OS55" s="95"/>
      <c r="OT55" s="95"/>
      <c r="OU55" s="95"/>
      <c r="OV55" s="95"/>
      <c r="OW55" s="95"/>
      <c r="OX55" s="95"/>
      <c r="OY55" s="95"/>
      <c r="OZ55" s="95"/>
      <c r="PA55" s="95"/>
      <c r="PB55" s="95"/>
      <c r="PC55" s="95"/>
      <c r="PD55" s="95"/>
      <c r="PE55" s="95"/>
      <c r="PF55" s="95"/>
      <c r="PG55" s="95"/>
      <c r="PH55" s="95"/>
      <c r="PI55" s="95"/>
      <c r="PJ55" s="95"/>
      <c r="PK55" s="95"/>
      <c r="PL55" s="95"/>
      <c r="PM55" s="95"/>
      <c r="PN55" s="95"/>
      <c r="PO55" s="95"/>
      <c r="PP55" s="95"/>
      <c r="PQ55" s="95"/>
      <c r="PR55" s="95"/>
      <c r="PS55" s="95"/>
      <c r="PT55" s="95"/>
      <c r="PU55" s="95"/>
      <c r="PV55" s="95"/>
      <c r="PW55" s="95"/>
      <c r="PX55" s="95"/>
      <c r="PY55" s="95"/>
      <c r="PZ55" s="95"/>
      <c r="QA55" s="95"/>
      <c r="QB55" s="95"/>
      <c r="QC55" s="95"/>
      <c r="QD55" s="95"/>
      <c r="QE55" s="95"/>
      <c r="QF55" s="95"/>
      <c r="QG55" s="95"/>
      <c r="QH55" s="95"/>
      <c r="QI55" s="95"/>
      <c r="QJ55" s="95"/>
      <c r="QK55" s="95"/>
      <c r="QL55" s="95"/>
      <c r="QM55" s="95"/>
      <c r="QN55" s="95"/>
      <c r="QO55" s="95"/>
      <c r="QP55" s="95"/>
      <c r="QQ55" s="95"/>
      <c r="QR55" s="95"/>
      <c r="QS55" s="95"/>
      <c r="QT55" s="95"/>
      <c r="QU55" s="95"/>
      <c r="QV55" s="95"/>
      <c r="QW55" s="95"/>
      <c r="QX55" s="95"/>
      <c r="QY55" s="95"/>
      <c r="QZ55" s="95"/>
      <c r="RA55" s="95"/>
      <c r="RB55" s="95"/>
      <c r="RC55" s="95"/>
      <c r="RD55" s="95"/>
      <c r="RE55" s="95"/>
      <c r="RF55" s="95"/>
      <c r="RG55" s="95"/>
      <c r="RH55" s="95"/>
      <c r="RI55" s="95"/>
      <c r="RJ55" s="95"/>
      <c r="RK55" s="95"/>
      <c r="RL55" s="95"/>
      <c r="RM55" s="95"/>
      <c r="RN55" s="95"/>
      <c r="RO55" s="95"/>
      <c r="RP55" s="95"/>
      <c r="RQ55" s="95"/>
      <c r="RR55" s="95"/>
      <c r="RS55" s="95"/>
      <c r="RT55" s="95"/>
      <c r="RU55" s="95"/>
      <c r="RV55" s="95"/>
      <c r="RW55" s="95"/>
      <c r="RX55" s="95"/>
      <c r="RY55" s="95"/>
      <c r="RZ55" s="95"/>
      <c r="SA55" s="95"/>
      <c r="SB55" s="95"/>
      <c r="SC55" s="95"/>
      <c r="SD55" s="95"/>
      <c r="SE55" s="95"/>
      <c r="SF55" s="95"/>
      <c r="SG55" s="95"/>
      <c r="SH55" s="95"/>
      <c r="SI55" s="95"/>
      <c r="SJ55" s="95"/>
      <c r="SK55" s="95"/>
      <c r="SL55" s="95"/>
      <c r="SM55" s="95"/>
      <c r="SN55" s="95"/>
      <c r="SO55" s="95"/>
      <c r="SP55" s="95"/>
      <c r="SQ55" s="95"/>
      <c r="SR55" s="95"/>
      <c r="SS55" s="95"/>
      <c r="ST55" s="95"/>
      <c r="SU55" s="95"/>
      <c r="SV55" s="95"/>
      <c r="SW55" s="95"/>
      <c r="SX55" s="95"/>
      <c r="SY55" s="95"/>
      <c r="SZ55" s="95"/>
      <c r="TA55" s="95"/>
      <c r="TB55" s="95"/>
      <c r="TC55" s="95"/>
      <c r="TD55" s="95"/>
      <c r="TE55" s="95"/>
      <c r="TF55" s="95"/>
      <c r="TG55" s="95"/>
      <c r="TH55" s="95"/>
      <c r="TI55" s="95"/>
      <c r="TJ55" s="95"/>
      <c r="TK55" s="95"/>
      <c r="TL55" s="95"/>
      <c r="TM55" s="95"/>
      <c r="TN55" s="95"/>
      <c r="TO55" s="95"/>
      <c r="TP55" s="95"/>
      <c r="TQ55" s="95"/>
      <c r="TR55" s="95"/>
      <c r="TS55" s="95"/>
      <c r="TT55" s="95"/>
      <c r="TU55" s="95"/>
      <c r="TV55" s="95"/>
      <c r="TW55" s="95"/>
      <c r="TX55" s="95"/>
      <c r="TY55" s="95"/>
      <c r="TZ55" s="95"/>
      <c r="UA55" s="95"/>
      <c r="UB55" s="95"/>
      <c r="UC55" s="95"/>
      <c r="UD55" s="95"/>
      <c r="UE55" s="95"/>
      <c r="UF55" s="95"/>
      <c r="UG55" s="95"/>
      <c r="UH55" s="95"/>
      <c r="UI55" s="95"/>
      <c r="UJ55" s="95"/>
      <c r="UK55" s="95"/>
      <c r="UL55" s="95"/>
      <c r="UM55" s="95"/>
      <c r="UN55" s="95"/>
      <c r="UO55" s="95"/>
      <c r="UP55" s="95"/>
      <c r="UQ55" s="95"/>
      <c r="UR55" s="95"/>
      <c r="US55" s="95"/>
      <c r="UT55" s="95"/>
      <c r="UU55" s="95"/>
      <c r="UV55" s="95"/>
      <c r="UW55" s="95"/>
      <c r="UX55" s="95"/>
      <c r="UY55" s="95"/>
      <c r="UZ55" s="95"/>
      <c r="VA55" s="95"/>
      <c r="VB55" s="95"/>
      <c r="VC55" s="95"/>
      <c r="VD55" s="95"/>
      <c r="VE55" s="95"/>
      <c r="VF55" s="95"/>
      <c r="VG55" s="95"/>
      <c r="VH55" s="95"/>
      <c r="VI55" s="95"/>
      <c r="VJ55" s="95"/>
      <c r="VK55" s="95"/>
      <c r="VL55" s="95"/>
      <c r="VM55" s="95"/>
      <c r="VN55" s="95"/>
      <c r="VO55" s="95"/>
      <c r="VP55" s="95"/>
      <c r="VQ55" s="95"/>
      <c r="VR55" s="95"/>
      <c r="VS55" s="95"/>
      <c r="VT55" s="95"/>
      <c r="VU55" s="95"/>
      <c r="VV55" s="95"/>
      <c r="VW55" s="95"/>
      <c r="VX55" s="95"/>
      <c r="VY55" s="95"/>
      <c r="VZ55" s="95"/>
      <c r="WA55" s="95"/>
      <c r="WB55" s="95"/>
      <c r="WC55" s="95"/>
      <c r="WD55" s="95"/>
      <c r="WE55" s="95"/>
      <c r="WF55" s="95"/>
      <c r="WG55" s="95"/>
      <c r="WH55" s="95"/>
      <c r="WI55" s="95"/>
      <c r="WJ55" s="95"/>
      <c r="WK55" s="95"/>
      <c r="WL55" s="95"/>
      <c r="WM55" s="95"/>
      <c r="WN55" s="95"/>
      <c r="WO55" s="95"/>
      <c r="WP55" s="95"/>
      <c r="WQ55" s="95"/>
      <c r="WR55" s="95"/>
      <c r="WS55" s="95"/>
      <c r="WT55" s="95"/>
      <c r="WU55" s="95"/>
      <c r="WV55" s="95"/>
      <c r="WW55" s="95"/>
      <c r="WX55" s="95"/>
      <c r="WY55" s="95"/>
      <c r="WZ55" s="95"/>
      <c r="XA55" s="95"/>
      <c r="XB55" s="95"/>
      <c r="XC55" s="95"/>
      <c r="XD55" s="95"/>
      <c r="XE55" s="95"/>
      <c r="XF55" s="95"/>
      <c r="XG55" s="95"/>
      <c r="XH55" s="95"/>
      <c r="XI55" s="95"/>
      <c r="XJ55" s="95"/>
      <c r="XK55" s="95"/>
      <c r="XL55" s="95"/>
      <c r="XM55" s="95"/>
      <c r="XN55" s="95"/>
      <c r="XO55" s="95"/>
      <c r="XP55" s="95"/>
      <c r="XQ55" s="95"/>
      <c r="XR55" s="95"/>
      <c r="XS55" s="95"/>
      <c r="XT55" s="95"/>
      <c r="XU55" s="95"/>
      <c r="XV55" s="95"/>
      <c r="XW55" s="95"/>
      <c r="XX55" s="95"/>
      <c r="XY55" s="95"/>
      <c r="XZ55" s="95"/>
      <c r="YA55" s="95"/>
      <c r="YB55" s="95"/>
      <c r="YC55" s="95"/>
      <c r="YD55" s="95"/>
      <c r="YE55" s="95"/>
      <c r="YF55" s="95"/>
      <c r="YG55" s="95"/>
      <c r="YH55" s="95"/>
      <c r="YI55" s="95"/>
      <c r="YJ55" s="95"/>
      <c r="YK55" s="95"/>
      <c r="YL55" s="95"/>
      <c r="YM55" s="95"/>
      <c r="YN55" s="95"/>
      <c r="YO55" s="95"/>
      <c r="YP55" s="95"/>
      <c r="YQ55" s="95"/>
      <c r="YR55" s="95"/>
      <c r="YS55" s="95"/>
      <c r="YT55" s="95"/>
      <c r="YU55" s="95"/>
      <c r="YV55" s="95"/>
      <c r="YW55" s="95"/>
      <c r="YX55" s="95"/>
      <c r="YY55" s="95"/>
      <c r="YZ55" s="95"/>
      <c r="ZA55" s="95"/>
      <c r="ZB55" s="95"/>
      <c r="ZC55" s="95"/>
      <c r="ZD55" s="95"/>
      <c r="ZE55" s="95"/>
      <c r="ZF55" s="95"/>
      <c r="ZG55" s="95"/>
      <c r="ZH55" s="95"/>
      <c r="ZI55" s="95"/>
      <c r="ZJ55" s="95"/>
      <c r="ZK55" s="95"/>
      <c r="ZL55" s="95"/>
      <c r="ZM55" s="95"/>
      <c r="ZN55" s="95"/>
      <c r="ZO55" s="95"/>
      <c r="ZP55" s="95"/>
      <c r="ZQ55" s="95"/>
      <c r="ZR55" s="95"/>
      <c r="ZS55" s="95"/>
      <c r="ZT55" s="95"/>
      <c r="ZU55" s="95"/>
      <c r="ZV55" s="95"/>
      <c r="ZW55" s="95"/>
      <c r="ZX55" s="95"/>
      <c r="ZY55" s="95"/>
      <c r="ZZ55" s="95"/>
      <c r="AAA55" s="95"/>
      <c r="AAB55" s="95"/>
      <c r="AAC55" s="95"/>
      <c r="AAD55" s="95"/>
      <c r="AAE55" s="95"/>
      <c r="AAF55" s="95"/>
      <c r="AAG55" s="95"/>
      <c r="AAH55" s="95"/>
      <c r="AAI55" s="95"/>
      <c r="AAJ55" s="95"/>
      <c r="AAK55" s="95"/>
      <c r="AAL55" s="95"/>
      <c r="AAM55" s="95"/>
      <c r="AAN55" s="95"/>
      <c r="AAO55" s="95"/>
      <c r="AAP55" s="95"/>
      <c r="AAQ55" s="95"/>
      <c r="AAR55" s="95"/>
      <c r="AAS55" s="95"/>
      <c r="AAT55" s="95"/>
      <c r="AAU55" s="95"/>
      <c r="AAV55" s="95"/>
      <c r="AAW55" s="95"/>
      <c r="AAX55" s="95"/>
      <c r="AAY55" s="95"/>
      <c r="AAZ55" s="95"/>
      <c r="ABA55" s="95"/>
      <c r="ABB55" s="95"/>
      <c r="ABC55" s="95"/>
      <c r="ABD55" s="95"/>
      <c r="ABE55" s="95"/>
      <c r="ABF55" s="95"/>
      <c r="ABG55" s="95"/>
      <c r="ABH55" s="95"/>
      <c r="ABI55" s="95"/>
      <c r="ABJ55" s="95"/>
      <c r="ABK55" s="95"/>
      <c r="ABL55" s="95"/>
      <c r="ABM55" s="95"/>
      <c r="ABN55" s="95"/>
      <c r="ABO55" s="95"/>
      <c r="ABP55" s="95"/>
      <c r="ABQ55" s="95"/>
      <c r="ABR55" s="95"/>
      <c r="ABS55" s="95"/>
      <c r="ABT55" s="95"/>
      <c r="ABU55" s="95"/>
      <c r="ABV55" s="95"/>
      <c r="ABW55" s="95"/>
      <c r="ABX55" s="95"/>
      <c r="ABY55" s="95"/>
      <c r="ABZ55" s="95"/>
      <c r="ACA55" s="95"/>
      <c r="ACB55" s="95"/>
      <c r="ACC55" s="95"/>
      <c r="ACD55" s="95"/>
      <c r="ACE55" s="95"/>
      <c r="ACF55" s="95"/>
      <c r="ACG55" s="95"/>
      <c r="ACH55" s="95"/>
      <c r="ACI55" s="95"/>
      <c r="ACJ55" s="95"/>
      <c r="ACK55" s="95"/>
      <c r="ACL55" s="95"/>
      <c r="ACM55" s="95"/>
      <c r="ACN55" s="95"/>
      <c r="ACO55" s="95"/>
      <c r="ACP55" s="95"/>
      <c r="ACQ55" s="95"/>
      <c r="ACR55" s="95"/>
      <c r="ACS55" s="95"/>
      <c r="ACT55" s="95"/>
      <c r="ACU55" s="95"/>
      <c r="ACV55" s="95"/>
      <c r="ACW55" s="95"/>
      <c r="ACX55" s="95"/>
      <c r="ACY55" s="95"/>
      <c r="ACZ55" s="95"/>
      <c r="ADA55" s="95"/>
      <c r="ADB55" s="95"/>
      <c r="ADC55" s="95"/>
      <c r="ADD55" s="95"/>
      <c r="ADE55" s="95"/>
      <c r="ADF55" s="95"/>
      <c r="ADG55" s="95"/>
      <c r="ADH55" s="95"/>
      <c r="ADI55" s="95"/>
      <c r="ADJ55" s="95"/>
      <c r="ADK55" s="95"/>
      <c r="ADL55" s="95"/>
      <c r="ADM55" s="95"/>
      <c r="ADN55" s="95"/>
      <c r="ADO55" s="95"/>
      <c r="ADP55" s="95"/>
      <c r="ADQ55" s="95"/>
      <c r="ADR55" s="95"/>
      <c r="ADS55" s="95"/>
      <c r="ADT55" s="95"/>
      <c r="ADU55" s="95"/>
      <c r="ADV55" s="95"/>
      <c r="ADW55" s="95"/>
      <c r="ADX55" s="95"/>
      <c r="ADY55" s="95"/>
      <c r="ADZ55" s="95"/>
      <c r="AEA55" s="95"/>
      <c r="AEB55" s="95"/>
      <c r="AEC55" s="95"/>
      <c r="AED55" s="95"/>
      <c r="AEE55" s="95"/>
      <c r="AEF55" s="95"/>
      <c r="AEG55" s="95"/>
      <c r="AEH55" s="95"/>
      <c r="AEI55" s="95"/>
      <c r="AEJ55" s="95"/>
      <c r="AEK55" s="95"/>
      <c r="AEL55" s="95"/>
      <c r="AEM55" s="95"/>
      <c r="AEN55" s="95"/>
      <c r="AEO55" s="95"/>
      <c r="AEP55" s="95"/>
      <c r="AEQ55" s="95"/>
      <c r="AER55" s="95"/>
      <c r="AES55" s="95"/>
      <c r="AET55" s="95"/>
      <c r="AEU55" s="95"/>
      <c r="AEV55" s="95"/>
      <c r="AEW55" s="95"/>
      <c r="AEX55" s="95"/>
      <c r="AEY55" s="95"/>
      <c r="AEZ55" s="95"/>
      <c r="AFA55" s="95"/>
      <c r="AFB55" s="95"/>
      <c r="AFC55" s="95"/>
      <c r="AFD55" s="95"/>
      <c r="AFE55" s="95"/>
      <c r="AFF55" s="95"/>
      <c r="AFG55" s="95"/>
      <c r="AFH55" s="95"/>
      <c r="AFI55" s="95"/>
      <c r="AFJ55" s="95"/>
      <c r="AFK55" s="95"/>
      <c r="AFL55" s="95"/>
      <c r="AFM55" s="95"/>
      <c r="AFN55" s="95"/>
      <c r="AFO55" s="95"/>
      <c r="AFP55" s="95"/>
      <c r="AFQ55" s="95"/>
      <c r="AFR55" s="95"/>
      <c r="AFS55" s="95"/>
      <c r="AFT55" s="95"/>
      <c r="AFU55" s="95"/>
      <c r="AFV55" s="95"/>
      <c r="AFW55" s="95"/>
      <c r="AFX55" s="95"/>
      <c r="AFY55" s="95"/>
      <c r="AFZ55" s="95"/>
      <c r="AGA55" s="95"/>
      <c r="AGB55" s="95"/>
      <c r="AGC55" s="95"/>
      <c r="AGD55" s="95"/>
      <c r="AGE55" s="95"/>
      <c r="AGF55" s="95"/>
      <c r="AGG55" s="95"/>
      <c r="AGH55" s="95"/>
      <c r="AGI55" s="95"/>
      <c r="AGJ55" s="95"/>
      <c r="AGK55" s="95"/>
      <c r="AGL55" s="95"/>
      <c r="AGM55" s="95"/>
      <c r="AGN55" s="95"/>
      <c r="AGO55" s="95"/>
      <c r="AGP55" s="95"/>
      <c r="AGQ55" s="95"/>
      <c r="AGR55" s="95"/>
      <c r="AGS55" s="95"/>
      <c r="AGT55" s="95"/>
      <c r="AGU55" s="95"/>
      <c r="AGV55" s="95"/>
      <c r="AGW55" s="95"/>
      <c r="AGX55" s="95"/>
      <c r="AGY55" s="95"/>
      <c r="AGZ55" s="95"/>
      <c r="AHA55" s="95"/>
      <c r="AHB55" s="95"/>
      <c r="AHC55" s="95"/>
      <c r="AHD55" s="95"/>
      <c r="AHE55" s="95"/>
      <c r="AHF55" s="95"/>
      <c r="AHG55" s="95"/>
      <c r="AHH55" s="95"/>
      <c r="AHI55" s="95"/>
      <c r="AHJ55" s="95"/>
      <c r="AHK55" s="95"/>
      <c r="AHL55" s="95"/>
      <c r="AHM55" s="95"/>
      <c r="AHN55" s="95"/>
      <c r="AHO55" s="95"/>
      <c r="AHP55" s="95"/>
      <c r="AHQ55" s="95"/>
      <c r="AHR55" s="95"/>
      <c r="AHS55" s="95"/>
      <c r="AHT55" s="95"/>
      <c r="AHU55" s="95"/>
      <c r="AHV55" s="95"/>
      <c r="AHW55" s="95"/>
      <c r="AHX55" s="95"/>
      <c r="AHY55" s="95"/>
      <c r="AHZ55" s="95"/>
      <c r="AIA55" s="95"/>
      <c r="AIB55" s="95"/>
      <c r="AIC55" s="95"/>
      <c r="AID55" s="95"/>
      <c r="AIE55" s="95"/>
      <c r="AIF55" s="95"/>
      <c r="AIG55" s="95"/>
      <c r="AIH55" s="95"/>
      <c r="AII55" s="95"/>
      <c r="AIJ55" s="95"/>
      <c r="AIK55" s="95"/>
      <c r="AIL55" s="95"/>
      <c r="AIM55" s="95"/>
      <c r="AIN55" s="95"/>
      <c r="AIO55" s="95"/>
      <c r="AIP55" s="95"/>
      <c r="AIQ55" s="95"/>
      <c r="AIR55" s="95"/>
      <c r="AIS55" s="95"/>
      <c r="AIT55" s="95"/>
      <c r="AIU55" s="95"/>
      <c r="AIV55" s="95"/>
      <c r="AIW55" s="95"/>
      <c r="AIX55" s="95"/>
      <c r="AIY55" s="95"/>
      <c r="AIZ55" s="95"/>
      <c r="AJA55" s="95"/>
      <c r="AJB55" s="95"/>
      <c r="AJC55" s="95"/>
      <c r="AJD55" s="95"/>
      <c r="AJE55" s="95"/>
      <c r="AJF55" s="95"/>
      <c r="AJG55" s="95"/>
      <c r="AJH55" s="95"/>
      <c r="AJI55" s="95"/>
      <c r="AJJ55" s="95"/>
      <c r="AJK55" s="95"/>
      <c r="AJL55" s="95"/>
      <c r="AJM55" s="95"/>
      <c r="AJN55" s="95"/>
      <c r="AJO55" s="95"/>
      <c r="AJP55" s="95"/>
      <c r="AJQ55" s="95"/>
      <c r="AJR55" s="95"/>
      <c r="AJS55" s="95"/>
      <c r="AJT55" s="95"/>
      <c r="AJU55" s="95"/>
      <c r="AJV55" s="95"/>
      <c r="AJW55" s="95"/>
      <c r="AJX55" s="95"/>
      <c r="AJY55" s="95"/>
      <c r="AJZ55" s="95"/>
      <c r="AKA55" s="95"/>
      <c r="AKB55" s="95"/>
      <c r="AKC55" s="95"/>
      <c r="AKD55" s="95"/>
      <c r="AKE55" s="95"/>
      <c r="AKF55" s="95"/>
      <c r="AKG55" s="95"/>
      <c r="AKH55" s="95"/>
      <c r="AKI55" s="95"/>
      <c r="AKJ55" s="95"/>
      <c r="AKK55" s="95"/>
      <c r="AKL55" s="95"/>
      <c r="AKM55" s="95"/>
      <c r="AKN55" s="95"/>
      <c r="AKO55" s="95"/>
      <c r="AKP55" s="95"/>
      <c r="AKQ55" s="95"/>
      <c r="AKR55" s="95"/>
      <c r="AKS55" s="95"/>
      <c r="AKT55" s="95"/>
      <c r="AKU55" s="95"/>
      <c r="AKV55" s="95"/>
      <c r="AKW55" s="95"/>
      <c r="AKX55" s="95"/>
      <c r="AKY55" s="95"/>
      <c r="AKZ55" s="95"/>
      <c r="ALA55" s="95"/>
      <c r="ALB55" s="95"/>
      <c r="ALC55" s="95"/>
      <c r="ALD55" s="95"/>
      <c r="ALE55" s="95"/>
      <c r="ALF55" s="95"/>
      <c r="ALG55" s="95"/>
      <c r="ALH55" s="95"/>
      <c r="ALI55" s="95"/>
      <c r="ALJ55" s="95"/>
      <c r="ALK55" s="95"/>
      <c r="ALL55" s="95"/>
      <c r="ALM55" s="95"/>
      <c r="ALN55" s="95"/>
      <c r="ALO55" s="95"/>
      <c r="ALP55" s="95"/>
      <c r="ALQ55" s="95"/>
      <c r="ALR55" s="95"/>
      <c r="ALS55" s="95"/>
      <c r="ALT55" s="95"/>
      <c r="ALU55" s="95"/>
      <c r="ALV55" s="95"/>
      <c r="ALW55" s="95"/>
      <c r="ALX55" s="95"/>
      <c r="ALY55" s="95"/>
      <c r="ALZ55" s="95"/>
      <c r="AMA55" s="95"/>
      <c r="AMB55" s="95"/>
      <c r="AMC55" s="95"/>
      <c r="AMD55" s="95"/>
      <c r="AME55" s="95"/>
      <c r="AMF55" s="95"/>
      <c r="AMG55" s="95"/>
      <c r="AMH55" s="95"/>
      <c r="AMI55" s="95"/>
      <c r="AMJ55" s="95"/>
      <c r="AMK55" s="95"/>
      <c r="AML55" s="95"/>
      <c r="AMM55" s="95"/>
      <c r="AMN55" s="95"/>
      <c r="AMO55" s="95"/>
      <c r="AMP55" s="95"/>
      <c r="AMQ55" s="95"/>
      <c r="AMR55" s="95"/>
      <c r="AMS55" s="95"/>
      <c r="AMT55" s="95"/>
      <c r="AMU55" s="95"/>
      <c r="AMV55" s="95"/>
      <c r="AMW55" s="95"/>
      <c r="AMX55" s="95"/>
      <c r="AMY55" s="95"/>
      <c r="AMZ55" s="95"/>
      <c r="ANA55" s="95"/>
      <c r="ANB55" s="95"/>
      <c r="ANC55" s="95"/>
      <c r="AND55" s="95"/>
      <c r="ANE55" s="95"/>
      <c r="ANF55" s="95"/>
      <c r="ANG55" s="95"/>
      <c r="ANH55" s="95"/>
      <c r="ANI55" s="95"/>
      <c r="ANJ55" s="95"/>
      <c r="ANK55" s="95"/>
      <c r="ANL55" s="95"/>
      <c r="ANM55" s="95"/>
      <c r="ANN55" s="95"/>
      <c r="ANO55" s="95"/>
      <c r="ANP55" s="95"/>
      <c r="ANQ55" s="95"/>
      <c r="ANR55" s="95"/>
      <c r="ANS55" s="95"/>
      <c r="ANT55" s="95"/>
      <c r="ANU55" s="95"/>
      <c r="ANV55" s="95"/>
      <c r="ANW55" s="95"/>
      <c r="ANX55" s="95"/>
      <c r="ANY55" s="95"/>
      <c r="ANZ55" s="95"/>
      <c r="AOA55" s="95"/>
      <c r="AOB55" s="95"/>
      <c r="AOC55" s="95"/>
      <c r="AOD55" s="95"/>
      <c r="AOE55" s="95"/>
      <c r="AOF55" s="95"/>
      <c r="AOG55" s="95"/>
      <c r="AOH55" s="95"/>
      <c r="AOI55" s="95"/>
      <c r="AOJ55" s="95"/>
      <c r="AOK55" s="95"/>
      <c r="AOL55" s="95"/>
      <c r="AOM55" s="95"/>
      <c r="AON55" s="95"/>
      <c r="AOO55" s="95"/>
      <c r="AOP55" s="95"/>
      <c r="AOQ55" s="95"/>
      <c r="AOR55" s="95"/>
      <c r="AOS55" s="95"/>
      <c r="AOT55" s="95"/>
      <c r="AOU55" s="95"/>
      <c r="AOV55" s="95"/>
      <c r="AOW55" s="95"/>
      <c r="AOX55" s="95"/>
      <c r="AOY55" s="95"/>
      <c r="AOZ55" s="95"/>
      <c r="APA55" s="95"/>
      <c r="APB55" s="95"/>
      <c r="APC55" s="95"/>
      <c r="APD55" s="95"/>
      <c r="APE55" s="95"/>
      <c r="APF55" s="95"/>
      <c r="APG55" s="95"/>
      <c r="APH55" s="95"/>
      <c r="API55" s="95"/>
      <c r="APJ55" s="95"/>
      <c r="APK55" s="95"/>
      <c r="APL55" s="95"/>
      <c r="APM55" s="95"/>
      <c r="APN55" s="95"/>
      <c r="APO55" s="95"/>
      <c r="APP55" s="95"/>
      <c r="APQ55" s="95"/>
      <c r="APR55" s="95"/>
      <c r="APS55" s="95"/>
      <c r="APT55" s="95"/>
      <c r="APU55" s="95"/>
      <c r="APV55" s="95"/>
      <c r="APW55" s="95"/>
      <c r="APX55" s="95"/>
      <c r="APY55" s="95"/>
      <c r="APZ55" s="95"/>
      <c r="AQA55" s="95"/>
      <c r="AQB55" s="95"/>
      <c r="AQC55" s="95"/>
      <c r="AQD55" s="95"/>
      <c r="AQE55" s="95"/>
      <c r="AQF55" s="95"/>
      <c r="AQG55" s="95"/>
      <c r="AQH55" s="95"/>
      <c r="AQI55" s="95"/>
      <c r="AQJ55" s="95"/>
      <c r="AQK55" s="95"/>
      <c r="AQL55" s="95"/>
      <c r="AQM55" s="95"/>
      <c r="AQN55" s="95"/>
      <c r="AQO55" s="95"/>
      <c r="AQP55" s="95"/>
      <c r="AQQ55" s="95"/>
      <c r="AQR55" s="95"/>
      <c r="AQS55" s="95"/>
      <c r="AQT55" s="95"/>
      <c r="AQU55" s="95"/>
      <c r="AQV55" s="95"/>
      <c r="AQW55" s="95"/>
      <c r="AQX55" s="95"/>
      <c r="AQY55" s="95"/>
      <c r="AQZ55" s="95"/>
      <c r="ARA55" s="95"/>
      <c r="ARB55" s="95"/>
      <c r="ARC55" s="95"/>
      <c r="ARD55" s="95"/>
      <c r="ARE55" s="95"/>
      <c r="ARF55" s="95"/>
      <c r="ARG55" s="95"/>
      <c r="ARH55" s="95"/>
      <c r="ARI55" s="95"/>
      <c r="ARJ55" s="95"/>
      <c r="ARK55" s="95"/>
      <c r="ARL55" s="95"/>
      <c r="ARM55" s="95"/>
      <c r="ARN55" s="95"/>
      <c r="ARO55" s="95"/>
      <c r="ARP55" s="95"/>
      <c r="ARQ55" s="95"/>
      <c r="ARR55" s="95"/>
      <c r="ARS55" s="95"/>
      <c r="ART55" s="95"/>
      <c r="ARU55" s="95"/>
      <c r="ARV55" s="95"/>
      <c r="ARW55" s="95"/>
      <c r="ARX55" s="95"/>
      <c r="ARY55" s="95"/>
      <c r="ARZ55" s="95"/>
      <c r="ASA55" s="95"/>
      <c r="ASB55" s="95"/>
      <c r="ASC55" s="95"/>
      <c r="ASD55" s="95"/>
      <c r="ASE55" s="95"/>
      <c r="ASF55" s="95"/>
      <c r="ASG55" s="95"/>
      <c r="ASH55" s="95"/>
      <c r="ASI55" s="95"/>
      <c r="ASJ55" s="95"/>
      <c r="ASK55" s="95"/>
      <c r="ASL55" s="95"/>
      <c r="ASM55" s="95"/>
      <c r="ASN55" s="95"/>
      <c r="ASO55" s="95"/>
      <c r="ASP55" s="95"/>
      <c r="ASQ55" s="95"/>
      <c r="ASR55" s="95"/>
      <c r="ASS55" s="95"/>
      <c r="AST55" s="95"/>
      <c r="ASU55" s="95"/>
      <c r="ASV55" s="95"/>
      <c r="ASW55" s="95"/>
      <c r="ASX55" s="95"/>
      <c r="ASY55" s="95"/>
      <c r="ASZ55" s="95"/>
      <c r="ATA55" s="95"/>
      <c r="ATB55" s="95"/>
      <c r="ATC55" s="95"/>
      <c r="ATD55" s="95"/>
      <c r="ATE55" s="95"/>
      <c r="ATF55" s="95"/>
      <c r="ATG55" s="95"/>
      <c r="ATH55" s="95"/>
      <c r="ATI55" s="95"/>
      <c r="ATJ55" s="95"/>
      <c r="ATK55" s="95"/>
      <c r="ATL55" s="95"/>
      <c r="ATM55" s="95"/>
      <c r="ATN55" s="95"/>
      <c r="ATO55" s="95"/>
      <c r="ATP55" s="95"/>
      <c r="ATQ55" s="95"/>
      <c r="ATR55" s="95"/>
      <c r="ATS55" s="95"/>
      <c r="ATT55" s="95"/>
      <c r="ATU55" s="95"/>
      <c r="ATV55" s="95"/>
      <c r="ATW55" s="95"/>
      <c r="ATX55" s="95"/>
      <c r="ATY55" s="95"/>
      <c r="ATZ55" s="95"/>
      <c r="AUA55" s="95"/>
      <c r="AUB55" s="95"/>
      <c r="AUC55" s="95"/>
      <c r="AUD55" s="95"/>
      <c r="AUE55" s="95"/>
      <c r="AUF55" s="95"/>
      <c r="AUG55" s="95"/>
      <c r="AUH55" s="95"/>
      <c r="AUI55" s="95"/>
      <c r="AUJ55" s="95"/>
      <c r="AUK55" s="95"/>
      <c r="AUL55" s="95"/>
      <c r="AUM55" s="95"/>
      <c r="AUN55" s="95"/>
      <c r="AUO55" s="95"/>
      <c r="AUP55" s="95"/>
      <c r="AUQ55" s="95"/>
      <c r="AUR55" s="95"/>
      <c r="AUS55" s="95"/>
      <c r="AUT55" s="95"/>
      <c r="AUU55" s="95"/>
      <c r="AUV55" s="95"/>
      <c r="AUW55" s="95"/>
      <c r="AUX55" s="95"/>
      <c r="AUY55" s="95"/>
      <c r="AUZ55" s="95"/>
      <c r="AVA55" s="95"/>
      <c r="AVB55" s="95"/>
      <c r="AVC55" s="95"/>
      <c r="AVD55" s="95"/>
      <c r="AVE55" s="95"/>
      <c r="AVF55" s="95"/>
      <c r="AVG55" s="95"/>
      <c r="AVH55" s="95"/>
      <c r="AVI55" s="95"/>
      <c r="AVJ55" s="95"/>
      <c r="AVK55" s="95"/>
      <c r="AVL55" s="95"/>
      <c r="AVM55" s="95"/>
      <c r="AVN55" s="95"/>
      <c r="AVO55" s="95"/>
      <c r="AVP55" s="95"/>
      <c r="AVQ55" s="95"/>
      <c r="AVR55" s="95"/>
      <c r="AVS55" s="95"/>
      <c r="AVT55" s="95"/>
      <c r="AVU55" s="95"/>
      <c r="AVV55" s="95"/>
      <c r="AVW55" s="95"/>
      <c r="AVX55" s="95"/>
      <c r="AVY55" s="95"/>
      <c r="AVZ55" s="95"/>
      <c r="AWA55" s="95"/>
      <c r="AWB55" s="95"/>
      <c r="AWC55" s="95"/>
      <c r="AWD55" s="95"/>
      <c r="AWE55" s="95"/>
      <c r="AWF55" s="95"/>
      <c r="AWG55" s="95"/>
      <c r="AWH55" s="95"/>
      <c r="AWI55" s="95"/>
      <c r="AWJ55" s="95"/>
      <c r="AWK55" s="95"/>
      <c r="AWL55" s="95"/>
      <c r="AWM55" s="95"/>
      <c r="AWN55" s="95"/>
      <c r="AWO55" s="95"/>
      <c r="AWP55" s="95"/>
      <c r="AWQ55" s="95"/>
      <c r="AWR55" s="95"/>
      <c r="AWS55" s="95"/>
      <c r="AWT55" s="95"/>
      <c r="AWU55" s="95"/>
      <c r="AWV55" s="95"/>
      <c r="AWW55" s="95"/>
      <c r="AWX55" s="95"/>
      <c r="AWY55" s="95"/>
      <c r="AWZ55" s="95"/>
      <c r="AXA55" s="95"/>
      <c r="AXB55" s="95"/>
      <c r="AXC55" s="95"/>
      <c r="AXD55" s="95"/>
      <c r="AXE55" s="95"/>
      <c r="AXF55" s="95"/>
      <c r="AXG55" s="95"/>
      <c r="AXH55" s="95"/>
      <c r="AXI55" s="95"/>
      <c r="AXJ55" s="95"/>
      <c r="AXK55" s="95"/>
      <c r="AXL55" s="95"/>
      <c r="AXM55" s="95"/>
      <c r="AXN55" s="95"/>
      <c r="AXO55" s="95"/>
      <c r="AXP55" s="95"/>
      <c r="AXQ55" s="95"/>
      <c r="AXR55" s="95"/>
      <c r="AXS55" s="95"/>
      <c r="AXT55" s="95"/>
      <c r="AXU55" s="95"/>
      <c r="AXV55" s="95"/>
      <c r="AXW55" s="95"/>
      <c r="AXX55" s="95"/>
      <c r="AXY55" s="95"/>
      <c r="AXZ55" s="95"/>
      <c r="AYA55" s="95"/>
      <c r="AYB55" s="95"/>
      <c r="AYC55" s="95"/>
      <c r="AYD55" s="95"/>
      <c r="AYE55" s="95"/>
      <c r="AYF55" s="95"/>
      <c r="AYG55" s="95"/>
      <c r="AYH55" s="95"/>
      <c r="AYI55" s="95"/>
      <c r="AYJ55" s="95"/>
      <c r="AYK55" s="95"/>
      <c r="AYL55" s="95"/>
      <c r="AYM55" s="95"/>
      <c r="AYN55" s="95"/>
      <c r="AYO55" s="95"/>
      <c r="AYP55" s="95"/>
      <c r="AYQ55" s="95"/>
      <c r="AYR55" s="95"/>
      <c r="AYS55" s="95"/>
      <c r="AYT55" s="95"/>
      <c r="AYU55" s="95"/>
      <c r="AYV55" s="95"/>
      <c r="AYW55" s="95"/>
      <c r="AYX55" s="95"/>
      <c r="AYY55" s="95"/>
      <c r="AYZ55" s="95"/>
      <c r="AZA55" s="95"/>
      <c r="AZB55" s="95"/>
      <c r="AZC55" s="95"/>
      <c r="AZD55" s="95"/>
      <c r="AZE55" s="95"/>
      <c r="AZF55" s="95"/>
      <c r="AZG55" s="95"/>
      <c r="AZH55" s="95"/>
      <c r="AZI55" s="95"/>
      <c r="AZJ55" s="95"/>
      <c r="AZK55" s="95"/>
      <c r="AZL55" s="95"/>
      <c r="AZM55" s="95"/>
      <c r="AZN55" s="95"/>
      <c r="AZO55" s="95"/>
      <c r="AZP55" s="95"/>
      <c r="AZQ55" s="95"/>
      <c r="AZR55" s="95"/>
      <c r="AZS55" s="95"/>
      <c r="AZT55" s="95"/>
      <c r="AZU55" s="95"/>
      <c r="AZV55" s="95"/>
      <c r="AZW55" s="95"/>
      <c r="AZX55" s="95"/>
      <c r="AZY55" s="95"/>
      <c r="AZZ55" s="95"/>
      <c r="BAA55" s="95"/>
      <c r="BAB55" s="95"/>
      <c r="BAC55" s="95"/>
      <c r="BAD55" s="95"/>
      <c r="BAE55" s="95"/>
      <c r="BAF55" s="95"/>
      <c r="BAG55" s="95"/>
      <c r="BAH55" s="95"/>
      <c r="BAI55" s="95"/>
      <c r="BAJ55" s="95"/>
      <c r="BAK55" s="95"/>
      <c r="BAL55" s="95"/>
      <c r="BAM55" s="95"/>
      <c r="BAN55" s="95"/>
      <c r="BAO55" s="95"/>
      <c r="BAP55" s="95"/>
      <c r="BAQ55" s="95"/>
      <c r="BAR55" s="95"/>
      <c r="BAS55" s="95"/>
      <c r="BAT55" s="95"/>
      <c r="BAU55" s="95"/>
      <c r="BAV55" s="95"/>
      <c r="BAW55" s="95"/>
      <c r="BAX55" s="95"/>
      <c r="BAY55" s="95"/>
      <c r="BAZ55" s="95"/>
      <c r="BBA55" s="95"/>
      <c r="BBB55" s="95"/>
      <c r="BBC55" s="95"/>
      <c r="BBD55" s="95"/>
      <c r="BBE55" s="95"/>
      <c r="BBF55" s="95"/>
      <c r="BBG55" s="95"/>
      <c r="BBH55" s="95"/>
      <c r="BBI55" s="95"/>
      <c r="BBJ55" s="95"/>
      <c r="BBK55" s="95"/>
      <c r="BBL55" s="95"/>
      <c r="BBM55" s="95"/>
      <c r="BBN55" s="95"/>
      <c r="BBO55" s="95"/>
      <c r="BBP55" s="95"/>
      <c r="BBQ55" s="95"/>
      <c r="BBR55" s="95"/>
      <c r="BBS55" s="95"/>
      <c r="BBT55" s="95"/>
      <c r="BBU55" s="95"/>
      <c r="BBV55" s="95"/>
      <c r="BBW55" s="95"/>
      <c r="BBX55" s="95"/>
      <c r="BBY55" s="95"/>
      <c r="BBZ55" s="95"/>
      <c r="BCA55" s="95"/>
      <c r="BCB55" s="95"/>
      <c r="BCC55" s="95"/>
      <c r="BCD55" s="95"/>
      <c r="BCE55" s="95"/>
      <c r="BCF55" s="95"/>
      <c r="BCG55" s="95"/>
      <c r="BCH55" s="95"/>
      <c r="BCI55" s="95"/>
      <c r="BCJ55" s="95"/>
      <c r="BCK55" s="95"/>
      <c r="BCL55" s="95"/>
      <c r="BCM55" s="95"/>
      <c r="BCN55" s="95"/>
      <c r="BCO55" s="95"/>
      <c r="BCP55" s="95"/>
      <c r="BCQ55" s="95"/>
      <c r="BCR55" s="95"/>
      <c r="BCS55" s="95"/>
      <c r="BCT55" s="95"/>
      <c r="BCU55" s="95"/>
      <c r="BCV55" s="95"/>
      <c r="BCW55" s="95"/>
      <c r="BCX55" s="95"/>
      <c r="BCY55" s="95"/>
      <c r="BCZ55" s="95"/>
      <c r="BDA55" s="95"/>
      <c r="BDB55" s="95"/>
      <c r="BDC55" s="95"/>
      <c r="BDD55" s="95"/>
      <c r="BDE55" s="95"/>
      <c r="BDF55" s="95"/>
      <c r="BDG55" s="95"/>
      <c r="BDH55" s="95"/>
      <c r="BDI55" s="95"/>
      <c r="BDJ55" s="95"/>
      <c r="BDK55" s="95"/>
      <c r="BDL55" s="95"/>
      <c r="BDM55" s="95"/>
      <c r="BDN55" s="95"/>
      <c r="BDO55" s="95"/>
      <c r="BDP55" s="95"/>
      <c r="BDQ55" s="95"/>
      <c r="BDR55" s="95"/>
      <c r="BDS55" s="95"/>
      <c r="BDT55" s="95"/>
      <c r="BDU55" s="95"/>
      <c r="BDV55" s="95"/>
      <c r="BDW55" s="95"/>
      <c r="BDX55" s="95"/>
      <c r="BDY55" s="95"/>
      <c r="BDZ55" s="95"/>
      <c r="BEA55" s="95"/>
      <c r="BEB55" s="95"/>
      <c r="BEC55" s="95"/>
      <c r="BED55" s="95"/>
      <c r="BEE55" s="95"/>
      <c r="BEF55" s="95"/>
      <c r="BEG55" s="95"/>
      <c r="BEH55" s="95"/>
      <c r="BEI55" s="95"/>
      <c r="BEJ55" s="95"/>
      <c r="BEK55" s="95"/>
      <c r="BEL55" s="95"/>
      <c r="BEM55" s="95"/>
      <c r="BEN55" s="95"/>
      <c r="BEO55" s="95"/>
      <c r="BEP55" s="95"/>
      <c r="BEQ55" s="95"/>
      <c r="BER55" s="95"/>
      <c r="BES55" s="95"/>
      <c r="BET55" s="95"/>
      <c r="BEU55" s="95"/>
      <c r="BEV55" s="95"/>
      <c r="BEW55" s="95"/>
      <c r="BEX55" s="95"/>
      <c r="BEY55" s="95"/>
      <c r="BEZ55" s="95"/>
      <c r="BFA55" s="95"/>
      <c r="BFB55" s="95"/>
      <c r="BFC55" s="95"/>
      <c r="BFD55" s="95"/>
      <c r="BFE55" s="95"/>
      <c r="BFF55" s="95"/>
      <c r="BFG55" s="95"/>
      <c r="BFH55" s="95"/>
      <c r="BFI55" s="95"/>
      <c r="BFJ55" s="95"/>
      <c r="BFK55" s="95"/>
      <c r="BFL55" s="95"/>
      <c r="BFM55" s="95"/>
      <c r="BFN55" s="95"/>
      <c r="BFO55" s="95"/>
      <c r="BFP55" s="95"/>
      <c r="BFQ55" s="95"/>
      <c r="BFR55" s="95"/>
      <c r="BFS55" s="95"/>
      <c r="BFT55" s="95"/>
      <c r="BFU55" s="95"/>
      <c r="BFV55" s="95"/>
      <c r="BFW55" s="95"/>
      <c r="BFX55" s="95"/>
      <c r="BFY55" s="95"/>
      <c r="BFZ55" s="95"/>
      <c r="BGA55" s="95"/>
      <c r="BGB55" s="95"/>
      <c r="BGC55" s="95"/>
      <c r="BGD55" s="95"/>
      <c r="BGE55" s="95"/>
      <c r="BGF55" s="95"/>
      <c r="BGG55" s="95"/>
      <c r="BGH55" s="95"/>
      <c r="BGI55" s="95"/>
      <c r="BGJ55" s="95"/>
      <c r="BGK55" s="95"/>
      <c r="BGL55" s="95"/>
      <c r="BGM55" s="95"/>
      <c r="BGN55" s="95"/>
      <c r="BGO55" s="95"/>
      <c r="BGP55" s="95"/>
      <c r="BGQ55" s="95"/>
      <c r="BGR55" s="95"/>
      <c r="BGS55" s="95"/>
      <c r="BGT55" s="95"/>
      <c r="BGU55" s="95"/>
      <c r="BGV55" s="95"/>
      <c r="BGW55" s="95"/>
      <c r="BGX55" s="95"/>
      <c r="BGY55" s="95"/>
      <c r="BGZ55" s="95"/>
      <c r="BHA55" s="95"/>
      <c r="BHB55" s="95"/>
      <c r="BHC55" s="95"/>
      <c r="BHD55" s="95"/>
      <c r="BHE55" s="95"/>
      <c r="BHF55" s="95"/>
      <c r="BHG55" s="95"/>
      <c r="BHH55" s="95"/>
      <c r="BHI55" s="95"/>
      <c r="BHJ55" s="95"/>
      <c r="BHK55" s="95"/>
      <c r="BHL55" s="95"/>
      <c r="BHM55" s="95"/>
      <c r="BHN55" s="95"/>
      <c r="BHO55" s="95"/>
      <c r="BHP55" s="95"/>
      <c r="BHQ55" s="95"/>
      <c r="BHR55" s="95"/>
      <c r="BHS55" s="95"/>
      <c r="BHT55" s="95"/>
      <c r="BHU55" s="95"/>
      <c r="BHV55" s="95"/>
      <c r="BHW55" s="95"/>
      <c r="BHX55" s="95"/>
      <c r="BHY55" s="95"/>
      <c r="BHZ55" s="95"/>
      <c r="BIA55" s="95"/>
      <c r="BIB55" s="95"/>
      <c r="BIC55" s="95"/>
      <c r="BID55" s="95"/>
      <c r="BIE55" s="95"/>
      <c r="BIF55" s="95"/>
      <c r="BIG55" s="95"/>
      <c r="BIH55" s="95"/>
      <c r="BII55" s="95"/>
      <c r="BIJ55" s="95"/>
      <c r="BIK55" s="95"/>
      <c r="BIL55" s="95"/>
      <c r="BIM55" s="95"/>
      <c r="BIN55" s="95"/>
      <c r="BIO55" s="95"/>
      <c r="BIP55" s="95"/>
      <c r="BIQ55" s="95"/>
      <c r="BIR55" s="95"/>
      <c r="BIS55" s="95"/>
      <c r="BIT55" s="95"/>
      <c r="BIU55" s="95"/>
      <c r="BIV55" s="95"/>
      <c r="BIW55" s="95"/>
      <c r="BIX55" s="95"/>
      <c r="BIY55" s="95"/>
      <c r="BIZ55" s="95"/>
      <c r="BJA55" s="95"/>
      <c r="BJB55" s="95"/>
      <c r="BJC55" s="95"/>
      <c r="BJD55" s="95"/>
      <c r="BJE55" s="95"/>
      <c r="BJF55" s="95"/>
      <c r="BJG55" s="95"/>
      <c r="BJH55" s="95"/>
      <c r="BJI55" s="95"/>
      <c r="BJJ55" s="95"/>
      <c r="BJK55" s="95"/>
      <c r="BJL55" s="95"/>
      <c r="BJM55" s="95"/>
      <c r="BJN55" s="95"/>
      <c r="BJO55" s="95"/>
      <c r="BJP55" s="95"/>
      <c r="BJQ55" s="95"/>
      <c r="BJR55" s="95"/>
      <c r="BJS55" s="95"/>
      <c r="BJT55" s="95"/>
      <c r="BJU55" s="95"/>
      <c r="BJV55" s="95"/>
      <c r="BJW55" s="95"/>
      <c r="BJX55" s="95"/>
      <c r="BJY55" s="95"/>
      <c r="BJZ55" s="95"/>
      <c r="BKA55" s="95"/>
      <c r="BKB55" s="95"/>
      <c r="BKC55" s="95"/>
      <c r="BKD55" s="95"/>
      <c r="BKE55" s="95"/>
      <c r="BKF55" s="95"/>
      <c r="BKG55" s="95"/>
      <c r="BKH55" s="95"/>
      <c r="BKI55" s="95"/>
      <c r="BKJ55" s="95"/>
      <c r="BKK55" s="95"/>
      <c r="BKL55" s="95"/>
      <c r="BKM55" s="95"/>
      <c r="BKN55" s="95"/>
      <c r="BKO55" s="95"/>
      <c r="BKP55" s="95"/>
      <c r="BKQ55" s="95"/>
      <c r="BKR55" s="95"/>
      <c r="BKS55" s="95"/>
      <c r="BKT55" s="95"/>
      <c r="BKU55" s="95"/>
      <c r="BKV55" s="95"/>
      <c r="BKW55" s="95"/>
      <c r="BKX55" s="95"/>
      <c r="BKY55" s="95"/>
      <c r="BKZ55" s="95"/>
      <c r="BLA55" s="95"/>
      <c r="BLB55" s="95"/>
      <c r="BLC55" s="95"/>
      <c r="BLD55" s="95"/>
      <c r="BLE55" s="95"/>
      <c r="BLF55" s="95"/>
      <c r="BLG55" s="95"/>
      <c r="BLH55" s="95"/>
      <c r="BLI55" s="95"/>
      <c r="BLJ55" s="95"/>
      <c r="BLK55" s="95"/>
      <c r="BLL55" s="95"/>
      <c r="BLM55" s="95"/>
      <c r="BLN55" s="95"/>
      <c r="BLO55" s="95"/>
      <c r="BLP55" s="95"/>
      <c r="BLQ55" s="95"/>
      <c r="BLR55" s="95"/>
      <c r="BLS55" s="95"/>
      <c r="BLT55" s="95"/>
      <c r="BLU55" s="95"/>
      <c r="BLV55" s="95"/>
      <c r="BLW55" s="95"/>
      <c r="BLX55" s="95"/>
      <c r="BLY55" s="95"/>
      <c r="BLZ55" s="95"/>
      <c r="BMA55" s="95"/>
      <c r="BMB55" s="95"/>
      <c r="BMC55" s="95"/>
      <c r="BMD55" s="95"/>
      <c r="BME55" s="95"/>
      <c r="BMF55" s="95"/>
      <c r="BMG55" s="95"/>
      <c r="BMH55" s="95"/>
      <c r="BMI55" s="95"/>
      <c r="BMJ55" s="95"/>
      <c r="BMK55" s="95"/>
      <c r="BML55" s="95"/>
      <c r="BMM55" s="95"/>
      <c r="BMN55" s="95"/>
      <c r="BMO55" s="95"/>
      <c r="BMP55" s="95"/>
      <c r="BMQ55" s="95"/>
      <c r="BMR55" s="95"/>
      <c r="BMS55" s="95"/>
      <c r="BMT55" s="95"/>
      <c r="BMU55" s="95"/>
      <c r="BMV55" s="95"/>
      <c r="BMW55" s="95"/>
      <c r="BMX55" s="95"/>
      <c r="BMY55" s="95"/>
      <c r="BMZ55" s="95"/>
      <c r="BNA55" s="95"/>
      <c r="BNB55" s="95"/>
      <c r="BNC55" s="95"/>
      <c r="BND55" s="95"/>
      <c r="BNE55" s="95"/>
      <c r="BNF55" s="95"/>
      <c r="BNG55" s="95"/>
      <c r="BNH55" s="95"/>
      <c r="BNI55" s="95"/>
      <c r="BNJ55" s="95"/>
      <c r="BNK55" s="95"/>
      <c r="BNL55" s="95"/>
      <c r="BNM55" s="95"/>
      <c r="BNN55" s="95"/>
      <c r="BNO55" s="95"/>
      <c r="BNP55" s="95"/>
      <c r="BNQ55" s="95"/>
      <c r="BNR55" s="95"/>
      <c r="BNS55" s="95"/>
      <c r="BNT55" s="95"/>
      <c r="BNU55" s="95"/>
      <c r="BNV55" s="95"/>
      <c r="BNW55" s="95"/>
      <c r="BNX55" s="95"/>
      <c r="BNY55" s="95"/>
      <c r="BNZ55" s="95"/>
      <c r="BOA55" s="95"/>
      <c r="BOB55" s="95"/>
      <c r="BOC55" s="95"/>
      <c r="BOD55" s="95"/>
      <c r="BOE55" s="95"/>
      <c r="BOF55" s="95"/>
      <c r="BOG55" s="95"/>
      <c r="BOH55" s="95"/>
      <c r="BOI55" s="95"/>
      <c r="BOJ55" s="95"/>
      <c r="BOK55" s="95"/>
      <c r="BOL55" s="95"/>
      <c r="BOM55" s="95"/>
      <c r="BON55" s="95"/>
      <c r="BOO55" s="95"/>
      <c r="BOP55" s="95"/>
      <c r="BOQ55" s="95"/>
      <c r="BOR55" s="95"/>
      <c r="BOS55" s="95"/>
      <c r="BOT55" s="95"/>
      <c r="BOU55" s="95"/>
      <c r="BOV55" s="95"/>
      <c r="BOW55" s="95"/>
      <c r="BOX55" s="95"/>
      <c r="BOY55" s="95"/>
      <c r="BOZ55" s="95"/>
      <c r="BPA55" s="95"/>
      <c r="BPB55" s="95"/>
      <c r="BPC55" s="95"/>
      <c r="BPD55" s="95"/>
      <c r="BPE55" s="95"/>
      <c r="BPF55" s="95"/>
      <c r="BPG55" s="95"/>
      <c r="BPH55" s="95"/>
      <c r="BPI55" s="95"/>
      <c r="BPJ55" s="95"/>
      <c r="BPK55" s="95"/>
      <c r="BPL55" s="95"/>
      <c r="BPM55" s="95"/>
      <c r="BPN55" s="95"/>
      <c r="BPO55" s="95"/>
      <c r="BPP55" s="95"/>
      <c r="BPQ55" s="95"/>
      <c r="BPR55" s="95"/>
      <c r="BPS55" s="95"/>
      <c r="BPT55" s="95"/>
      <c r="BPU55" s="95"/>
      <c r="BPV55" s="95"/>
      <c r="BPW55" s="95"/>
      <c r="BPX55" s="95"/>
      <c r="BPY55" s="95"/>
      <c r="BPZ55" s="95"/>
      <c r="BQA55" s="95"/>
      <c r="BQB55" s="95"/>
      <c r="BQC55" s="95"/>
      <c r="BQD55" s="95"/>
      <c r="BQE55" s="95"/>
      <c r="BQF55" s="95"/>
      <c r="BQG55" s="95"/>
      <c r="BQH55" s="95"/>
      <c r="BQI55" s="95"/>
      <c r="BQJ55" s="95"/>
      <c r="BQK55" s="95"/>
      <c r="BQL55" s="95"/>
      <c r="BQM55" s="95"/>
      <c r="BQN55" s="95"/>
      <c r="BQO55" s="95"/>
      <c r="BQP55" s="95"/>
      <c r="BQQ55" s="95"/>
      <c r="BQR55" s="95"/>
      <c r="BQS55" s="95"/>
      <c r="BQT55" s="95"/>
      <c r="BQU55" s="95"/>
      <c r="BQV55" s="95"/>
      <c r="BQW55" s="95"/>
      <c r="BQX55" s="95"/>
      <c r="BQY55" s="95"/>
      <c r="BQZ55" s="95"/>
      <c r="BRA55" s="95"/>
      <c r="BRB55" s="95"/>
      <c r="BRC55" s="95"/>
      <c r="BRD55" s="95"/>
      <c r="BRE55" s="95"/>
      <c r="BRF55" s="95"/>
      <c r="BRG55" s="95"/>
      <c r="BRH55" s="95"/>
      <c r="BRI55" s="95"/>
      <c r="BRJ55" s="95"/>
      <c r="BRK55" s="95"/>
      <c r="BRL55" s="95"/>
      <c r="BRM55" s="95"/>
      <c r="BRN55" s="95"/>
      <c r="BRO55" s="95"/>
      <c r="BRP55" s="95"/>
      <c r="BRQ55" s="95"/>
      <c r="BRR55" s="95"/>
      <c r="BRS55" s="95"/>
      <c r="BRT55" s="95"/>
      <c r="BRU55" s="95"/>
      <c r="BRV55" s="95"/>
      <c r="BRW55" s="95"/>
      <c r="BRX55" s="95"/>
      <c r="BRY55" s="95"/>
      <c r="BRZ55" s="95"/>
      <c r="BSA55" s="95"/>
      <c r="BSB55" s="95"/>
      <c r="BSC55" s="95"/>
      <c r="BSD55" s="95"/>
      <c r="BSE55" s="95"/>
      <c r="BSF55" s="95"/>
      <c r="BSG55" s="95"/>
      <c r="BSH55" s="95"/>
      <c r="BSI55" s="95"/>
      <c r="BSJ55" s="95"/>
      <c r="BSK55" s="95"/>
      <c r="BSL55" s="95"/>
      <c r="BSM55" s="95"/>
      <c r="BSN55" s="95"/>
      <c r="BSO55" s="95"/>
      <c r="BSP55" s="95"/>
      <c r="BSQ55" s="95"/>
      <c r="BSR55" s="95"/>
      <c r="BSS55" s="95"/>
      <c r="BST55" s="95"/>
      <c r="BSU55" s="95"/>
      <c r="BSV55" s="95"/>
      <c r="BSW55" s="95"/>
      <c r="BSX55" s="95"/>
      <c r="BSY55" s="95"/>
      <c r="BSZ55" s="95"/>
      <c r="BTA55" s="95"/>
      <c r="BTB55" s="95"/>
      <c r="BTC55" s="95"/>
      <c r="BTD55" s="95"/>
      <c r="BTE55" s="95"/>
      <c r="BTF55" s="95"/>
      <c r="BTG55" s="95"/>
      <c r="BTH55" s="95"/>
      <c r="BTI55" s="95"/>
      <c r="BTJ55" s="95"/>
      <c r="BTK55" s="95"/>
      <c r="BTL55" s="95"/>
      <c r="BTM55" s="95"/>
      <c r="BTN55" s="95"/>
      <c r="BTO55" s="95"/>
      <c r="BTP55" s="95"/>
      <c r="BTQ55" s="95"/>
      <c r="BTR55" s="95"/>
      <c r="BTS55" s="95"/>
      <c r="BTT55" s="95"/>
      <c r="BTU55" s="95"/>
      <c r="BTV55" s="95"/>
      <c r="BTW55" s="95"/>
      <c r="BTX55" s="95"/>
      <c r="BTY55" s="95"/>
      <c r="BTZ55" s="95"/>
      <c r="BUA55" s="95"/>
      <c r="BUB55" s="95"/>
      <c r="BUC55" s="95"/>
      <c r="BUD55" s="95"/>
      <c r="BUE55" s="95"/>
      <c r="BUF55" s="95"/>
      <c r="BUG55" s="95"/>
      <c r="BUH55" s="95"/>
      <c r="BUI55" s="95"/>
      <c r="BUJ55" s="95"/>
      <c r="BUK55" s="95"/>
      <c r="BUL55" s="95"/>
      <c r="BUM55" s="95"/>
      <c r="BUN55" s="95"/>
      <c r="BUO55" s="95"/>
      <c r="BUP55" s="95"/>
      <c r="BUQ55" s="95"/>
      <c r="BUR55" s="95"/>
      <c r="BUS55" s="95"/>
      <c r="BUT55" s="95"/>
      <c r="BUU55" s="95"/>
      <c r="BUV55" s="95"/>
      <c r="BUW55" s="95"/>
      <c r="BUX55" s="95"/>
      <c r="BUY55" s="95"/>
      <c r="BUZ55" s="95"/>
      <c r="BVA55" s="95"/>
      <c r="BVB55" s="95"/>
      <c r="BVC55" s="95"/>
      <c r="BVD55" s="95"/>
      <c r="BVE55" s="95"/>
      <c r="BVF55" s="95"/>
      <c r="BVG55" s="95"/>
      <c r="BVH55" s="95"/>
      <c r="BVI55" s="95"/>
      <c r="BVJ55" s="95"/>
      <c r="BVK55" s="95"/>
      <c r="BVL55" s="95"/>
      <c r="BVM55" s="95"/>
      <c r="BVN55" s="95"/>
      <c r="BVO55" s="95"/>
      <c r="BVP55" s="95"/>
      <c r="BVQ55" s="95"/>
      <c r="BVR55" s="95"/>
      <c r="BVS55" s="95"/>
      <c r="BVT55" s="95"/>
      <c r="BVU55" s="95"/>
      <c r="BVV55" s="95"/>
      <c r="BVW55" s="95"/>
      <c r="BVX55" s="95"/>
      <c r="BVY55" s="95"/>
      <c r="BVZ55" s="95"/>
      <c r="BWA55" s="95"/>
      <c r="BWB55" s="95"/>
      <c r="BWC55" s="95"/>
      <c r="BWD55" s="95"/>
      <c r="BWE55" s="95"/>
      <c r="BWF55" s="95"/>
      <c r="BWG55" s="95"/>
      <c r="BWH55" s="95"/>
      <c r="BWI55" s="95"/>
      <c r="BWJ55" s="95"/>
      <c r="BWK55" s="95"/>
      <c r="BWL55" s="95"/>
      <c r="BWM55" s="95"/>
      <c r="BWN55" s="95"/>
      <c r="BWO55" s="95"/>
      <c r="BWP55" s="95"/>
      <c r="BWQ55" s="95"/>
      <c r="BWR55" s="95"/>
      <c r="BWS55" s="95"/>
      <c r="BWT55" s="95"/>
      <c r="BWU55" s="95"/>
      <c r="BWV55" s="95"/>
      <c r="BWW55" s="95"/>
      <c r="BWX55" s="95"/>
      <c r="BWY55" s="95"/>
      <c r="BWZ55" s="95"/>
      <c r="BXA55" s="95"/>
      <c r="BXB55" s="95"/>
      <c r="BXC55" s="95"/>
      <c r="BXD55" s="95"/>
      <c r="BXE55" s="95"/>
      <c r="BXF55" s="95"/>
      <c r="BXG55" s="95"/>
      <c r="BXH55" s="95"/>
      <c r="BXI55" s="95"/>
      <c r="BXJ55" s="95"/>
      <c r="BXK55" s="95"/>
      <c r="BXL55" s="95"/>
      <c r="BXM55" s="95"/>
      <c r="BXN55" s="95"/>
      <c r="BXO55" s="95"/>
      <c r="BXP55" s="95"/>
      <c r="BXQ55" s="95"/>
      <c r="BXR55" s="95"/>
      <c r="BXS55" s="95"/>
      <c r="BXT55" s="95"/>
      <c r="BXU55" s="95"/>
      <c r="BXV55" s="95"/>
      <c r="BXW55" s="95"/>
      <c r="BXX55" s="95"/>
      <c r="BXY55" s="95"/>
      <c r="BXZ55" s="95"/>
      <c r="BYA55" s="95"/>
      <c r="BYB55" s="95"/>
      <c r="BYC55" s="95"/>
      <c r="BYD55" s="95"/>
      <c r="BYE55" s="95"/>
      <c r="BYF55" s="95"/>
      <c r="BYG55" s="95"/>
    </row>
    <row r="56" spans="1:2009" s="95" customFormat="1" ht="12.75" customHeight="1" thickBot="1" x14ac:dyDescent="0.3">
      <c r="A56" s="111"/>
      <c r="B56" s="111"/>
      <c r="C56" s="176"/>
      <c r="D56" s="176"/>
      <c r="E56" s="176"/>
      <c r="F56" s="176"/>
      <c r="G56" s="715"/>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row>
    <row r="57" spans="1:2009" s="121" customFormat="1" ht="24.95" customHeight="1" thickBot="1" x14ac:dyDescent="0.3">
      <c r="A57" s="484" t="s">
        <v>366</v>
      </c>
      <c r="B57" s="481"/>
      <c r="C57" s="482">
        <v>807.59</v>
      </c>
      <c r="D57" s="483">
        <f>744.69+356.67</f>
        <v>1101.3600000000001</v>
      </c>
      <c r="E57" s="483"/>
      <c r="F57" s="483"/>
      <c r="G57" s="735">
        <f>SUM(C57:F57)</f>
        <v>1908.9500000000003</v>
      </c>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5"/>
      <c r="IP57" s="95"/>
      <c r="IQ57" s="95"/>
      <c r="IR57" s="95"/>
      <c r="IS57" s="95"/>
      <c r="IT57" s="95"/>
      <c r="IU57" s="95"/>
      <c r="IV57" s="95"/>
      <c r="IW57" s="95"/>
      <c r="IX57" s="95"/>
      <c r="IY57" s="95"/>
      <c r="IZ57" s="95"/>
      <c r="JA57" s="95"/>
      <c r="JB57" s="95"/>
      <c r="JC57" s="95"/>
      <c r="JD57" s="95"/>
      <c r="JE57" s="95"/>
      <c r="JF57" s="95"/>
      <c r="JG57" s="95"/>
      <c r="JH57" s="95"/>
      <c r="JI57" s="95"/>
      <c r="JJ57" s="95"/>
      <c r="JK57" s="95"/>
      <c r="JL57" s="95"/>
      <c r="JM57" s="95"/>
      <c r="JN57" s="95"/>
      <c r="JO57" s="95"/>
      <c r="JP57" s="95"/>
      <c r="JQ57" s="95"/>
      <c r="JR57" s="95"/>
      <c r="JS57" s="95"/>
      <c r="JT57" s="95"/>
      <c r="JU57" s="95"/>
      <c r="JV57" s="95"/>
      <c r="JW57" s="95"/>
      <c r="JX57" s="95"/>
      <c r="JY57" s="95"/>
      <c r="JZ57" s="95"/>
      <c r="KA57" s="95"/>
      <c r="KB57" s="95"/>
      <c r="KC57" s="95"/>
      <c r="KD57" s="95"/>
      <c r="KE57" s="95"/>
      <c r="KF57" s="95"/>
      <c r="KG57" s="95"/>
      <c r="KH57" s="95"/>
      <c r="KI57" s="95"/>
      <c r="KJ57" s="95"/>
      <c r="KK57" s="95"/>
      <c r="KL57" s="95"/>
      <c r="KM57" s="95"/>
      <c r="KN57" s="95"/>
      <c r="KO57" s="95"/>
      <c r="KP57" s="95"/>
      <c r="KQ57" s="95"/>
      <c r="KR57" s="95"/>
      <c r="KS57" s="95"/>
      <c r="KT57" s="95"/>
      <c r="KU57" s="95"/>
      <c r="KV57" s="95"/>
      <c r="KW57" s="95"/>
      <c r="KX57" s="95"/>
      <c r="KY57" s="95"/>
      <c r="KZ57" s="95"/>
      <c r="LA57" s="95"/>
      <c r="LB57" s="95"/>
      <c r="LC57" s="95"/>
      <c r="LD57" s="95"/>
      <c r="LE57" s="95"/>
      <c r="LF57" s="95"/>
      <c r="LG57" s="95"/>
      <c r="LH57" s="95"/>
      <c r="LI57" s="95"/>
      <c r="LJ57" s="95"/>
      <c r="LK57" s="95"/>
      <c r="LL57" s="95"/>
      <c r="LM57" s="95"/>
      <c r="LN57" s="95"/>
      <c r="LO57" s="95"/>
      <c r="LP57" s="95"/>
      <c r="LQ57" s="95"/>
      <c r="LR57" s="95"/>
      <c r="LS57" s="95"/>
      <c r="LT57" s="95"/>
      <c r="LU57" s="95"/>
      <c r="LV57" s="95"/>
      <c r="LW57" s="95"/>
      <c r="LX57" s="95"/>
      <c r="LY57" s="95"/>
      <c r="LZ57" s="95"/>
      <c r="MA57" s="95"/>
      <c r="MB57" s="95"/>
      <c r="MC57" s="95"/>
      <c r="MD57" s="95"/>
      <c r="ME57" s="95"/>
      <c r="MF57" s="95"/>
      <c r="MG57" s="95"/>
      <c r="MH57" s="95"/>
      <c r="MI57" s="95"/>
      <c r="MJ57" s="95"/>
      <c r="MK57" s="95"/>
      <c r="ML57" s="95"/>
      <c r="MM57" s="95"/>
      <c r="MN57" s="95"/>
      <c r="MO57" s="95"/>
      <c r="MP57" s="95"/>
      <c r="MQ57" s="95"/>
      <c r="MR57" s="95"/>
      <c r="MS57" s="95"/>
      <c r="MT57" s="95"/>
      <c r="MU57" s="95"/>
      <c r="MV57" s="95"/>
      <c r="MW57" s="95"/>
      <c r="MX57" s="95"/>
      <c r="MY57" s="95"/>
      <c r="MZ57" s="95"/>
      <c r="NA57" s="95"/>
      <c r="NB57" s="95"/>
      <c r="NC57" s="95"/>
      <c r="ND57" s="95"/>
      <c r="NE57" s="95"/>
      <c r="NF57" s="95"/>
      <c r="NG57" s="95"/>
      <c r="NH57" s="95"/>
      <c r="NI57" s="95"/>
      <c r="NJ57" s="95"/>
      <c r="NK57" s="95"/>
      <c r="NL57" s="95"/>
      <c r="NM57" s="95"/>
      <c r="NN57" s="95"/>
      <c r="NO57" s="95"/>
      <c r="NP57" s="95"/>
      <c r="NQ57" s="95"/>
      <c r="NR57" s="95"/>
      <c r="NS57" s="95"/>
      <c r="NT57" s="95"/>
      <c r="NU57" s="95"/>
      <c r="NV57" s="95"/>
      <c r="NW57" s="95"/>
      <c r="NX57" s="95"/>
      <c r="NY57" s="95"/>
      <c r="NZ57" s="95"/>
      <c r="OA57" s="95"/>
      <c r="OB57" s="95"/>
      <c r="OC57" s="95"/>
      <c r="OD57" s="95"/>
      <c r="OE57" s="95"/>
      <c r="OF57" s="95"/>
      <c r="OG57" s="95"/>
      <c r="OH57" s="95"/>
      <c r="OI57" s="95"/>
      <c r="OJ57" s="95"/>
      <c r="OK57" s="95"/>
      <c r="OL57" s="95"/>
      <c r="OM57" s="95"/>
      <c r="ON57" s="95"/>
      <c r="OO57" s="95"/>
      <c r="OP57" s="95"/>
      <c r="OQ57" s="95"/>
      <c r="OR57" s="95"/>
      <c r="OS57" s="95"/>
      <c r="OT57" s="95"/>
      <c r="OU57" s="95"/>
      <c r="OV57" s="95"/>
      <c r="OW57" s="95"/>
      <c r="OX57" s="95"/>
      <c r="OY57" s="95"/>
      <c r="OZ57" s="95"/>
      <c r="PA57" s="95"/>
      <c r="PB57" s="95"/>
      <c r="PC57" s="95"/>
      <c r="PD57" s="95"/>
      <c r="PE57" s="95"/>
      <c r="PF57" s="95"/>
      <c r="PG57" s="95"/>
      <c r="PH57" s="95"/>
      <c r="PI57" s="95"/>
      <c r="PJ57" s="95"/>
      <c r="PK57" s="95"/>
      <c r="PL57" s="95"/>
      <c r="PM57" s="95"/>
      <c r="PN57" s="95"/>
      <c r="PO57" s="95"/>
      <c r="PP57" s="95"/>
      <c r="PQ57" s="95"/>
      <c r="PR57" s="95"/>
      <c r="PS57" s="95"/>
      <c r="PT57" s="95"/>
      <c r="PU57" s="95"/>
      <c r="PV57" s="95"/>
      <c r="PW57" s="95"/>
      <c r="PX57" s="95"/>
      <c r="PY57" s="95"/>
      <c r="PZ57" s="95"/>
      <c r="QA57" s="95"/>
      <c r="QB57" s="95"/>
      <c r="QC57" s="95"/>
      <c r="QD57" s="95"/>
      <c r="QE57" s="95"/>
      <c r="QF57" s="95"/>
      <c r="QG57" s="95"/>
      <c r="QH57" s="95"/>
      <c r="QI57" s="95"/>
      <c r="QJ57" s="95"/>
      <c r="QK57" s="95"/>
      <c r="QL57" s="95"/>
      <c r="QM57" s="95"/>
      <c r="QN57" s="95"/>
      <c r="QO57" s="95"/>
      <c r="QP57" s="95"/>
      <c r="QQ57" s="95"/>
      <c r="QR57" s="95"/>
      <c r="QS57" s="95"/>
      <c r="QT57" s="95"/>
      <c r="QU57" s="95"/>
      <c r="QV57" s="95"/>
      <c r="QW57" s="95"/>
      <c r="QX57" s="95"/>
      <c r="QY57" s="95"/>
      <c r="QZ57" s="95"/>
      <c r="RA57" s="95"/>
      <c r="RB57" s="95"/>
      <c r="RC57" s="95"/>
      <c r="RD57" s="95"/>
      <c r="RE57" s="95"/>
      <c r="RF57" s="95"/>
      <c r="RG57" s="95"/>
      <c r="RH57" s="95"/>
      <c r="RI57" s="95"/>
      <c r="RJ57" s="95"/>
      <c r="RK57" s="95"/>
      <c r="RL57" s="95"/>
      <c r="RM57" s="95"/>
      <c r="RN57" s="95"/>
      <c r="RO57" s="95"/>
      <c r="RP57" s="95"/>
      <c r="RQ57" s="95"/>
      <c r="RR57" s="95"/>
      <c r="RS57" s="95"/>
      <c r="RT57" s="95"/>
      <c r="RU57" s="95"/>
      <c r="RV57" s="95"/>
      <c r="RW57" s="95"/>
      <c r="RX57" s="95"/>
      <c r="RY57" s="95"/>
      <c r="RZ57" s="95"/>
      <c r="SA57" s="95"/>
      <c r="SB57" s="95"/>
      <c r="SC57" s="95"/>
      <c r="SD57" s="95"/>
      <c r="SE57" s="95"/>
      <c r="SF57" s="95"/>
      <c r="SG57" s="95"/>
      <c r="SH57" s="95"/>
      <c r="SI57" s="95"/>
      <c r="SJ57" s="95"/>
      <c r="SK57" s="95"/>
      <c r="SL57" s="95"/>
      <c r="SM57" s="95"/>
      <c r="SN57" s="95"/>
      <c r="SO57" s="95"/>
      <c r="SP57" s="95"/>
      <c r="SQ57" s="95"/>
      <c r="SR57" s="95"/>
      <c r="SS57" s="95"/>
      <c r="ST57" s="95"/>
      <c r="SU57" s="95"/>
      <c r="SV57" s="95"/>
      <c r="SW57" s="95"/>
      <c r="SX57" s="95"/>
      <c r="SY57" s="95"/>
      <c r="SZ57" s="95"/>
      <c r="TA57" s="95"/>
      <c r="TB57" s="95"/>
      <c r="TC57" s="95"/>
      <c r="TD57" s="95"/>
      <c r="TE57" s="95"/>
      <c r="TF57" s="95"/>
      <c r="TG57" s="95"/>
      <c r="TH57" s="95"/>
      <c r="TI57" s="95"/>
      <c r="TJ57" s="95"/>
      <c r="TK57" s="95"/>
      <c r="TL57" s="95"/>
      <c r="TM57" s="95"/>
      <c r="TN57" s="95"/>
      <c r="TO57" s="95"/>
      <c r="TP57" s="95"/>
      <c r="TQ57" s="95"/>
      <c r="TR57" s="95"/>
      <c r="TS57" s="95"/>
      <c r="TT57" s="95"/>
      <c r="TU57" s="95"/>
      <c r="TV57" s="95"/>
      <c r="TW57" s="95"/>
      <c r="TX57" s="95"/>
      <c r="TY57" s="95"/>
      <c r="TZ57" s="95"/>
      <c r="UA57" s="95"/>
      <c r="UB57" s="95"/>
      <c r="UC57" s="95"/>
      <c r="UD57" s="95"/>
      <c r="UE57" s="95"/>
      <c r="UF57" s="95"/>
      <c r="UG57" s="95"/>
      <c r="UH57" s="95"/>
      <c r="UI57" s="95"/>
      <c r="UJ57" s="95"/>
      <c r="UK57" s="95"/>
      <c r="UL57" s="95"/>
      <c r="UM57" s="95"/>
      <c r="UN57" s="95"/>
      <c r="UO57" s="95"/>
      <c r="UP57" s="95"/>
      <c r="UQ57" s="95"/>
      <c r="UR57" s="95"/>
      <c r="US57" s="95"/>
      <c r="UT57" s="95"/>
      <c r="UU57" s="95"/>
      <c r="UV57" s="95"/>
      <c r="UW57" s="95"/>
      <c r="UX57" s="95"/>
      <c r="UY57" s="95"/>
      <c r="UZ57" s="95"/>
      <c r="VA57" s="95"/>
      <c r="VB57" s="95"/>
      <c r="VC57" s="95"/>
      <c r="VD57" s="95"/>
      <c r="VE57" s="95"/>
      <c r="VF57" s="95"/>
      <c r="VG57" s="95"/>
      <c r="VH57" s="95"/>
      <c r="VI57" s="95"/>
      <c r="VJ57" s="95"/>
      <c r="VK57" s="95"/>
      <c r="VL57" s="95"/>
      <c r="VM57" s="95"/>
      <c r="VN57" s="95"/>
      <c r="VO57" s="95"/>
      <c r="VP57" s="95"/>
      <c r="VQ57" s="95"/>
      <c r="VR57" s="95"/>
      <c r="VS57" s="95"/>
      <c r="VT57" s="95"/>
      <c r="VU57" s="95"/>
      <c r="VV57" s="95"/>
      <c r="VW57" s="95"/>
      <c r="VX57" s="95"/>
      <c r="VY57" s="95"/>
      <c r="VZ57" s="95"/>
      <c r="WA57" s="95"/>
      <c r="WB57" s="95"/>
      <c r="WC57" s="95"/>
      <c r="WD57" s="95"/>
      <c r="WE57" s="95"/>
      <c r="WF57" s="95"/>
      <c r="WG57" s="95"/>
      <c r="WH57" s="95"/>
      <c r="WI57" s="95"/>
      <c r="WJ57" s="95"/>
      <c r="WK57" s="95"/>
      <c r="WL57" s="95"/>
      <c r="WM57" s="95"/>
      <c r="WN57" s="95"/>
      <c r="WO57" s="95"/>
      <c r="WP57" s="95"/>
      <c r="WQ57" s="95"/>
      <c r="WR57" s="95"/>
      <c r="WS57" s="95"/>
      <c r="WT57" s="95"/>
      <c r="WU57" s="95"/>
      <c r="WV57" s="95"/>
      <c r="WW57" s="95"/>
      <c r="WX57" s="95"/>
      <c r="WY57" s="95"/>
      <c r="WZ57" s="95"/>
      <c r="XA57" s="95"/>
      <c r="XB57" s="95"/>
      <c r="XC57" s="95"/>
      <c r="XD57" s="95"/>
      <c r="XE57" s="95"/>
      <c r="XF57" s="95"/>
      <c r="XG57" s="95"/>
      <c r="XH57" s="95"/>
      <c r="XI57" s="95"/>
      <c r="XJ57" s="95"/>
      <c r="XK57" s="95"/>
      <c r="XL57" s="95"/>
      <c r="XM57" s="95"/>
      <c r="XN57" s="95"/>
      <c r="XO57" s="95"/>
      <c r="XP57" s="95"/>
      <c r="XQ57" s="95"/>
      <c r="XR57" s="95"/>
      <c r="XS57" s="95"/>
      <c r="XT57" s="95"/>
      <c r="XU57" s="95"/>
      <c r="XV57" s="95"/>
      <c r="XW57" s="95"/>
      <c r="XX57" s="95"/>
      <c r="XY57" s="95"/>
      <c r="XZ57" s="95"/>
      <c r="YA57" s="95"/>
      <c r="YB57" s="95"/>
      <c r="YC57" s="95"/>
      <c r="YD57" s="95"/>
      <c r="YE57" s="95"/>
      <c r="YF57" s="95"/>
      <c r="YG57" s="95"/>
      <c r="YH57" s="95"/>
      <c r="YI57" s="95"/>
      <c r="YJ57" s="95"/>
      <c r="YK57" s="95"/>
      <c r="YL57" s="95"/>
      <c r="YM57" s="95"/>
      <c r="YN57" s="95"/>
      <c r="YO57" s="95"/>
      <c r="YP57" s="95"/>
      <c r="YQ57" s="95"/>
      <c r="YR57" s="95"/>
      <c r="YS57" s="95"/>
      <c r="YT57" s="95"/>
      <c r="YU57" s="95"/>
      <c r="YV57" s="95"/>
      <c r="YW57" s="95"/>
      <c r="YX57" s="95"/>
      <c r="YY57" s="95"/>
      <c r="YZ57" s="95"/>
      <c r="ZA57" s="95"/>
      <c r="ZB57" s="95"/>
      <c r="ZC57" s="95"/>
      <c r="ZD57" s="95"/>
      <c r="ZE57" s="95"/>
      <c r="ZF57" s="95"/>
      <c r="ZG57" s="95"/>
      <c r="ZH57" s="95"/>
      <c r="ZI57" s="95"/>
      <c r="ZJ57" s="95"/>
      <c r="ZK57" s="95"/>
      <c r="ZL57" s="95"/>
      <c r="ZM57" s="95"/>
      <c r="ZN57" s="95"/>
      <c r="ZO57" s="95"/>
      <c r="ZP57" s="95"/>
      <c r="ZQ57" s="95"/>
      <c r="ZR57" s="95"/>
      <c r="ZS57" s="95"/>
      <c r="ZT57" s="95"/>
      <c r="ZU57" s="95"/>
      <c r="ZV57" s="95"/>
      <c r="ZW57" s="95"/>
      <c r="ZX57" s="95"/>
      <c r="ZY57" s="95"/>
      <c r="ZZ57" s="95"/>
      <c r="AAA57" s="95"/>
      <c r="AAB57" s="95"/>
      <c r="AAC57" s="95"/>
      <c r="AAD57" s="95"/>
      <c r="AAE57" s="95"/>
      <c r="AAF57" s="95"/>
      <c r="AAG57" s="95"/>
      <c r="AAH57" s="95"/>
      <c r="AAI57" s="95"/>
      <c r="AAJ57" s="95"/>
      <c r="AAK57" s="95"/>
      <c r="AAL57" s="95"/>
      <c r="AAM57" s="95"/>
      <c r="AAN57" s="95"/>
      <c r="AAO57" s="95"/>
      <c r="AAP57" s="95"/>
      <c r="AAQ57" s="95"/>
      <c r="AAR57" s="95"/>
      <c r="AAS57" s="95"/>
      <c r="AAT57" s="95"/>
      <c r="AAU57" s="95"/>
      <c r="AAV57" s="95"/>
      <c r="AAW57" s="95"/>
      <c r="AAX57" s="95"/>
      <c r="AAY57" s="95"/>
      <c r="AAZ57" s="95"/>
      <c r="ABA57" s="95"/>
      <c r="ABB57" s="95"/>
      <c r="ABC57" s="95"/>
      <c r="ABD57" s="95"/>
      <c r="ABE57" s="95"/>
      <c r="ABF57" s="95"/>
      <c r="ABG57" s="95"/>
      <c r="ABH57" s="95"/>
      <c r="ABI57" s="95"/>
      <c r="ABJ57" s="95"/>
      <c r="ABK57" s="95"/>
      <c r="ABL57" s="95"/>
      <c r="ABM57" s="95"/>
      <c r="ABN57" s="95"/>
      <c r="ABO57" s="95"/>
      <c r="ABP57" s="95"/>
      <c r="ABQ57" s="95"/>
      <c r="ABR57" s="95"/>
      <c r="ABS57" s="95"/>
      <c r="ABT57" s="95"/>
      <c r="ABU57" s="95"/>
      <c r="ABV57" s="95"/>
      <c r="ABW57" s="95"/>
      <c r="ABX57" s="95"/>
      <c r="ABY57" s="95"/>
      <c r="ABZ57" s="95"/>
      <c r="ACA57" s="95"/>
      <c r="ACB57" s="95"/>
      <c r="ACC57" s="95"/>
      <c r="ACD57" s="95"/>
      <c r="ACE57" s="95"/>
      <c r="ACF57" s="95"/>
      <c r="ACG57" s="95"/>
      <c r="ACH57" s="95"/>
      <c r="ACI57" s="95"/>
      <c r="ACJ57" s="95"/>
      <c r="ACK57" s="95"/>
      <c r="ACL57" s="95"/>
      <c r="ACM57" s="95"/>
      <c r="ACN57" s="95"/>
      <c r="ACO57" s="95"/>
      <c r="ACP57" s="95"/>
      <c r="ACQ57" s="95"/>
      <c r="ACR57" s="95"/>
      <c r="ACS57" s="95"/>
      <c r="ACT57" s="95"/>
      <c r="ACU57" s="95"/>
      <c r="ACV57" s="95"/>
      <c r="ACW57" s="95"/>
      <c r="ACX57" s="95"/>
      <c r="ACY57" s="95"/>
      <c r="ACZ57" s="95"/>
      <c r="ADA57" s="95"/>
      <c r="ADB57" s="95"/>
      <c r="ADC57" s="95"/>
      <c r="ADD57" s="95"/>
      <c r="ADE57" s="95"/>
      <c r="ADF57" s="95"/>
      <c r="ADG57" s="95"/>
      <c r="ADH57" s="95"/>
      <c r="ADI57" s="95"/>
      <c r="ADJ57" s="95"/>
      <c r="ADK57" s="95"/>
      <c r="ADL57" s="95"/>
      <c r="ADM57" s="95"/>
      <c r="ADN57" s="95"/>
      <c r="ADO57" s="95"/>
      <c r="ADP57" s="95"/>
      <c r="ADQ57" s="95"/>
      <c r="ADR57" s="95"/>
      <c r="ADS57" s="95"/>
      <c r="ADT57" s="95"/>
      <c r="ADU57" s="95"/>
      <c r="ADV57" s="95"/>
      <c r="ADW57" s="95"/>
      <c r="ADX57" s="95"/>
      <c r="ADY57" s="95"/>
      <c r="ADZ57" s="95"/>
      <c r="AEA57" s="95"/>
      <c r="AEB57" s="95"/>
      <c r="AEC57" s="95"/>
      <c r="AED57" s="95"/>
      <c r="AEE57" s="95"/>
      <c r="AEF57" s="95"/>
      <c r="AEG57" s="95"/>
      <c r="AEH57" s="95"/>
      <c r="AEI57" s="95"/>
      <c r="AEJ57" s="95"/>
      <c r="AEK57" s="95"/>
      <c r="AEL57" s="95"/>
      <c r="AEM57" s="95"/>
      <c r="AEN57" s="95"/>
      <c r="AEO57" s="95"/>
      <c r="AEP57" s="95"/>
      <c r="AEQ57" s="95"/>
      <c r="AER57" s="95"/>
      <c r="AES57" s="95"/>
      <c r="AET57" s="95"/>
      <c r="AEU57" s="95"/>
      <c r="AEV57" s="95"/>
      <c r="AEW57" s="95"/>
      <c r="AEX57" s="95"/>
      <c r="AEY57" s="95"/>
      <c r="AEZ57" s="95"/>
      <c r="AFA57" s="95"/>
      <c r="AFB57" s="95"/>
      <c r="AFC57" s="95"/>
      <c r="AFD57" s="95"/>
      <c r="AFE57" s="95"/>
      <c r="AFF57" s="95"/>
      <c r="AFG57" s="95"/>
      <c r="AFH57" s="95"/>
      <c r="AFI57" s="95"/>
      <c r="AFJ57" s="95"/>
      <c r="AFK57" s="95"/>
      <c r="AFL57" s="95"/>
      <c r="AFM57" s="95"/>
      <c r="AFN57" s="95"/>
      <c r="AFO57" s="95"/>
      <c r="AFP57" s="95"/>
      <c r="AFQ57" s="95"/>
      <c r="AFR57" s="95"/>
      <c r="AFS57" s="95"/>
      <c r="AFT57" s="95"/>
      <c r="AFU57" s="95"/>
      <c r="AFV57" s="95"/>
      <c r="AFW57" s="95"/>
      <c r="AFX57" s="95"/>
      <c r="AFY57" s="95"/>
      <c r="AFZ57" s="95"/>
      <c r="AGA57" s="95"/>
      <c r="AGB57" s="95"/>
      <c r="AGC57" s="95"/>
      <c r="AGD57" s="95"/>
      <c r="AGE57" s="95"/>
      <c r="AGF57" s="95"/>
      <c r="AGG57" s="95"/>
      <c r="AGH57" s="95"/>
      <c r="AGI57" s="95"/>
      <c r="AGJ57" s="95"/>
      <c r="AGK57" s="95"/>
      <c r="AGL57" s="95"/>
      <c r="AGM57" s="95"/>
      <c r="AGN57" s="95"/>
      <c r="AGO57" s="95"/>
      <c r="AGP57" s="95"/>
      <c r="AGQ57" s="95"/>
      <c r="AGR57" s="95"/>
      <c r="AGS57" s="95"/>
      <c r="AGT57" s="95"/>
      <c r="AGU57" s="95"/>
      <c r="AGV57" s="95"/>
      <c r="AGW57" s="95"/>
      <c r="AGX57" s="95"/>
      <c r="AGY57" s="95"/>
      <c r="AGZ57" s="95"/>
      <c r="AHA57" s="95"/>
      <c r="AHB57" s="95"/>
      <c r="AHC57" s="95"/>
      <c r="AHD57" s="95"/>
      <c r="AHE57" s="95"/>
      <c r="AHF57" s="95"/>
      <c r="AHG57" s="95"/>
      <c r="AHH57" s="95"/>
      <c r="AHI57" s="95"/>
      <c r="AHJ57" s="95"/>
      <c r="AHK57" s="95"/>
      <c r="AHL57" s="95"/>
      <c r="AHM57" s="95"/>
      <c r="AHN57" s="95"/>
      <c r="AHO57" s="95"/>
      <c r="AHP57" s="95"/>
      <c r="AHQ57" s="95"/>
      <c r="AHR57" s="95"/>
      <c r="AHS57" s="95"/>
      <c r="AHT57" s="95"/>
      <c r="AHU57" s="95"/>
      <c r="AHV57" s="95"/>
      <c r="AHW57" s="95"/>
      <c r="AHX57" s="95"/>
      <c r="AHY57" s="95"/>
      <c r="AHZ57" s="95"/>
      <c r="AIA57" s="95"/>
      <c r="AIB57" s="95"/>
      <c r="AIC57" s="95"/>
      <c r="AID57" s="95"/>
      <c r="AIE57" s="95"/>
      <c r="AIF57" s="95"/>
      <c r="AIG57" s="95"/>
      <c r="AIH57" s="95"/>
      <c r="AII57" s="95"/>
      <c r="AIJ57" s="95"/>
      <c r="AIK57" s="95"/>
      <c r="AIL57" s="95"/>
      <c r="AIM57" s="95"/>
      <c r="AIN57" s="95"/>
      <c r="AIO57" s="95"/>
      <c r="AIP57" s="95"/>
      <c r="AIQ57" s="95"/>
      <c r="AIR57" s="95"/>
      <c r="AIS57" s="95"/>
      <c r="AIT57" s="95"/>
      <c r="AIU57" s="95"/>
      <c r="AIV57" s="95"/>
      <c r="AIW57" s="95"/>
      <c r="AIX57" s="95"/>
      <c r="AIY57" s="95"/>
      <c r="AIZ57" s="95"/>
      <c r="AJA57" s="95"/>
      <c r="AJB57" s="95"/>
      <c r="AJC57" s="95"/>
      <c r="AJD57" s="95"/>
      <c r="AJE57" s="95"/>
      <c r="AJF57" s="95"/>
      <c r="AJG57" s="95"/>
      <c r="AJH57" s="95"/>
      <c r="AJI57" s="95"/>
      <c r="AJJ57" s="95"/>
      <c r="AJK57" s="95"/>
      <c r="AJL57" s="95"/>
      <c r="AJM57" s="95"/>
      <c r="AJN57" s="95"/>
      <c r="AJO57" s="95"/>
      <c r="AJP57" s="95"/>
      <c r="AJQ57" s="95"/>
      <c r="AJR57" s="95"/>
      <c r="AJS57" s="95"/>
      <c r="AJT57" s="95"/>
      <c r="AJU57" s="95"/>
      <c r="AJV57" s="95"/>
      <c r="AJW57" s="95"/>
      <c r="AJX57" s="95"/>
      <c r="AJY57" s="95"/>
      <c r="AJZ57" s="95"/>
      <c r="AKA57" s="95"/>
      <c r="AKB57" s="95"/>
      <c r="AKC57" s="95"/>
      <c r="AKD57" s="95"/>
      <c r="AKE57" s="95"/>
      <c r="AKF57" s="95"/>
      <c r="AKG57" s="95"/>
      <c r="AKH57" s="95"/>
      <c r="AKI57" s="95"/>
      <c r="AKJ57" s="95"/>
      <c r="AKK57" s="95"/>
      <c r="AKL57" s="95"/>
      <c r="AKM57" s="95"/>
      <c r="AKN57" s="95"/>
      <c r="AKO57" s="95"/>
      <c r="AKP57" s="95"/>
      <c r="AKQ57" s="95"/>
      <c r="AKR57" s="95"/>
      <c r="AKS57" s="95"/>
      <c r="AKT57" s="95"/>
      <c r="AKU57" s="95"/>
      <c r="AKV57" s="95"/>
      <c r="AKW57" s="95"/>
      <c r="AKX57" s="95"/>
      <c r="AKY57" s="95"/>
      <c r="AKZ57" s="95"/>
      <c r="ALA57" s="95"/>
      <c r="ALB57" s="95"/>
      <c r="ALC57" s="95"/>
      <c r="ALD57" s="95"/>
      <c r="ALE57" s="95"/>
      <c r="ALF57" s="95"/>
      <c r="ALG57" s="95"/>
      <c r="ALH57" s="95"/>
      <c r="ALI57" s="95"/>
      <c r="ALJ57" s="95"/>
      <c r="ALK57" s="95"/>
      <c r="ALL57" s="95"/>
      <c r="ALM57" s="95"/>
      <c r="ALN57" s="95"/>
      <c r="ALO57" s="95"/>
      <c r="ALP57" s="95"/>
      <c r="ALQ57" s="95"/>
      <c r="ALR57" s="95"/>
      <c r="ALS57" s="95"/>
      <c r="ALT57" s="95"/>
      <c r="ALU57" s="95"/>
      <c r="ALV57" s="95"/>
      <c r="ALW57" s="95"/>
      <c r="ALX57" s="95"/>
      <c r="ALY57" s="95"/>
      <c r="ALZ57" s="95"/>
      <c r="AMA57" s="95"/>
      <c r="AMB57" s="95"/>
      <c r="AMC57" s="95"/>
      <c r="AMD57" s="95"/>
      <c r="AME57" s="95"/>
      <c r="AMF57" s="95"/>
      <c r="AMG57" s="95"/>
      <c r="AMH57" s="95"/>
      <c r="AMI57" s="95"/>
      <c r="AMJ57" s="95"/>
      <c r="AMK57" s="95"/>
      <c r="AML57" s="95"/>
      <c r="AMM57" s="95"/>
      <c r="AMN57" s="95"/>
      <c r="AMO57" s="95"/>
      <c r="AMP57" s="95"/>
      <c r="AMQ57" s="95"/>
      <c r="AMR57" s="95"/>
      <c r="AMS57" s="95"/>
      <c r="AMT57" s="95"/>
      <c r="AMU57" s="95"/>
      <c r="AMV57" s="95"/>
      <c r="AMW57" s="95"/>
      <c r="AMX57" s="95"/>
      <c r="AMY57" s="95"/>
      <c r="AMZ57" s="95"/>
      <c r="ANA57" s="95"/>
      <c r="ANB57" s="95"/>
      <c r="ANC57" s="95"/>
      <c r="AND57" s="95"/>
      <c r="ANE57" s="95"/>
      <c r="ANF57" s="95"/>
      <c r="ANG57" s="95"/>
      <c r="ANH57" s="95"/>
      <c r="ANI57" s="95"/>
      <c r="ANJ57" s="95"/>
      <c r="ANK57" s="95"/>
      <c r="ANL57" s="95"/>
      <c r="ANM57" s="95"/>
      <c r="ANN57" s="95"/>
      <c r="ANO57" s="95"/>
      <c r="ANP57" s="95"/>
      <c r="ANQ57" s="95"/>
      <c r="ANR57" s="95"/>
      <c r="ANS57" s="95"/>
      <c r="ANT57" s="95"/>
      <c r="ANU57" s="95"/>
      <c r="ANV57" s="95"/>
      <c r="ANW57" s="95"/>
      <c r="ANX57" s="95"/>
      <c r="ANY57" s="95"/>
      <c r="ANZ57" s="95"/>
      <c r="AOA57" s="95"/>
      <c r="AOB57" s="95"/>
      <c r="AOC57" s="95"/>
      <c r="AOD57" s="95"/>
      <c r="AOE57" s="95"/>
      <c r="AOF57" s="95"/>
      <c r="AOG57" s="95"/>
      <c r="AOH57" s="95"/>
      <c r="AOI57" s="95"/>
      <c r="AOJ57" s="95"/>
      <c r="AOK57" s="95"/>
      <c r="AOL57" s="95"/>
      <c r="AOM57" s="95"/>
      <c r="AON57" s="95"/>
      <c r="AOO57" s="95"/>
      <c r="AOP57" s="95"/>
      <c r="AOQ57" s="95"/>
      <c r="AOR57" s="95"/>
      <c r="AOS57" s="95"/>
      <c r="AOT57" s="95"/>
      <c r="AOU57" s="95"/>
      <c r="AOV57" s="95"/>
      <c r="AOW57" s="95"/>
      <c r="AOX57" s="95"/>
      <c r="AOY57" s="95"/>
      <c r="AOZ57" s="95"/>
      <c r="APA57" s="95"/>
      <c r="APB57" s="95"/>
      <c r="APC57" s="95"/>
      <c r="APD57" s="95"/>
      <c r="APE57" s="95"/>
      <c r="APF57" s="95"/>
      <c r="APG57" s="95"/>
      <c r="APH57" s="95"/>
      <c r="API57" s="95"/>
      <c r="APJ57" s="95"/>
      <c r="APK57" s="95"/>
      <c r="APL57" s="95"/>
      <c r="APM57" s="95"/>
      <c r="APN57" s="95"/>
      <c r="APO57" s="95"/>
      <c r="APP57" s="95"/>
      <c r="APQ57" s="95"/>
      <c r="APR57" s="95"/>
      <c r="APS57" s="95"/>
      <c r="APT57" s="95"/>
      <c r="APU57" s="95"/>
      <c r="APV57" s="95"/>
      <c r="APW57" s="95"/>
      <c r="APX57" s="95"/>
      <c r="APY57" s="95"/>
      <c r="APZ57" s="95"/>
      <c r="AQA57" s="95"/>
      <c r="AQB57" s="95"/>
      <c r="AQC57" s="95"/>
      <c r="AQD57" s="95"/>
      <c r="AQE57" s="95"/>
      <c r="AQF57" s="95"/>
      <c r="AQG57" s="95"/>
      <c r="AQH57" s="95"/>
      <c r="AQI57" s="95"/>
      <c r="AQJ57" s="95"/>
      <c r="AQK57" s="95"/>
      <c r="AQL57" s="95"/>
      <c r="AQM57" s="95"/>
      <c r="AQN57" s="95"/>
      <c r="AQO57" s="95"/>
      <c r="AQP57" s="95"/>
      <c r="AQQ57" s="95"/>
      <c r="AQR57" s="95"/>
      <c r="AQS57" s="95"/>
      <c r="AQT57" s="95"/>
      <c r="AQU57" s="95"/>
      <c r="AQV57" s="95"/>
      <c r="AQW57" s="95"/>
      <c r="AQX57" s="95"/>
      <c r="AQY57" s="95"/>
      <c r="AQZ57" s="95"/>
      <c r="ARA57" s="95"/>
      <c r="ARB57" s="95"/>
      <c r="ARC57" s="95"/>
      <c r="ARD57" s="95"/>
      <c r="ARE57" s="95"/>
      <c r="ARF57" s="95"/>
      <c r="ARG57" s="95"/>
      <c r="ARH57" s="95"/>
      <c r="ARI57" s="95"/>
      <c r="ARJ57" s="95"/>
      <c r="ARK57" s="95"/>
      <c r="ARL57" s="95"/>
      <c r="ARM57" s="95"/>
      <c r="ARN57" s="95"/>
      <c r="ARO57" s="95"/>
      <c r="ARP57" s="95"/>
      <c r="ARQ57" s="95"/>
      <c r="ARR57" s="95"/>
      <c r="ARS57" s="95"/>
      <c r="ART57" s="95"/>
      <c r="ARU57" s="95"/>
      <c r="ARV57" s="95"/>
      <c r="ARW57" s="95"/>
      <c r="ARX57" s="95"/>
      <c r="ARY57" s="95"/>
      <c r="ARZ57" s="95"/>
      <c r="ASA57" s="95"/>
      <c r="ASB57" s="95"/>
      <c r="ASC57" s="95"/>
      <c r="ASD57" s="95"/>
      <c r="ASE57" s="95"/>
      <c r="ASF57" s="95"/>
      <c r="ASG57" s="95"/>
      <c r="ASH57" s="95"/>
      <c r="ASI57" s="95"/>
      <c r="ASJ57" s="95"/>
      <c r="ASK57" s="95"/>
      <c r="ASL57" s="95"/>
      <c r="ASM57" s="95"/>
      <c r="ASN57" s="95"/>
      <c r="ASO57" s="95"/>
      <c r="ASP57" s="95"/>
      <c r="ASQ57" s="95"/>
      <c r="ASR57" s="95"/>
      <c r="ASS57" s="95"/>
      <c r="AST57" s="95"/>
      <c r="ASU57" s="95"/>
      <c r="ASV57" s="95"/>
      <c r="ASW57" s="95"/>
      <c r="ASX57" s="95"/>
      <c r="ASY57" s="95"/>
      <c r="ASZ57" s="95"/>
      <c r="ATA57" s="95"/>
      <c r="ATB57" s="95"/>
      <c r="ATC57" s="95"/>
      <c r="ATD57" s="95"/>
      <c r="ATE57" s="95"/>
      <c r="ATF57" s="95"/>
      <c r="ATG57" s="95"/>
      <c r="ATH57" s="95"/>
      <c r="ATI57" s="95"/>
      <c r="ATJ57" s="95"/>
      <c r="ATK57" s="95"/>
      <c r="ATL57" s="95"/>
      <c r="ATM57" s="95"/>
      <c r="ATN57" s="95"/>
      <c r="ATO57" s="95"/>
      <c r="ATP57" s="95"/>
      <c r="ATQ57" s="95"/>
      <c r="ATR57" s="95"/>
      <c r="ATS57" s="95"/>
      <c r="ATT57" s="95"/>
      <c r="ATU57" s="95"/>
      <c r="ATV57" s="95"/>
      <c r="ATW57" s="95"/>
      <c r="ATX57" s="95"/>
      <c r="ATY57" s="95"/>
      <c r="ATZ57" s="95"/>
      <c r="AUA57" s="95"/>
      <c r="AUB57" s="95"/>
      <c r="AUC57" s="95"/>
      <c r="AUD57" s="95"/>
      <c r="AUE57" s="95"/>
      <c r="AUF57" s="95"/>
      <c r="AUG57" s="95"/>
      <c r="AUH57" s="95"/>
      <c r="AUI57" s="95"/>
      <c r="AUJ57" s="95"/>
      <c r="AUK57" s="95"/>
      <c r="AUL57" s="95"/>
      <c r="AUM57" s="95"/>
      <c r="AUN57" s="95"/>
      <c r="AUO57" s="95"/>
      <c r="AUP57" s="95"/>
      <c r="AUQ57" s="95"/>
      <c r="AUR57" s="95"/>
      <c r="AUS57" s="95"/>
      <c r="AUT57" s="95"/>
      <c r="AUU57" s="95"/>
      <c r="AUV57" s="95"/>
      <c r="AUW57" s="95"/>
      <c r="AUX57" s="95"/>
      <c r="AUY57" s="95"/>
      <c r="AUZ57" s="95"/>
      <c r="AVA57" s="95"/>
      <c r="AVB57" s="95"/>
      <c r="AVC57" s="95"/>
      <c r="AVD57" s="95"/>
      <c r="AVE57" s="95"/>
      <c r="AVF57" s="95"/>
      <c r="AVG57" s="95"/>
      <c r="AVH57" s="95"/>
      <c r="AVI57" s="95"/>
      <c r="AVJ57" s="95"/>
      <c r="AVK57" s="95"/>
      <c r="AVL57" s="95"/>
      <c r="AVM57" s="95"/>
      <c r="AVN57" s="95"/>
      <c r="AVO57" s="95"/>
      <c r="AVP57" s="95"/>
      <c r="AVQ57" s="95"/>
      <c r="AVR57" s="95"/>
      <c r="AVS57" s="95"/>
      <c r="AVT57" s="95"/>
      <c r="AVU57" s="95"/>
      <c r="AVV57" s="95"/>
      <c r="AVW57" s="95"/>
      <c r="AVX57" s="95"/>
      <c r="AVY57" s="95"/>
      <c r="AVZ57" s="95"/>
      <c r="AWA57" s="95"/>
      <c r="AWB57" s="95"/>
      <c r="AWC57" s="95"/>
      <c r="AWD57" s="95"/>
      <c r="AWE57" s="95"/>
      <c r="AWF57" s="95"/>
      <c r="AWG57" s="95"/>
      <c r="AWH57" s="95"/>
      <c r="AWI57" s="95"/>
      <c r="AWJ57" s="95"/>
      <c r="AWK57" s="95"/>
      <c r="AWL57" s="95"/>
      <c r="AWM57" s="95"/>
      <c r="AWN57" s="95"/>
      <c r="AWO57" s="95"/>
      <c r="AWP57" s="95"/>
      <c r="AWQ57" s="95"/>
      <c r="AWR57" s="95"/>
      <c r="AWS57" s="95"/>
      <c r="AWT57" s="95"/>
      <c r="AWU57" s="95"/>
      <c r="AWV57" s="95"/>
      <c r="AWW57" s="95"/>
      <c r="AWX57" s="95"/>
      <c r="AWY57" s="95"/>
      <c r="AWZ57" s="95"/>
      <c r="AXA57" s="95"/>
      <c r="AXB57" s="95"/>
      <c r="AXC57" s="95"/>
      <c r="AXD57" s="95"/>
      <c r="AXE57" s="95"/>
      <c r="AXF57" s="95"/>
      <c r="AXG57" s="95"/>
      <c r="AXH57" s="95"/>
      <c r="AXI57" s="95"/>
      <c r="AXJ57" s="95"/>
      <c r="AXK57" s="95"/>
      <c r="AXL57" s="95"/>
      <c r="AXM57" s="95"/>
      <c r="AXN57" s="95"/>
      <c r="AXO57" s="95"/>
      <c r="AXP57" s="95"/>
      <c r="AXQ57" s="95"/>
      <c r="AXR57" s="95"/>
      <c r="AXS57" s="95"/>
      <c r="AXT57" s="95"/>
      <c r="AXU57" s="95"/>
      <c r="AXV57" s="95"/>
      <c r="AXW57" s="95"/>
      <c r="AXX57" s="95"/>
      <c r="AXY57" s="95"/>
      <c r="AXZ57" s="95"/>
      <c r="AYA57" s="95"/>
      <c r="AYB57" s="95"/>
      <c r="AYC57" s="95"/>
      <c r="AYD57" s="95"/>
      <c r="AYE57" s="95"/>
      <c r="AYF57" s="95"/>
      <c r="AYG57" s="95"/>
      <c r="AYH57" s="95"/>
      <c r="AYI57" s="95"/>
      <c r="AYJ57" s="95"/>
      <c r="AYK57" s="95"/>
      <c r="AYL57" s="95"/>
      <c r="AYM57" s="95"/>
      <c r="AYN57" s="95"/>
      <c r="AYO57" s="95"/>
      <c r="AYP57" s="95"/>
      <c r="AYQ57" s="95"/>
      <c r="AYR57" s="95"/>
      <c r="AYS57" s="95"/>
      <c r="AYT57" s="95"/>
      <c r="AYU57" s="95"/>
      <c r="AYV57" s="95"/>
      <c r="AYW57" s="95"/>
      <c r="AYX57" s="95"/>
      <c r="AYY57" s="95"/>
      <c r="AYZ57" s="95"/>
      <c r="AZA57" s="95"/>
      <c r="AZB57" s="95"/>
      <c r="AZC57" s="95"/>
      <c r="AZD57" s="95"/>
      <c r="AZE57" s="95"/>
      <c r="AZF57" s="95"/>
      <c r="AZG57" s="95"/>
      <c r="AZH57" s="95"/>
      <c r="AZI57" s="95"/>
      <c r="AZJ57" s="95"/>
      <c r="AZK57" s="95"/>
      <c r="AZL57" s="95"/>
      <c r="AZM57" s="95"/>
      <c r="AZN57" s="95"/>
      <c r="AZO57" s="95"/>
      <c r="AZP57" s="95"/>
      <c r="AZQ57" s="95"/>
      <c r="AZR57" s="95"/>
      <c r="AZS57" s="95"/>
      <c r="AZT57" s="95"/>
      <c r="AZU57" s="95"/>
      <c r="AZV57" s="95"/>
      <c r="AZW57" s="95"/>
      <c r="AZX57" s="95"/>
      <c r="AZY57" s="95"/>
      <c r="AZZ57" s="95"/>
      <c r="BAA57" s="95"/>
      <c r="BAB57" s="95"/>
      <c r="BAC57" s="95"/>
      <c r="BAD57" s="95"/>
      <c r="BAE57" s="95"/>
      <c r="BAF57" s="95"/>
      <c r="BAG57" s="95"/>
      <c r="BAH57" s="95"/>
      <c r="BAI57" s="95"/>
      <c r="BAJ57" s="95"/>
      <c r="BAK57" s="95"/>
      <c r="BAL57" s="95"/>
      <c r="BAM57" s="95"/>
      <c r="BAN57" s="95"/>
      <c r="BAO57" s="95"/>
      <c r="BAP57" s="95"/>
      <c r="BAQ57" s="95"/>
      <c r="BAR57" s="95"/>
      <c r="BAS57" s="95"/>
      <c r="BAT57" s="95"/>
      <c r="BAU57" s="95"/>
      <c r="BAV57" s="95"/>
      <c r="BAW57" s="95"/>
      <c r="BAX57" s="95"/>
      <c r="BAY57" s="95"/>
      <c r="BAZ57" s="95"/>
      <c r="BBA57" s="95"/>
      <c r="BBB57" s="95"/>
      <c r="BBC57" s="95"/>
      <c r="BBD57" s="95"/>
      <c r="BBE57" s="95"/>
      <c r="BBF57" s="95"/>
      <c r="BBG57" s="95"/>
      <c r="BBH57" s="95"/>
      <c r="BBI57" s="95"/>
      <c r="BBJ57" s="95"/>
      <c r="BBK57" s="95"/>
      <c r="BBL57" s="95"/>
      <c r="BBM57" s="95"/>
      <c r="BBN57" s="95"/>
      <c r="BBO57" s="95"/>
      <c r="BBP57" s="95"/>
      <c r="BBQ57" s="95"/>
      <c r="BBR57" s="95"/>
      <c r="BBS57" s="95"/>
      <c r="BBT57" s="95"/>
      <c r="BBU57" s="95"/>
      <c r="BBV57" s="95"/>
      <c r="BBW57" s="95"/>
      <c r="BBX57" s="95"/>
      <c r="BBY57" s="95"/>
      <c r="BBZ57" s="95"/>
      <c r="BCA57" s="95"/>
      <c r="BCB57" s="95"/>
      <c r="BCC57" s="95"/>
      <c r="BCD57" s="95"/>
      <c r="BCE57" s="95"/>
      <c r="BCF57" s="95"/>
      <c r="BCG57" s="95"/>
      <c r="BCH57" s="95"/>
      <c r="BCI57" s="95"/>
      <c r="BCJ57" s="95"/>
      <c r="BCK57" s="95"/>
      <c r="BCL57" s="95"/>
      <c r="BCM57" s="95"/>
      <c r="BCN57" s="95"/>
      <c r="BCO57" s="95"/>
      <c r="BCP57" s="95"/>
      <c r="BCQ57" s="95"/>
      <c r="BCR57" s="95"/>
      <c r="BCS57" s="95"/>
      <c r="BCT57" s="95"/>
      <c r="BCU57" s="95"/>
      <c r="BCV57" s="95"/>
      <c r="BCW57" s="95"/>
      <c r="BCX57" s="95"/>
      <c r="BCY57" s="95"/>
      <c r="BCZ57" s="95"/>
      <c r="BDA57" s="95"/>
      <c r="BDB57" s="95"/>
      <c r="BDC57" s="95"/>
      <c r="BDD57" s="95"/>
      <c r="BDE57" s="95"/>
      <c r="BDF57" s="95"/>
      <c r="BDG57" s="95"/>
      <c r="BDH57" s="95"/>
      <c r="BDI57" s="95"/>
      <c r="BDJ57" s="95"/>
      <c r="BDK57" s="95"/>
      <c r="BDL57" s="95"/>
      <c r="BDM57" s="95"/>
      <c r="BDN57" s="95"/>
      <c r="BDO57" s="95"/>
      <c r="BDP57" s="95"/>
      <c r="BDQ57" s="95"/>
      <c r="BDR57" s="95"/>
      <c r="BDS57" s="95"/>
      <c r="BDT57" s="95"/>
      <c r="BDU57" s="95"/>
      <c r="BDV57" s="95"/>
      <c r="BDW57" s="95"/>
      <c r="BDX57" s="95"/>
      <c r="BDY57" s="95"/>
      <c r="BDZ57" s="95"/>
      <c r="BEA57" s="95"/>
      <c r="BEB57" s="95"/>
      <c r="BEC57" s="95"/>
      <c r="BED57" s="95"/>
      <c r="BEE57" s="95"/>
      <c r="BEF57" s="95"/>
      <c r="BEG57" s="95"/>
      <c r="BEH57" s="95"/>
      <c r="BEI57" s="95"/>
      <c r="BEJ57" s="95"/>
      <c r="BEK57" s="95"/>
      <c r="BEL57" s="95"/>
      <c r="BEM57" s="95"/>
      <c r="BEN57" s="95"/>
      <c r="BEO57" s="95"/>
      <c r="BEP57" s="95"/>
      <c r="BEQ57" s="95"/>
      <c r="BER57" s="95"/>
      <c r="BES57" s="95"/>
      <c r="BET57" s="95"/>
      <c r="BEU57" s="95"/>
      <c r="BEV57" s="95"/>
      <c r="BEW57" s="95"/>
      <c r="BEX57" s="95"/>
      <c r="BEY57" s="95"/>
      <c r="BEZ57" s="95"/>
      <c r="BFA57" s="95"/>
      <c r="BFB57" s="95"/>
      <c r="BFC57" s="95"/>
      <c r="BFD57" s="95"/>
      <c r="BFE57" s="95"/>
      <c r="BFF57" s="95"/>
      <c r="BFG57" s="95"/>
      <c r="BFH57" s="95"/>
      <c r="BFI57" s="95"/>
      <c r="BFJ57" s="95"/>
      <c r="BFK57" s="95"/>
      <c r="BFL57" s="95"/>
      <c r="BFM57" s="95"/>
      <c r="BFN57" s="95"/>
      <c r="BFO57" s="95"/>
      <c r="BFP57" s="95"/>
      <c r="BFQ57" s="95"/>
      <c r="BFR57" s="95"/>
      <c r="BFS57" s="95"/>
      <c r="BFT57" s="95"/>
      <c r="BFU57" s="95"/>
      <c r="BFV57" s="95"/>
      <c r="BFW57" s="95"/>
      <c r="BFX57" s="95"/>
      <c r="BFY57" s="95"/>
      <c r="BFZ57" s="95"/>
      <c r="BGA57" s="95"/>
      <c r="BGB57" s="95"/>
      <c r="BGC57" s="95"/>
      <c r="BGD57" s="95"/>
      <c r="BGE57" s="95"/>
      <c r="BGF57" s="95"/>
      <c r="BGG57" s="95"/>
      <c r="BGH57" s="95"/>
      <c r="BGI57" s="95"/>
      <c r="BGJ57" s="95"/>
      <c r="BGK57" s="95"/>
      <c r="BGL57" s="95"/>
      <c r="BGM57" s="95"/>
      <c r="BGN57" s="95"/>
      <c r="BGO57" s="95"/>
      <c r="BGP57" s="95"/>
      <c r="BGQ57" s="95"/>
      <c r="BGR57" s="95"/>
      <c r="BGS57" s="95"/>
      <c r="BGT57" s="95"/>
      <c r="BGU57" s="95"/>
      <c r="BGV57" s="95"/>
      <c r="BGW57" s="95"/>
      <c r="BGX57" s="95"/>
      <c r="BGY57" s="95"/>
      <c r="BGZ57" s="95"/>
      <c r="BHA57" s="95"/>
      <c r="BHB57" s="95"/>
      <c r="BHC57" s="95"/>
      <c r="BHD57" s="95"/>
      <c r="BHE57" s="95"/>
      <c r="BHF57" s="95"/>
      <c r="BHG57" s="95"/>
      <c r="BHH57" s="95"/>
      <c r="BHI57" s="95"/>
      <c r="BHJ57" s="95"/>
      <c r="BHK57" s="95"/>
      <c r="BHL57" s="95"/>
      <c r="BHM57" s="95"/>
      <c r="BHN57" s="95"/>
      <c r="BHO57" s="95"/>
      <c r="BHP57" s="95"/>
      <c r="BHQ57" s="95"/>
      <c r="BHR57" s="95"/>
      <c r="BHS57" s="95"/>
      <c r="BHT57" s="95"/>
      <c r="BHU57" s="95"/>
      <c r="BHV57" s="95"/>
      <c r="BHW57" s="95"/>
      <c r="BHX57" s="95"/>
      <c r="BHY57" s="95"/>
      <c r="BHZ57" s="95"/>
      <c r="BIA57" s="95"/>
      <c r="BIB57" s="95"/>
      <c r="BIC57" s="95"/>
      <c r="BID57" s="95"/>
      <c r="BIE57" s="95"/>
      <c r="BIF57" s="95"/>
      <c r="BIG57" s="95"/>
      <c r="BIH57" s="95"/>
      <c r="BII57" s="95"/>
      <c r="BIJ57" s="95"/>
      <c r="BIK57" s="95"/>
      <c r="BIL57" s="95"/>
      <c r="BIM57" s="95"/>
      <c r="BIN57" s="95"/>
      <c r="BIO57" s="95"/>
      <c r="BIP57" s="95"/>
      <c r="BIQ57" s="95"/>
      <c r="BIR57" s="95"/>
      <c r="BIS57" s="95"/>
      <c r="BIT57" s="95"/>
      <c r="BIU57" s="95"/>
      <c r="BIV57" s="95"/>
      <c r="BIW57" s="95"/>
      <c r="BIX57" s="95"/>
      <c r="BIY57" s="95"/>
      <c r="BIZ57" s="95"/>
      <c r="BJA57" s="95"/>
      <c r="BJB57" s="95"/>
      <c r="BJC57" s="95"/>
      <c r="BJD57" s="95"/>
      <c r="BJE57" s="95"/>
      <c r="BJF57" s="95"/>
      <c r="BJG57" s="95"/>
      <c r="BJH57" s="95"/>
      <c r="BJI57" s="95"/>
      <c r="BJJ57" s="95"/>
      <c r="BJK57" s="95"/>
      <c r="BJL57" s="95"/>
      <c r="BJM57" s="95"/>
      <c r="BJN57" s="95"/>
      <c r="BJO57" s="95"/>
      <c r="BJP57" s="95"/>
      <c r="BJQ57" s="95"/>
      <c r="BJR57" s="95"/>
      <c r="BJS57" s="95"/>
      <c r="BJT57" s="95"/>
      <c r="BJU57" s="95"/>
      <c r="BJV57" s="95"/>
      <c r="BJW57" s="95"/>
      <c r="BJX57" s="95"/>
      <c r="BJY57" s="95"/>
      <c r="BJZ57" s="95"/>
      <c r="BKA57" s="95"/>
      <c r="BKB57" s="95"/>
      <c r="BKC57" s="95"/>
      <c r="BKD57" s="95"/>
      <c r="BKE57" s="95"/>
      <c r="BKF57" s="95"/>
      <c r="BKG57" s="95"/>
      <c r="BKH57" s="95"/>
      <c r="BKI57" s="95"/>
      <c r="BKJ57" s="95"/>
      <c r="BKK57" s="95"/>
      <c r="BKL57" s="95"/>
      <c r="BKM57" s="95"/>
      <c r="BKN57" s="95"/>
      <c r="BKO57" s="95"/>
      <c r="BKP57" s="95"/>
      <c r="BKQ57" s="95"/>
      <c r="BKR57" s="95"/>
      <c r="BKS57" s="95"/>
      <c r="BKT57" s="95"/>
      <c r="BKU57" s="95"/>
      <c r="BKV57" s="95"/>
      <c r="BKW57" s="95"/>
      <c r="BKX57" s="95"/>
      <c r="BKY57" s="95"/>
      <c r="BKZ57" s="95"/>
      <c r="BLA57" s="95"/>
      <c r="BLB57" s="95"/>
      <c r="BLC57" s="95"/>
      <c r="BLD57" s="95"/>
      <c r="BLE57" s="95"/>
      <c r="BLF57" s="95"/>
      <c r="BLG57" s="95"/>
      <c r="BLH57" s="95"/>
      <c r="BLI57" s="95"/>
      <c r="BLJ57" s="95"/>
      <c r="BLK57" s="95"/>
      <c r="BLL57" s="95"/>
      <c r="BLM57" s="95"/>
      <c r="BLN57" s="95"/>
      <c r="BLO57" s="95"/>
      <c r="BLP57" s="95"/>
      <c r="BLQ57" s="95"/>
      <c r="BLR57" s="95"/>
      <c r="BLS57" s="95"/>
      <c r="BLT57" s="95"/>
      <c r="BLU57" s="95"/>
      <c r="BLV57" s="95"/>
      <c r="BLW57" s="95"/>
      <c r="BLX57" s="95"/>
      <c r="BLY57" s="95"/>
      <c r="BLZ57" s="95"/>
      <c r="BMA57" s="95"/>
      <c r="BMB57" s="95"/>
      <c r="BMC57" s="95"/>
      <c r="BMD57" s="95"/>
      <c r="BME57" s="95"/>
      <c r="BMF57" s="95"/>
      <c r="BMG57" s="95"/>
      <c r="BMH57" s="95"/>
      <c r="BMI57" s="95"/>
      <c r="BMJ57" s="95"/>
      <c r="BMK57" s="95"/>
      <c r="BML57" s="95"/>
      <c r="BMM57" s="95"/>
      <c r="BMN57" s="95"/>
      <c r="BMO57" s="95"/>
      <c r="BMP57" s="95"/>
      <c r="BMQ57" s="95"/>
      <c r="BMR57" s="95"/>
      <c r="BMS57" s="95"/>
      <c r="BMT57" s="95"/>
      <c r="BMU57" s="95"/>
      <c r="BMV57" s="95"/>
      <c r="BMW57" s="95"/>
      <c r="BMX57" s="95"/>
      <c r="BMY57" s="95"/>
      <c r="BMZ57" s="95"/>
      <c r="BNA57" s="95"/>
      <c r="BNB57" s="95"/>
      <c r="BNC57" s="95"/>
      <c r="BND57" s="95"/>
      <c r="BNE57" s="95"/>
      <c r="BNF57" s="95"/>
      <c r="BNG57" s="95"/>
      <c r="BNH57" s="95"/>
      <c r="BNI57" s="95"/>
      <c r="BNJ57" s="95"/>
      <c r="BNK57" s="95"/>
      <c r="BNL57" s="95"/>
      <c r="BNM57" s="95"/>
      <c r="BNN57" s="95"/>
      <c r="BNO57" s="95"/>
      <c r="BNP57" s="95"/>
      <c r="BNQ57" s="95"/>
      <c r="BNR57" s="95"/>
      <c r="BNS57" s="95"/>
      <c r="BNT57" s="95"/>
      <c r="BNU57" s="95"/>
      <c r="BNV57" s="95"/>
      <c r="BNW57" s="95"/>
      <c r="BNX57" s="95"/>
      <c r="BNY57" s="95"/>
      <c r="BNZ57" s="95"/>
      <c r="BOA57" s="95"/>
      <c r="BOB57" s="95"/>
      <c r="BOC57" s="95"/>
      <c r="BOD57" s="95"/>
      <c r="BOE57" s="95"/>
      <c r="BOF57" s="95"/>
      <c r="BOG57" s="95"/>
      <c r="BOH57" s="95"/>
      <c r="BOI57" s="95"/>
      <c r="BOJ57" s="95"/>
      <c r="BOK57" s="95"/>
      <c r="BOL57" s="95"/>
      <c r="BOM57" s="95"/>
      <c r="BON57" s="95"/>
      <c r="BOO57" s="95"/>
      <c r="BOP57" s="95"/>
      <c r="BOQ57" s="95"/>
      <c r="BOR57" s="95"/>
      <c r="BOS57" s="95"/>
      <c r="BOT57" s="95"/>
      <c r="BOU57" s="95"/>
      <c r="BOV57" s="95"/>
      <c r="BOW57" s="95"/>
      <c r="BOX57" s="95"/>
      <c r="BOY57" s="95"/>
      <c r="BOZ57" s="95"/>
      <c r="BPA57" s="95"/>
      <c r="BPB57" s="95"/>
      <c r="BPC57" s="95"/>
      <c r="BPD57" s="95"/>
      <c r="BPE57" s="95"/>
      <c r="BPF57" s="95"/>
      <c r="BPG57" s="95"/>
      <c r="BPH57" s="95"/>
      <c r="BPI57" s="95"/>
      <c r="BPJ57" s="95"/>
      <c r="BPK57" s="95"/>
      <c r="BPL57" s="95"/>
      <c r="BPM57" s="95"/>
      <c r="BPN57" s="95"/>
      <c r="BPO57" s="95"/>
      <c r="BPP57" s="95"/>
      <c r="BPQ57" s="95"/>
      <c r="BPR57" s="95"/>
      <c r="BPS57" s="95"/>
      <c r="BPT57" s="95"/>
      <c r="BPU57" s="95"/>
      <c r="BPV57" s="95"/>
      <c r="BPW57" s="95"/>
      <c r="BPX57" s="95"/>
      <c r="BPY57" s="95"/>
      <c r="BPZ57" s="95"/>
      <c r="BQA57" s="95"/>
      <c r="BQB57" s="95"/>
      <c r="BQC57" s="95"/>
      <c r="BQD57" s="95"/>
      <c r="BQE57" s="95"/>
      <c r="BQF57" s="95"/>
      <c r="BQG57" s="95"/>
      <c r="BQH57" s="95"/>
      <c r="BQI57" s="95"/>
      <c r="BQJ57" s="95"/>
      <c r="BQK57" s="95"/>
      <c r="BQL57" s="95"/>
      <c r="BQM57" s="95"/>
      <c r="BQN57" s="95"/>
      <c r="BQO57" s="95"/>
      <c r="BQP57" s="95"/>
      <c r="BQQ57" s="95"/>
      <c r="BQR57" s="95"/>
      <c r="BQS57" s="95"/>
      <c r="BQT57" s="95"/>
      <c r="BQU57" s="95"/>
      <c r="BQV57" s="95"/>
      <c r="BQW57" s="95"/>
      <c r="BQX57" s="95"/>
      <c r="BQY57" s="95"/>
      <c r="BQZ57" s="95"/>
      <c r="BRA57" s="95"/>
      <c r="BRB57" s="95"/>
      <c r="BRC57" s="95"/>
      <c r="BRD57" s="95"/>
      <c r="BRE57" s="95"/>
      <c r="BRF57" s="95"/>
      <c r="BRG57" s="95"/>
      <c r="BRH57" s="95"/>
      <c r="BRI57" s="95"/>
      <c r="BRJ57" s="95"/>
      <c r="BRK57" s="95"/>
      <c r="BRL57" s="95"/>
      <c r="BRM57" s="95"/>
      <c r="BRN57" s="95"/>
      <c r="BRO57" s="95"/>
      <c r="BRP57" s="95"/>
      <c r="BRQ57" s="95"/>
      <c r="BRR57" s="95"/>
      <c r="BRS57" s="95"/>
      <c r="BRT57" s="95"/>
      <c r="BRU57" s="95"/>
      <c r="BRV57" s="95"/>
      <c r="BRW57" s="95"/>
      <c r="BRX57" s="95"/>
      <c r="BRY57" s="95"/>
      <c r="BRZ57" s="95"/>
      <c r="BSA57" s="95"/>
      <c r="BSB57" s="95"/>
      <c r="BSC57" s="95"/>
      <c r="BSD57" s="95"/>
      <c r="BSE57" s="95"/>
      <c r="BSF57" s="95"/>
      <c r="BSG57" s="95"/>
      <c r="BSH57" s="95"/>
      <c r="BSI57" s="95"/>
      <c r="BSJ57" s="95"/>
      <c r="BSK57" s="95"/>
      <c r="BSL57" s="95"/>
      <c r="BSM57" s="95"/>
      <c r="BSN57" s="95"/>
      <c r="BSO57" s="95"/>
      <c r="BSP57" s="95"/>
      <c r="BSQ57" s="95"/>
      <c r="BSR57" s="95"/>
      <c r="BSS57" s="95"/>
      <c r="BST57" s="95"/>
      <c r="BSU57" s="95"/>
      <c r="BSV57" s="95"/>
      <c r="BSW57" s="95"/>
      <c r="BSX57" s="95"/>
      <c r="BSY57" s="95"/>
      <c r="BSZ57" s="95"/>
      <c r="BTA57" s="95"/>
      <c r="BTB57" s="95"/>
      <c r="BTC57" s="95"/>
      <c r="BTD57" s="95"/>
      <c r="BTE57" s="95"/>
      <c r="BTF57" s="95"/>
      <c r="BTG57" s="95"/>
      <c r="BTH57" s="95"/>
      <c r="BTI57" s="95"/>
      <c r="BTJ57" s="95"/>
      <c r="BTK57" s="95"/>
      <c r="BTL57" s="95"/>
      <c r="BTM57" s="95"/>
      <c r="BTN57" s="95"/>
      <c r="BTO57" s="95"/>
      <c r="BTP57" s="95"/>
      <c r="BTQ57" s="95"/>
      <c r="BTR57" s="95"/>
      <c r="BTS57" s="95"/>
      <c r="BTT57" s="95"/>
      <c r="BTU57" s="95"/>
      <c r="BTV57" s="95"/>
      <c r="BTW57" s="95"/>
      <c r="BTX57" s="95"/>
      <c r="BTY57" s="95"/>
      <c r="BTZ57" s="95"/>
      <c r="BUA57" s="95"/>
      <c r="BUB57" s="95"/>
      <c r="BUC57" s="95"/>
      <c r="BUD57" s="95"/>
      <c r="BUE57" s="95"/>
      <c r="BUF57" s="95"/>
      <c r="BUG57" s="95"/>
      <c r="BUH57" s="95"/>
      <c r="BUI57" s="95"/>
      <c r="BUJ57" s="95"/>
      <c r="BUK57" s="95"/>
      <c r="BUL57" s="95"/>
      <c r="BUM57" s="95"/>
      <c r="BUN57" s="95"/>
      <c r="BUO57" s="95"/>
      <c r="BUP57" s="95"/>
      <c r="BUQ57" s="95"/>
      <c r="BUR57" s="95"/>
      <c r="BUS57" s="95"/>
      <c r="BUT57" s="95"/>
      <c r="BUU57" s="95"/>
      <c r="BUV57" s="95"/>
      <c r="BUW57" s="95"/>
      <c r="BUX57" s="95"/>
      <c r="BUY57" s="95"/>
      <c r="BUZ57" s="95"/>
      <c r="BVA57" s="95"/>
      <c r="BVB57" s="95"/>
      <c r="BVC57" s="95"/>
      <c r="BVD57" s="95"/>
      <c r="BVE57" s="95"/>
      <c r="BVF57" s="95"/>
      <c r="BVG57" s="95"/>
      <c r="BVH57" s="95"/>
      <c r="BVI57" s="95"/>
      <c r="BVJ57" s="95"/>
      <c r="BVK57" s="95"/>
      <c r="BVL57" s="95"/>
      <c r="BVM57" s="95"/>
      <c r="BVN57" s="95"/>
      <c r="BVO57" s="95"/>
      <c r="BVP57" s="95"/>
      <c r="BVQ57" s="95"/>
      <c r="BVR57" s="95"/>
      <c r="BVS57" s="95"/>
      <c r="BVT57" s="95"/>
      <c r="BVU57" s="95"/>
      <c r="BVV57" s="95"/>
      <c r="BVW57" s="95"/>
      <c r="BVX57" s="95"/>
      <c r="BVY57" s="95"/>
      <c r="BVZ57" s="95"/>
      <c r="BWA57" s="95"/>
      <c r="BWB57" s="95"/>
      <c r="BWC57" s="95"/>
      <c r="BWD57" s="95"/>
      <c r="BWE57" s="95"/>
      <c r="BWF57" s="95"/>
      <c r="BWG57" s="95"/>
      <c r="BWH57" s="95"/>
      <c r="BWI57" s="95"/>
      <c r="BWJ57" s="95"/>
      <c r="BWK57" s="95"/>
      <c r="BWL57" s="95"/>
      <c r="BWM57" s="95"/>
      <c r="BWN57" s="95"/>
      <c r="BWO57" s="95"/>
      <c r="BWP57" s="95"/>
      <c r="BWQ57" s="95"/>
      <c r="BWR57" s="95"/>
      <c r="BWS57" s="95"/>
      <c r="BWT57" s="95"/>
      <c r="BWU57" s="95"/>
      <c r="BWV57" s="95"/>
      <c r="BWW57" s="95"/>
      <c r="BWX57" s="95"/>
      <c r="BWY57" s="95"/>
      <c r="BWZ57" s="95"/>
      <c r="BXA57" s="95"/>
      <c r="BXB57" s="95"/>
      <c r="BXC57" s="95"/>
      <c r="BXD57" s="95"/>
      <c r="BXE57" s="95"/>
      <c r="BXF57" s="95"/>
      <c r="BXG57" s="95"/>
      <c r="BXH57" s="95"/>
      <c r="BXI57" s="95"/>
      <c r="BXJ57" s="95"/>
      <c r="BXK57" s="95"/>
      <c r="BXL57" s="95"/>
      <c r="BXM57" s="95"/>
      <c r="BXN57" s="95"/>
      <c r="BXO57" s="95"/>
      <c r="BXP57" s="95"/>
      <c r="BXQ57" s="95"/>
      <c r="BXR57" s="95"/>
      <c r="BXS57" s="95"/>
      <c r="BXT57" s="95"/>
      <c r="BXU57" s="95"/>
      <c r="BXV57" s="95"/>
      <c r="BXW57" s="95"/>
      <c r="BXX57" s="95"/>
      <c r="BXY57" s="95"/>
      <c r="BXZ57" s="95"/>
      <c r="BYA57" s="95"/>
      <c r="BYB57" s="95"/>
      <c r="BYC57" s="95"/>
      <c r="BYD57" s="95"/>
      <c r="BYE57" s="95"/>
      <c r="BYF57" s="95"/>
      <c r="BYG57" s="95"/>
    </row>
    <row r="58" spans="1:2009" s="95" customFormat="1" ht="12.75" customHeight="1" thickBot="1" x14ac:dyDescent="0.3">
      <c r="A58" s="111"/>
      <c r="B58" s="111"/>
      <c r="C58" s="176"/>
      <c r="D58" s="176"/>
      <c r="E58" s="176"/>
      <c r="F58" s="176"/>
      <c r="G58" s="715"/>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row>
    <row r="59" spans="1:2009" s="121" customFormat="1" ht="24.95" customHeight="1" thickBot="1" x14ac:dyDescent="0.3">
      <c r="A59" s="530" t="s">
        <v>345</v>
      </c>
      <c r="B59" s="389"/>
      <c r="C59" s="390">
        <v>1696.42</v>
      </c>
      <c r="D59" s="391"/>
      <c r="E59" s="390"/>
      <c r="F59" s="391"/>
      <c r="G59" s="736">
        <f>SUM(C59:F59)</f>
        <v>1696.42</v>
      </c>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c r="GB59" s="95"/>
      <c r="GC59" s="95"/>
      <c r="GD59" s="95"/>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5"/>
      <c r="HO59" s="95"/>
      <c r="HP59" s="95"/>
      <c r="HQ59" s="95"/>
      <c r="HR59" s="95"/>
      <c r="HS59" s="95"/>
      <c r="HT59" s="95"/>
      <c r="HU59" s="95"/>
      <c r="HV59" s="95"/>
      <c r="HW59" s="95"/>
      <c r="HX59" s="95"/>
      <c r="HY59" s="95"/>
      <c r="HZ59" s="95"/>
      <c r="IA59" s="95"/>
      <c r="IB59" s="95"/>
      <c r="IC59" s="95"/>
      <c r="ID59" s="95"/>
      <c r="IE59" s="95"/>
      <c r="IF59" s="95"/>
      <c r="IG59" s="95"/>
      <c r="IH59" s="95"/>
      <c r="II59" s="95"/>
      <c r="IJ59" s="95"/>
      <c r="IK59" s="95"/>
      <c r="IL59" s="95"/>
      <c r="IM59" s="95"/>
      <c r="IN59" s="95"/>
      <c r="IO59" s="95"/>
      <c r="IP59" s="95"/>
      <c r="IQ59" s="95"/>
      <c r="IR59" s="95"/>
      <c r="IS59" s="95"/>
      <c r="IT59" s="95"/>
      <c r="IU59" s="95"/>
      <c r="IV59" s="95"/>
      <c r="IW59" s="95"/>
      <c r="IX59" s="95"/>
      <c r="IY59" s="95"/>
      <c r="IZ59" s="95"/>
      <c r="JA59" s="95"/>
      <c r="JB59" s="95"/>
      <c r="JC59" s="95"/>
      <c r="JD59" s="95"/>
      <c r="JE59" s="95"/>
      <c r="JF59" s="95"/>
      <c r="JG59" s="95"/>
      <c r="JH59" s="95"/>
      <c r="JI59" s="95"/>
      <c r="JJ59" s="95"/>
      <c r="JK59" s="95"/>
      <c r="JL59" s="95"/>
      <c r="JM59" s="95"/>
      <c r="JN59" s="95"/>
      <c r="JO59" s="95"/>
      <c r="JP59" s="95"/>
      <c r="JQ59" s="95"/>
      <c r="JR59" s="95"/>
      <c r="JS59" s="95"/>
      <c r="JT59" s="95"/>
      <c r="JU59" s="95"/>
      <c r="JV59" s="95"/>
      <c r="JW59" s="95"/>
      <c r="JX59" s="95"/>
      <c r="JY59" s="95"/>
      <c r="JZ59" s="95"/>
      <c r="KA59" s="95"/>
      <c r="KB59" s="95"/>
      <c r="KC59" s="95"/>
      <c r="KD59" s="95"/>
      <c r="KE59" s="95"/>
      <c r="KF59" s="95"/>
      <c r="KG59" s="95"/>
      <c r="KH59" s="95"/>
      <c r="KI59" s="95"/>
      <c r="KJ59" s="95"/>
      <c r="KK59" s="95"/>
      <c r="KL59" s="95"/>
      <c r="KM59" s="95"/>
      <c r="KN59" s="95"/>
      <c r="KO59" s="95"/>
      <c r="KP59" s="95"/>
      <c r="KQ59" s="95"/>
      <c r="KR59" s="95"/>
      <c r="KS59" s="95"/>
      <c r="KT59" s="95"/>
      <c r="KU59" s="95"/>
      <c r="KV59" s="95"/>
      <c r="KW59" s="95"/>
      <c r="KX59" s="95"/>
      <c r="KY59" s="95"/>
      <c r="KZ59" s="95"/>
      <c r="LA59" s="95"/>
      <c r="LB59" s="95"/>
      <c r="LC59" s="95"/>
      <c r="LD59" s="95"/>
      <c r="LE59" s="95"/>
      <c r="LF59" s="95"/>
      <c r="LG59" s="95"/>
      <c r="LH59" s="95"/>
      <c r="LI59" s="95"/>
      <c r="LJ59" s="95"/>
      <c r="LK59" s="95"/>
      <c r="LL59" s="95"/>
      <c r="LM59" s="95"/>
      <c r="LN59" s="95"/>
      <c r="LO59" s="95"/>
      <c r="LP59" s="95"/>
      <c r="LQ59" s="95"/>
      <c r="LR59" s="95"/>
      <c r="LS59" s="95"/>
      <c r="LT59" s="95"/>
      <c r="LU59" s="95"/>
      <c r="LV59" s="95"/>
      <c r="LW59" s="95"/>
      <c r="LX59" s="95"/>
      <c r="LY59" s="95"/>
      <c r="LZ59" s="95"/>
      <c r="MA59" s="95"/>
      <c r="MB59" s="95"/>
      <c r="MC59" s="95"/>
      <c r="MD59" s="95"/>
      <c r="ME59" s="95"/>
      <c r="MF59" s="95"/>
      <c r="MG59" s="95"/>
      <c r="MH59" s="95"/>
      <c r="MI59" s="95"/>
      <c r="MJ59" s="95"/>
      <c r="MK59" s="95"/>
      <c r="ML59" s="95"/>
      <c r="MM59" s="95"/>
      <c r="MN59" s="95"/>
      <c r="MO59" s="95"/>
      <c r="MP59" s="95"/>
      <c r="MQ59" s="95"/>
      <c r="MR59" s="95"/>
      <c r="MS59" s="95"/>
      <c r="MT59" s="95"/>
      <c r="MU59" s="95"/>
      <c r="MV59" s="95"/>
      <c r="MW59" s="95"/>
      <c r="MX59" s="95"/>
      <c r="MY59" s="95"/>
      <c r="MZ59" s="95"/>
      <c r="NA59" s="95"/>
      <c r="NB59" s="95"/>
      <c r="NC59" s="95"/>
      <c r="ND59" s="95"/>
      <c r="NE59" s="95"/>
      <c r="NF59" s="95"/>
      <c r="NG59" s="95"/>
      <c r="NH59" s="95"/>
      <c r="NI59" s="95"/>
      <c r="NJ59" s="95"/>
      <c r="NK59" s="95"/>
      <c r="NL59" s="95"/>
      <c r="NM59" s="95"/>
      <c r="NN59" s="95"/>
      <c r="NO59" s="95"/>
      <c r="NP59" s="95"/>
      <c r="NQ59" s="95"/>
      <c r="NR59" s="95"/>
      <c r="NS59" s="95"/>
      <c r="NT59" s="95"/>
      <c r="NU59" s="95"/>
      <c r="NV59" s="95"/>
      <c r="NW59" s="95"/>
      <c r="NX59" s="95"/>
      <c r="NY59" s="95"/>
      <c r="NZ59" s="95"/>
      <c r="OA59" s="95"/>
      <c r="OB59" s="95"/>
      <c r="OC59" s="95"/>
      <c r="OD59" s="95"/>
      <c r="OE59" s="95"/>
      <c r="OF59" s="95"/>
      <c r="OG59" s="95"/>
      <c r="OH59" s="95"/>
      <c r="OI59" s="95"/>
      <c r="OJ59" s="95"/>
      <c r="OK59" s="95"/>
      <c r="OL59" s="95"/>
      <c r="OM59" s="95"/>
      <c r="ON59" s="95"/>
      <c r="OO59" s="95"/>
      <c r="OP59" s="95"/>
      <c r="OQ59" s="95"/>
      <c r="OR59" s="95"/>
      <c r="OS59" s="95"/>
      <c r="OT59" s="95"/>
      <c r="OU59" s="95"/>
      <c r="OV59" s="95"/>
      <c r="OW59" s="95"/>
      <c r="OX59" s="95"/>
      <c r="OY59" s="95"/>
      <c r="OZ59" s="95"/>
      <c r="PA59" s="95"/>
      <c r="PB59" s="95"/>
      <c r="PC59" s="95"/>
      <c r="PD59" s="95"/>
      <c r="PE59" s="95"/>
      <c r="PF59" s="95"/>
      <c r="PG59" s="95"/>
      <c r="PH59" s="95"/>
      <c r="PI59" s="95"/>
      <c r="PJ59" s="95"/>
      <c r="PK59" s="95"/>
      <c r="PL59" s="95"/>
      <c r="PM59" s="95"/>
      <c r="PN59" s="95"/>
      <c r="PO59" s="95"/>
      <c r="PP59" s="95"/>
      <c r="PQ59" s="95"/>
      <c r="PR59" s="95"/>
      <c r="PS59" s="95"/>
      <c r="PT59" s="95"/>
      <c r="PU59" s="95"/>
      <c r="PV59" s="95"/>
      <c r="PW59" s="95"/>
      <c r="PX59" s="95"/>
      <c r="PY59" s="95"/>
      <c r="PZ59" s="95"/>
      <c r="QA59" s="95"/>
      <c r="QB59" s="95"/>
      <c r="QC59" s="95"/>
      <c r="QD59" s="95"/>
      <c r="QE59" s="95"/>
      <c r="QF59" s="95"/>
      <c r="QG59" s="95"/>
      <c r="QH59" s="95"/>
      <c r="QI59" s="95"/>
      <c r="QJ59" s="95"/>
      <c r="QK59" s="95"/>
      <c r="QL59" s="95"/>
      <c r="QM59" s="95"/>
      <c r="QN59" s="95"/>
      <c r="QO59" s="95"/>
      <c r="QP59" s="95"/>
      <c r="QQ59" s="95"/>
      <c r="QR59" s="95"/>
      <c r="QS59" s="95"/>
      <c r="QT59" s="95"/>
      <c r="QU59" s="95"/>
      <c r="QV59" s="95"/>
      <c r="QW59" s="95"/>
      <c r="QX59" s="95"/>
      <c r="QY59" s="95"/>
      <c r="QZ59" s="95"/>
      <c r="RA59" s="95"/>
      <c r="RB59" s="95"/>
      <c r="RC59" s="95"/>
      <c r="RD59" s="95"/>
      <c r="RE59" s="95"/>
      <c r="RF59" s="95"/>
      <c r="RG59" s="95"/>
      <c r="RH59" s="95"/>
      <c r="RI59" s="95"/>
      <c r="RJ59" s="95"/>
      <c r="RK59" s="95"/>
      <c r="RL59" s="95"/>
      <c r="RM59" s="95"/>
      <c r="RN59" s="95"/>
      <c r="RO59" s="95"/>
      <c r="RP59" s="95"/>
      <c r="RQ59" s="95"/>
      <c r="RR59" s="95"/>
      <c r="RS59" s="95"/>
      <c r="RT59" s="95"/>
      <c r="RU59" s="95"/>
      <c r="RV59" s="95"/>
      <c r="RW59" s="95"/>
      <c r="RX59" s="95"/>
      <c r="RY59" s="95"/>
      <c r="RZ59" s="95"/>
      <c r="SA59" s="95"/>
      <c r="SB59" s="95"/>
      <c r="SC59" s="95"/>
      <c r="SD59" s="95"/>
      <c r="SE59" s="95"/>
      <c r="SF59" s="95"/>
      <c r="SG59" s="95"/>
      <c r="SH59" s="95"/>
      <c r="SI59" s="95"/>
      <c r="SJ59" s="95"/>
      <c r="SK59" s="95"/>
      <c r="SL59" s="95"/>
      <c r="SM59" s="95"/>
      <c r="SN59" s="95"/>
      <c r="SO59" s="95"/>
      <c r="SP59" s="95"/>
      <c r="SQ59" s="95"/>
      <c r="SR59" s="95"/>
      <c r="SS59" s="95"/>
      <c r="ST59" s="95"/>
      <c r="SU59" s="95"/>
      <c r="SV59" s="95"/>
      <c r="SW59" s="95"/>
      <c r="SX59" s="95"/>
      <c r="SY59" s="95"/>
      <c r="SZ59" s="95"/>
      <c r="TA59" s="95"/>
      <c r="TB59" s="95"/>
      <c r="TC59" s="95"/>
      <c r="TD59" s="95"/>
      <c r="TE59" s="95"/>
      <c r="TF59" s="95"/>
      <c r="TG59" s="95"/>
      <c r="TH59" s="95"/>
      <c r="TI59" s="95"/>
      <c r="TJ59" s="95"/>
      <c r="TK59" s="95"/>
      <c r="TL59" s="95"/>
      <c r="TM59" s="95"/>
      <c r="TN59" s="95"/>
      <c r="TO59" s="95"/>
      <c r="TP59" s="95"/>
      <c r="TQ59" s="95"/>
      <c r="TR59" s="95"/>
      <c r="TS59" s="95"/>
      <c r="TT59" s="95"/>
      <c r="TU59" s="95"/>
      <c r="TV59" s="95"/>
      <c r="TW59" s="95"/>
      <c r="TX59" s="95"/>
      <c r="TY59" s="95"/>
      <c r="TZ59" s="95"/>
      <c r="UA59" s="95"/>
      <c r="UB59" s="95"/>
      <c r="UC59" s="95"/>
      <c r="UD59" s="95"/>
      <c r="UE59" s="95"/>
      <c r="UF59" s="95"/>
      <c r="UG59" s="95"/>
      <c r="UH59" s="95"/>
      <c r="UI59" s="95"/>
      <c r="UJ59" s="95"/>
      <c r="UK59" s="95"/>
      <c r="UL59" s="95"/>
      <c r="UM59" s="95"/>
      <c r="UN59" s="95"/>
      <c r="UO59" s="95"/>
      <c r="UP59" s="95"/>
      <c r="UQ59" s="95"/>
      <c r="UR59" s="95"/>
      <c r="US59" s="95"/>
      <c r="UT59" s="95"/>
      <c r="UU59" s="95"/>
      <c r="UV59" s="95"/>
      <c r="UW59" s="95"/>
      <c r="UX59" s="95"/>
      <c r="UY59" s="95"/>
      <c r="UZ59" s="95"/>
      <c r="VA59" s="95"/>
      <c r="VB59" s="95"/>
      <c r="VC59" s="95"/>
      <c r="VD59" s="95"/>
      <c r="VE59" s="95"/>
      <c r="VF59" s="95"/>
      <c r="VG59" s="95"/>
      <c r="VH59" s="95"/>
      <c r="VI59" s="95"/>
      <c r="VJ59" s="95"/>
      <c r="VK59" s="95"/>
      <c r="VL59" s="95"/>
      <c r="VM59" s="95"/>
      <c r="VN59" s="95"/>
      <c r="VO59" s="95"/>
      <c r="VP59" s="95"/>
      <c r="VQ59" s="95"/>
      <c r="VR59" s="95"/>
      <c r="VS59" s="95"/>
      <c r="VT59" s="95"/>
      <c r="VU59" s="95"/>
      <c r="VV59" s="95"/>
      <c r="VW59" s="95"/>
      <c r="VX59" s="95"/>
      <c r="VY59" s="95"/>
      <c r="VZ59" s="95"/>
      <c r="WA59" s="95"/>
      <c r="WB59" s="95"/>
      <c r="WC59" s="95"/>
      <c r="WD59" s="95"/>
      <c r="WE59" s="95"/>
      <c r="WF59" s="95"/>
      <c r="WG59" s="95"/>
      <c r="WH59" s="95"/>
      <c r="WI59" s="95"/>
      <c r="WJ59" s="95"/>
      <c r="WK59" s="95"/>
      <c r="WL59" s="95"/>
      <c r="WM59" s="95"/>
      <c r="WN59" s="95"/>
      <c r="WO59" s="95"/>
      <c r="WP59" s="95"/>
      <c r="WQ59" s="95"/>
      <c r="WR59" s="95"/>
      <c r="WS59" s="95"/>
      <c r="WT59" s="95"/>
      <c r="WU59" s="95"/>
      <c r="WV59" s="95"/>
      <c r="WW59" s="95"/>
      <c r="WX59" s="95"/>
      <c r="WY59" s="95"/>
      <c r="WZ59" s="95"/>
      <c r="XA59" s="95"/>
      <c r="XB59" s="95"/>
      <c r="XC59" s="95"/>
      <c r="XD59" s="95"/>
      <c r="XE59" s="95"/>
      <c r="XF59" s="95"/>
      <c r="XG59" s="95"/>
      <c r="XH59" s="95"/>
      <c r="XI59" s="95"/>
      <c r="XJ59" s="95"/>
      <c r="XK59" s="95"/>
      <c r="XL59" s="95"/>
      <c r="XM59" s="95"/>
      <c r="XN59" s="95"/>
      <c r="XO59" s="95"/>
      <c r="XP59" s="95"/>
      <c r="XQ59" s="95"/>
      <c r="XR59" s="95"/>
      <c r="XS59" s="95"/>
      <c r="XT59" s="95"/>
      <c r="XU59" s="95"/>
      <c r="XV59" s="95"/>
      <c r="XW59" s="95"/>
      <c r="XX59" s="95"/>
      <c r="XY59" s="95"/>
      <c r="XZ59" s="95"/>
      <c r="YA59" s="95"/>
      <c r="YB59" s="95"/>
      <c r="YC59" s="95"/>
      <c r="YD59" s="95"/>
      <c r="YE59" s="95"/>
      <c r="YF59" s="95"/>
      <c r="YG59" s="95"/>
      <c r="YH59" s="95"/>
      <c r="YI59" s="95"/>
      <c r="YJ59" s="95"/>
      <c r="YK59" s="95"/>
      <c r="YL59" s="95"/>
      <c r="YM59" s="95"/>
      <c r="YN59" s="95"/>
      <c r="YO59" s="95"/>
      <c r="YP59" s="95"/>
      <c r="YQ59" s="95"/>
      <c r="YR59" s="95"/>
      <c r="YS59" s="95"/>
      <c r="YT59" s="95"/>
      <c r="YU59" s="95"/>
      <c r="YV59" s="95"/>
      <c r="YW59" s="95"/>
      <c r="YX59" s="95"/>
      <c r="YY59" s="95"/>
      <c r="YZ59" s="95"/>
      <c r="ZA59" s="95"/>
      <c r="ZB59" s="95"/>
      <c r="ZC59" s="95"/>
      <c r="ZD59" s="95"/>
      <c r="ZE59" s="95"/>
      <c r="ZF59" s="95"/>
      <c r="ZG59" s="95"/>
      <c r="ZH59" s="95"/>
      <c r="ZI59" s="95"/>
      <c r="ZJ59" s="95"/>
      <c r="ZK59" s="95"/>
      <c r="ZL59" s="95"/>
      <c r="ZM59" s="95"/>
      <c r="ZN59" s="95"/>
      <c r="ZO59" s="95"/>
      <c r="ZP59" s="95"/>
      <c r="ZQ59" s="95"/>
      <c r="ZR59" s="95"/>
      <c r="ZS59" s="95"/>
      <c r="ZT59" s="95"/>
      <c r="ZU59" s="95"/>
      <c r="ZV59" s="95"/>
      <c r="ZW59" s="95"/>
      <c r="ZX59" s="95"/>
      <c r="ZY59" s="95"/>
      <c r="ZZ59" s="95"/>
      <c r="AAA59" s="95"/>
      <c r="AAB59" s="95"/>
      <c r="AAC59" s="95"/>
      <c r="AAD59" s="95"/>
      <c r="AAE59" s="95"/>
      <c r="AAF59" s="95"/>
      <c r="AAG59" s="95"/>
      <c r="AAH59" s="95"/>
      <c r="AAI59" s="95"/>
      <c r="AAJ59" s="95"/>
      <c r="AAK59" s="95"/>
      <c r="AAL59" s="95"/>
      <c r="AAM59" s="95"/>
      <c r="AAN59" s="95"/>
      <c r="AAO59" s="95"/>
      <c r="AAP59" s="95"/>
      <c r="AAQ59" s="95"/>
      <c r="AAR59" s="95"/>
      <c r="AAS59" s="95"/>
      <c r="AAT59" s="95"/>
      <c r="AAU59" s="95"/>
      <c r="AAV59" s="95"/>
      <c r="AAW59" s="95"/>
      <c r="AAX59" s="95"/>
      <c r="AAY59" s="95"/>
      <c r="AAZ59" s="95"/>
      <c r="ABA59" s="95"/>
      <c r="ABB59" s="95"/>
      <c r="ABC59" s="95"/>
      <c r="ABD59" s="95"/>
      <c r="ABE59" s="95"/>
      <c r="ABF59" s="95"/>
      <c r="ABG59" s="95"/>
      <c r="ABH59" s="95"/>
      <c r="ABI59" s="95"/>
      <c r="ABJ59" s="95"/>
      <c r="ABK59" s="95"/>
      <c r="ABL59" s="95"/>
      <c r="ABM59" s="95"/>
      <c r="ABN59" s="95"/>
      <c r="ABO59" s="95"/>
      <c r="ABP59" s="95"/>
      <c r="ABQ59" s="95"/>
      <c r="ABR59" s="95"/>
      <c r="ABS59" s="95"/>
      <c r="ABT59" s="95"/>
      <c r="ABU59" s="95"/>
      <c r="ABV59" s="95"/>
      <c r="ABW59" s="95"/>
      <c r="ABX59" s="95"/>
      <c r="ABY59" s="95"/>
      <c r="ABZ59" s="95"/>
      <c r="ACA59" s="95"/>
      <c r="ACB59" s="95"/>
      <c r="ACC59" s="95"/>
      <c r="ACD59" s="95"/>
      <c r="ACE59" s="95"/>
      <c r="ACF59" s="95"/>
      <c r="ACG59" s="95"/>
      <c r="ACH59" s="95"/>
      <c r="ACI59" s="95"/>
      <c r="ACJ59" s="95"/>
      <c r="ACK59" s="95"/>
      <c r="ACL59" s="95"/>
      <c r="ACM59" s="95"/>
      <c r="ACN59" s="95"/>
      <c r="ACO59" s="95"/>
      <c r="ACP59" s="95"/>
      <c r="ACQ59" s="95"/>
      <c r="ACR59" s="95"/>
      <c r="ACS59" s="95"/>
      <c r="ACT59" s="95"/>
      <c r="ACU59" s="95"/>
      <c r="ACV59" s="95"/>
      <c r="ACW59" s="95"/>
      <c r="ACX59" s="95"/>
      <c r="ACY59" s="95"/>
      <c r="ACZ59" s="95"/>
      <c r="ADA59" s="95"/>
      <c r="ADB59" s="95"/>
      <c r="ADC59" s="95"/>
      <c r="ADD59" s="95"/>
      <c r="ADE59" s="95"/>
      <c r="ADF59" s="95"/>
      <c r="ADG59" s="95"/>
      <c r="ADH59" s="95"/>
      <c r="ADI59" s="95"/>
      <c r="ADJ59" s="95"/>
      <c r="ADK59" s="95"/>
      <c r="ADL59" s="95"/>
      <c r="ADM59" s="95"/>
      <c r="ADN59" s="95"/>
      <c r="ADO59" s="95"/>
      <c r="ADP59" s="95"/>
      <c r="ADQ59" s="95"/>
      <c r="ADR59" s="95"/>
      <c r="ADS59" s="95"/>
      <c r="ADT59" s="95"/>
      <c r="ADU59" s="95"/>
      <c r="ADV59" s="95"/>
      <c r="ADW59" s="95"/>
      <c r="ADX59" s="95"/>
      <c r="ADY59" s="95"/>
      <c r="ADZ59" s="95"/>
      <c r="AEA59" s="95"/>
      <c r="AEB59" s="95"/>
      <c r="AEC59" s="95"/>
      <c r="AED59" s="95"/>
      <c r="AEE59" s="95"/>
      <c r="AEF59" s="95"/>
      <c r="AEG59" s="95"/>
      <c r="AEH59" s="95"/>
      <c r="AEI59" s="95"/>
      <c r="AEJ59" s="95"/>
      <c r="AEK59" s="95"/>
      <c r="AEL59" s="95"/>
      <c r="AEM59" s="95"/>
      <c r="AEN59" s="95"/>
      <c r="AEO59" s="95"/>
      <c r="AEP59" s="95"/>
      <c r="AEQ59" s="95"/>
      <c r="AER59" s="95"/>
      <c r="AES59" s="95"/>
      <c r="AET59" s="95"/>
      <c r="AEU59" s="95"/>
      <c r="AEV59" s="95"/>
      <c r="AEW59" s="95"/>
      <c r="AEX59" s="95"/>
      <c r="AEY59" s="95"/>
      <c r="AEZ59" s="95"/>
      <c r="AFA59" s="95"/>
      <c r="AFB59" s="95"/>
      <c r="AFC59" s="95"/>
      <c r="AFD59" s="95"/>
      <c r="AFE59" s="95"/>
      <c r="AFF59" s="95"/>
      <c r="AFG59" s="95"/>
      <c r="AFH59" s="95"/>
      <c r="AFI59" s="95"/>
      <c r="AFJ59" s="95"/>
      <c r="AFK59" s="95"/>
      <c r="AFL59" s="95"/>
      <c r="AFM59" s="95"/>
      <c r="AFN59" s="95"/>
      <c r="AFO59" s="95"/>
      <c r="AFP59" s="95"/>
      <c r="AFQ59" s="95"/>
      <c r="AFR59" s="95"/>
      <c r="AFS59" s="95"/>
      <c r="AFT59" s="95"/>
      <c r="AFU59" s="95"/>
      <c r="AFV59" s="95"/>
      <c r="AFW59" s="95"/>
      <c r="AFX59" s="95"/>
      <c r="AFY59" s="95"/>
      <c r="AFZ59" s="95"/>
      <c r="AGA59" s="95"/>
      <c r="AGB59" s="95"/>
      <c r="AGC59" s="95"/>
      <c r="AGD59" s="95"/>
      <c r="AGE59" s="95"/>
      <c r="AGF59" s="95"/>
      <c r="AGG59" s="95"/>
      <c r="AGH59" s="95"/>
      <c r="AGI59" s="95"/>
      <c r="AGJ59" s="95"/>
      <c r="AGK59" s="95"/>
      <c r="AGL59" s="95"/>
      <c r="AGM59" s="95"/>
      <c r="AGN59" s="95"/>
      <c r="AGO59" s="95"/>
      <c r="AGP59" s="95"/>
      <c r="AGQ59" s="95"/>
      <c r="AGR59" s="95"/>
      <c r="AGS59" s="95"/>
      <c r="AGT59" s="95"/>
      <c r="AGU59" s="95"/>
      <c r="AGV59" s="95"/>
      <c r="AGW59" s="95"/>
      <c r="AGX59" s="95"/>
      <c r="AGY59" s="95"/>
      <c r="AGZ59" s="95"/>
      <c r="AHA59" s="95"/>
      <c r="AHB59" s="95"/>
      <c r="AHC59" s="95"/>
      <c r="AHD59" s="95"/>
      <c r="AHE59" s="95"/>
      <c r="AHF59" s="95"/>
      <c r="AHG59" s="95"/>
      <c r="AHH59" s="95"/>
      <c r="AHI59" s="95"/>
      <c r="AHJ59" s="95"/>
      <c r="AHK59" s="95"/>
      <c r="AHL59" s="95"/>
      <c r="AHM59" s="95"/>
      <c r="AHN59" s="95"/>
      <c r="AHO59" s="95"/>
      <c r="AHP59" s="95"/>
      <c r="AHQ59" s="95"/>
      <c r="AHR59" s="95"/>
      <c r="AHS59" s="95"/>
      <c r="AHT59" s="95"/>
      <c r="AHU59" s="95"/>
      <c r="AHV59" s="95"/>
      <c r="AHW59" s="95"/>
      <c r="AHX59" s="95"/>
      <c r="AHY59" s="95"/>
      <c r="AHZ59" s="95"/>
      <c r="AIA59" s="95"/>
      <c r="AIB59" s="95"/>
      <c r="AIC59" s="95"/>
      <c r="AID59" s="95"/>
      <c r="AIE59" s="95"/>
      <c r="AIF59" s="95"/>
      <c r="AIG59" s="95"/>
      <c r="AIH59" s="95"/>
      <c r="AII59" s="95"/>
      <c r="AIJ59" s="95"/>
      <c r="AIK59" s="95"/>
      <c r="AIL59" s="95"/>
      <c r="AIM59" s="95"/>
      <c r="AIN59" s="95"/>
      <c r="AIO59" s="95"/>
      <c r="AIP59" s="95"/>
      <c r="AIQ59" s="95"/>
      <c r="AIR59" s="95"/>
      <c r="AIS59" s="95"/>
      <c r="AIT59" s="95"/>
      <c r="AIU59" s="95"/>
      <c r="AIV59" s="95"/>
      <c r="AIW59" s="95"/>
      <c r="AIX59" s="95"/>
      <c r="AIY59" s="95"/>
      <c r="AIZ59" s="95"/>
      <c r="AJA59" s="95"/>
      <c r="AJB59" s="95"/>
      <c r="AJC59" s="95"/>
      <c r="AJD59" s="95"/>
      <c r="AJE59" s="95"/>
      <c r="AJF59" s="95"/>
      <c r="AJG59" s="95"/>
      <c r="AJH59" s="95"/>
      <c r="AJI59" s="95"/>
      <c r="AJJ59" s="95"/>
      <c r="AJK59" s="95"/>
      <c r="AJL59" s="95"/>
      <c r="AJM59" s="95"/>
      <c r="AJN59" s="95"/>
      <c r="AJO59" s="95"/>
      <c r="AJP59" s="95"/>
      <c r="AJQ59" s="95"/>
      <c r="AJR59" s="95"/>
      <c r="AJS59" s="95"/>
      <c r="AJT59" s="95"/>
      <c r="AJU59" s="95"/>
      <c r="AJV59" s="95"/>
      <c r="AJW59" s="95"/>
      <c r="AJX59" s="95"/>
      <c r="AJY59" s="95"/>
      <c r="AJZ59" s="95"/>
      <c r="AKA59" s="95"/>
      <c r="AKB59" s="95"/>
      <c r="AKC59" s="95"/>
      <c r="AKD59" s="95"/>
      <c r="AKE59" s="95"/>
      <c r="AKF59" s="95"/>
      <c r="AKG59" s="95"/>
      <c r="AKH59" s="95"/>
      <c r="AKI59" s="95"/>
      <c r="AKJ59" s="95"/>
      <c r="AKK59" s="95"/>
      <c r="AKL59" s="95"/>
      <c r="AKM59" s="95"/>
      <c r="AKN59" s="95"/>
      <c r="AKO59" s="95"/>
      <c r="AKP59" s="95"/>
      <c r="AKQ59" s="95"/>
      <c r="AKR59" s="95"/>
      <c r="AKS59" s="95"/>
      <c r="AKT59" s="95"/>
      <c r="AKU59" s="95"/>
      <c r="AKV59" s="95"/>
      <c r="AKW59" s="95"/>
      <c r="AKX59" s="95"/>
      <c r="AKY59" s="95"/>
      <c r="AKZ59" s="95"/>
      <c r="ALA59" s="95"/>
      <c r="ALB59" s="95"/>
      <c r="ALC59" s="95"/>
      <c r="ALD59" s="95"/>
      <c r="ALE59" s="95"/>
      <c r="ALF59" s="95"/>
      <c r="ALG59" s="95"/>
      <c r="ALH59" s="95"/>
      <c r="ALI59" s="95"/>
      <c r="ALJ59" s="95"/>
      <c r="ALK59" s="95"/>
      <c r="ALL59" s="95"/>
      <c r="ALM59" s="95"/>
      <c r="ALN59" s="95"/>
      <c r="ALO59" s="95"/>
      <c r="ALP59" s="95"/>
      <c r="ALQ59" s="95"/>
      <c r="ALR59" s="95"/>
      <c r="ALS59" s="95"/>
      <c r="ALT59" s="95"/>
      <c r="ALU59" s="95"/>
      <c r="ALV59" s="95"/>
      <c r="ALW59" s="95"/>
      <c r="ALX59" s="95"/>
      <c r="ALY59" s="95"/>
      <c r="ALZ59" s="95"/>
      <c r="AMA59" s="95"/>
      <c r="AMB59" s="95"/>
      <c r="AMC59" s="95"/>
      <c r="AMD59" s="95"/>
      <c r="AME59" s="95"/>
      <c r="AMF59" s="95"/>
      <c r="AMG59" s="95"/>
      <c r="AMH59" s="95"/>
      <c r="AMI59" s="95"/>
      <c r="AMJ59" s="95"/>
      <c r="AMK59" s="95"/>
      <c r="AML59" s="95"/>
      <c r="AMM59" s="95"/>
      <c r="AMN59" s="95"/>
      <c r="AMO59" s="95"/>
      <c r="AMP59" s="95"/>
      <c r="AMQ59" s="95"/>
      <c r="AMR59" s="95"/>
      <c r="AMS59" s="95"/>
      <c r="AMT59" s="95"/>
      <c r="AMU59" s="95"/>
      <c r="AMV59" s="95"/>
      <c r="AMW59" s="95"/>
      <c r="AMX59" s="95"/>
      <c r="AMY59" s="95"/>
      <c r="AMZ59" s="95"/>
      <c r="ANA59" s="95"/>
      <c r="ANB59" s="95"/>
      <c r="ANC59" s="95"/>
      <c r="AND59" s="95"/>
      <c r="ANE59" s="95"/>
      <c r="ANF59" s="95"/>
      <c r="ANG59" s="95"/>
      <c r="ANH59" s="95"/>
      <c r="ANI59" s="95"/>
      <c r="ANJ59" s="95"/>
      <c r="ANK59" s="95"/>
      <c r="ANL59" s="95"/>
      <c r="ANM59" s="95"/>
      <c r="ANN59" s="95"/>
      <c r="ANO59" s="95"/>
      <c r="ANP59" s="95"/>
      <c r="ANQ59" s="95"/>
      <c r="ANR59" s="95"/>
      <c r="ANS59" s="95"/>
      <c r="ANT59" s="95"/>
      <c r="ANU59" s="95"/>
      <c r="ANV59" s="95"/>
      <c r="ANW59" s="95"/>
      <c r="ANX59" s="95"/>
      <c r="ANY59" s="95"/>
      <c r="ANZ59" s="95"/>
      <c r="AOA59" s="95"/>
      <c r="AOB59" s="95"/>
      <c r="AOC59" s="95"/>
      <c r="AOD59" s="95"/>
      <c r="AOE59" s="95"/>
      <c r="AOF59" s="95"/>
      <c r="AOG59" s="95"/>
      <c r="AOH59" s="95"/>
      <c r="AOI59" s="95"/>
      <c r="AOJ59" s="95"/>
      <c r="AOK59" s="95"/>
      <c r="AOL59" s="95"/>
      <c r="AOM59" s="95"/>
      <c r="AON59" s="95"/>
      <c r="AOO59" s="95"/>
      <c r="AOP59" s="95"/>
      <c r="AOQ59" s="95"/>
      <c r="AOR59" s="95"/>
      <c r="AOS59" s="95"/>
      <c r="AOT59" s="95"/>
      <c r="AOU59" s="95"/>
      <c r="AOV59" s="95"/>
      <c r="AOW59" s="95"/>
      <c r="AOX59" s="95"/>
      <c r="AOY59" s="95"/>
      <c r="AOZ59" s="95"/>
      <c r="APA59" s="95"/>
      <c r="APB59" s="95"/>
      <c r="APC59" s="95"/>
      <c r="APD59" s="95"/>
      <c r="APE59" s="95"/>
      <c r="APF59" s="95"/>
      <c r="APG59" s="95"/>
      <c r="APH59" s="95"/>
      <c r="API59" s="95"/>
      <c r="APJ59" s="95"/>
      <c r="APK59" s="95"/>
      <c r="APL59" s="95"/>
      <c r="APM59" s="95"/>
      <c r="APN59" s="95"/>
      <c r="APO59" s="95"/>
      <c r="APP59" s="95"/>
      <c r="APQ59" s="95"/>
      <c r="APR59" s="95"/>
      <c r="APS59" s="95"/>
      <c r="APT59" s="95"/>
      <c r="APU59" s="95"/>
      <c r="APV59" s="95"/>
      <c r="APW59" s="95"/>
      <c r="APX59" s="95"/>
      <c r="APY59" s="95"/>
      <c r="APZ59" s="95"/>
      <c r="AQA59" s="95"/>
      <c r="AQB59" s="95"/>
      <c r="AQC59" s="95"/>
      <c r="AQD59" s="95"/>
      <c r="AQE59" s="95"/>
      <c r="AQF59" s="95"/>
      <c r="AQG59" s="95"/>
      <c r="AQH59" s="95"/>
      <c r="AQI59" s="95"/>
      <c r="AQJ59" s="95"/>
      <c r="AQK59" s="95"/>
      <c r="AQL59" s="95"/>
      <c r="AQM59" s="95"/>
      <c r="AQN59" s="95"/>
      <c r="AQO59" s="95"/>
      <c r="AQP59" s="95"/>
      <c r="AQQ59" s="95"/>
      <c r="AQR59" s="95"/>
      <c r="AQS59" s="95"/>
      <c r="AQT59" s="95"/>
      <c r="AQU59" s="95"/>
      <c r="AQV59" s="95"/>
      <c r="AQW59" s="95"/>
      <c r="AQX59" s="95"/>
      <c r="AQY59" s="95"/>
      <c r="AQZ59" s="95"/>
      <c r="ARA59" s="95"/>
      <c r="ARB59" s="95"/>
      <c r="ARC59" s="95"/>
      <c r="ARD59" s="95"/>
      <c r="ARE59" s="95"/>
      <c r="ARF59" s="95"/>
      <c r="ARG59" s="95"/>
      <c r="ARH59" s="95"/>
      <c r="ARI59" s="95"/>
      <c r="ARJ59" s="95"/>
      <c r="ARK59" s="95"/>
      <c r="ARL59" s="95"/>
      <c r="ARM59" s="95"/>
      <c r="ARN59" s="95"/>
      <c r="ARO59" s="95"/>
      <c r="ARP59" s="95"/>
      <c r="ARQ59" s="95"/>
      <c r="ARR59" s="95"/>
      <c r="ARS59" s="95"/>
      <c r="ART59" s="95"/>
      <c r="ARU59" s="95"/>
      <c r="ARV59" s="95"/>
      <c r="ARW59" s="95"/>
      <c r="ARX59" s="95"/>
      <c r="ARY59" s="95"/>
      <c r="ARZ59" s="95"/>
      <c r="ASA59" s="95"/>
      <c r="ASB59" s="95"/>
      <c r="ASC59" s="95"/>
      <c r="ASD59" s="95"/>
      <c r="ASE59" s="95"/>
      <c r="ASF59" s="95"/>
      <c r="ASG59" s="95"/>
      <c r="ASH59" s="95"/>
      <c r="ASI59" s="95"/>
      <c r="ASJ59" s="95"/>
      <c r="ASK59" s="95"/>
      <c r="ASL59" s="95"/>
      <c r="ASM59" s="95"/>
      <c r="ASN59" s="95"/>
      <c r="ASO59" s="95"/>
      <c r="ASP59" s="95"/>
      <c r="ASQ59" s="95"/>
      <c r="ASR59" s="95"/>
      <c r="ASS59" s="95"/>
      <c r="AST59" s="95"/>
      <c r="ASU59" s="95"/>
      <c r="ASV59" s="95"/>
      <c r="ASW59" s="95"/>
      <c r="ASX59" s="95"/>
      <c r="ASY59" s="95"/>
      <c r="ASZ59" s="95"/>
      <c r="ATA59" s="95"/>
      <c r="ATB59" s="95"/>
      <c r="ATC59" s="95"/>
      <c r="ATD59" s="95"/>
      <c r="ATE59" s="95"/>
      <c r="ATF59" s="95"/>
      <c r="ATG59" s="95"/>
      <c r="ATH59" s="95"/>
      <c r="ATI59" s="95"/>
      <c r="ATJ59" s="95"/>
      <c r="ATK59" s="95"/>
      <c r="ATL59" s="95"/>
      <c r="ATM59" s="95"/>
      <c r="ATN59" s="95"/>
      <c r="ATO59" s="95"/>
      <c r="ATP59" s="95"/>
      <c r="ATQ59" s="95"/>
      <c r="ATR59" s="95"/>
      <c r="ATS59" s="95"/>
      <c r="ATT59" s="95"/>
      <c r="ATU59" s="95"/>
      <c r="ATV59" s="95"/>
      <c r="ATW59" s="95"/>
      <c r="ATX59" s="95"/>
      <c r="ATY59" s="95"/>
      <c r="ATZ59" s="95"/>
      <c r="AUA59" s="95"/>
      <c r="AUB59" s="95"/>
      <c r="AUC59" s="95"/>
      <c r="AUD59" s="95"/>
      <c r="AUE59" s="95"/>
      <c r="AUF59" s="95"/>
      <c r="AUG59" s="95"/>
      <c r="AUH59" s="95"/>
      <c r="AUI59" s="95"/>
      <c r="AUJ59" s="95"/>
      <c r="AUK59" s="95"/>
      <c r="AUL59" s="95"/>
      <c r="AUM59" s="95"/>
      <c r="AUN59" s="95"/>
      <c r="AUO59" s="95"/>
      <c r="AUP59" s="95"/>
      <c r="AUQ59" s="95"/>
      <c r="AUR59" s="95"/>
      <c r="AUS59" s="95"/>
      <c r="AUT59" s="95"/>
      <c r="AUU59" s="95"/>
      <c r="AUV59" s="95"/>
      <c r="AUW59" s="95"/>
      <c r="AUX59" s="95"/>
      <c r="AUY59" s="95"/>
      <c r="AUZ59" s="95"/>
      <c r="AVA59" s="95"/>
      <c r="AVB59" s="95"/>
      <c r="AVC59" s="95"/>
      <c r="AVD59" s="95"/>
      <c r="AVE59" s="95"/>
      <c r="AVF59" s="95"/>
      <c r="AVG59" s="95"/>
      <c r="AVH59" s="95"/>
      <c r="AVI59" s="95"/>
      <c r="AVJ59" s="95"/>
      <c r="AVK59" s="95"/>
      <c r="AVL59" s="95"/>
      <c r="AVM59" s="95"/>
      <c r="AVN59" s="95"/>
      <c r="AVO59" s="95"/>
      <c r="AVP59" s="95"/>
      <c r="AVQ59" s="95"/>
      <c r="AVR59" s="95"/>
      <c r="AVS59" s="95"/>
      <c r="AVT59" s="95"/>
      <c r="AVU59" s="95"/>
      <c r="AVV59" s="95"/>
      <c r="AVW59" s="95"/>
      <c r="AVX59" s="95"/>
      <c r="AVY59" s="95"/>
      <c r="AVZ59" s="95"/>
      <c r="AWA59" s="95"/>
      <c r="AWB59" s="95"/>
      <c r="AWC59" s="95"/>
      <c r="AWD59" s="95"/>
      <c r="AWE59" s="95"/>
      <c r="AWF59" s="95"/>
      <c r="AWG59" s="95"/>
      <c r="AWH59" s="95"/>
      <c r="AWI59" s="95"/>
      <c r="AWJ59" s="95"/>
      <c r="AWK59" s="95"/>
      <c r="AWL59" s="95"/>
      <c r="AWM59" s="95"/>
      <c r="AWN59" s="95"/>
      <c r="AWO59" s="95"/>
      <c r="AWP59" s="95"/>
      <c r="AWQ59" s="95"/>
      <c r="AWR59" s="95"/>
      <c r="AWS59" s="95"/>
      <c r="AWT59" s="95"/>
      <c r="AWU59" s="95"/>
      <c r="AWV59" s="95"/>
      <c r="AWW59" s="95"/>
      <c r="AWX59" s="95"/>
      <c r="AWY59" s="95"/>
      <c r="AWZ59" s="95"/>
      <c r="AXA59" s="95"/>
      <c r="AXB59" s="95"/>
      <c r="AXC59" s="95"/>
      <c r="AXD59" s="95"/>
      <c r="AXE59" s="95"/>
      <c r="AXF59" s="95"/>
      <c r="AXG59" s="95"/>
      <c r="AXH59" s="95"/>
      <c r="AXI59" s="95"/>
      <c r="AXJ59" s="95"/>
      <c r="AXK59" s="95"/>
      <c r="AXL59" s="95"/>
      <c r="AXM59" s="95"/>
      <c r="AXN59" s="95"/>
      <c r="AXO59" s="95"/>
      <c r="AXP59" s="95"/>
      <c r="AXQ59" s="95"/>
      <c r="AXR59" s="95"/>
      <c r="AXS59" s="95"/>
      <c r="AXT59" s="95"/>
      <c r="AXU59" s="95"/>
      <c r="AXV59" s="95"/>
      <c r="AXW59" s="95"/>
      <c r="AXX59" s="95"/>
      <c r="AXY59" s="95"/>
      <c r="AXZ59" s="95"/>
      <c r="AYA59" s="95"/>
      <c r="AYB59" s="95"/>
      <c r="AYC59" s="95"/>
      <c r="AYD59" s="95"/>
      <c r="AYE59" s="95"/>
      <c r="AYF59" s="95"/>
      <c r="AYG59" s="95"/>
      <c r="AYH59" s="95"/>
      <c r="AYI59" s="95"/>
      <c r="AYJ59" s="95"/>
      <c r="AYK59" s="95"/>
      <c r="AYL59" s="95"/>
      <c r="AYM59" s="95"/>
      <c r="AYN59" s="95"/>
      <c r="AYO59" s="95"/>
      <c r="AYP59" s="95"/>
      <c r="AYQ59" s="95"/>
      <c r="AYR59" s="95"/>
      <c r="AYS59" s="95"/>
      <c r="AYT59" s="95"/>
      <c r="AYU59" s="95"/>
      <c r="AYV59" s="95"/>
      <c r="AYW59" s="95"/>
      <c r="AYX59" s="95"/>
      <c r="AYY59" s="95"/>
      <c r="AYZ59" s="95"/>
      <c r="AZA59" s="95"/>
      <c r="AZB59" s="95"/>
      <c r="AZC59" s="95"/>
      <c r="AZD59" s="95"/>
      <c r="AZE59" s="95"/>
      <c r="AZF59" s="95"/>
      <c r="AZG59" s="95"/>
      <c r="AZH59" s="95"/>
      <c r="AZI59" s="95"/>
      <c r="AZJ59" s="95"/>
      <c r="AZK59" s="95"/>
      <c r="AZL59" s="95"/>
      <c r="AZM59" s="95"/>
      <c r="AZN59" s="95"/>
      <c r="AZO59" s="95"/>
      <c r="AZP59" s="95"/>
      <c r="AZQ59" s="95"/>
      <c r="AZR59" s="95"/>
      <c r="AZS59" s="95"/>
      <c r="AZT59" s="95"/>
      <c r="AZU59" s="95"/>
      <c r="AZV59" s="95"/>
      <c r="AZW59" s="95"/>
      <c r="AZX59" s="95"/>
      <c r="AZY59" s="95"/>
      <c r="AZZ59" s="95"/>
      <c r="BAA59" s="95"/>
      <c r="BAB59" s="95"/>
      <c r="BAC59" s="95"/>
      <c r="BAD59" s="95"/>
      <c r="BAE59" s="95"/>
      <c r="BAF59" s="95"/>
      <c r="BAG59" s="95"/>
      <c r="BAH59" s="95"/>
      <c r="BAI59" s="95"/>
      <c r="BAJ59" s="95"/>
      <c r="BAK59" s="95"/>
      <c r="BAL59" s="95"/>
      <c r="BAM59" s="95"/>
      <c r="BAN59" s="95"/>
      <c r="BAO59" s="95"/>
      <c r="BAP59" s="95"/>
      <c r="BAQ59" s="95"/>
      <c r="BAR59" s="95"/>
      <c r="BAS59" s="95"/>
      <c r="BAT59" s="95"/>
      <c r="BAU59" s="95"/>
      <c r="BAV59" s="95"/>
      <c r="BAW59" s="95"/>
      <c r="BAX59" s="95"/>
      <c r="BAY59" s="95"/>
      <c r="BAZ59" s="95"/>
      <c r="BBA59" s="95"/>
      <c r="BBB59" s="95"/>
      <c r="BBC59" s="95"/>
      <c r="BBD59" s="95"/>
      <c r="BBE59" s="95"/>
      <c r="BBF59" s="95"/>
      <c r="BBG59" s="95"/>
      <c r="BBH59" s="95"/>
      <c r="BBI59" s="95"/>
      <c r="BBJ59" s="95"/>
      <c r="BBK59" s="95"/>
      <c r="BBL59" s="95"/>
      <c r="BBM59" s="95"/>
      <c r="BBN59" s="95"/>
      <c r="BBO59" s="95"/>
      <c r="BBP59" s="95"/>
      <c r="BBQ59" s="95"/>
      <c r="BBR59" s="95"/>
      <c r="BBS59" s="95"/>
      <c r="BBT59" s="95"/>
      <c r="BBU59" s="95"/>
      <c r="BBV59" s="95"/>
      <c r="BBW59" s="95"/>
      <c r="BBX59" s="95"/>
      <c r="BBY59" s="95"/>
      <c r="BBZ59" s="95"/>
      <c r="BCA59" s="95"/>
      <c r="BCB59" s="95"/>
      <c r="BCC59" s="95"/>
      <c r="BCD59" s="95"/>
      <c r="BCE59" s="95"/>
      <c r="BCF59" s="95"/>
      <c r="BCG59" s="95"/>
      <c r="BCH59" s="95"/>
      <c r="BCI59" s="95"/>
      <c r="BCJ59" s="95"/>
      <c r="BCK59" s="95"/>
      <c r="BCL59" s="95"/>
      <c r="BCM59" s="95"/>
      <c r="BCN59" s="95"/>
      <c r="BCO59" s="95"/>
      <c r="BCP59" s="95"/>
      <c r="BCQ59" s="95"/>
      <c r="BCR59" s="95"/>
      <c r="BCS59" s="95"/>
      <c r="BCT59" s="95"/>
      <c r="BCU59" s="95"/>
      <c r="BCV59" s="95"/>
      <c r="BCW59" s="95"/>
      <c r="BCX59" s="95"/>
      <c r="BCY59" s="95"/>
      <c r="BCZ59" s="95"/>
      <c r="BDA59" s="95"/>
      <c r="BDB59" s="95"/>
      <c r="BDC59" s="95"/>
      <c r="BDD59" s="95"/>
      <c r="BDE59" s="95"/>
      <c r="BDF59" s="95"/>
      <c r="BDG59" s="95"/>
      <c r="BDH59" s="95"/>
      <c r="BDI59" s="95"/>
      <c r="BDJ59" s="95"/>
      <c r="BDK59" s="95"/>
      <c r="BDL59" s="95"/>
      <c r="BDM59" s="95"/>
      <c r="BDN59" s="95"/>
      <c r="BDO59" s="95"/>
      <c r="BDP59" s="95"/>
      <c r="BDQ59" s="95"/>
      <c r="BDR59" s="95"/>
      <c r="BDS59" s="95"/>
      <c r="BDT59" s="95"/>
      <c r="BDU59" s="95"/>
      <c r="BDV59" s="95"/>
      <c r="BDW59" s="95"/>
      <c r="BDX59" s="95"/>
      <c r="BDY59" s="95"/>
      <c r="BDZ59" s="95"/>
      <c r="BEA59" s="95"/>
      <c r="BEB59" s="95"/>
      <c r="BEC59" s="95"/>
      <c r="BED59" s="95"/>
      <c r="BEE59" s="95"/>
      <c r="BEF59" s="95"/>
      <c r="BEG59" s="95"/>
      <c r="BEH59" s="95"/>
      <c r="BEI59" s="95"/>
      <c r="BEJ59" s="95"/>
      <c r="BEK59" s="95"/>
      <c r="BEL59" s="95"/>
      <c r="BEM59" s="95"/>
      <c r="BEN59" s="95"/>
      <c r="BEO59" s="95"/>
      <c r="BEP59" s="95"/>
      <c r="BEQ59" s="95"/>
      <c r="BER59" s="95"/>
      <c r="BES59" s="95"/>
      <c r="BET59" s="95"/>
      <c r="BEU59" s="95"/>
      <c r="BEV59" s="95"/>
      <c r="BEW59" s="95"/>
      <c r="BEX59" s="95"/>
      <c r="BEY59" s="95"/>
      <c r="BEZ59" s="95"/>
      <c r="BFA59" s="95"/>
      <c r="BFB59" s="95"/>
      <c r="BFC59" s="95"/>
      <c r="BFD59" s="95"/>
      <c r="BFE59" s="95"/>
      <c r="BFF59" s="95"/>
      <c r="BFG59" s="95"/>
      <c r="BFH59" s="95"/>
      <c r="BFI59" s="95"/>
      <c r="BFJ59" s="95"/>
      <c r="BFK59" s="95"/>
      <c r="BFL59" s="95"/>
      <c r="BFM59" s="95"/>
      <c r="BFN59" s="95"/>
      <c r="BFO59" s="95"/>
      <c r="BFP59" s="95"/>
      <c r="BFQ59" s="95"/>
      <c r="BFR59" s="95"/>
      <c r="BFS59" s="95"/>
      <c r="BFT59" s="95"/>
      <c r="BFU59" s="95"/>
      <c r="BFV59" s="95"/>
      <c r="BFW59" s="95"/>
      <c r="BFX59" s="95"/>
      <c r="BFY59" s="95"/>
      <c r="BFZ59" s="95"/>
      <c r="BGA59" s="95"/>
      <c r="BGB59" s="95"/>
      <c r="BGC59" s="95"/>
      <c r="BGD59" s="95"/>
      <c r="BGE59" s="95"/>
      <c r="BGF59" s="95"/>
      <c r="BGG59" s="95"/>
      <c r="BGH59" s="95"/>
      <c r="BGI59" s="95"/>
      <c r="BGJ59" s="95"/>
      <c r="BGK59" s="95"/>
      <c r="BGL59" s="95"/>
      <c r="BGM59" s="95"/>
      <c r="BGN59" s="95"/>
      <c r="BGO59" s="95"/>
      <c r="BGP59" s="95"/>
      <c r="BGQ59" s="95"/>
      <c r="BGR59" s="95"/>
      <c r="BGS59" s="95"/>
      <c r="BGT59" s="95"/>
      <c r="BGU59" s="95"/>
      <c r="BGV59" s="95"/>
      <c r="BGW59" s="95"/>
      <c r="BGX59" s="95"/>
      <c r="BGY59" s="95"/>
      <c r="BGZ59" s="95"/>
      <c r="BHA59" s="95"/>
      <c r="BHB59" s="95"/>
      <c r="BHC59" s="95"/>
      <c r="BHD59" s="95"/>
      <c r="BHE59" s="95"/>
      <c r="BHF59" s="95"/>
      <c r="BHG59" s="95"/>
      <c r="BHH59" s="95"/>
      <c r="BHI59" s="95"/>
      <c r="BHJ59" s="95"/>
      <c r="BHK59" s="95"/>
      <c r="BHL59" s="95"/>
      <c r="BHM59" s="95"/>
      <c r="BHN59" s="95"/>
      <c r="BHO59" s="95"/>
      <c r="BHP59" s="95"/>
      <c r="BHQ59" s="95"/>
      <c r="BHR59" s="95"/>
      <c r="BHS59" s="95"/>
      <c r="BHT59" s="95"/>
      <c r="BHU59" s="95"/>
      <c r="BHV59" s="95"/>
      <c r="BHW59" s="95"/>
      <c r="BHX59" s="95"/>
      <c r="BHY59" s="95"/>
      <c r="BHZ59" s="95"/>
      <c r="BIA59" s="95"/>
      <c r="BIB59" s="95"/>
      <c r="BIC59" s="95"/>
      <c r="BID59" s="95"/>
      <c r="BIE59" s="95"/>
      <c r="BIF59" s="95"/>
      <c r="BIG59" s="95"/>
      <c r="BIH59" s="95"/>
      <c r="BII59" s="95"/>
      <c r="BIJ59" s="95"/>
      <c r="BIK59" s="95"/>
      <c r="BIL59" s="95"/>
      <c r="BIM59" s="95"/>
      <c r="BIN59" s="95"/>
      <c r="BIO59" s="95"/>
      <c r="BIP59" s="95"/>
      <c r="BIQ59" s="95"/>
      <c r="BIR59" s="95"/>
      <c r="BIS59" s="95"/>
      <c r="BIT59" s="95"/>
      <c r="BIU59" s="95"/>
      <c r="BIV59" s="95"/>
      <c r="BIW59" s="95"/>
      <c r="BIX59" s="95"/>
      <c r="BIY59" s="95"/>
      <c r="BIZ59" s="95"/>
      <c r="BJA59" s="95"/>
      <c r="BJB59" s="95"/>
      <c r="BJC59" s="95"/>
      <c r="BJD59" s="95"/>
      <c r="BJE59" s="95"/>
      <c r="BJF59" s="95"/>
      <c r="BJG59" s="95"/>
      <c r="BJH59" s="95"/>
      <c r="BJI59" s="95"/>
      <c r="BJJ59" s="95"/>
      <c r="BJK59" s="95"/>
      <c r="BJL59" s="95"/>
      <c r="BJM59" s="95"/>
      <c r="BJN59" s="95"/>
      <c r="BJO59" s="95"/>
      <c r="BJP59" s="95"/>
      <c r="BJQ59" s="95"/>
      <c r="BJR59" s="95"/>
      <c r="BJS59" s="95"/>
      <c r="BJT59" s="95"/>
      <c r="BJU59" s="95"/>
      <c r="BJV59" s="95"/>
      <c r="BJW59" s="95"/>
      <c r="BJX59" s="95"/>
      <c r="BJY59" s="95"/>
      <c r="BJZ59" s="95"/>
      <c r="BKA59" s="95"/>
      <c r="BKB59" s="95"/>
      <c r="BKC59" s="95"/>
      <c r="BKD59" s="95"/>
      <c r="BKE59" s="95"/>
      <c r="BKF59" s="95"/>
      <c r="BKG59" s="95"/>
      <c r="BKH59" s="95"/>
      <c r="BKI59" s="95"/>
      <c r="BKJ59" s="95"/>
      <c r="BKK59" s="95"/>
      <c r="BKL59" s="95"/>
      <c r="BKM59" s="95"/>
      <c r="BKN59" s="95"/>
      <c r="BKO59" s="95"/>
      <c r="BKP59" s="95"/>
      <c r="BKQ59" s="95"/>
      <c r="BKR59" s="95"/>
      <c r="BKS59" s="95"/>
      <c r="BKT59" s="95"/>
      <c r="BKU59" s="95"/>
      <c r="BKV59" s="95"/>
      <c r="BKW59" s="95"/>
      <c r="BKX59" s="95"/>
      <c r="BKY59" s="95"/>
      <c r="BKZ59" s="95"/>
      <c r="BLA59" s="95"/>
      <c r="BLB59" s="95"/>
      <c r="BLC59" s="95"/>
      <c r="BLD59" s="95"/>
      <c r="BLE59" s="95"/>
      <c r="BLF59" s="95"/>
      <c r="BLG59" s="95"/>
      <c r="BLH59" s="95"/>
      <c r="BLI59" s="95"/>
      <c r="BLJ59" s="95"/>
      <c r="BLK59" s="95"/>
      <c r="BLL59" s="95"/>
      <c r="BLM59" s="95"/>
      <c r="BLN59" s="95"/>
      <c r="BLO59" s="95"/>
      <c r="BLP59" s="95"/>
      <c r="BLQ59" s="95"/>
      <c r="BLR59" s="95"/>
      <c r="BLS59" s="95"/>
      <c r="BLT59" s="95"/>
      <c r="BLU59" s="95"/>
      <c r="BLV59" s="95"/>
      <c r="BLW59" s="95"/>
      <c r="BLX59" s="95"/>
      <c r="BLY59" s="95"/>
      <c r="BLZ59" s="95"/>
      <c r="BMA59" s="95"/>
      <c r="BMB59" s="95"/>
      <c r="BMC59" s="95"/>
      <c r="BMD59" s="95"/>
      <c r="BME59" s="95"/>
      <c r="BMF59" s="95"/>
      <c r="BMG59" s="95"/>
      <c r="BMH59" s="95"/>
      <c r="BMI59" s="95"/>
      <c r="BMJ59" s="95"/>
      <c r="BMK59" s="95"/>
      <c r="BML59" s="95"/>
      <c r="BMM59" s="95"/>
      <c r="BMN59" s="95"/>
      <c r="BMO59" s="95"/>
      <c r="BMP59" s="95"/>
      <c r="BMQ59" s="95"/>
      <c r="BMR59" s="95"/>
      <c r="BMS59" s="95"/>
      <c r="BMT59" s="95"/>
      <c r="BMU59" s="95"/>
      <c r="BMV59" s="95"/>
      <c r="BMW59" s="95"/>
      <c r="BMX59" s="95"/>
      <c r="BMY59" s="95"/>
      <c r="BMZ59" s="95"/>
      <c r="BNA59" s="95"/>
      <c r="BNB59" s="95"/>
      <c r="BNC59" s="95"/>
      <c r="BND59" s="95"/>
      <c r="BNE59" s="95"/>
      <c r="BNF59" s="95"/>
      <c r="BNG59" s="95"/>
      <c r="BNH59" s="95"/>
      <c r="BNI59" s="95"/>
      <c r="BNJ59" s="95"/>
      <c r="BNK59" s="95"/>
      <c r="BNL59" s="95"/>
      <c r="BNM59" s="95"/>
      <c r="BNN59" s="95"/>
      <c r="BNO59" s="95"/>
      <c r="BNP59" s="95"/>
      <c r="BNQ59" s="95"/>
      <c r="BNR59" s="95"/>
      <c r="BNS59" s="95"/>
      <c r="BNT59" s="95"/>
      <c r="BNU59" s="95"/>
      <c r="BNV59" s="95"/>
      <c r="BNW59" s="95"/>
      <c r="BNX59" s="95"/>
      <c r="BNY59" s="95"/>
      <c r="BNZ59" s="95"/>
      <c r="BOA59" s="95"/>
      <c r="BOB59" s="95"/>
      <c r="BOC59" s="95"/>
      <c r="BOD59" s="95"/>
      <c r="BOE59" s="95"/>
      <c r="BOF59" s="95"/>
      <c r="BOG59" s="95"/>
      <c r="BOH59" s="95"/>
      <c r="BOI59" s="95"/>
      <c r="BOJ59" s="95"/>
      <c r="BOK59" s="95"/>
      <c r="BOL59" s="95"/>
      <c r="BOM59" s="95"/>
      <c r="BON59" s="95"/>
      <c r="BOO59" s="95"/>
      <c r="BOP59" s="95"/>
      <c r="BOQ59" s="95"/>
      <c r="BOR59" s="95"/>
      <c r="BOS59" s="95"/>
      <c r="BOT59" s="95"/>
      <c r="BOU59" s="95"/>
      <c r="BOV59" s="95"/>
      <c r="BOW59" s="95"/>
      <c r="BOX59" s="95"/>
      <c r="BOY59" s="95"/>
      <c r="BOZ59" s="95"/>
      <c r="BPA59" s="95"/>
      <c r="BPB59" s="95"/>
      <c r="BPC59" s="95"/>
      <c r="BPD59" s="95"/>
      <c r="BPE59" s="95"/>
      <c r="BPF59" s="95"/>
      <c r="BPG59" s="95"/>
      <c r="BPH59" s="95"/>
      <c r="BPI59" s="95"/>
      <c r="BPJ59" s="95"/>
      <c r="BPK59" s="95"/>
      <c r="BPL59" s="95"/>
      <c r="BPM59" s="95"/>
      <c r="BPN59" s="95"/>
      <c r="BPO59" s="95"/>
      <c r="BPP59" s="95"/>
      <c r="BPQ59" s="95"/>
      <c r="BPR59" s="95"/>
      <c r="BPS59" s="95"/>
      <c r="BPT59" s="95"/>
      <c r="BPU59" s="95"/>
      <c r="BPV59" s="95"/>
      <c r="BPW59" s="95"/>
      <c r="BPX59" s="95"/>
      <c r="BPY59" s="95"/>
      <c r="BPZ59" s="95"/>
      <c r="BQA59" s="95"/>
      <c r="BQB59" s="95"/>
      <c r="BQC59" s="95"/>
      <c r="BQD59" s="95"/>
      <c r="BQE59" s="95"/>
      <c r="BQF59" s="95"/>
      <c r="BQG59" s="95"/>
      <c r="BQH59" s="95"/>
      <c r="BQI59" s="95"/>
      <c r="BQJ59" s="95"/>
      <c r="BQK59" s="95"/>
      <c r="BQL59" s="95"/>
      <c r="BQM59" s="95"/>
      <c r="BQN59" s="95"/>
      <c r="BQO59" s="95"/>
      <c r="BQP59" s="95"/>
      <c r="BQQ59" s="95"/>
      <c r="BQR59" s="95"/>
      <c r="BQS59" s="95"/>
      <c r="BQT59" s="95"/>
      <c r="BQU59" s="95"/>
      <c r="BQV59" s="95"/>
      <c r="BQW59" s="95"/>
      <c r="BQX59" s="95"/>
      <c r="BQY59" s="95"/>
      <c r="BQZ59" s="95"/>
      <c r="BRA59" s="95"/>
      <c r="BRB59" s="95"/>
      <c r="BRC59" s="95"/>
      <c r="BRD59" s="95"/>
      <c r="BRE59" s="95"/>
      <c r="BRF59" s="95"/>
      <c r="BRG59" s="95"/>
      <c r="BRH59" s="95"/>
      <c r="BRI59" s="95"/>
      <c r="BRJ59" s="95"/>
      <c r="BRK59" s="95"/>
      <c r="BRL59" s="95"/>
      <c r="BRM59" s="95"/>
      <c r="BRN59" s="95"/>
      <c r="BRO59" s="95"/>
      <c r="BRP59" s="95"/>
      <c r="BRQ59" s="95"/>
      <c r="BRR59" s="95"/>
      <c r="BRS59" s="95"/>
      <c r="BRT59" s="95"/>
      <c r="BRU59" s="95"/>
      <c r="BRV59" s="95"/>
      <c r="BRW59" s="95"/>
      <c r="BRX59" s="95"/>
      <c r="BRY59" s="95"/>
      <c r="BRZ59" s="95"/>
      <c r="BSA59" s="95"/>
      <c r="BSB59" s="95"/>
      <c r="BSC59" s="95"/>
      <c r="BSD59" s="95"/>
      <c r="BSE59" s="95"/>
      <c r="BSF59" s="95"/>
      <c r="BSG59" s="95"/>
      <c r="BSH59" s="95"/>
      <c r="BSI59" s="95"/>
      <c r="BSJ59" s="95"/>
      <c r="BSK59" s="95"/>
      <c r="BSL59" s="95"/>
      <c r="BSM59" s="95"/>
      <c r="BSN59" s="95"/>
      <c r="BSO59" s="95"/>
      <c r="BSP59" s="95"/>
      <c r="BSQ59" s="95"/>
      <c r="BSR59" s="95"/>
      <c r="BSS59" s="95"/>
      <c r="BST59" s="95"/>
      <c r="BSU59" s="95"/>
      <c r="BSV59" s="95"/>
      <c r="BSW59" s="95"/>
      <c r="BSX59" s="95"/>
      <c r="BSY59" s="95"/>
      <c r="BSZ59" s="95"/>
      <c r="BTA59" s="95"/>
      <c r="BTB59" s="95"/>
      <c r="BTC59" s="95"/>
      <c r="BTD59" s="95"/>
      <c r="BTE59" s="95"/>
      <c r="BTF59" s="95"/>
      <c r="BTG59" s="95"/>
      <c r="BTH59" s="95"/>
      <c r="BTI59" s="95"/>
      <c r="BTJ59" s="95"/>
      <c r="BTK59" s="95"/>
      <c r="BTL59" s="95"/>
      <c r="BTM59" s="95"/>
      <c r="BTN59" s="95"/>
      <c r="BTO59" s="95"/>
      <c r="BTP59" s="95"/>
      <c r="BTQ59" s="95"/>
      <c r="BTR59" s="95"/>
      <c r="BTS59" s="95"/>
      <c r="BTT59" s="95"/>
      <c r="BTU59" s="95"/>
      <c r="BTV59" s="95"/>
      <c r="BTW59" s="95"/>
      <c r="BTX59" s="95"/>
      <c r="BTY59" s="95"/>
      <c r="BTZ59" s="95"/>
      <c r="BUA59" s="95"/>
      <c r="BUB59" s="95"/>
      <c r="BUC59" s="95"/>
      <c r="BUD59" s="95"/>
      <c r="BUE59" s="95"/>
      <c r="BUF59" s="95"/>
      <c r="BUG59" s="95"/>
      <c r="BUH59" s="95"/>
      <c r="BUI59" s="95"/>
      <c r="BUJ59" s="95"/>
      <c r="BUK59" s="95"/>
      <c r="BUL59" s="95"/>
      <c r="BUM59" s="95"/>
      <c r="BUN59" s="95"/>
      <c r="BUO59" s="95"/>
      <c r="BUP59" s="95"/>
      <c r="BUQ59" s="95"/>
      <c r="BUR59" s="95"/>
      <c r="BUS59" s="95"/>
      <c r="BUT59" s="95"/>
      <c r="BUU59" s="95"/>
      <c r="BUV59" s="95"/>
      <c r="BUW59" s="95"/>
      <c r="BUX59" s="95"/>
      <c r="BUY59" s="95"/>
      <c r="BUZ59" s="95"/>
      <c r="BVA59" s="95"/>
      <c r="BVB59" s="95"/>
      <c r="BVC59" s="95"/>
      <c r="BVD59" s="95"/>
      <c r="BVE59" s="95"/>
      <c r="BVF59" s="95"/>
      <c r="BVG59" s="95"/>
      <c r="BVH59" s="95"/>
      <c r="BVI59" s="95"/>
      <c r="BVJ59" s="95"/>
      <c r="BVK59" s="95"/>
      <c r="BVL59" s="95"/>
      <c r="BVM59" s="95"/>
      <c r="BVN59" s="95"/>
      <c r="BVO59" s="95"/>
      <c r="BVP59" s="95"/>
      <c r="BVQ59" s="95"/>
      <c r="BVR59" s="95"/>
      <c r="BVS59" s="95"/>
      <c r="BVT59" s="95"/>
      <c r="BVU59" s="95"/>
      <c r="BVV59" s="95"/>
      <c r="BVW59" s="95"/>
      <c r="BVX59" s="95"/>
      <c r="BVY59" s="95"/>
      <c r="BVZ59" s="95"/>
      <c r="BWA59" s="95"/>
      <c r="BWB59" s="95"/>
      <c r="BWC59" s="95"/>
      <c r="BWD59" s="95"/>
      <c r="BWE59" s="95"/>
      <c r="BWF59" s="95"/>
      <c r="BWG59" s="95"/>
      <c r="BWH59" s="95"/>
      <c r="BWI59" s="95"/>
      <c r="BWJ59" s="95"/>
      <c r="BWK59" s="95"/>
      <c r="BWL59" s="95"/>
      <c r="BWM59" s="95"/>
      <c r="BWN59" s="95"/>
      <c r="BWO59" s="95"/>
      <c r="BWP59" s="95"/>
      <c r="BWQ59" s="95"/>
      <c r="BWR59" s="95"/>
      <c r="BWS59" s="95"/>
      <c r="BWT59" s="95"/>
      <c r="BWU59" s="95"/>
      <c r="BWV59" s="95"/>
      <c r="BWW59" s="95"/>
      <c r="BWX59" s="95"/>
      <c r="BWY59" s="95"/>
      <c r="BWZ59" s="95"/>
      <c r="BXA59" s="95"/>
      <c r="BXB59" s="95"/>
      <c r="BXC59" s="95"/>
      <c r="BXD59" s="95"/>
      <c r="BXE59" s="95"/>
      <c r="BXF59" s="95"/>
      <c r="BXG59" s="95"/>
      <c r="BXH59" s="95"/>
      <c r="BXI59" s="95"/>
      <c r="BXJ59" s="95"/>
      <c r="BXK59" s="95"/>
      <c r="BXL59" s="95"/>
      <c r="BXM59" s="95"/>
      <c r="BXN59" s="95"/>
      <c r="BXO59" s="95"/>
      <c r="BXP59" s="95"/>
      <c r="BXQ59" s="95"/>
      <c r="BXR59" s="95"/>
      <c r="BXS59" s="95"/>
      <c r="BXT59" s="95"/>
      <c r="BXU59" s="95"/>
      <c r="BXV59" s="95"/>
      <c r="BXW59" s="95"/>
      <c r="BXX59" s="95"/>
      <c r="BXY59" s="95"/>
      <c r="BXZ59" s="95"/>
      <c r="BYA59" s="95"/>
      <c r="BYB59" s="95"/>
      <c r="BYC59" s="95"/>
      <c r="BYD59" s="95"/>
      <c r="BYE59" s="95"/>
      <c r="BYF59" s="95"/>
      <c r="BYG59" s="95"/>
    </row>
    <row r="60" spans="1:2009" s="121" customFormat="1" ht="13.5" customHeight="1" thickBot="1" x14ac:dyDescent="0.3">
      <c r="A60" s="111"/>
      <c r="B60" s="111"/>
      <c r="C60" s="453"/>
      <c r="D60" s="176"/>
      <c r="E60" s="176"/>
      <c r="F60" s="176"/>
      <c r="G60" s="715"/>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s="121" customFormat="1" ht="24.95" customHeight="1" thickBot="1" x14ac:dyDescent="0.3">
      <c r="A61" s="480" t="s">
        <v>406</v>
      </c>
      <c r="B61" s="479"/>
      <c r="C61" s="454"/>
      <c r="D61" s="455">
        <v>51000</v>
      </c>
      <c r="E61" s="455"/>
      <c r="F61" s="455"/>
      <c r="G61" s="737">
        <f>SUM(C61:F61)</f>
        <v>51000</v>
      </c>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c r="IW61" s="95"/>
      <c r="IX61" s="95"/>
      <c r="IY61" s="95"/>
      <c r="IZ61" s="95"/>
      <c r="JA61" s="95"/>
      <c r="JB61" s="95"/>
      <c r="JC61" s="95"/>
      <c r="JD61" s="95"/>
      <c r="JE61" s="95"/>
      <c r="JF61" s="95"/>
      <c r="JG61" s="95"/>
      <c r="JH61" s="95"/>
      <c r="JI61" s="95"/>
      <c r="JJ61" s="95"/>
      <c r="JK61" s="95"/>
      <c r="JL61" s="95"/>
      <c r="JM61" s="95"/>
      <c r="JN61" s="95"/>
      <c r="JO61" s="95"/>
      <c r="JP61" s="95"/>
      <c r="JQ61" s="95"/>
      <c r="JR61" s="95"/>
      <c r="JS61" s="95"/>
      <c r="JT61" s="95"/>
      <c r="JU61" s="95"/>
      <c r="JV61" s="95"/>
      <c r="JW61" s="95"/>
      <c r="JX61" s="95"/>
      <c r="JY61" s="95"/>
      <c r="JZ61" s="95"/>
      <c r="KA61" s="95"/>
      <c r="KB61" s="95"/>
      <c r="KC61" s="95"/>
      <c r="KD61" s="95"/>
      <c r="KE61" s="95"/>
      <c r="KF61" s="95"/>
      <c r="KG61" s="95"/>
      <c r="KH61" s="95"/>
      <c r="KI61" s="95"/>
      <c r="KJ61" s="95"/>
      <c r="KK61" s="95"/>
      <c r="KL61" s="95"/>
      <c r="KM61" s="95"/>
      <c r="KN61" s="95"/>
      <c r="KO61" s="95"/>
      <c r="KP61" s="95"/>
      <c r="KQ61" s="95"/>
      <c r="KR61" s="95"/>
      <c r="KS61" s="95"/>
      <c r="KT61" s="95"/>
      <c r="KU61" s="95"/>
      <c r="KV61" s="95"/>
      <c r="KW61" s="95"/>
      <c r="KX61" s="95"/>
      <c r="KY61" s="95"/>
      <c r="KZ61" s="95"/>
      <c r="LA61" s="95"/>
      <c r="LB61" s="95"/>
      <c r="LC61" s="95"/>
      <c r="LD61" s="95"/>
      <c r="LE61" s="95"/>
      <c r="LF61" s="95"/>
      <c r="LG61" s="95"/>
      <c r="LH61" s="95"/>
      <c r="LI61" s="95"/>
      <c r="LJ61" s="95"/>
      <c r="LK61" s="95"/>
      <c r="LL61" s="95"/>
      <c r="LM61" s="95"/>
      <c r="LN61" s="95"/>
      <c r="LO61" s="95"/>
      <c r="LP61" s="95"/>
      <c r="LQ61" s="95"/>
      <c r="LR61" s="95"/>
      <c r="LS61" s="95"/>
      <c r="LT61" s="95"/>
      <c r="LU61" s="95"/>
      <c r="LV61" s="95"/>
      <c r="LW61" s="95"/>
      <c r="LX61" s="95"/>
      <c r="LY61" s="95"/>
      <c r="LZ61" s="95"/>
      <c r="MA61" s="95"/>
      <c r="MB61" s="95"/>
      <c r="MC61" s="95"/>
      <c r="MD61" s="95"/>
      <c r="ME61" s="95"/>
      <c r="MF61" s="95"/>
      <c r="MG61" s="95"/>
      <c r="MH61" s="95"/>
      <c r="MI61" s="95"/>
      <c r="MJ61" s="95"/>
      <c r="MK61" s="95"/>
      <c r="ML61" s="95"/>
      <c r="MM61" s="95"/>
      <c r="MN61" s="95"/>
      <c r="MO61" s="95"/>
      <c r="MP61" s="95"/>
      <c r="MQ61" s="95"/>
      <c r="MR61" s="95"/>
      <c r="MS61" s="95"/>
      <c r="MT61" s="95"/>
      <c r="MU61" s="95"/>
      <c r="MV61" s="95"/>
      <c r="MW61" s="95"/>
      <c r="MX61" s="95"/>
      <c r="MY61" s="95"/>
      <c r="MZ61" s="95"/>
      <c r="NA61" s="95"/>
      <c r="NB61" s="95"/>
      <c r="NC61" s="95"/>
      <c r="ND61" s="95"/>
      <c r="NE61" s="95"/>
      <c r="NF61" s="95"/>
      <c r="NG61" s="95"/>
      <c r="NH61" s="95"/>
      <c r="NI61" s="95"/>
      <c r="NJ61" s="95"/>
      <c r="NK61" s="95"/>
      <c r="NL61" s="95"/>
      <c r="NM61" s="95"/>
      <c r="NN61" s="95"/>
      <c r="NO61" s="95"/>
      <c r="NP61" s="95"/>
      <c r="NQ61" s="95"/>
      <c r="NR61" s="95"/>
      <c r="NS61" s="95"/>
      <c r="NT61" s="95"/>
      <c r="NU61" s="95"/>
      <c r="NV61" s="95"/>
      <c r="NW61" s="95"/>
      <c r="NX61" s="95"/>
      <c r="NY61" s="95"/>
      <c r="NZ61" s="95"/>
      <c r="OA61" s="95"/>
      <c r="OB61" s="95"/>
      <c r="OC61" s="95"/>
      <c r="OD61" s="95"/>
      <c r="OE61" s="95"/>
      <c r="OF61" s="95"/>
      <c r="OG61" s="95"/>
      <c r="OH61" s="95"/>
      <c r="OI61" s="95"/>
      <c r="OJ61" s="95"/>
      <c r="OK61" s="95"/>
      <c r="OL61" s="95"/>
      <c r="OM61" s="95"/>
      <c r="ON61" s="95"/>
      <c r="OO61" s="95"/>
      <c r="OP61" s="95"/>
      <c r="OQ61" s="95"/>
      <c r="OR61" s="95"/>
      <c r="OS61" s="95"/>
      <c r="OT61" s="95"/>
      <c r="OU61" s="95"/>
      <c r="OV61" s="95"/>
      <c r="OW61" s="95"/>
      <c r="OX61" s="95"/>
      <c r="OY61" s="95"/>
      <c r="OZ61" s="95"/>
      <c r="PA61" s="95"/>
      <c r="PB61" s="95"/>
      <c r="PC61" s="95"/>
      <c r="PD61" s="95"/>
      <c r="PE61" s="95"/>
      <c r="PF61" s="95"/>
      <c r="PG61" s="95"/>
      <c r="PH61" s="95"/>
      <c r="PI61" s="95"/>
      <c r="PJ61" s="95"/>
      <c r="PK61" s="95"/>
      <c r="PL61" s="95"/>
      <c r="PM61" s="95"/>
      <c r="PN61" s="95"/>
      <c r="PO61" s="95"/>
      <c r="PP61" s="95"/>
      <c r="PQ61" s="95"/>
      <c r="PR61" s="95"/>
      <c r="PS61" s="95"/>
      <c r="PT61" s="95"/>
      <c r="PU61" s="95"/>
      <c r="PV61" s="95"/>
      <c r="PW61" s="95"/>
      <c r="PX61" s="95"/>
      <c r="PY61" s="95"/>
      <c r="PZ61" s="95"/>
      <c r="QA61" s="95"/>
      <c r="QB61" s="95"/>
      <c r="QC61" s="95"/>
      <c r="QD61" s="95"/>
      <c r="QE61" s="95"/>
      <c r="QF61" s="95"/>
      <c r="QG61" s="95"/>
      <c r="QH61" s="95"/>
      <c r="QI61" s="95"/>
      <c r="QJ61" s="95"/>
      <c r="QK61" s="95"/>
      <c r="QL61" s="95"/>
      <c r="QM61" s="95"/>
      <c r="QN61" s="95"/>
      <c r="QO61" s="95"/>
      <c r="QP61" s="95"/>
      <c r="QQ61" s="95"/>
      <c r="QR61" s="95"/>
      <c r="QS61" s="95"/>
      <c r="QT61" s="95"/>
      <c r="QU61" s="95"/>
      <c r="QV61" s="95"/>
      <c r="QW61" s="95"/>
      <c r="QX61" s="95"/>
      <c r="QY61" s="95"/>
      <c r="QZ61" s="95"/>
      <c r="RA61" s="95"/>
      <c r="RB61" s="95"/>
      <c r="RC61" s="95"/>
      <c r="RD61" s="95"/>
      <c r="RE61" s="95"/>
      <c r="RF61" s="95"/>
      <c r="RG61" s="95"/>
      <c r="RH61" s="95"/>
      <c r="RI61" s="95"/>
      <c r="RJ61" s="95"/>
      <c r="RK61" s="95"/>
      <c r="RL61" s="95"/>
      <c r="RM61" s="95"/>
      <c r="RN61" s="95"/>
      <c r="RO61" s="95"/>
      <c r="RP61" s="95"/>
      <c r="RQ61" s="95"/>
      <c r="RR61" s="95"/>
      <c r="RS61" s="95"/>
      <c r="RT61" s="95"/>
      <c r="RU61" s="95"/>
      <c r="RV61" s="95"/>
      <c r="RW61" s="95"/>
      <c r="RX61" s="95"/>
      <c r="RY61" s="95"/>
      <c r="RZ61" s="95"/>
      <c r="SA61" s="95"/>
      <c r="SB61" s="95"/>
      <c r="SC61" s="95"/>
      <c r="SD61" s="95"/>
      <c r="SE61" s="95"/>
      <c r="SF61" s="95"/>
      <c r="SG61" s="95"/>
      <c r="SH61" s="95"/>
      <c r="SI61" s="95"/>
      <c r="SJ61" s="95"/>
      <c r="SK61" s="95"/>
      <c r="SL61" s="95"/>
      <c r="SM61" s="95"/>
      <c r="SN61" s="95"/>
      <c r="SO61" s="95"/>
      <c r="SP61" s="95"/>
      <c r="SQ61" s="95"/>
      <c r="SR61" s="95"/>
      <c r="SS61" s="95"/>
      <c r="ST61" s="95"/>
      <c r="SU61" s="95"/>
      <c r="SV61" s="95"/>
      <c r="SW61" s="95"/>
      <c r="SX61" s="95"/>
      <c r="SY61" s="95"/>
      <c r="SZ61" s="95"/>
      <c r="TA61" s="95"/>
      <c r="TB61" s="95"/>
      <c r="TC61" s="95"/>
      <c r="TD61" s="95"/>
      <c r="TE61" s="95"/>
      <c r="TF61" s="95"/>
      <c r="TG61" s="95"/>
      <c r="TH61" s="95"/>
      <c r="TI61" s="95"/>
      <c r="TJ61" s="95"/>
      <c r="TK61" s="95"/>
      <c r="TL61" s="95"/>
      <c r="TM61" s="95"/>
      <c r="TN61" s="95"/>
      <c r="TO61" s="95"/>
      <c r="TP61" s="95"/>
      <c r="TQ61" s="95"/>
      <c r="TR61" s="95"/>
      <c r="TS61" s="95"/>
      <c r="TT61" s="95"/>
      <c r="TU61" s="95"/>
      <c r="TV61" s="95"/>
      <c r="TW61" s="95"/>
      <c r="TX61" s="95"/>
      <c r="TY61" s="95"/>
      <c r="TZ61" s="95"/>
      <c r="UA61" s="95"/>
      <c r="UB61" s="95"/>
      <c r="UC61" s="95"/>
      <c r="UD61" s="95"/>
      <c r="UE61" s="95"/>
      <c r="UF61" s="95"/>
      <c r="UG61" s="95"/>
      <c r="UH61" s="95"/>
      <c r="UI61" s="95"/>
      <c r="UJ61" s="95"/>
      <c r="UK61" s="95"/>
      <c r="UL61" s="95"/>
      <c r="UM61" s="95"/>
      <c r="UN61" s="95"/>
      <c r="UO61" s="95"/>
      <c r="UP61" s="95"/>
      <c r="UQ61" s="95"/>
      <c r="UR61" s="95"/>
      <c r="US61" s="95"/>
      <c r="UT61" s="95"/>
      <c r="UU61" s="95"/>
      <c r="UV61" s="95"/>
      <c r="UW61" s="95"/>
      <c r="UX61" s="95"/>
      <c r="UY61" s="95"/>
      <c r="UZ61" s="95"/>
      <c r="VA61" s="95"/>
      <c r="VB61" s="95"/>
      <c r="VC61" s="95"/>
      <c r="VD61" s="95"/>
      <c r="VE61" s="95"/>
      <c r="VF61" s="95"/>
      <c r="VG61" s="95"/>
      <c r="VH61" s="95"/>
      <c r="VI61" s="95"/>
      <c r="VJ61" s="95"/>
      <c r="VK61" s="95"/>
      <c r="VL61" s="95"/>
      <c r="VM61" s="95"/>
      <c r="VN61" s="95"/>
      <c r="VO61" s="95"/>
      <c r="VP61" s="95"/>
      <c r="VQ61" s="95"/>
      <c r="VR61" s="95"/>
      <c r="VS61" s="95"/>
      <c r="VT61" s="95"/>
      <c r="VU61" s="95"/>
      <c r="VV61" s="95"/>
      <c r="VW61" s="95"/>
      <c r="VX61" s="95"/>
      <c r="VY61" s="95"/>
      <c r="VZ61" s="95"/>
      <c r="WA61" s="95"/>
      <c r="WB61" s="95"/>
      <c r="WC61" s="95"/>
      <c r="WD61" s="95"/>
      <c r="WE61" s="95"/>
      <c r="WF61" s="95"/>
      <c r="WG61" s="95"/>
      <c r="WH61" s="95"/>
      <c r="WI61" s="95"/>
      <c r="WJ61" s="95"/>
      <c r="WK61" s="95"/>
      <c r="WL61" s="95"/>
      <c r="WM61" s="95"/>
      <c r="WN61" s="95"/>
      <c r="WO61" s="95"/>
      <c r="WP61" s="95"/>
      <c r="WQ61" s="95"/>
      <c r="WR61" s="95"/>
      <c r="WS61" s="95"/>
      <c r="WT61" s="95"/>
      <c r="WU61" s="95"/>
      <c r="WV61" s="95"/>
      <c r="WW61" s="95"/>
      <c r="WX61" s="95"/>
      <c r="WY61" s="95"/>
      <c r="WZ61" s="95"/>
      <c r="XA61" s="95"/>
      <c r="XB61" s="95"/>
      <c r="XC61" s="95"/>
      <c r="XD61" s="95"/>
      <c r="XE61" s="95"/>
      <c r="XF61" s="95"/>
      <c r="XG61" s="95"/>
      <c r="XH61" s="95"/>
      <c r="XI61" s="95"/>
      <c r="XJ61" s="95"/>
      <c r="XK61" s="95"/>
      <c r="XL61" s="95"/>
      <c r="XM61" s="95"/>
      <c r="XN61" s="95"/>
      <c r="XO61" s="95"/>
      <c r="XP61" s="95"/>
      <c r="XQ61" s="95"/>
      <c r="XR61" s="95"/>
      <c r="XS61" s="95"/>
      <c r="XT61" s="95"/>
      <c r="XU61" s="95"/>
      <c r="XV61" s="95"/>
      <c r="XW61" s="95"/>
      <c r="XX61" s="95"/>
      <c r="XY61" s="95"/>
      <c r="XZ61" s="95"/>
      <c r="YA61" s="95"/>
      <c r="YB61" s="95"/>
      <c r="YC61" s="95"/>
      <c r="YD61" s="95"/>
      <c r="YE61" s="95"/>
      <c r="YF61" s="95"/>
      <c r="YG61" s="95"/>
      <c r="YH61" s="95"/>
      <c r="YI61" s="95"/>
      <c r="YJ61" s="95"/>
      <c r="YK61" s="95"/>
      <c r="YL61" s="95"/>
      <c r="YM61" s="95"/>
      <c r="YN61" s="95"/>
      <c r="YO61" s="95"/>
      <c r="YP61" s="95"/>
      <c r="YQ61" s="95"/>
      <c r="YR61" s="95"/>
      <c r="YS61" s="95"/>
      <c r="YT61" s="95"/>
      <c r="YU61" s="95"/>
      <c r="YV61" s="95"/>
      <c r="YW61" s="95"/>
      <c r="YX61" s="95"/>
      <c r="YY61" s="95"/>
      <c r="YZ61" s="95"/>
      <c r="ZA61" s="95"/>
      <c r="ZB61" s="95"/>
      <c r="ZC61" s="95"/>
      <c r="ZD61" s="95"/>
      <c r="ZE61" s="95"/>
      <c r="ZF61" s="95"/>
      <c r="ZG61" s="95"/>
      <c r="ZH61" s="95"/>
      <c r="ZI61" s="95"/>
      <c r="ZJ61" s="95"/>
      <c r="ZK61" s="95"/>
      <c r="ZL61" s="95"/>
      <c r="ZM61" s="95"/>
      <c r="ZN61" s="95"/>
      <c r="ZO61" s="95"/>
      <c r="ZP61" s="95"/>
      <c r="ZQ61" s="95"/>
      <c r="ZR61" s="95"/>
      <c r="ZS61" s="95"/>
      <c r="ZT61" s="95"/>
      <c r="ZU61" s="95"/>
      <c r="ZV61" s="95"/>
      <c r="ZW61" s="95"/>
      <c r="ZX61" s="95"/>
      <c r="ZY61" s="95"/>
      <c r="ZZ61" s="95"/>
      <c r="AAA61" s="95"/>
      <c r="AAB61" s="95"/>
      <c r="AAC61" s="95"/>
      <c r="AAD61" s="95"/>
      <c r="AAE61" s="95"/>
      <c r="AAF61" s="95"/>
      <c r="AAG61" s="95"/>
      <c r="AAH61" s="95"/>
      <c r="AAI61" s="95"/>
      <c r="AAJ61" s="95"/>
      <c r="AAK61" s="95"/>
      <c r="AAL61" s="95"/>
      <c r="AAM61" s="95"/>
      <c r="AAN61" s="95"/>
      <c r="AAO61" s="95"/>
      <c r="AAP61" s="95"/>
      <c r="AAQ61" s="95"/>
      <c r="AAR61" s="95"/>
      <c r="AAS61" s="95"/>
      <c r="AAT61" s="95"/>
      <c r="AAU61" s="95"/>
      <c r="AAV61" s="95"/>
      <c r="AAW61" s="95"/>
      <c r="AAX61" s="95"/>
      <c r="AAY61" s="95"/>
      <c r="AAZ61" s="95"/>
      <c r="ABA61" s="95"/>
      <c r="ABB61" s="95"/>
      <c r="ABC61" s="95"/>
      <c r="ABD61" s="95"/>
      <c r="ABE61" s="95"/>
      <c r="ABF61" s="95"/>
      <c r="ABG61" s="95"/>
      <c r="ABH61" s="95"/>
      <c r="ABI61" s="95"/>
      <c r="ABJ61" s="95"/>
      <c r="ABK61" s="95"/>
      <c r="ABL61" s="95"/>
      <c r="ABM61" s="95"/>
      <c r="ABN61" s="95"/>
      <c r="ABO61" s="95"/>
      <c r="ABP61" s="95"/>
      <c r="ABQ61" s="95"/>
      <c r="ABR61" s="95"/>
      <c r="ABS61" s="95"/>
      <c r="ABT61" s="95"/>
      <c r="ABU61" s="95"/>
      <c r="ABV61" s="95"/>
      <c r="ABW61" s="95"/>
      <c r="ABX61" s="95"/>
      <c r="ABY61" s="95"/>
      <c r="ABZ61" s="95"/>
      <c r="ACA61" s="95"/>
      <c r="ACB61" s="95"/>
      <c r="ACC61" s="95"/>
      <c r="ACD61" s="95"/>
      <c r="ACE61" s="95"/>
      <c r="ACF61" s="95"/>
      <c r="ACG61" s="95"/>
      <c r="ACH61" s="95"/>
      <c r="ACI61" s="95"/>
      <c r="ACJ61" s="95"/>
      <c r="ACK61" s="95"/>
      <c r="ACL61" s="95"/>
      <c r="ACM61" s="95"/>
      <c r="ACN61" s="95"/>
      <c r="ACO61" s="95"/>
      <c r="ACP61" s="95"/>
      <c r="ACQ61" s="95"/>
      <c r="ACR61" s="95"/>
      <c r="ACS61" s="95"/>
      <c r="ACT61" s="95"/>
      <c r="ACU61" s="95"/>
      <c r="ACV61" s="95"/>
      <c r="ACW61" s="95"/>
      <c r="ACX61" s="95"/>
      <c r="ACY61" s="95"/>
      <c r="ACZ61" s="95"/>
      <c r="ADA61" s="95"/>
      <c r="ADB61" s="95"/>
      <c r="ADC61" s="95"/>
      <c r="ADD61" s="95"/>
      <c r="ADE61" s="95"/>
      <c r="ADF61" s="95"/>
      <c r="ADG61" s="95"/>
      <c r="ADH61" s="95"/>
      <c r="ADI61" s="95"/>
      <c r="ADJ61" s="95"/>
      <c r="ADK61" s="95"/>
      <c r="ADL61" s="95"/>
      <c r="ADM61" s="95"/>
      <c r="ADN61" s="95"/>
      <c r="ADO61" s="95"/>
      <c r="ADP61" s="95"/>
      <c r="ADQ61" s="95"/>
      <c r="ADR61" s="95"/>
      <c r="ADS61" s="95"/>
      <c r="ADT61" s="95"/>
      <c r="ADU61" s="95"/>
      <c r="ADV61" s="95"/>
      <c r="ADW61" s="95"/>
      <c r="ADX61" s="95"/>
      <c r="ADY61" s="95"/>
      <c r="ADZ61" s="95"/>
      <c r="AEA61" s="95"/>
      <c r="AEB61" s="95"/>
      <c r="AEC61" s="95"/>
      <c r="AED61" s="95"/>
      <c r="AEE61" s="95"/>
      <c r="AEF61" s="95"/>
      <c r="AEG61" s="95"/>
      <c r="AEH61" s="95"/>
      <c r="AEI61" s="95"/>
      <c r="AEJ61" s="95"/>
      <c r="AEK61" s="95"/>
      <c r="AEL61" s="95"/>
      <c r="AEM61" s="95"/>
      <c r="AEN61" s="95"/>
      <c r="AEO61" s="95"/>
      <c r="AEP61" s="95"/>
      <c r="AEQ61" s="95"/>
      <c r="AER61" s="95"/>
      <c r="AES61" s="95"/>
      <c r="AET61" s="95"/>
      <c r="AEU61" s="95"/>
      <c r="AEV61" s="95"/>
      <c r="AEW61" s="95"/>
      <c r="AEX61" s="95"/>
      <c r="AEY61" s="95"/>
      <c r="AEZ61" s="95"/>
      <c r="AFA61" s="95"/>
      <c r="AFB61" s="95"/>
      <c r="AFC61" s="95"/>
      <c r="AFD61" s="95"/>
      <c r="AFE61" s="95"/>
      <c r="AFF61" s="95"/>
      <c r="AFG61" s="95"/>
      <c r="AFH61" s="95"/>
      <c r="AFI61" s="95"/>
      <c r="AFJ61" s="95"/>
      <c r="AFK61" s="95"/>
      <c r="AFL61" s="95"/>
      <c r="AFM61" s="95"/>
      <c r="AFN61" s="95"/>
      <c r="AFO61" s="95"/>
      <c r="AFP61" s="95"/>
      <c r="AFQ61" s="95"/>
      <c r="AFR61" s="95"/>
      <c r="AFS61" s="95"/>
      <c r="AFT61" s="95"/>
      <c r="AFU61" s="95"/>
      <c r="AFV61" s="95"/>
      <c r="AFW61" s="95"/>
      <c r="AFX61" s="95"/>
      <c r="AFY61" s="95"/>
      <c r="AFZ61" s="95"/>
      <c r="AGA61" s="95"/>
      <c r="AGB61" s="95"/>
      <c r="AGC61" s="95"/>
      <c r="AGD61" s="95"/>
      <c r="AGE61" s="95"/>
      <c r="AGF61" s="95"/>
      <c r="AGG61" s="95"/>
      <c r="AGH61" s="95"/>
      <c r="AGI61" s="95"/>
      <c r="AGJ61" s="95"/>
      <c r="AGK61" s="95"/>
      <c r="AGL61" s="95"/>
      <c r="AGM61" s="95"/>
      <c r="AGN61" s="95"/>
      <c r="AGO61" s="95"/>
      <c r="AGP61" s="95"/>
      <c r="AGQ61" s="95"/>
      <c r="AGR61" s="95"/>
      <c r="AGS61" s="95"/>
      <c r="AGT61" s="95"/>
      <c r="AGU61" s="95"/>
      <c r="AGV61" s="95"/>
      <c r="AGW61" s="95"/>
      <c r="AGX61" s="95"/>
      <c r="AGY61" s="95"/>
      <c r="AGZ61" s="95"/>
      <c r="AHA61" s="95"/>
      <c r="AHB61" s="95"/>
      <c r="AHC61" s="95"/>
      <c r="AHD61" s="95"/>
      <c r="AHE61" s="95"/>
      <c r="AHF61" s="95"/>
      <c r="AHG61" s="95"/>
      <c r="AHH61" s="95"/>
      <c r="AHI61" s="95"/>
      <c r="AHJ61" s="95"/>
      <c r="AHK61" s="95"/>
      <c r="AHL61" s="95"/>
      <c r="AHM61" s="95"/>
      <c r="AHN61" s="95"/>
      <c r="AHO61" s="95"/>
      <c r="AHP61" s="95"/>
      <c r="AHQ61" s="95"/>
      <c r="AHR61" s="95"/>
      <c r="AHS61" s="95"/>
      <c r="AHT61" s="95"/>
      <c r="AHU61" s="95"/>
      <c r="AHV61" s="95"/>
      <c r="AHW61" s="95"/>
      <c r="AHX61" s="95"/>
      <c r="AHY61" s="95"/>
      <c r="AHZ61" s="95"/>
      <c r="AIA61" s="95"/>
      <c r="AIB61" s="95"/>
      <c r="AIC61" s="95"/>
      <c r="AID61" s="95"/>
      <c r="AIE61" s="95"/>
      <c r="AIF61" s="95"/>
      <c r="AIG61" s="95"/>
      <c r="AIH61" s="95"/>
      <c r="AII61" s="95"/>
      <c r="AIJ61" s="95"/>
      <c r="AIK61" s="95"/>
      <c r="AIL61" s="95"/>
      <c r="AIM61" s="95"/>
      <c r="AIN61" s="95"/>
      <c r="AIO61" s="95"/>
      <c r="AIP61" s="95"/>
      <c r="AIQ61" s="95"/>
      <c r="AIR61" s="95"/>
      <c r="AIS61" s="95"/>
      <c r="AIT61" s="95"/>
      <c r="AIU61" s="95"/>
      <c r="AIV61" s="95"/>
      <c r="AIW61" s="95"/>
      <c r="AIX61" s="95"/>
      <c r="AIY61" s="95"/>
      <c r="AIZ61" s="95"/>
      <c r="AJA61" s="95"/>
      <c r="AJB61" s="95"/>
      <c r="AJC61" s="95"/>
      <c r="AJD61" s="95"/>
      <c r="AJE61" s="95"/>
      <c r="AJF61" s="95"/>
      <c r="AJG61" s="95"/>
      <c r="AJH61" s="95"/>
      <c r="AJI61" s="95"/>
      <c r="AJJ61" s="95"/>
      <c r="AJK61" s="95"/>
      <c r="AJL61" s="95"/>
      <c r="AJM61" s="95"/>
      <c r="AJN61" s="95"/>
      <c r="AJO61" s="95"/>
      <c r="AJP61" s="95"/>
      <c r="AJQ61" s="95"/>
      <c r="AJR61" s="95"/>
      <c r="AJS61" s="95"/>
      <c r="AJT61" s="95"/>
      <c r="AJU61" s="95"/>
      <c r="AJV61" s="95"/>
      <c r="AJW61" s="95"/>
      <c r="AJX61" s="95"/>
      <c r="AJY61" s="95"/>
      <c r="AJZ61" s="95"/>
      <c r="AKA61" s="95"/>
      <c r="AKB61" s="95"/>
      <c r="AKC61" s="95"/>
      <c r="AKD61" s="95"/>
      <c r="AKE61" s="95"/>
      <c r="AKF61" s="95"/>
      <c r="AKG61" s="95"/>
      <c r="AKH61" s="95"/>
      <c r="AKI61" s="95"/>
      <c r="AKJ61" s="95"/>
      <c r="AKK61" s="95"/>
      <c r="AKL61" s="95"/>
      <c r="AKM61" s="95"/>
      <c r="AKN61" s="95"/>
      <c r="AKO61" s="95"/>
      <c r="AKP61" s="95"/>
      <c r="AKQ61" s="95"/>
      <c r="AKR61" s="95"/>
      <c r="AKS61" s="95"/>
      <c r="AKT61" s="95"/>
      <c r="AKU61" s="95"/>
      <c r="AKV61" s="95"/>
      <c r="AKW61" s="95"/>
      <c r="AKX61" s="95"/>
      <c r="AKY61" s="95"/>
      <c r="AKZ61" s="95"/>
      <c r="ALA61" s="95"/>
      <c r="ALB61" s="95"/>
      <c r="ALC61" s="95"/>
      <c r="ALD61" s="95"/>
      <c r="ALE61" s="95"/>
      <c r="ALF61" s="95"/>
      <c r="ALG61" s="95"/>
      <c r="ALH61" s="95"/>
      <c r="ALI61" s="95"/>
      <c r="ALJ61" s="95"/>
      <c r="ALK61" s="95"/>
      <c r="ALL61" s="95"/>
      <c r="ALM61" s="95"/>
      <c r="ALN61" s="95"/>
      <c r="ALO61" s="95"/>
      <c r="ALP61" s="95"/>
      <c r="ALQ61" s="95"/>
      <c r="ALR61" s="95"/>
      <c r="ALS61" s="95"/>
      <c r="ALT61" s="95"/>
      <c r="ALU61" s="95"/>
      <c r="ALV61" s="95"/>
      <c r="ALW61" s="95"/>
      <c r="ALX61" s="95"/>
      <c r="ALY61" s="95"/>
      <c r="ALZ61" s="95"/>
      <c r="AMA61" s="95"/>
      <c r="AMB61" s="95"/>
      <c r="AMC61" s="95"/>
      <c r="AMD61" s="95"/>
      <c r="AME61" s="95"/>
      <c r="AMF61" s="95"/>
      <c r="AMG61" s="95"/>
      <c r="AMH61" s="95"/>
      <c r="AMI61" s="95"/>
      <c r="AMJ61" s="95"/>
      <c r="AMK61" s="95"/>
      <c r="AML61" s="95"/>
      <c r="AMM61" s="95"/>
      <c r="AMN61" s="95"/>
      <c r="AMO61" s="95"/>
      <c r="AMP61" s="95"/>
      <c r="AMQ61" s="95"/>
      <c r="AMR61" s="95"/>
      <c r="AMS61" s="95"/>
      <c r="AMT61" s="95"/>
      <c r="AMU61" s="95"/>
      <c r="AMV61" s="95"/>
      <c r="AMW61" s="95"/>
      <c r="AMX61" s="95"/>
      <c r="AMY61" s="95"/>
      <c r="AMZ61" s="95"/>
      <c r="ANA61" s="95"/>
      <c r="ANB61" s="95"/>
      <c r="ANC61" s="95"/>
      <c r="AND61" s="95"/>
      <c r="ANE61" s="95"/>
      <c r="ANF61" s="95"/>
      <c r="ANG61" s="95"/>
      <c r="ANH61" s="95"/>
      <c r="ANI61" s="95"/>
      <c r="ANJ61" s="95"/>
      <c r="ANK61" s="95"/>
      <c r="ANL61" s="95"/>
      <c r="ANM61" s="95"/>
      <c r="ANN61" s="95"/>
      <c r="ANO61" s="95"/>
      <c r="ANP61" s="95"/>
      <c r="ANQ61" s="95"/>
      <c r="ANR61" s="95"/>
      <c r="ANS61" s="95"/>
      <c r="ANT61" s="95"/>
      <c r="ANU61" s="95"/>
      <c r="ANV61" s="95"/>
      <c r="ANW61" s="95"/>
      <c r="ANX61" s="95"/>
      <c r="ANY61" s="95"/>
      <c r="ANZ61" s="95"/>
      <c r="AOA61" s="95"/>
      <c r="AOB61" s="95"/>
      <c r="AOC61" s="95"/>
      <c r="AOD61" s="95"/>
      <c r="AOE61" s="95"/>
      <c r="AOF61" s="95"/>
      <c r="AOG61" s="95"/>
      <c r="AOH61" s="95"/>
      <c r="AOI61" s="95"/>
      <c r="AOJ61" s="95"/>
      <c r="AOK61" s="95"/>
      <c r="AOL61" s="95"/>
      <c r="AOM61" s="95"/>
      <c r="AON61" s="95"/>
      <c r="AOO61" s="95"/>
      <c r="AOP61" s="95"/>
      <c r="AOQ61" s="95"/>
      <c r="AOR61" s="95"/>
      <c r="AOS61" s="95"/>
      <c r="AOT61" s="95"/>
      <c r="AOU61" s="95"/>
      <c r="AOV61" s="95"/>
      <c r="AOW61" s="95"/>
      <c r="AOX61" s="95"/>
      <c r="AOY61" s="95"/>
      <c r="AOZ61" s="95"/>
      <c r="APA61" s="95"/>
      <c r="APB61" s="95"/>
      <c r="APC61" s="95"/>
      <c r="APD61" s="95"/>
      <c r="APE61" s="95"/>
      <c r="APF61" s="95"/>
      <c r="APG61" s="95"/>
      <c r="APH61" s="95"/>
      <c r="API61" s="95"/>
      <c r="APJ61" s="95"/>
      <c r="APK61" s="95"/>
      <c r="APL61" s="95"/>
      <c r="APM61" s="95"/>
      <c r="APN61" s="95"/>
      <c r="APO61" s="95"/>
      <c r="APP61" s="95"/>
      <c r="APQ61" s="95"/>
      <c r="APR61" s="95"/>
      <c r="APS61" s="95"/>
      <c r="APT61" s="95"/>
      <c r="APU61" s="95"/>
      <c r="APV61" s="95"/>
      <c r="APW61" s="95"/>
      <c r="APX61" s="95"/>
      <c r="APY61" s="95"/>
      <c r="APZ61" s="95"/>
      <c r="AQA61" s="95"/>
      <c r="AQB61" s="95"/>
      <c r="AQC61" s="95"/>
      <c r="AQD61" s="95"/>
      <c r="AQE61" s="95"/>
      <c r="AQF61" s="95"/>
      <c r="AQG61" s="95"/>
      <c r="AQH61" s="95"/>
      <c r="AQI61" s="95"/>
      <c r="AQJ61" s="95"/>
      <c r="AQK61" s="95"/>
      <c r="AQL61" s="95"/>
      <c r="AQM61" s="95"/>
      <c r="AQN61" s="95"/>
      <c r="AQO61" s="95"/>
      <c r="AQP61" s="95"/>
      <c r="AQQ61" s="95"/>
      <c r="AQR61" s="95"/>
      <c r="AQS61" s="95"/>
      <c r="AQT61" s="95"/>
      <c r="AQU61" s="95"/>
      <c r="AQV61" s="95"/>
      <c r="AQW61" s="95"/>
      <c r="AQX61" s="95"/>
      <c r="AQY61" s="95"/>
      <c r="AQZ61" s="95"/>
      <c r="ARA61" s="95"/>
      <c r="ARB61" s="95"/>
      <c r="ARC61" s="95"/>
      <c r="ARD61" s="95"/>
      <c r="ARE61" s="95"/>
      <c r="ARF61" s="95"/>
      <c r="ARG61" s="95"/>
      <c r="ARH61" s="95"/>
      <c r="ARI61" s="95"/>
      <c r="ARJ61" s="95"/>
      <c r="ARK61" s="95"/>
      <c r="ARL61" s="95"/>
      <c r="ARM61" s="95"/>
      <c r="ARN61" s="95"/>
      <c r="ARO61" s="95"/>
      <c r="ARP61" s="95"/>
      <c r="ARQ61" s="95"/>
      <c r="ARR61" s="95"/>
      <c r="ARS61" s="95"/>
      <c r="ART61" s="95"/>
      <c r="ARU61" s="95"/>
      <c r="ARV61" s="95"/>
      <c r="ARW61" s="95"/>
      <c r="ARX61" s="95"/>
      <c r="ARY61" s="95"/>
      <c r="ARZ61" s="95"/>
      <c r="ASA61" s="95"/>
      <c r="ASB61" s="95"/>
      <c r="ASC61" s="95"/>
      <c r="ASD61" s="95"/>
      <c r="ASE61" s="95"/>
      <c r="ASF61" s="95"/>
      <c r="ASG61" s="95"/>
      <c r="ASH61" s="95"/>
      <c r="ASI61" s="95"/>
      <c r="ASJ61" s="95"/>
      <c r="ASK61" s="95"/>
      <c r="ASL61" s="95"/>
      <c r="ASM61" s="95"/>
      <c r="ASN61" s="95"/>
      <c r="ASO61" s="95"/>
      <c r="ASP61" s="95"/>
      <c r="ASQ61" s="95"/>
      <c r="ASR61" s="95"/>
      <c r="ASS61" s="95"/>
      <c r="AST61" s="95"/>
      <c r="ASU61" s="95"/>
      <c r="ASV61" s="95"/>
      <c r="ASW61" s="95"/>
      <c r="ASX61" s="95"/>
      <c r="ASY61" s="95"/>
      <c r="ASZ61" s="95"/>
      <c r="ATA61" s="95"/>
      <c r="ATB61" s="95"/>
      <c r="ATC61" s="95"/>
      <c r="ATD61" s="95"/>
      <c r="ATE61" s="95"/>
      <c r="ATF61" s="95"/>
      <c r="ATG61" s="95"/>
      <c r="ATH61" s="95"/>
      <c r="ATI61" s="95"/>
      <c r="ATJ61" s="95"/>
      <c r="ATK61" s="95"/>
      <c r="ATL61" s="95"/>
      <c r="ATM61" s="95"/>
      <c r="ATN61" s="95"/>
      <c r="ATO61" s="95"/>
      <c r="ATP61" s="95"/>
      <c r="ATQ61" s="95"/>
      <c r="ATR61" s="95"/>
      <c r="ATS61" s="95"/>
      <c r="ATT61" s="95"/>
      <c r="ATU61" s="95"/>
      <c r="ATV61" s="95"/>
      <c r="ATW61" s="95"/>
      <c r="ATX61" s="95"/>
      <c r="ATY61" s="95"/>
      <c r="ATZ61" s="95"/>
      <c r="AUA61" s="95"/>
      <c r="AUB61" s="95"/>
      <c r="AUC61" s="95"/>
      <c r="AUD61" s="95"/>
      <c r="AUE61" s="95"/>
      <c r="AUF61" s="95"/>
      <c r="AUG61" s="95"/>
      <c r="AUH61" s="95"/>
      <c r="AUI61" s="95"/>
      <c r="AUJ61" s="95"/>
      <c r="AUK61" s="95"/>
      <c r="AUL61" s="95"/>
      <c r="AUM61" s="95"/>
      <c r="AUN61" s="95"/>
      <c r="AUO61" s="95"/>
      <c r="AUP61" s="95"/>
      <c r="AUQ61" s="95"/>
      <c r="AUR61" s="95"/>
      <c r="AUS61" s="95"/>
      <c r="AUT61" s="95"/>
      <c r="AUU61" s="95"/>
      <c r="AUV61" s="95"/>
      <c r="AUW61" s="95"/>
      <c r="AUX61" s="95"/>
      <c r="AUY61" s="95"/>
      <c r="AUZ61" s="95"/>
      <c r="AVA61" s="95"/>
      <c r="AVB61" s="95"/>
      <c r="AVC61" s="95"/>
      <c r="AVD61" s="95"/>
      <c r="AVE61" s="95"/>
      <c r="AVF61" s="95"/>
      <c r="AVG61" s="95"/>
      <c r="AVH61" s="95"/>
      <c r="AVI61" s="95"/>
      <c r="AVJ61" s="95"/>
      <c r="AVK61" s="95"/>
      <c r="AVL61" s="95"/>
      <c r="AVM61" s="95"/>
      <c r="AVN61" s="95"/>
      <c r="AVO61" s="95"/>
      <c r="AVP61" s="95"/>
      <c r="AVQ61" s="95"/>
      <c r="AVR61" s="95"/>
      <c r="AVS61" s="95"/>
      <c r="AVT61" s="95"/>
      <c r="AVU61" s="95"/>
      <c r="AVV61" s="95"/>
      <c r="AVW61" s="95"/>
      <c r="AVX61" s="95"/>
      <c r="AVY61" s="95"/>
      <c r="AVZ61" s="95"/>
      <c r="AWA61" s="95"/>
      <c r="AWB61" s="95"/>
      <c r="AWC61" s="95"/>
      <c r="AWD61" s="95"/>
      <c r="AWE61" s="95"/>
      <c r="AWF61" s="95"/>
      <c r="AWG61" s="95"/>
      <c r="AWH61" s="95"/>
      <c r="AWI61" s="95"/>
      <c r="AWJ61" s="95"/>
      <c r="AWK61" s="95"/>
      <c r="AWL61" s="95"/>
      <c r="AWM61" s="95"/>
      <c r="AWN61" s="95"/>
      <c r="AWO61" s="95"/>
      <c r="AWP61" s="95"/>
      <c r="AWQ61" s="95"/>
      <c r="AWR61" s="95"/>
      <c r="AWS61" s="95"/>
      <c r="AWT61" s="95"/>
      <c r="AWU61" s="95"/>
      <c r="AWV61" s="95"/>
      <c r="AWW61" s="95"/>
      <c r="AWX61" s="95"/>
      <c r="AWY61" s="95"/>
      <c r="AWZ61" s="95"/>
      <c r="AXA61" s="95"/>
      <c r="AXB61" s="95"/>
      <c r="AXC61" s="95"/>
      <c r="AXD61" s="95"/>
      <c r="AXE61" s="95"/>
      <c r="AXF61" s="95"/>
      <c r="AXG61" s="95"/>
      <c r="AXH61" s="95"/>
      <c r="AXI61" s="95"/>
      <c r="AXJ61" s="95"/>
      <c r="AXK61" s="95"/>
      <c r="AXL61" s="95"/>
      <c r="AXM61" s="95"/>
      <c r="AXN61" s="95"/>
      <c r="AXO61" s="95"/>
      <c r="AXP61" s="95"/>
      <c r="AXQ61" s="95"/>
      <c r="AXR61" s="95"/>
      <c r="AXS61" s="95"/>
      <c r="AXT61" s="95"/>
      <c r="AXU61" s="95"/>
      <c r="AXV61" s="95"/>
      <c r="AXW61" s="95"/>
      <c r="AXX61" s="95"/>
      <c r="AXY61" s="95"/>
      <c r="AXZ61" s="95"/>
      <c r="AYA61" s="95"/>
      <c r="AYB61" s="95"/>
      <c r="AYC61" s="95"/>
      <c r="AYD61" s="95"/>
      <c r="AYE61" s="95"/>
      <c r="AYF61" s="95"/>
      <c r="AYG61" s="95"/>
      <c r="AYH61" s="95"/>
      <c r="AYI61" s="95"/>
      <c r="AYJ61" s="95"/>
      <c r="AYK61" s="95"/>
      <c r="AYL61" s="95"/>
      <c r="AYM61" s="95"/>
      <c r="AYN61" s="95"/>
      <c r="AYO61" s="95"/>
      <c r="AYP61" s="95"/>
      <c r="AYQ61" s="95"/>
      <c r="AYR61" s="95"/>
      <c r="AYS61" s="95"/>
      <c r="AYT61" s="95"/>
      <c r="AYU61" s="95"/>
      <c r="AYV61" s="95"/>
      <c r="AYW61" s="95"/>
      <c r="AYX61" s="95"/>
      <c r="AYY61" s="95"/>
      <c r="AYZ61" s="95"/>
      <c r="AZA61" s="95"/>
      <c r="AZB61" s="95"/>
      <c r="AZC61" s="95"/>
      <c r="AZD61" s="95"/>
      <c r="AZE61" s="95"/>
      <c r="AZF61" s="95"/>
      <c r="AZG61" s="95"/>
      <c r="AZH61" s="95"/>
      <c r="AZI61" s="95"/>
      <c r="AZJ61" s="95"/>
      <c r="AZK61" s="95"/>
      <c r="AZL61" s="95"/>
      <c r="AZM61" s="95"/>
      <c r="AZN61" s="95"/>
      <c r="AZO61" s="95"/>
      <c r="AZP61" s="95"/>
      <c r="AZQ61" s="95"/>
      <c r="AZR61" s="95"/>
      <c r="AZS61" s="95"/>
      <c r="AZT61" s="95"/>
      <c r="AZU61" s="95"/>
      <c r="AZV61" s="95"/>
      <c r="AZW61" s="95"/>
      <c r="AZX61" s="95"/>
      <c r="AZY61" s="95"/>
      <c r="AZZ61" s="95"/>
      <c r="BAA61" s="95"/>
      <c r="BAB61" s="95"/>
      <c r="BAC61" s="95"/>
      <c r="BAD61" s="95"/>
      <c r="BAE61" s="95"/>
      <c r="BAF61" s="95"/>
      <c r="BAG61" s="95"/>
      <c r="BAH61" s="95"/>
      <c r="BAI61" s="95"/>
      <c r="BAJ61" s="95"/>
      <c r="BAK61" s="95"/>
      <c r="BAL61" s="95"/>
      <c r="BAM61" s="95"/>
      <c r="BAN61" s="95"/>
      <c r="BAO61" s="95"/>
      <c r="BAP61" s="95"/>
      <c r="BAQ61" s="95"/>
      <c r="BAR61" s="95"/>
      <c r="BAS61" s="95"/>
      <c r="BAT61" s="95"/>
      <c r="BAU61" s="95"/>
      <c r="BAV61" s="95"/>
      <c r="BAW61" s="95"/>
      <c r="BAX61" s="95"/>
      <c r="BAY61" s="95"/>
      <c r="BAZ61" s="95"/>
      <c r="BBA61" s="95"/>
      <c r="BBB61" s="95"/>
      <c r="BBC61" s="95"/>
      <c r="BBD61" s="95"/>
      <c r="BBE61" s="95"/>
      <c r="BBF61" s="95"/>
      <c r="BBG61" s="95"/>
      <c r="BBH61" s="95"/>
      <c r="BBI61" s="95"/>
      <c r="BBJ61" s="95"/>
      <c r="BBK61" s="95"/>
      <c r="BBL61" s="95"/>
      <c r="BBM61" s="95"/>
      <c r="BBN61" s="95"/>
      <c r="BBO61" s="95"/>
      <c r="BBP61" s="95"/>
      <c r="BBQ61" s="95"/>
      <c r="BBR61" s="95"/>
      <c r="BBS61" s="95"/>
      <c r="BBT61" s="95"/>
      <c r="BBU61" s="95"/>
      <c r="BBV61" s="95"/>
      <c r="BBW61" s="95"/>
      <c r="BBX61" s="95"/>
      <c r="BBY61" s="95"/>
      <c r="BBZ61" s="95"/>
      <c r="BCA61" s="95"/>
      <c r="BCB61" s="95"/>
      <c r="BCC61" s="95"/>
      <c r="BCD61" s="95"/>
      <c r="BCE61" s="95"/>
      <c r="BCF61" s="95"/>
      <c r="BCG61" s="95"/>
      <c r="BCH61" s="95"/>
      <c r="BCI61" s="95"/>
      <c r="BCJ61" s="95"/>
      <c r="BCK61" s="95"/>
      <c r="BCL61" s="95"/>
      <c r="BCM61" s="95"/>
      <c r="BCN61" s="95"/>
      <c r="BCO61" s="95"/>
      <c r="BCP61" s="95"/>
      <c r="BCQ61" s="95"/>
      <c r="BCR61" s="95"/>
      <c r="BCS61" s="95"/>
      <c r="BCT61" s="95"/>
      <c r="BCU61" s="95"/>
      <c r="BCV61" s="95"/>
      <c r="BCW61" s="95"/>
      <c r="BCX61" s="95"/>
      <c r="BCY61" s="95"/>
      <c r="BCZ61" s="95"/>
      <c r="BDA61" s="95"/>
      <c r="BDB61" s="95"/>
      <c r="BDC61" s="95"/>
      <c r="BDD61" s="95"/>
      <c r="BDE61" s="95"/>
      <c r="BDF61" s="95"/>
      <c r="BDG61" s="95"/>
      <c r="BDH61" s="95"/>
      <c r="BDI61" s="95"/>
      <c r="BDJ61" s="95"/>
      <c r="BDK61" s="95"/>
      <c r="BDL61" s="95"/>
      <c r="BDM61" s="95"/>
      <c r="BDN61" s="95"/>
      <c r="BDO61" s="95"/>
      <c r="BDP61" s="95"/>
      <c r="BDQ61" s="95"/>
      <c r="BDR61" s="95"/>
      <c r="BDS61" s="95"/>
      <c r="BDT61" s="95"/>
      <c r="BDU61" s="95"/>
      <c r="BDV61" s="95"/>
      <c r="BDW61" s="95"/>
      <c r="BDX61" s="95"/>
      <c r="BDY61" s="95"/>
      <c r="BDZ61" s="95"/>
      <c r="BEA61" s="95"/>
      <c r="BEB61" s="95"/>
      <c r="BEC61" s="95"/>
      <c r="BED61" s="95"/>
      <c r="BEE61" s="95"/>
      <c r="BEF61" s="95"/>
      <c r="BEG61" s="95"/>
      <c r="BEH61" s="95"/>
      <c r="BEI61" s="95"/>
      <c r="BEJ61" s="95"/>
      <c r="BEK61" s="95"/>
      <c r="BEL61" s="95"/>
      <c r="BEM61" s="95"/>
      <c r="BEN61" s="95"/>
      <c r="BEO61" s="95"/>
      <c r="BEP61" s="95"/>
      <c r="BEQ61" s="95"/>
      <c r="BER61" s="95"/>
      <c r="BES61" s="95"/>
      <c r="BET61" s="95"/>
      <c r="BEU61" s="95"/>
      <c r="BEV61" s="95"/>
      <c r="BEW61" s="95"/>
      <c r="BEX61" s="95"/>
      <c r="BEY61" s="95"/>
      <c r="BEZ61" s="95"/>
      <c r="BFA61" s="95"/>
      <c r="BFB61" s="95"/>
      <c r="BFC61" s="95"/>
      <c r="BFD61" s="95"/>
      <c r="BFE61" s="95"/>
      <c r="BFF61" s="95"/>
      <c r="BFG61" s="95"/>
      <c r="BFH61" s="95"/>
      <c r="BFI61" s="95"/>
      <c r="BFJ61" s="95"/>
      <c r="BFK61" s="95"/>
      <c r="BFL61" s="95"/>
      <c r="BFM61" s="95"/>
      <c r="BFN61" s="95"/>
      <c r="BFO61" s="95"/>
      <c r="BFP61" s="95"/>
      <c r="BFQ61" s="95"/>
      <c r="BFR61" s="95"/>
      <c r="BFS61" s="95"/>
      <c r="BFT61" s="95"/>
      <c r="BFU61" s="95"/>
      <c r="BFV61" s="95"/>
      <c r="BFW61" s="95"/>
      <c r="BFX61" s="95"/>
      <c r="BFY61" s="95"/>
      <c r="BFZ61" s="95"/>
      <c r="BGA61" s="95"/>
      <c r="BGB61" s="95"/>
      <c r="BGC61" s="95"/>
      <c r="BGD61" s="95"/>
      <c r="BGE61" s="95"/>
      <c r="BGF61" s="95"/>
      <c r="BGG61" s="95"/>
      <c r="BGH61" s="95"/>
      <c r="BGI61" s="95"/>
      <c r="BGJ61" s="95"/>
      <c r="BGK61" s="95"/>
      <c r="BGL61" s="95"/>
      <c r="BGM61" s="95"/>
      <c r="BGN61" s="95"/>
      <c r="BGO61" s="95"/>
      <c r="BGP61" s="95"/>
      <c r="BGQ61" s="95"/>
      <c r="BGR61" s="95"/>
      <c r="BGS61" s="95"/>
      <c r="BGT61" s="95"/>
      <c r="BGU61" s="95"/>
      <c r="BGV61" s="95"/>
      <c r="BGW61" s="95"/>
      <c r="BGX61" s="95"/>
      <c r="BGY61" s="95"/>
      <c r="BGZ61" s="95"/>
      <c r="BHA61" s="95"/>
      <c r="BHB61" s="95"/>
      <c r="BHC61" s="95"/>
      <c r="BHD61" s="95"/>
      <c r="BHE61" s="95"/>
      <c r="BHF61" s="95"/>
      <c r="BHG61" s="95"/>
      <c r="BHH61" s="95"/>
      <c r="BHI61" s="95"/>
      <c r="BHJ61" s="95"/>
      <c r="BHK61" s="95"/>
      <c r="BHL61" s="95"/>
      <c r="BHM61" s="95"/>
      <c r="BHN61" s="95"/>
      <c r="BHO61" s="95"/>
      <c r="BHP61" s="95"/>
      <c r="BHQ61" s="95"/>
      <c r="BHR61" s="95"/>
      <c r="BHS61" s="95"/>
      <c r="BHT61" s="95"/>
      <c r="BHU61" s="95"/>
      <c r="BHV61" s="95"/>
      <c r="BHW61" s="95"/>
      <c r="BHX61" s="95"/>
      <c r="BHY61" s="95"/>
      <c r="BHZ61" s="95"/>
      <c r="BIA61" s="95"/>
      <c r="BIB61" s="95"/>
      <c r="BIC61" s="95"/>
      <c r="BID61" s="95"/>
      <c r="BIE61" s="95"/>
      <c r="BIF61" s="95"/>
      <c r="BIG61" s="95"/>
      <c r="BIH61" s="95"/>
      <c r="BII61" s="95"/>
      <c r="BIJ61" s="95"/>
      <c r="BIK61" s="95"/>
      <c r="BIL61" s="95"/>
      <c r="BIM61" s="95"/>
      <c r="BIN61" s="95"/>
      <c r="BIO61" s="95"/>
      <c r="BIP61" s="95"/>
      <c r="BIQ61" s="95"/>
      <c r="BIR61" s="95"/>
      <c r="BIS61" s="95"/>
      <c r="BIT61" s="95"/>
      <c r="BIU61" s="95"/>
      <c r="BIV61" s="95"/>
      <c r="BIW61" s="95"/>
      <c r="BIX61" s="95"/>
      <c r="BIY61" s="95"/>
      <c r="BIZ61" s="95"/>
      <c r="BJA61" s="95"/>
      <c r="BJB61" s="95"/>
      <c r="BJC61" s="95"/>
      <c r="BJD61" s="95"/>
      <c r="BJE61" s="95"/>
      <c r="BJF61" s="95"/>
      <c r="BJG61" s="95"/>
      <c r="BJH61" s="95"/>
      <c r="BJI61" s="95"/>
      <c r="BJJ61" s="95"/>
      <c r="BJK61" s="95"/>
      <c r="BJL61" s="95"/>
      <c r="BJM61" s="95"/>
      <c r="BJN61" s="95"/>
      <c r="BJO61" s="95"/>
      <c r="BJP61" s="95"/>
      <c r="BJQ61" s="95"/>
      <c r="BJR61" s="95"/>
      <c r="BJS61" s="95"/>
      <c r="BJT61" s="95"/>
      <c r="BJU61" s="95"/>
      <c r="BJV61" s="95"/>
      <c r="BJW61" s="95"/>
      <c r="BJX61" s="95"/>
      <c r="BJY61" s="95"/>
      <c r="BJZ61" s="95"/>
      <c r="BKA61" s="95"/>
      <c r="BKB61" s="95"/>
      <c r="BKC61" s="95"/>
      <c r="BKD61" s="95"/>
      <c r="BKE61" s="95"/>
      <c r="BKF61" s="95"/>
      <c r="BKG61" s="95"/>
      <c r="BKH61" s="95"/>
      <c r="BKI61" s="95"/>
      <c r="BKJ61" s="95"/>
      <c r="BKK61" s="95"/>
      <c r="BKL61" s="95"/>
      <c r="BKM61" s="95"/>
      <c r="BKN61" s="95"/>
      <c r="BKO61" s="95"/>
      <c r="BKP61" s="95"/>
      <c r="BKQ61" s="95"/>
      <c r="BKR61" s="95"/>
      <c r="BKS61" s="95"/>
      <c r="BKT61" s="95"/>
      <c r="BKU61" s="95"/>
      <c r="BKV61" s="95"/>
      <c r="BKW61" s="95"/>
      <c r="BKX61" s="95"/>
      <c r="BKY61" s="95"/>
      <c r="BKZ61" s="95"/>
      <c r="BLA61" s="95"/>
      <c r="BLB61" s="95"/>
      <c r="BLC61" s="95"/>
      <c r="BLD61" s="95"/>
      <c r="BLE61" s="95"/>
      <c r="BLF61" s="95"/>
      <c r="BLG61" s="95"/>
      <c r="BLH61" s="95"/>
      <c r="BLI61" s="95"/>
      <c r="BLJ61" s="95"/>
      <c r="BLK61" s="95"/>
      <c r="BLL61" s="95"/>
      <c r="BLM61" s="95"/>
      <c r="BLN61" s="95"/>
      <c r="BLO61" s="95"/>
      <c r="BLP61" s="95"/>
      <c r="BLQ61" s="95"/>
      <c r="BLR61" s="95"/>
      <c r="BLS61" s="95"/>
      <c r="BLT61" s="95"/>
      <c r="BLU61" s="95"/>
      <c r="BLV61" s="95"/>
      <c r="BLW61" s="95"/>
      <c r="BLX61" s="95"/>
      <c r="BLY61" s="95"/>
      <c r="BLZ61" s="95"/>
      <c r="BMA61" s="95"/>
      <c r="BMB61" s="95"/>
      <c r="BMC61" s="95"/>
      <c r="BMD61" s="95"/>
      <c r="BME61" s="95"/>
      <c r="BMF61" s="95"/>
      <c r="BMG61" s="95"/>
      <c r="BMH61" s="95"/>
      <c r="BMI61" s="95"/>
      <c r="BMJ61" s="95"/>
      <c r="BMK61" s="95"/>
      <c r="BML61" s="95"/>
      <c r="BMM61" s="95"/>
      <c r="BMN61" s="95"/>
      <c r="BMO61" s="95"/>
      <c r="BMP61" s="95"/>
      <c r="BMQ61" s="95"/>
      <c r="BMR61" s="95"/>
      <c r="BMS61" s="95"/>
      <c r="BMT61" s="95"/>
      <c r="BMU61" s="95"/>
      <c r="BMV61" s="95"/>
      <c r="BMW61" s="95"/>
      <c r="BMX61" s="95"/>
      <c r="BMY61" s="95"/>
      <c r="BMZ61" s="95"/>
      <c r="BNA61" s="95"/>
      <c r="BNB61" s="95"/>
      <c r="BNC61" s="95"/>
      <c r="BND61" s="95"/>
      <c r="BNE61" s="95"/>
      <c r="BNF61" s="95"/>
      <c r="BNG61" s="95"/>
      <c r="BNH61" s="95"/>
      <c r="BNI61" s="95"/>
      <c r="BNJ61" s="95"/>
      <c r="BNK61" s="95"/>
      <c r="BNL61" s="95"/>
      <c r="BNM61" s="95"/>
      <c r="BNN61" s="95"/>
      <c r="BNO61" s="95"/>
      <c r="BNP61" s="95"/>
      <c r="BNQ61" s="95"/>
      <c r="BNR61" s="95"/>
      <c r="BNS61" s="95"/>
      <c r="BNT61" s="95"/>
      <c r="BNU61" s="95"/>
      <c r="BNV61" s="95"/>
      <c r="BNW61" s="95"/>
      <c r="BNX61" s="95"/>
      <c r="BNY61" s="95"/>
      <c r="BNZ61" s="95"/>
      <c r="BOA61" s="95"/>
      <c r="BOB61" s="95"/>
      <c r="BOC61" s="95"/>
      <c r="BOD61" s="95"/>
      <c r="BOE61" s="95"/>
      <c r="BOF61" s="95"/>
      <c r="BOG61" s="95"/>
      <c r="BOH61" s="95"/>
      <c r="BOI61" s="95"/>
      <c r="BOJ61" s="95"/>
      <c r="BOK61" s="95"/>
      <c r="BOL61" s="95"/>
      <c r="BOM61" s="95"/>
      <c r="BON61" s="95"/>
      <c r="BOO61" s="95"/>
      <c r="BOP61" s="95"/>
      <c r="BOQ61" s="95"/>
      <c r="BOR61" s="95"/>
      <c r="BOS61" s="95"/>
      <c r="BOT61" s="95"/>
      <c r="BOU61" s="95"/>
      <c r="BOV61" s="95"/>
      <c r="BOW61" s="95"/>
      <c r="BOX61" s="95"/>
      <c r="BOY61" s="95"/>
      <c r="BOZ61" s="95"/>
      <c r="BPA61" s="95"/>
      <c r="BPB61" s="95"/>
      <c r="BPC61" s="95"/>
      <c r="BPD61" s="95"/>
      <c r="BPE61" s="95"/>
      <c r="BPF61" s="95"/>
      <c r="BPG61" s="95"/>
      <c r="BPH61" s="95"/>
      <c r="BPI61" s="95"/>
      <c r="BPJ61" s="95"/>
      <c r="BPK61" s="95"/>
      <c r="BPL61" s="95"/>
      <c r="BPM61" s="95"/>
      <c r="BPN61" s="95"/>
      <c r="BPO61" s="95"/>
      <c r="BPP61" s="95"/>
      <c r="BPQ61" s="95"/>
      <c r="BPR61" s="95"/>
      <c r="BPS61" s="95"/>
      <c r="BPT61" s="95"/>
      <c r="BPU61" s="95"/>
      <c r="BPV61" s="95"/>
      <c r="BPW61" s="95"/>
      <c r="BPX61" s="95"/>
      <c r="BPY61" s="95"/>
      <c r="BPZ61" s="95"/>
      <c r="BQA61" s="95"/>
      <c r="BQB61" s="95"/>
      <c r="BQC61" s="95"/>
      <c r="BQD61" s="95"/>
      <c r="BQE61" s="95"/>
      <c r="BQF61" s="95"/>
      <c r="BQG61" s="95"/>
      <c r="BQH61" s="95"/>
      <c r="BQI61" s="95"/>
      <c r="BQJ61" s="95"/>
      <c r="BQK61" s="95"/>
      <c r="BQL61" s="95"/>
      <c r="BQM61" s="95"/>
      <c r="BQN61" s="95"/>
      <c r="BQO61" s="95"/>
      <c r="BQP61" s="95"/>
      <c r="BQQ61" s="95"/>
      <c r="BQR61" s="95"/>
      <c r="BQS61" s="95"/>
      <c r="BQT61" s="95"/>
      <c r="BQU61" s="95"/>
      <c r="BQV61" s="95"/>
      <c r="BQW61" s="95"/>
      <c r="BQX61" s="95"/>
      <c r="BQY61" s="95"/>
      <c r="BQZ61" s="95"/>
      <c r="BRA61" s="95"/>
      <c r="BRB61" s="95"/>
      <c r="BRC61" s="95"/>
      <c r="BRD61" s="95"/>
      <c r="BRE61" s="95"/>
      <c r="BRF61" s="95"/>
      <c r="BRG61" s="95"/>
      <c r="BRH61" s="95"/>
      <c r="BRI61" s="95"/>
      <c r="BRJ61" s="95"/>
      <c r="BRK61" s="95"/>
      <c r="BRL61" s="95"/>
      <c r="BRM61" s="95"/>
      <c r="BRN61" s="95"/>
      <c r="BRO61" s="95"/>
      <c r="BRP61" s="95"/>
      <c r="BRQ61" s="95"/>
      <c r="BRR61" s="95"/>
      <c r="BRS61" s="95"/>
      <c r="BRT61" s="95"/>
      <c r="BRU61" s="95"/>
      <c r="BRV61" s="95"/>
      <c r="BRW61" s="95"/>
      <c r="BRX61" s="95"/>
      <c r="BRY61" s="95"/>
      <c r="BRZ61" s="95"/>
      <c r="BSA61" s="95"/>
      <c r="BSB61" s="95"/>
      <c r="BSC61" s="95"/>
      <c r="BSD61" s="95"/>
      <c r="BSE61" s="95"/>
      <c r="BSF61" s="95"/>
      <c r="BSG61" s="95"/>
      <c r="BSH61" s="95"/>
      <c r="BSI61" s="95"/>
      <c r="BSJ61" s="95"/>
      <c r="BSK61" s="95"/>
      <c r="BSL61" s="95"/>
      <c r="BSM61" s="95"/>
      <c r="BSN61" s="95"/>
      <c r="BSO61" s="95"/>
      <c r="BSP61" s="95"/>
      <c r="BSQ61" s="95"/>
      <c r="BSR61" s="95"/>
      <c r="BSS61" s="95"/>
      <c r="BST61" s="95"/>
      <c r="BSU61" s="95"/>
      <c r="BSV61" s="95"/>
      <c r="BSW61" s="95"/>
      <c r="BSX61" s="95"/>
      <c r="BSY61" s="95"/>
      <c r="BSZ61" s="95"/>
      <c r="BTA61" s="95"/>
      <c r="BTB61" s="95"/>
      <c r="BTC61" s="95"/>
      <c r="BTD61" s="95"/>
      <c r="BTE61" s="95"/>
      <c r="BTF61" s="95"/>
      <c r="BTG61" s="95"/>
      <c r="BTH61" s="95"/>
      <c r="BTI61" s="95"/>
      <c r="BTJ61" s="95"/>
      <c r="BTK61" s="95"/>
      <c r="BTL61" s="95"/>
      <c r="BTM61" s="95"/>
      <c r="BTN61" s="95"/>
      <c r="BTO61" s="95"/>
      <c r="BTP61" s="95"/>
      <c r="BTQ61" s="95"/>
      <c r="BTR61" s="95"/>
      <c r="BTS61" s="95"/>
      <c r="BTT61" s="95"/>
      <c r="BTU61" s="95"/>
      <c r="BTV61" s="95"/>
      <c r="BTW61" s="95"/>
      <c r="BTX61" s="95"/>
      <c r="BTY61" s="95"/>
      <c r="BTZ61" s="95"/>
      <c r="BUA61" s="95"/>
      <c r="BUB61" s="95"/>
      <c r="BUC61" s="95"/>
      <c r="BUD61" s="95"/>
      <c r="BUE61" s="95"/>
      <c r="BUF61" s="95"/>
      <c r="BUG61" s="95"/>
      <c r="BUH61" s="95"/>
      <c r="BUI61" s="95"/>
      <c r="BUJ61" s="95"/>
      <c r="BUK61" s="95"/>
      <c r="BUL61" s="95"/>
      <c r="BUM61" s="95"/>
      <c r="BUN61" s="95"/>
      <c r="BUO61" s="95"/>
      <c r="BUP61" s="95"/>
      <c r="BUQ61" s="95"/>
      <c r="BUR61" s="95"/>
      <c r="BUS61" s="95"/>
      <c r="BUT61" s="95"/>
      <c r="BUU61" s="95"/>
      <c r="BUV61" s="95"/>
      <c r="BUW61" s="95"/>
      <c r="BUX61" s="95"/>
      <c r="BUY61" s="95"/>
      <c r="BUZ61" s="95"/>
      <c r="BVA61" s="95"/>
      <c r="BVB61" s="95"/>
      <c r="BVC61" s="95"/>
      <c r="BVD61" s="95"/>
      <c r="BVE61" s="95"/>
      <c r="BVF61" s="95"/>
      <c r="BVG61" s="95"/>
      <c r="BVH61" s="95"/>
      <c r="BVI61" s="95"/>
      <c r="BVJ61" s="95"/>
      <c r="BVK61" s="95"/>
      <c r="BVL61" s="95"/>
      <c r="BVM61" s="95"/>
      <c r="BVN61" s="95"/>
      <c r="BVO61" s="95"/>
      <c r="BVP61" s="95"/>
      <c r="BVQ61" s="95"/>
      <c r="BVR61" s="95"/>
      <c r="BVS61" s="95"/>
      <c r="BVT61" s="95"/>
      <c r="BVU61" s="95"/>
      <c r="BVV61" s="95"/>
      <c r="BVW61" s="95"/>
      <c r="BVX61" s="95"/>
      <c r="BVY61" s="95"/>
      <c r="BVZ61" s="95"/>
      <c r="BWA61" s="95"/>
      <c r="BWB61" s="95"/>
      <c r="BWC61" s="95"/>
      <c r="BWD61" s="95"/>
      <c r="BWE61" s="95"/>
      <c r="BWF61" s="95"/>
      <c r="BWG61" s="95"/>
      <c r="BWH61" s="95"/>
      <c r="BWI61" s="95"/>
      <c r="BWJ61" s="95"/>
      <c r="BWK61" s="95"/>
      <c r="BWL61" s="95"/>
      <c r="BWM61" s="95"/>
      <c r="BWN61" s="95"/>
      <c r="BWO61" s="95"/>
      <c r="BWP61" s="95"/>
      <c r="BWQ61" s="95"/>
      <c r="BWR61" s="95"/>
      <c r="BWS61" s="95"/>
      <c r="BWT61" s="95"/>
      <c r="BWU61" s="95"/>
      <c r="BWV61" s="95"/>
      <c r="BWW61" s="95"/>
      <c r="BWX61" s="95"/>
      <c r="BWY61" s="95"/>
      <c r="BWZ61" s="95"/>
      <c r="BXA61" s="95"/>
      <c r="BXB61" s="95"/>
      <c r="BXC61" s="95"/>
      <c r="BXD61" s="95"/>
      <c r="BXE61" s="95"/>
      <c r="BXF61" s="95"/>
      <c r="BXG61" s="95"/>
      <c r="BXH61" s="95"/>
      <c r="BXI61" s="95"/>
      <c r="BXJ61" s="95"/>
      <c r="BXK61" s="95"/>
      <c r="BXL61" s="95"/>
      <c r="BXM61" s="95"/>
      <c r="BXN61" s="95"/>
      <c r="BXO61" s="95"/>
      <c r="BXP61" s="95"/>
      <c r="BXQ61" s="95"/>
      <c r="BXR61" s="95"/>
      <c r="BXS61" s="95"/>
      <c r="BXT61" s="95"/>
      <c r="BXU61" s="95"/>
      <c r="BXV61" s="95"/>
      <c r="BXW61" s="95"/>
      <c r="BXX61" s="95"/>
      <c r="BXY61" s="95"/>
      <c r="BXZ61" s="95"/>
      <c r="BYA61" s="95"/>
      <c r="BYB61" s="95"/>
      <c r="BYC61" s="95"/>
      <c r="BYD61" s="95"/>
      <c r="BYE61" s="95"/>
      <c r="BYF61" s="95"/>
      <c r="BYG61" s="95"/>
    </row>
    <row r="62" spans="1:2009" s="121" customFormat="1" ht="12" customHeight="1" thickBot="1" x14ac:dyDescent="0.3">
      <c r="A62" s="741"/>
      <c r="B62" s="741"/>
      <c r="C62" s="453"/>
      <c r="D62" s="176"/>
      <c r="E62" s="176"/>
      <c r="F62" s="176"/>
      <c r="G62" s="715"/>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c r="IW62" s="95"/>
      <c r="IX62" s="95"/>
      <c r="IY62" s="95"/>
      <c r="IZ62" s="95"/>
      <c r="JA62" s="95"/>
      <c r="JB62" s="95"/>
      <c r="JC62" s="95"/>
      <c r="JD62" s="95"/>
      <c r="JE62" s="95"/>
      <c r="JF62" s="95"/>
      <c r="JG62" s="95"/>
      <c r="JH62" s="95"/>
      <c r="JI62" s="95"/>
      <c r="JJ62" s="95"/>
      <c r="JK62" s="95"/>
      <c r="JL62" s="95"/>
      <c r="JM62" s="95"/>
      <c r="JN62" s="95"/>
      <c r="JO62" s="95"/>
      <c r="JP62" s="95"/>
      <c r="JQ62" s="95"/>
      <c r="JR62" s="95"/>
      <c r="JS62" s="95"/>
      <c r="JT62" s="95"/>
      <c r="JU62" s="95"/>
      <c r="JV62" s="95"/>
      <c r="JW62" s="95"/>
      <c r="JX62" s="95"/>
      <c r="JY62" s="95"/>
      <c r="JZ62" s="95"/>
      <c r="KA62" s="95"/>
      <c r="KB62" s="95"/>
      <c r="KC62" s="95"/>
      <c r="KD62" s="95"/>
      <c r="KE62" s="95"/>
      <c r="KF62" s="95"/>
      <c r="KG62" s="95"/>
      <c r="KH62" s="95"/>
      <c r="KI62" s="95"/>
      <c r="KJ62" s="95"/>
      <c r="KK62" s="95"/>
      <c r="KL62" s="95"/>
      <c r="KM62" s="95"/>
      <c r="KN62" s="95"/>
      <c r="KO62" s="95"/>
      <c r="KP62" s="95"/>
      <c r="KQ62" s="95"/>
      <c r="KR62" s="95"/>
      <c r="KS62" s="95"/>
      <c r="KT62" s="95"/>
      <c r="KU62" s="95"/>
      <c r="KV62" s="95"/>
      <c r="KW62" s="95"/>
      <c r="KX62" s="95"/>
      <c r="KY62" s="95"/>
      <c r="KZ62" s="95"/>
      <c r="LA62" s="95"/>
      <c r="LB62" s="95"/>
      <c r="LC62" s="95"/>
      <c r="LD62" s="95"/>
      <c r="LE62" s="95"/>
      <c r="LF62" s="95"/>
      <c r="LG62" s="95"/>
      <c r="LH62" s="95"/>
      <c r="LI62" s="95"/>
      <c r="LJ62" s="95"/>
      <c r="LK62" s="95"/>
      <c r="LL62" s="95"/>
      <c r="LM62" s="95"/>
      <c r="LN62" s="95"/>
      <c r="LO62" s="95"/>
      <c r="LP62" s="95"/>
      <c r="LQ62" s="95"/>
      <c r="LR62" s="95"/>
      <c r="LS62" s="95"/>
      <c r="LT62" s="95"/>
      <c r="LU62" s="95"/>
      <c r="LV62" s="95"/>
      <c r="LW62" s="95"/>
      <c r="LX62" s="95"/>
      <c r="LY62" s="95"/>
      <c r="LZ62" s="95"/>
      <c r="MA62" s="95"/>
      <c r="MB62" s="95"/>
      <c r="MC62" s="95"/>
      <c r="MD62" s="95"/>
      <c r="ME62" s="95"/>
      <c r="MF62" s="95"/>
      <c r="MG62" s="95"/>
      <c r="MH62" s="95"/>
      <c r="MI62" s="95"/>
      <c r="MJ62" s="95"/>
      <c r="MK62" s="95"/>
      <c r="ML62" s="95"/>
      <c r="MM62" s="95"/>
      <c r="MN62" s="95"/>
      <c r="MO62" s="95"/>
      <c r="MP62" s="95"/>
      <c r="MQ62" s="95"/>
      <c r="MR62" s="95"/>
      <c r="MS62" s="95"/>
      <c r="MT62" s="95"/>
      <c r="MU62" s="95"/>
      <c r="MV62" s="95"/>
      <c r="MW62" s="95"/>
      <c r="MX62" s="95"/>
      <c r="MY62" s="95"/>
      <c r="MZ62" s="95"/>
      <c r="NA62" s="95"/>
      <c r="NB62" s="95"/>
      <c r="NC62" s="95"/>
      <c r="ND62" s="95"/>
      <c r="NE62" s="95"/>
      <c r="NF62" s="95"/>
      <c r="NG62" s="95"/>
      <c r="NH62" s="95"/>
      <c r="NI62" s="95"/>
      <c r="NJ62" s="95"/>
      <c r="NK62" s="95"/>
      <c r="NL62" s="95"/>
      <c r="NM62" s="95"/>
      <c r="NN62" s="95"/>
      <c r="NO62" s="95"/>
      <c r="NP62" s="95"/>
      <c r="NQ62" s="95"/>
      <c r="NR62" s="95"/>
      <c r="NS62" s="95"/>
      <c r="NT62" s="95"/>
      <c r="NU62" s="95"/>
      <c r="NV62" s="95"/>
      <c r="NW62" s="95"/>
      <c r="NX62" s="95"/>
      <c r="NY62" s="95"/>
      <c r="NZ62" s="95"/>
      <c r="OA62" s="95"/>
      <c r="OB62" s="95"/>
      <c r="OC62" s="95"/>
      <c r="OD62" s="95"/>
      <c r="OE62" s="95"/>
      <c r="OF62" s="95"/>
      <c r="OG62" s="95"/>
      <c r="OH62" s="95"/>
      <c r="OI62" s="95"/>
      <c r="OJ62" s="95"/>
      <c r="OK62" s="95"/>
      <c r="OL62" s="95"/>
      <c r="OM62" s="95"/>
      <c r="ON62" s="95"/>
      <c r="OO62" s="95"/>
      <c r="OP62" s="95"/>
      <c r="OQ62" s="95"/>
      <c r="OR62" s="95"/>
      <c r="OS62" s="95"/>
      <c r="OT62" s="95"/>
      <c r="OU62" s="95"/>
      <c r="OV62" s="95"/>
      <c r="OW62" s="95"/>
      <c r="OX62" s="95"/>
      <c r="OY62" s="95"/>
      <c r="OZ62" s="95"/>
      <c r="PA62" s="95"/>
      <c r="PB62" s="95"/>
      <c r="PC62" s="95"/>
      <c r="PD62" s="95"/>
      <c r="PE62" s="95"/>
      <c r="PF62" s="95"/>
      <c r="PG62" s="95"/>
      <c r="PH62" s="95"/>
      <c r="PI62" s="95"/>
      <c r="PJ62" s="95"/>
      <c r="PK62" s="95"/>
      <c r="PL62" s="95"/>
      <c r="PM62" s="95"/>
      <c r="PN62" s="95"/>
      <c r="PO62" s="95"/>
      <c r="PP62" s="95"/>
      <c r="PQ62" s="95"/>
      <c r="PR62" s="95"/>
      <c r="PS62" s="95"/>
      <c r="PT62" s="95"/>
      <c r="PU62" s="95"/>
      <c r="PV62" s="95"/>
      <c r="PW62" s="95"/>
      <c r="PX62" s="95"/>
      <c r="PY62" s="95"/>
      <c r="PZ62" s="95"/>
      <c r="QA62" s="95"/>
      <c r="QB62" s="95"/>
      <c r="QC62" s="95"/>
      <c r="QD62" s="95"/>
      <c r="QE62" s="95"/>
      <c r="QF62" s="95"/>
      <c r="QG62" s="95"/>
      <c r="QH62" s="95"/>
      <c r="QI62" s="95"/>
      <c r="QJ62" s="95"/>
      <c r="QK62" s="95"/>
      <c r="QL62" s="95"/>
      <c r="QM62" s="95"/>
      <c r="QN62" s="95"/>
      <c r="QO62" s="95"/>
      <c r="QP62" s="95"/>
      <c r="QQ62" s="95"/>
      <c r="QR62" s="95"/>
      <c r="QS62" s="95"/>
      <c r="QT62" s="95"/>
      <c r="QU62" s="95"/>
      <c r="QV62" s="95"/>
      <c r="QW62" s="95"/>
      <c r="QX62" s="95"/>
      <c r="QY62" s="95"/>
      <c r="QZ62" s="95"/>
      <c r="RA62" s="95"/>
      <c r="RB62" s="95"/>
      <c r="RC62" s="95"/>
      <c r="RD62" s="95"/>
      <c r="RE62" s="95"/>
      <c r="RF62" s="95"/>
      <c r="RG62" s="95"/>
      <c r="RH62" s="95"/>
      <c r="RI62" s="95"/>
      <c r="RJ62" s="95"/>
      <c r="RK62" s="95"/>
      <c r="RL62" s="95"/>
      <c r="RM62" s="95"/>
      <c r="RN62" s="95"/>
      <c r="RO62" s="95"/>
      <c r="RP62" s="95"/>
      <c r="RQ62" s="95"/>
      <c r="RR62" s="95"/>
      <c r="RS62" s="95"/>
      <c r="RT62" s="95"/>
      <c r="RU62" s="95"/>
      <c r="RV62" s="95"/>
      <c r="RW62" s="95"/>
      <c r="RX62" s="95"/>
      <c r="RY62" s="95"/>
      <c r="RZ62" s="95"/>
      <c r="SA62" s="95"/>
      <c r="SB62" s="95"/>
      <c r="SC62" s="95"/>
      <c r="SD62" s="95"/>
      <c r="SE62" s="95"/>
      <c r="SF62" s="95"/>
      <c r="SG62" s="95"/>
      <c r="SH62" s="95"/>
      <c r="SI62" s="95"/>
      <c r="SJ62" s="95"/>
      <c r="SK62" s="95"/>
      <c r="SL62" s="95"/>
      <c r="SM62" s="95"/>
      <c r="SN62" s="95"/>
      <c r="SO62" s="95"/>
      <c r="SP62" s="95"/>
      <c r="SQ62" s="95"/>
      <c r="SR62" s="95"/>
      <c r="SS62" s="95"/>
      <c r="ST62" s="95"/>
      <c r="SU62" s="95"/>
      <c r="SV62" s="95"/>
      <c r="SW62" s="95"/>
      <c r="SX62" s="95"/>
      <c r="SY62" s="95"/>
      <c r="SZ62" s="95"/>
      <c r="TA62" s="95"/>
      <c r="TB62" s="95"/>
      <c r="TC62" s="95"/>
      <c r="TD62" s="95"/>
      <c r="TE62" s="95"/>
      <c r="TF62" s="95"/>
      <c r="TG62" s="95"/>
      <c r="TH62" s="95"/>
      <c r="TI62" s="95"/>
      <c r="TJ62" s="95"/>
      <c r="TK62" s="95"/>
      <c r="TL62" s="95"/>
      <c r="TM62" s="95"/>
      <c r="TN62" s="95"/>
      <c r="TO62" s="95"/>
      <c r="TP62" s="95"/>
      <c r="TQ62" s="95"/>
      <c r="TR62" s="95"/>
      <c r="TS62" s="95"/>
      <c r="TT62" s="95"/>
      <c r="TU62" s="95"/>
      <c r="TV62" s="95"/>
      <c r="TW62" s="95"/>
      <c r="TX62" s="95"/>
      <c r="TY62" s="95"/>
      <c r="TZ62" s="95"/>
      <c r="UA62" s="95"/>
      <c r="UB62" s="95"/>
      <c r="UC62" s="95"/>
      <c r="UD62" s="95"/>
      <c r="UE62" s="95"/>
      <c r="UF62" s="95"/>
      <c r="UG62" s="95"/>
      <c r="UH62" s="95"/>
      <c r="UI62" s="95"/>
      <c r="UJ62" s="95"/>
      <c r="UK62" s="95"/>
      <c r="UL62" s="95"/>
      <c r="UM62" s="95"/>
      <c r="UN62" s="95"/>
      <c r="UO62" s="95"/>
      <c r="UP62" s="95"/>
      <c r="UQ62" s="95"/>
      <c r="UR62" s="95"/>
      <c r="US62" s="95"/>
      <c r="UT62" s="95"/>
      <c r="UU62" s="95"/>
      <c r="UV62" s="95"/>
      <c r="UW62" s="95"/>
      <c r="UX62" s="95"/>
      <c r="UY62" s="95"/>
      <c r="UZ62" s="95"/>
      <c r="VA62" s="95"/>
      <c r="VB62" s="95"/>
      <c r="VC62" s="95"/>
      <c r="VD62" s="95"/>
      <c r="VE62" s="95"/>
      <c r="VF62" s="95"/>
      <c r="VG62" s="95"/>
      <c r="VH62" s="95"/>
      <c r="VI62" s="95"/>
      <c r="VJ62" s="95"/>
      <c r="VK62" s="95"/>
      <c r="VL62" s="95"/>
      <c r="VM62" s="95"/>
      <c r="VN62" s="95"/>
      <c r="VO62" s="95"/>
      <c r="VP62" s="95"/>
      <c r="VQ62" s="95"/>
      <c r="VR62" s="95"/>
      <c r="VS62" s="95"/>
      <c r="VT62" s="95"/>
      <c r="VU62" s="95"/>
      <c r="VV62" s="95"/>
      <c r="VW62" s="95"/>
      <c r="VX62" s="95"/>
      <c r="VY62" s="95"/>
      <c r="VZ62" s="95"/>
      <c r="WA62" s="95"/>
      <c r="WB62" s="95"/>
      <c r="WC62" s="95"/>
      <c r="WD62" s="95"/>
      <c r="WE62" s="95"/>
      <c r="WF62" s="95"/>
      <c r="WG62" s="95"/>
      <c r="WH62" s="95"/>
      <c r="WI62" s="95"/>
      <c r="WJ62" s="95"/>
      <c r="WK62" s="95"/>
      <c r="WL62" s="95"/>
      <c r="WM62" s="95"/>
      <c r="WN62" s="95"/>
      <c r="WO62" s="95"/>
      <c r="WP62" s="95"/>
      <c r="WQ62" s="95"/>
      <c r="WR62" s="95"/>
      <c r="WS62" s="95"/>
      <c r="WT62" s="95"/>
      <c r="WU62" s="95"/>
      <c r="WV62" s="95"/>
      <c r="WW62" s="95"/>
      <c r="WX62" s="95"/>
      <c r="WY62" s="95"/>
      <c r="WZ62" s="95"/>
      <c r="XA62" s="95"/>
      <c r="XB62" s="95"/>
      <c r="XC62" s="95"/>
      <c r="XD62" s="95"/>
      <c r="XE62" s="95"/>
      <c r="XF62" s="95"/>
      <c r="XG62" s="95"/>
      <c r="XH62" s="95"/>
      <c r="XI62" s="95"/>
      <c r="XJ62" s="95"/>
      <c r="XK62" s="95"/>
      <c r="XL62" s="95"/>
      <c r="XM62" s="95"/>
      <c r="XN62" s="95"/>
      <c r="XO62" s="95"/>
      <c r="XP62" s="95"/>
      <c r="XQ62" s="95"/>
      <c r="XR62" s="95"/>
      <c r="XS62" s="95"/>
      <c r="XT62" s="95"/>
      <c r="XU62" s="95"/>
      <c r="XV62" s="95"/>
      <c r="XW62" s="95"/>
      <c r="XX62" s="95"/>
      <c r="XY62" s="95"/>
      <c r="XZ62" s="95"/>
      <c r="YA62" s="95"/>
      <c r="YB62" s="95"/>
      <c r="YC62" s="95"/>
      <c r="YD62" s="95"/>
      <c r="YE62" s="95"/>
      <c r="YF62" s="95"/>
      <c r="YG62" s="95"/>
      <c r="YH62" s="95"/>
      <c r="YI62" s="95"/>
      <c r="YJ62" s="95"/>
      <c r="YK62" s="95"/>
      <c r="YL62" s="95"/>
      <c r="YM62" s="95"/>
      <c r="YN62" s="95"/>
      <c r="YO62" s="95"/>
      <c r="YP62" s="95"/>
      <c r="YQ62" s="95"/>
      <c r="YR62" s="95"/>
      <c r="YS62" s="95"/>
      <c r="YT62" s="95"/>
      <c r="YU62" s="95"/>
      <c r="YV62" s="95"/>
      <c r="YW62" s="95"/>
      <c r="YX62" s="95"/>
      <c r="YY62" s="95"/>
      <c r="YZ62" s="95"/>
      <c r="ZA62" s="95"/>
      <c r="ZB62" s="95"/>
      <c r="ZC62" s="95"/>
      <c r="ZD62" s="95"/>
      <c r="ZE62" s="95"/>
      <c r="ZF62" s="95"/>
      <c r="ZG62" s="95"/>
      <c r="ZH62" s="95"/>
      <c r="ZI62" s="95"/>
      <c r="ZJ62" s="95"/>
      <c r="ZK62" s="95"/>
      <c r="ZL62" s="95"/>
      <c r="ZM62" s="95"/>
      <c r="ZN62" s="95"/>
      <c r="ZO62" s="95"/>
      <c r="ZP62" s="95"/>
      <c r="ZQ62" s="95"/>
      <c r="ZR62" s="95"/>
      <c r="ZS62" s="95"/>
      <c r="ZT62" s="95"/>
      <c r="ZU62" s="95"/>
      <c r="ZV62" s="95"/>
      <c r="ZW62" s="95"/>
      <c r="ZX62" s="95"/>
      <c r="ZY62" s="95"/>
      <c r="ZZ62" s="95"/>
      <c r="AAA62" s="95"/>
      <c r="AAB62" s="95"/>
      <c r="AAC62" s="95"/>
      <c r="AAD62" s="95"/>
      <c r="AAE62" s="95"/>
      <c r="AAF62" s="95"/>
      <c r="AAG62" s="95"/>
      <c r="AAH62" s="95"/>
      <c r="AAI62" s="95"/>
      <c r="AAJ62" s="95"/>
      <c r="AAK62" s="95"/>
      <c r="AAL62" s="95"/>
      <c r="AAM62" s="95"/>
      <c r="AAN62" s="95"/>
      <c r="AAO62" s="95"/>
      <c r="AAP62" s="95"/>
      <c r="AAQ62" s="95"/>
      <c r="AAR62" s="95"/>
      <c r="AAS62" s="95"/>
      <c r="AAT62" s="95"/>
      <c r="AAU62" s="95"/>
      <c r="AAV62" s="95"/>
      <c r="AAW62" s="95"/>
      <c r="AAX62" s="95"/>
      <c r="AAY62" s="95"/>
      <c r="AAZ62" s="95"/>
      <c r="ABA62" s="95"/>
      <c r="ABB62" s="95"/>
      <c r="ABC62" s="95"/>
      <c r="ABD62" s="95"/>
      <c r="ABE62" s="95"/>
      <c r="ABF62" s="95"/>
      <c r="ABG62" s="95"/>
      <c r="ABH62" s="95"/>
      <c r="ABI62" s="95"/>
      <c r="ABJ62" s="95"/>
      <c r="ABK62" s="95"/>
      <c r="ABL62" s="95"/>
      <c r="ABM62" s="95"/>
      <c r="ABN62" s="95"/>
      <c r="ABO62" s="95"/>
      <c r="ABP62" s="95"/>
      <c r="ABQ62" s="95"/>
      <c r="ABR62" s="95"/>
      <c r="ABS62" s="95"/>
      <c r="ABT62" s="95"/>
      <c r="ABU62" s="95"/>
      <c r="ABV62" s="95"/>
      <c r="ABW62" s="95"/>
      <c r="ABX62" s="95"/>
      <c r="ABY62" s="95"/>
      <c r="ABZ62" s="95"/>
      <c r="ACA62" s="95"/>
      <c r="ACB62" s="95"/>
      <c r="ACC62" s="95"/>
      <c r="ACD62" s="95"/>
      <c r="ACE62" s="95"/>
      <c r="ACF62" s="95"/>
      <c r="ACG62" s="95"/>
      <c r="ACH62" s="95"/>
      <c r="ACI62" s="95"/>
      <c r="ACJ62" s="95"/>
      <c r="ACK62" s="95"/>
      <c r="ACL62" s="95"/>
      <c r="ACM62" s="95"/>
      <c r="ACN62" s="95"/>
      <c r="ACO62" s="95"/>
      <c r="ACP62" s="95"/>
      <c r="ACQ62" s="95"/>
      <c r="ACR62" s="95"/>
      <c r="ACS62" s="95"/>
      <c r="ACT62" s="95"/>
      <c r="ACU62" s="95"/>
      <c r="ACV62" s="95"/>
      <c r="ACW62" s="95"/>
      <c r="ACX62" s="95"/>
      <c r="ACY62" s="95"/>
      <c r="ACZ62" s="95"/>
      <c r="ADA62" s="95"/>
      <c r="ADB62" s="95"/>
      <c r="ADC62" s="95"/>
      <c r="ADD62" s="95"/>
      <c r="ADE62" s="95"/>
      <c r="ADF62" s="95"/>
      <c r="ADG62" s="95"/>
      <c r="ADH62" s="95"/>
      <c r="ADI62" s="95"/>
      <c r="ADJ62" s="95"/>
      <c r="ADK62" s="95"/>
      <c r="ADL62" s="95"/>
      <c r="ADM62" s="95"/>
      <c r="ADN62" s="95"/>
      <c r="ADO62" s="95"/>
      <c r="ADP62" s="95"/>
      <c r="ADQ62" s="95"/>
      <c r="ADR62" s="95"/>
      <c r="ADS62" s="95"/>
      <c r="ADT62" s="95"/>
      <c r="ADU62" s="95"/>
      <c r="ADV62" s="95"/>
      <c r="ADW62" s="95"/>
      <c r="ADX62" s="95"/>
      <c r="ADY62" s="95"/>
      <c r="ADZ62" s="95"/>
      <c r="AEA62" s="95"/>
      <c r="AEB62" s="95"/>
      <c r="AEC62" s="95"/>
      <c r="AED62" s="95"/>
      <c r="AEE62" s="95"/>
      <c r="AEF62" s="95"/>
      <c r="AEG62" s="95"/>
      <c r="AEH62" s="95"/>
      <c r="AEI62" s="95"/>
      <c r="AEJ62" s="95"/>
      <c r="AEK62" s="95"/>
      <c r="AEL62" s="95"/>
      <c r="AEM62" s="95"/>
      <c r="AEN62" s="95"/>
      <c r="AEO62" s="95"/>
      <c r="AEP62" s="95"/>
      <c r="AEQ62" s="95"/>
      <c r="AER62" s="95"/>
      <c r="AES62" s="95"/>
      <c r="AET62" s="95"/>
      <c r="AEU62" s="95"/>
      <c r="AEV62" s="95"/>
      <c r="AEW62" s="95"/>
      <c r="AEX62" s="95"/>
      <c r="AEY62" s="95"/>
      <c r="AEZ62" s="95"/>
      <c r="AFA62" s="95"/>
      <c r="AFB62" s="95"/>
      <c r="AFC62" s="95"/>
      <c r="AFD62" s="95"/>
      <c r="AFE62" s="95"/>
      <c r="AFF62" s="95"/>
      <c r="AFG62" s="95"/>
      <c r="AFH62" s="95"/>
      <c r="AFI62" s="95"/>
      <c r="AFJ62" s="95"/>
      <c r="AFK62" s="95"/>
      <c r="AFL62" s="95"/>
      <c r="AFM62" s="95"/>
      <c r="AFN62" s="95"/>
      <c r="AFO62" s="95"/>
      <c r="AFP62" s="95"/>
      <c r="AFQ62" s="95"/>
      <c r="AFR62" s="95"/>
      <c r="AFS62" s="95"/>
      <c r="AFT62" s="95"/>
      <c r="AFU62" s="95"/>
      <c r="AFV62" s="95"/>
      <c r="AFW62" s="95"/>
      <c r="AFX62" s="95"/>
      <c r="AFY62" s="95"/>
      <c r="AFZ62" s="95"/>
      <c r="AGA62" s="95"/>
      <c r="AGB62" s="95"/>
      <c r="AGC62" s="95"/>
      <c r="AGD62" s="95"/>
      <c r="AGE62" s="95"/>
      <c r="AGF62" s="95"/>
      <c r="AGG62" s="95"/>
      <c r="AGH62" s="95"/>
      <c r="AGI62" s="95"/>
      <c r="AGJ62" s="95"/>
      <c r="AGK62" s="95"/>
      <c r="AGL62" s="95"/>
      <c r="AGM62" s="95"/>
      <c r="AGN62" s="95"/>
      <c r="AGO62" s="95"/>
      <c r="AGP62" s="95"/>
      <c r="AGQ62" s="95"/>
      <c r="AGR62" s="95"/>
      <c r="AGS62" s="95"/>
      <c r="AGT62" s="95"/>
      <c r="AGU62" s="95"/>
      <c r="AGV62" s="95"/>
      <c r="AGW62" s="95"/>
      <c r="AGX62" s="95"/>
      <c r="AGY62" s="95"/>
      <c r="AGZ62" s="95"/>
      <c r="AHA62" s="95"/>
      <c r="AHB62" s="95"/>
      <c r="AHC62" s="95"/>
      <c r="AHD62" s="95"/>
      <c r="AHE62" s="95"/>
      <c r="AHF62" s="95"/>
      <c r="AHG62" s="95"/>
      <c r="AHH62" s="95"/>
      <c r="AHI62" s="95"/>
      <c r="AHJ62" s="95"/>
      <c r="AHK62" s="95"/>
      <c r="AHL62" s="95"/>
      <c r="AHM62" s="95"/>
      <c r="AHN62" s="95"/>
      <c r="AHO62" s="95"/>
      <c r="AHP62" s="95"/>
      <c r="AHQ62" s="95"/>
      <c r="AHR62" s="95"/>
      <c r="AHS62" s="95"/>
      <c r="AHT62" s="95"/>
      <c r="AHU62" s="95"/>
      <c r="AHV62" s="95"/>
      <c r="AHW62" s="95"/>
      <c r="AHX62" s="95"/>
      <c r="AHY62" s="95"/>
      <c r="AHZ62" s="95"/>
      <c r="AIA62" s="95"/>
      <c r="AIB62" s="95"/>
      <c r="AIC62" s="95"/>
      <c r="AID62" s="95"/>
      <c r="AIE62" s="95"/>
      <c r="AIF62" s="95"/>
      <c r="AIG62" s="95"/>
      <c r="AIH62" s="95"/>
      <c r="AII62" s="95"/>
      <c r="AIJ62" s="95"/>
      <c r="AIK62" s="95"/>
      <c r="AIL62" s="95"/>
      <c r="AIM62" s="95"/>
      <c r="AIN62" s="95"/>
      <c r="AIO62" s="95"/>
      <c r="AIP62" s="95"/>
      <c r="AIQ62" s="95"/>
      <c r="AIR62" s="95"/>
      <c r="AIS62" s="95"/>
      <c r="AIT62" s="95"/>
      <c r="AIU62" s="95"/>
      <c r="AIV62" s="95"/>
      <c r="AIW62" s="95"/>
      <c r="AIX62" s="95"/>
      <c r="AIY62" s="95"/>
      <c r="AIZ62" s="95"/>
      <c r="AJA62" s="95"/>
      <c r="AJB62" s="95"/>
      <c r="AJC62" s="95"/>
      <c r="AJD62" s="95"/>
      <c r="AJE62" s="95"/>
      <c r="AJF62" s="95"/>
      <c r="AJG62" s="95"/>
      <c r="AJH62" s="95"/>
      <c r="AJI62" s="95"/>
      <c r="AJJ62" s="95"/>
      <c r="AJK62" s="95"/>
      <c r="AJL62" s="95"/>
      <c r="AJM62" s="95"/>
      <c r="AJN62" s="95"/>
      <c r="AJO62" s="95"/>
      <c r="AJP62" s="95"/>
      <c r="AJQ62" s="95"/>
      <c r="AJR62" s="95"/>
      <c r="AJS62" s="95"/>
      <c r="AJT62" s="95"/>
      <c r="AJU62" s="95"/>
      <c r="AJV62" s="95"/>
      <c r="AJW62" s="95"/>
      <c r="AJX62" s="95"/>
      <c r="AJY62" s="95"/>
      <c r="AJZ62" s="95"/>
      <c r="AKA62" s="95"/>
      <c r="AKB62" s="95"/>
      <c r="AKC62" s="95"/>
      <c r="AKD62" s="95"/>
      <c r="AKE62" s="95"/>
      <c r="AKF62" s="95"/>
      <c r="AKG62" s="95"/>
      <c r="AKH62" s="95"/>
      <c r="AKI62" s="95"/>
      <c r="AKJ62" s="95"/>
      <c r="AKK62" s="95"/>
      <c r="AKL62" s="95"/>
      <c r="AKM62" s="95"/>
      <c r="AKN62" s="95"/>
      <c r="AKO62" s="95"/>
      <c r="AKP62" s="95"/>
      <c r="AKQ62" s="95"/>
      <c r="AKR62" s="95"/>
      <c r="AKS62" s="95"/>
      <c r="AKT62" s="95"/>
      <c r="AKU62" s="95"/>
      <c r="AKV62" s="95"/>
      <c r="AKW62" s="95"/>
      <c r="AKX62" s="95"/>
      <c r="AKY62" s="95"/>
      <c r="AKZ62" s="95"/>
      <c r="ALA62" s="95"/>
      <c r="ALB62" s="95"/>
      <c r="ALC62" s="95"/>
      <c r="ALD62" s="95"/>
      <c r="ALE62" s="95"/>
      <c r="ALF62" s="95"/>
      <c r="ALG62" s="95"/>
      <c r="ALH62" s="95"/>
      <c r="ALI62" s="95"/>
      <c r="ALJ62" s="95"/>
      <c r="ALK62" s="95"/>
      <c r="ALL62" s="95"/>
      <c r="ALM62" s="95"/>
      <c r="ALN62" s="95"/>
      <c r="ALO62" s="95"/>
      <c r="ALP62" s="95"/>
      <c r="ALQ62" s="95"/>
      <c r="ALR62" s="95"/>
      <c r="ALS62" s="95"/>
      <c r="ALT62" s="95"/>
      <c r="ALU62" s="95"/>
      <c r="ALV62" s="95"/>
      <c r="ALW62" s="95"/>
      <c r="ALX62" s="95"/>
      <c r="ALY62" s="95"/>
      <c r="ALZ62" s="95"/>
      <c r="AMA62" s="95"/>
      <c r="AMB62" s="95"/>
      <c r="AMC62" s="95"/>
      <c r="AMD62" s="95"/>
      <c r="AME62" s="95"/>
      <c r="AMF62" s="95"/>
      <c r="AMG62" s="95"/>
      <c r="AMH62" s="95"/>
      <c r="AMI62" s="95"/>
      <c r="AMJ62" s="95"/>
      <c r="AMK62" s="95"/>
      <c r="AML62" s="95"/>
      <c r="AMM62" s="95"/>
      <c r="AMN62" s="95"/>
      <c r="AMO62" s="95"/>
      <c r="AMP62" s="95"/>
      <c r="AMQ62" s="95"/>
      <c r="AMR62" s="95"/>
      <c r="AMS62" s="95"/>
      <c r="AMT62" s="95"/>
      <c r="AMU62" s="95"/>
      <c r="AMV62" s="95"/>
      <c r="AMW62" s="95"/>
      <c r="AMX62" s="95"/>
      <c r="AMY62" s="95"/>
      <c r="AMZ62" s="95"/>
      <c r="ANA62" s="95"/>
      <c r="ANB62" s="95"/>
      <c r="ANC62" s="95"/>
      <c r="AND62" s="95"/>
      <c r="ANE62" s="95"/>
      <c r="ANF62" s="95"/>
      <c r="ANG62" s="95"/>
      <c r="ANH62" s="95"/>
      <c r="ANI62" s="95"/>
      <c r="ANJ62" s="95"/>
      <c r="ANK62" s="95"/>
      <c r="ANL62" s="95"/>
      <c r="ANM62" s="95"/>
      <c r="ANN62" s="95"/>
      <c r="ANO62" s="95"/>
      <c r="ANP62" s="95"/>
      <c r="ANQ62" s="95"/>
      <c r="ANR62" s="95"/>
      <c r="ANS62" s="95"/>
      <c r="ANT62" s="95"/>
      <c r="ANU62" s="95"/>
      <c r="ANV62" s="95"/>
      <c r="ANW62" s="95"/>
      <c r="ANX62" s="95"/>
      <c r="ANY62" s="95"/>
      <c r="ANZ62" s="95"/>
      <c r="AOA62" s="95"/>
      <c r="AOB62" s="95"/>
      <c r="AOC62" s="95"/>
      <c r="AOD62" s="95"/>
      <c r="AOE62" s="95"/>
      <c r="AOF62" s="95"/>
      <c r="AOG62" s="95"/>
      <c r="AOH62" s="95"/>
      <c r="AOI62" s="95"/>
      <c r="AOJ62" s="95"/>
      <c r="AOK62" s="95"/>
      <c r="AOL62" s="95"/>
      <c r="AOM62" s="95"/>
      <c r="AON62" s="95"/>
      <c r="AOO62" s="95"/>
      <c r="AOP62" s="95"/>
      <c r="AOQ62" s="95"/>
      <c r="AOR62" s="95"/>
      <c r="AOS62" s="95"/>
      <c r="AOT62" s="95"/>
      <c r="AOU62" s="95"/>
      <c r="AOV62" s="95"/>
      <c r="AOW62" s="95"/>
      <c r="AOX62" s="95"/>
      <c r="AOY62" s="95"/>
      <c r="AOZ62" s="95"/>
      <c r="APA62" s="95"/>
      <c r="APB62" s="95"/>
      <c r="APC62" s="95"/>
      <c r="APD62" s="95"/>
      <c r="APE62" s="95"/>
      <c r="APF62" s="95"/>
      <c r="APG62" s="95"/>
      <c r="APH62" s="95"/>
      <c r="API62" s="95"/>
      <c r="APJ62" s="95"/>
      <c r="APK62" s="95"/>
      <c r="APL62" s="95"/>
      <c r="APM62" s="95"/>
      <c r="APN62" s="95"/>
      <c r="APO62" s="95"/>
      <c r="APP62" s="95"/>
      <c r="APQ62" s="95"/>
      <c r="APR62" s="95"/>
      <c r="APS62" s="95"/>
      <c r="APT62" s="95"/>
      <c r="APU62" s="95"/>
      <c r="APV62" s="95"/>
      <c r="APW62" s="95"/>
      <c r="APX62" s="95"/>
      <c r="APY62" s="95"/>
      <c r="APZ62" s="95"/>
      <c r="AQA62" s="95"/>
      <c r="AQB62" s="95"/>
      <c r="AQC62" s="95"/>
      <c r="AQD62" s="95"/>
      <c r="AQE62" s="95"/>
      <c r="AQF62" s="95"/>
      <c r="AQG62" s="95"/>
      <c r="AQH62" s="95"/>
      <c r="AQI62" s="95"/>
      <c r="AQJ62" s="95"/>
      <c r="AQK62" s="95"/>
      <c r="AQL62" s="95"/>
      <c r="AQM62" s="95"/>
      <c r="AQN62" s="95"/>
      <c r="AQO62" s="95"/>
      <c r="AQP62" s="95"/>
      <c r="AQQ62" s="95"/>
      <c r="AQR62" s="95"/>
      <c r="AQS62" s="95"/>
      <c r="AQT62" s="95"/>
      <c r="AQU62" s="95"/>
      <c r="AQV62" s="95"/>
      <c r="AQW62" s="95"/>
      <c r="AQX62" s="95"/>
      <c r="AQY62" s="95"/>
      <c r="AQZ62" s="95"/>
      <c r="ARA62" s="95"/>
      <c r="ARB62" s="95"/>
      <c r="ARC62" s="95"/>
      <c r="ARD62" s="95"/>
      <c r="ARE62" s="95"/>
      <c r="ARF62" s="95"/>
      <c r="ARG62" s="95"/>
      <c r="ARH62" s="95"/>
      <c r="ARI62" s="95"/>
      <c r="ARJ62" s="95"/>
      <c r="ARK62" s="95"/>
      <c r="ARL62" s="95"/>
      <c r="ARM62" s="95"/>
      <c r="ARN62" s="95"/>
      <c r="ARO62" s="95"/>
      <c r="ARP62" s="95"/>
      <c r="ARQ62" s="95"/>
      <c r="ARR62" s="95"/>
      <c r="ARS62" s="95"/>
      <c r="ART62" s="95"/>
      <c r="ARU62" s="95"/>
      <c r="ARV62" s="95"/>
      <c r="ARW62" s="95"/>
      <c r="ARX62" s="95"/>
      <c r="ARY62" s="95"/>
      <c r="ARZ62" s="95"/>
      <c r="ASA62" s="95"/>
      <c r="ASB62" s="95"/>
      <c r="ASC62" s="95"/>
      <c r="ASD62" s="95"/>
      <c r="ASE62" s="95"/>
      <c r="ASF62" s="95"/>
      <c r="ASG62" s="95"/>
      <c r="ASH62" s="95"/>
      <c r="ASI62" s="95"/>
      <c r="ASJ62" s="95"/>
      <c r="ASK62" s="95"/>
      <c r="ASL62" s="95"/>
      <c r="ASM62" s="95"/>
      <c r="ASN62" s="95"/>
      <c r="ASO62" s="95"/>
      <c r="ASP62" s="95"/>
      <c r="ASQ62" s="95"/>
      <c r="ASR62" s="95"/>
      <c r="ASS62" s="95"/>
      <c r="AST62" s="95"/>
      <c r="ASU62" s="95"/>
      <c r="ASV62" s="95"/>
      <c r="ASW62" s="95"/>
      <c r="ASX62" s="95"/>
      <c r="ASY62" s="95"/>
      <c r="ASZ62" s="95"/>
      <c r="ATA62" s="95"/>
      <c r="ATB62" s="95"/>
      <c r="ATC62" s="95"/>
      <c r="ATD62" s="95"/>
      <c r="ATE62" s="95"/>
      <c r="ATF62" s="95"/>
      <c r="ATG62" s="95"/>
      <c r="ATH62" s="95"/>
      <c r="ATI62" s="95"/>
      <c r="ATJ62" s="95"/>
      <c r="ATK62" s="95"/>
      <c r="ATL62" s="95"/>
      <c r="ATM62" s="95"/>
      <c r="ATN62" s="95"/>
      <c r="ATO62" s="95"/>
      <c r="ATP62" s="95"/>
      <c r="ATQ62" s="95"/>
      <c r="ATR62" s="95"/>
      <c r="ATS62" s="95"/>
      <c r="ATT62" s="95"/>
      <c r="ATU62" s="95"/>
      <c r="ATV62" s="95"/>
      <c r="ATW62" s="95"/>
      <c r="ATX62" s="95"/>
      <c r="ATY62" s="95"/>
      <c r="ATZ62" s="95"/>
      <c r="AUA62" s="95"/>
      <c r="AUB62" s="95"/>
      <c r="AUC62" s="95"/>
      <c r="AUD62" s="95"/>
      <c r="AUE62" s="95"/>
      <c r="AUF62" s="95"/>
      <c r="AUG62" s="95"/>
      <c r="AUH62" s="95"/>
      <c r="AUI62" s="95"/>
      <c r="AUJ62" s="95"/>
      <c r="AUK62" s="95"/>
      <c r="AUL62" s="95"/>
      <c r="AUM62" s="95"/>
      <c r="AUN62" s="95"/>
      <c r="AUO62" s="95"/>
      <c r="AUP62" s="95"/>
      <c r="AUQ62" s="95"/>
      <c r="AUR62" s="95"/>
      <c r="AUS62" s="95"/>
      <c r="AUT62" s="95"/>
      <c r="AUU62" s="95"/>
      <c r="AUV62" s="95"/>
      <c r="AUW62" s="95"/>
      <c r="AUX62" s="95"/>
      <c r="AUY62" s="95"/>
      <c r="AUZ62" s="95"/>
      <c r="AVA62" s="95"/>
      <c r="AVB62" s="95"/>
      <c r="AVC62" s="95"/>
      <c r="AVD62" s="95"/>
      <c r="AVE62" s="95"/>
      <c r="AVF62" s="95"/>
      <c r="AVG62" s="95"/>
      <c r="AVH62" s="95"/>
      <c r="AVI62" s="95"/>
      <c r="AVJ62" s="95"/>
      <c r="AVK62" s="95"/>
      <c r="AVL62" s="95"/>
      <c r="AVM62" s="95"/>
      <c r="AVN62" s="95"/>
      <c r="AVO62" s="95"/>
      <c r="AVP62" s="95"/>
      <c r="AVQ62" s="95"/>
      <c r="AVR62" s="95"/>
      <c r="AVS62" s="95"/>
      <c r="AVT62" s="95"/>
      <c r="AVU62" s="95"/>
      <c r="AVV62" s="95"/>
      <c r="AVW62" s="95"/>
      <c r="AVX62" s="95"/>
      <c r="AVY62" s="95"/>
      <c r="AVZ62" s="95"/>
      <c r="AWA62" s="95"/>
      <c r="AWB62" s="95"/>
      <c r="AWC62" s="95"/>
      <c r="AWD62" s="95"/>
      <c r="AWE62" s="95"/>
      <c r="AWF62" s="95"/>
      <c r="AWG62" s="95"/>
      <c r="AWH62" s="95"/>
      <c r="AWI62" s="95"/>
      <c r="AWJ62" s="95"/>
      <c r="AWK62" s="95"/>
      <c r="AWL62" s="95"/>
      <c r="AWM62" s="95"/>
      <c r="AWN62" s="95"/>
      <c r="AWO62" s="95"/>
      <c r="AWP62" s="95"/>
      <c r="AWQ62" s="95"/>
      <c r="AWR62" s="95"/>
      <c r="AWS62" s="95"/>
      <c r="AWT62" s="95"/>
      <c r="AWU62" s="95"/>
      <c r="AWV62" s="95"/>
      <c r="AWW62" s="95"/>
      <c r="AWX62" s="95"/>
      <c r="AWY62" s="95"/>
      <c r="AWZ62" s="95"/>
      <c r="AXA62" s="95"/>
      <c r="AXB62" s="95"/>
      <c r="AXC62" s="95"/>
      <c r="AXD62" s="95"/>
      <c r="AXE62" s="95"/>
      <c r="AXF62" s="95"/>
      <c r="AXG62" s="95"/>
      <c r="AXH62" s="95"/>
      <c r="AXI62" s="95"/>
      <c r="AXJ62" s="95"/>
      <c r="AXK62" s="95"/>
      <c r="AXL62" s="95"/>
      <c r="AXM62" s="95"/>
      <c r="AXN62" s="95"/>
      <c r="AXO62" s="95"/>
      <c r="AXP62" s="95"/>
      <c r="AXQ62" s="95"/>
      <c r="AXR62" s="95"/>
      <c r="AXS62" s="95"/>
      <c r="AXT62" s="95"/>
      <c r="AXU62" s="95"/>
      <c r="AXV62" s="95"/>
      <c r="AXW62" s="95"/>
      <c r="AXX62" s="95"/>
      <c r="AXY62" s="95"/>
      <c r="AXZ62" s="95"/>
      <c r="AYA62" s="95"/>
      <c r="AYB62" s="95"/>
      <c r="AYC62" s="95"/>
      <c r="AYD62" s="95"/>
      <c r="AYE62" s="95"/>
      <c r="AYF62" s="95"/>
      <c r="AYG62" s="95"/>
      <c r="AYH62" s="95"/>
      <c r="AYI62" s="95"/>
      <c r="AYJ62" s="95"/>
      <c r="AYK62" s="95"/>
      <c r="AYL62" s="95"/>
      <c r="AYM62" s="95"/>
      <c r="AYN62" s="95"/>
      <c r="AYO62" s="95"/>
      <c r="AYP62" s="95"/>
      <c r="AYQ62" s="95"/>
      <c r="AYR62" s="95"/>
      <c r="AYS62" s="95"/>
      <c r="AYT62" s="95"/>
      <c r="AYU62" s="95"/>
      <c r="AYV62" s="95"/>
      <c r="AYW62" s="95"/>
      <c r="AYX62" s="95"/>
      <c r="AYY62" s="95"/>
      <c r="AYZ62" s="95"/>
      <c r="AZA62" s="95"/>
      <c r="AZB62" s="95"/>
      <c r="AZC62" s="95"/>
      <c r="AZD62" s="95"/>
      <c r="AZE62" s="95"/>
      <c r="AZF62" s="95"/>
      <c r="AZG62" s="95"/>
      <c r="AZH62" s="95"/>
      <c r="AZI62" s="95"/>
      <c r="AZJ62" s="95"/>
      <c r="AZK62" s="95"/>
      <c r="AZL62" s="95"/>
      <c r="AZM62" s="95"/>
      <c r="AZN62" s="95"/>
      <c r="AZO62" s="95"/>
      <c r="AZP62" s="95"/>
      <c r="AZQ62" s="95"/>
      <c r="AZR62" s="95"/>
      <c r="AZS62" s="95"/>
      <c r="AZT62" s="95"/>
      <c r="AZU62" s="95"/>
      <c r="AZV62" s="95"/>
      <c r="AZW62" s="95"/>
      <c r="AZX62" s="95"/>
      <c r="AZY62" s="95"/>
      <c r="AZZ62" s="95"/>
      <c r="BAA62" s="95"/>
      <c r="BAB62" s="95"/>
      <c r="BAC62" s="95"/>
      <c r="BAD62" s="95"/>
      <c r="BAE62" s="95"/>
      <c r="BAF62" s="95"/>
      <c r="BAG62" s="95"/>
      <c r="BAH62" s="95"/>
      <c r="BAI62" s="95"/>
      <c r="BAJ62" s="95"/>
      <c r="BAK62" s="95"/>
      <c r="BAL62" s="95"/>
      <c r="BAM62" s="95"/>
      <c r="BAN62" s="95"/>
      <c r="BAO62" s="95"/>
      <c r="BAP62" s="95"/>
      <c r="BAQ62" s="95"/>
      <c r="BAR62" s="95"/>
      <c r="BAS62" s="95"/>
      <c r="BAT62" s="95"/>
      <c r="BAU62" s="95"/>
      <c r="BAV62" s="95"/>
      <c r="BAW62" s="95"/>
      <c r="BAX62" s="95"/>
      <c r="BAY62" s="95"/>
      <c r="BAZ62" s="95"/>
      <c r="BBA62" s="95"/>
      <c r="BBB62" s="95"/>
      <c r="BBC62" s="95"/>
      <c r="BBD62" s="95"/>
      <c r="BBE62" s="95"/>
      <c r="BBF62" s="95"/>
      <c r="BBG62" s="95"/>
      <c r="BBH62" s="95"/>
      <c r="BBI62" s="95"/>
      <c r="BBJ62" s="95"/>
      <c r="BBK62" s="95"/>
      <c r="BBL62" s="95"/>
      <c r="BBM62" s="95"/>
      <c r="BBN62" s="95"/>
      <c r="BBO62" s="95"/>
      <c r="BBP62" s="95"/>
      <c r="BBQ62" s="95"/>
      <c r="BBR62" s="95"/>
      <c r="BBS62" s="95"/>
      <c r="BBT62" s="95"/>
      <c r="BBU62" s="95"/>
      <c r="BBV62" s="95"/>
      <c r="BBW62" s="95"/>
      <c r="BBX62" s="95"/>
      <c r="BBY62" s="95"/>
      <c r="BBZ62" s="95"/>
      <c r="BCA62" s="95"/>
      <c r="BCB62" s="95"/>
      <c r="BCC62" s="95"/>
      <c r="BCD62" s="95"/>
      <c r="BCE62" s="95"/>
      <c r="BCF62" s="95"/>
      <c r="BCG62" s="95"/>
      <c r="BCH62" s="95"/>
      <c r="BCI62" s="95"/>
      <c r="BCJ62" s="95"/>
      <c r="BCK62" s="95"/>
      <c r="BCL62" s="95"/>
      <c r="BCM62" s="95"/>
      <c r="BCN62" s="95"/>
      <c r="BCO62" s="95"/>
      <c r="BCP62" s="95"/>
      <c r="BCQ62" s="95"/>
      <c r="BCR62" s="95"/>
      <c r="BCS62" s="95"/>
      <c r="BCT62" s="95"/>
      <c r="BCU62" s="95"/>
      <c r="BCV62" s="95"/>
      <c r="BCW62" s="95"/>
      <c r="BCX62" s="95"/>
      <c r="BCY62" s="95"/>
      <c r="BCZ62" s="95"/>
      <c r="BDA62" s="95"/>
      <c r="BDB62" s="95"/>
      <c r="BDC62" s="95"/>
      <c r="BDD62" s="95"/>
      <c r="BDE62" s="95"/>
      <c r="BDF62" s="95"/>
      <c r="BDG62" s="95"/>
      <c r="BDH62" s="95"/>
      <c r="BDI62" s="95"/>
      <c r="BDJ62" s="95"/>
      <c r="BDK62" s="95"/>
      <c r="BDL62" s="95"/>
      <c r="BDM62" s="95"/>
      <c r="BDN62" s="95"/>
      <c r="BDO62" s="95"/>
      <c r="BDP62" s="95"/>
      <c r="BDQ62" s="95"/>
      <c r="BDR62" s="95"/>
      <c r="BDS62" s="95"/>
      <c r="BDT62" s="95"/>
      <c r="BDU62" s="95"/>
      <c r="BDV62" s="95"/>
      <c r="BDW62" s="95"/>
      <c r="BDX62" s="95"/>
      <c r="BDY62" s="95"/>
      <c r="BDZ62" s="95"/>
      <c r="BEA62" s="95"/>
      <c r="BEB62" s="95"/>
      <c r="BEC62" s="95"/>
      <c r="BED62" s="95"/>
      <c r="BEE62" s="95"/>
      <c r="BEF62" s="95"/>
      <c r="BEG62" s="95"/>
      <c r="BEH62" s="95"/>
      <c r="BEI62" s="95"/>
      <c r="BEJ62" s="95"/>
      <c r="BEK62" s="95"/>
      <c r="BEL62" s="95"/>
      <c r="BEM62" s="95"/>
      <c r="BEN62" s="95"/>
      <c r="BEO62" s="95"/>
      <c r="BEP62" s="95"/>
      <c r="BEQ62" s="95"/>
      <c r="BER62" s="95"/>
      <c r="BES62" s="95"/>
      <c r="BET62" s="95"/>
      <c r="BEU62" s="95"/>
      <c r="BEV62" s="95"/>
      <c r="BEW62" s="95"/>
      <c r="BEX62" s="95"/>
      <c r="BEY62" s="95"/>
      <c r="BEZ62" s="95"/>
      <c r="BFA62" s="95"/>
      <c r="BFB62" s="95"/>
      <c r="BFC62" s="95"/>
      <c r="BFD62" s="95"/>
      <c r="BFE62" s="95"/>
      <c r="BFF62" s="95"/>
      <c r="BFG62" s="95"/>
      <c r="BFH62" s="95"/>
      <c r="BFI62" s="95"/>
      <c r="BFJ62" s="95"/>
      <c r="BFK62" s="95"/>
      <c r="BFL62" s="95"/>
      <c r="BFM62" s="95"/>
      <c r="BFN62" s="95"/>
      <c r="BFO62" s="95"/>
      <c r="BFP62" s="95"/>
      <c r="BFQ62" s="95"/>
      <c r="BFR62" s="95"/>
      <c r="BFS62" s="95"/>
      <c r="BFT62" s="95"/>
      <c r="BFU62" s="95"/>
      <c r="BFV62" s="95"/>
      <c r="BFW62" s="95"/>
      <c r="BFX62" s="95"/>
      <c r="BFY62" s="95"/>
      <c r="BFZ62" s="95"/>
      <c r="BGA62" s="95"/>
      <c r="BGB62" s="95"/>
      <c r="BGC62" s="95"/>
      <c r="BGD62" s="95"/>
      <c r="BGE62" s="95"/>
      <c r="BGF62" s="95"/>
      <c r="BGG62" s="95"/>
      <c r="BGH62" s="95"/>
      <c r="BGI62" s="95"/>
      <c r="BGJ62" s="95"/>
      <c r="BGK62" s="95"/>
      <c r="BGL62" s="95"/>
      <c r="BGM62" s="95"/>
      <c r="BGN62" s="95"/>
      <c r="BGO62" s="95"/>
      <c r="BGP62" s="95"/>
      <c r="BGQ62" s="95"/>
      <c r="BGR62" s="95"/>
      <c r="BGS62" s="95"/>
      <c r="BGT62" s="95"/>
      <c r="BGU62" s="95"/>
      <c r="BGV62" s="95"/>
      <c r="BGW62" s="95"/>
      <c r="BGX62" s="95"/>
      <c r="BGY62" s="95"/>
      <c r="BGZ62" s="95"/>
      <c r="BHA62" s="95"/>
      <c r="BHB62" s="95"/>
      <c r="BHC62" s="95"/>
      <c r="BHD62" s="95"/>
      <c r="BHE62" s="95"/>
      <c r="BHF62" s="95"/>
      <c r="BHG62" s="95"/>
      <c r="BHH62" s="95"/>
      <c r="BHI62" s="95"/>
      <c r="BHJ62" s="95"/>
      <c r="BHK62" s="95"/>
      <c r="BHL62" s="95"/>
      <c r="BHM62" s="95"/>
      <c r="BHN62" s="95"/>
      <c r="BHO62" s="95"/>
      <c r="BHP62" s="95"/>
      <c r="BHQ62" s="95"/>
      <c r="BHR62" s="95"/>
      <c r="BHS62" s="95"/>
      <c r="BHT62" s="95"/>
      <c r="BHU62" s="95"/>
      <c r="BHV62" s="95"/>
      <c r="BHW62" s="95"/>
      <c r="BHX62" s="95"/>
      <c r="BHY62" s="95"/>
      <c r="BHZ62" s="95"/>
      <c r="BIA62" s="95"/>
      <c r="BIB62" s="95"/>
      <c r="BIC62" s="95"/>
      <c r="BID62" s="95"/>
      <c r="BIE62" s="95"/>
      <c r="BIF62" s="95"/>
      <c r="BIG62" s="95"/>
      <c r="BIH62" s="95"/>
      <c r="BII62" s="95"/>
      <c r="BIJ62" s="95"/>
      <c r="BIK62" s="95"/>
      <c r="BIL62" s="95"/>
      <c r="BIM62" s="95"/>
      <c r="BIN62" s="95"/>
      <c r="BIO62" s="95"/>
      <c r="BIP62" s="95"/>
      <c r="BIQ62" s="95"/>
      <c r="BIR62" s="95"/>
      <c r="BIS62" s="95"/>
      <c r="BIT62" s="95"/>
      <c r="BIU62" s="95"/>
      <c r="BIV62" s="95"/>
      <c r="BIW62" s="95"/>
      <c r="BIX62" s="95"/>
      <c r="BIY62" s="95"/>
      <c r="BIZ62" s="95"/>
      <c r="BJA62" s="95"/>
      <c r="BJB62" s="95"/>
      <c r="BJC62" s="95"/>
      <c r="BJD62" s="95"/>
      <c r="BJE62" s="95"/>
      <c r="BJF62" s="95"/>
      <c r="BJG62" s="95"/>
      <c r="BJH62" s="95"/>
      <c r="BJI62" s="95"/>
      <c r="BJJ62" s="95"/>
      <c r="BJK62" s="95"/>
      <c r="BJL62" s="95"/>
      <c r="BJM62" s="95"/>
      <c r="BJN62" s="95"/>
      <c r="BJO62" s="95"/>
      <c r="BJP62" s="95"/>
      <c r="BJQ62" s="95"/>
      <c r="BJR62" s="95"/>
      <c r="BJS62" s="95"/>
      <c r="BJT62" s="95"/>
      <c r="BJU62" s="95"/>
      <c r="BJV62" s="95"/>
      <c r="BJW62" s="95"/>
      <c r="BJX62" s="95"/>
      <c r="BJY62" s="95"/>
      <c r="BJZ62" s="95"/>
      <c r="BKA62" s="95"/>
      <c r="BKB62" s="95"/>
      <c r="BKC62" s="95"/>
      <c r="BKD62" s="95"/>
      <c r="BKE62" s="95"/>
      <c r="BKF62" s="95"/>
      <c r="BKG62" s="95"/>
      <c r="BKH62" s="95"/>
      <c r="BKI62" s="95"/>
      <c r="BKJ62" s="95"/>
      <c r="BKK62" s="95"/>
      <c r="BKL62" s="95"/>
      <c r="BKM62" s="95"/>
      <c r="BKN62" s="95"/>
      <c r="BKO62" s="95"/>
      <c r="BKP62" s="95"/>
      <c r="BKQ62" s="95"/>
      <c r="BKR62" s="95"/>
      <c r="BKS62" s="95"/>
      <c r="BKT62" s="95"/>
      <c r="BKU62" s="95"/>
      <c r="BKV62" s="95"/>
      <c r="BKW62" s="95"/>
      <c r="BKX62" s="95"/>
      <c r="BKY62" s="95"/>
      <c r="BKZ62" s="95"/>
      <c r="BLA62" s="95"/>
      <c r="BLB62" s="95"/>
      <c r="BLC62" s="95"/>
      <c r="BLD62" s="95"/>
      <c r="BLE62" s="95"/>
      <c r="BLF62" s="95"/>
      <c r="BLG62" s="95"/>
      <c r="BLH62" s="95"/>
      <c r="BLI62" s="95"/>
      <c r="BLJ62" s="95"/>
      <c r="BLK62" s="95"/>
      <c r="BLL62" s="95"/>
      <c r="BLM62" s="95"/>
      <c r="BLN62" s="95"/>
      <c r="BLO62" s="95"/>
      <c r="BLP62" s="95"/>
      <c r="BLQ62" s="95"/>
      <c r="BLR62" s="95"/>
      <c r="BLS62" s="95"/>
      <c r="BLT62" s="95"/>
      <c r="BLU62" s="95"/>
      <c r="BLV62" s="95"/>
      <c r="BLW62" s="95"/>
      <c r="BLX62" s="95"/>
      <c r="BLY62" s="95"/>
      <c r="BLZ62" s="95"/>
      <c r="BMA62" s="95"/>
      <c r="BMB62" s="95"/>
      <c r="BMC62" s="95"/>
      <c r="BMD62" s="95"/>
      <c r="BME62" s="95"/>
      <c r="BMF62" s="95"/>
      <c r="BMG62" s="95"/>
      <c r="BMH62" s="95"/>
      <c r="BMI62" s="95"/>
      <c r="BMJ62" s="95"/>
      <c r="BMK62" s="95"/>
      <c r="BML62" s="95"/>
      <c r="BMM62" s="95"/>
      <c r="BMN62" s="95"/>
      <c r="BMO62" s="95"/>
      <c r="BMP62" s="95"/>
      <c r="BMQ62" s="95"/>
      <c r="BMR62" s="95"/>
      <c r="BMS62" s="95"/>
      <c r="BMT62" s="95"/>
      <c r="BMU62" s="95"/>
      <c r="BMV62" s="95"/>
      <c r="BMW62" s="95"/>
      <c r="BMX62" s="95"/>
      <c r="BMY62" s="95"/>
      <c r="BMZ62" s="95"/>
      <c r="BNA62" s="95"/>
      <c r="BNB62" s="95"/>
      <c r="BNC62" s="95"/>
      <c r="BND62" s="95"/>
      <c r="BNE62" s="95"/>
      <c r="BNF62" s="95"/>
      <c r="BNG62" s="95"/>
      <c r="BNH62" s="95"/>
      <c r="BNI62" s="95"/>
      <c r="BNJ62" s="95"/>
      <c r="BNK62" s="95"/>
      <c r="BNL62" s="95"/>
      <c r="BNM62" s="95"/>
      <c r="BNN62" s="95"/>
      <c r="BNO62" s="95"/>
      <c r="BNP62" s="95"/>
      <c r="BNQ62" s="95"/>
      <c r="BNR62" s="95"/>
      <c r="BNS62" s="95"/>
      <c r="BNT62" s="95"/>
      <c r="BNU62" s="95"/>
      <c r="BNV62" s="95"/>
      <c r="BNW62" s="95"/>
      <c r="BNX62" s="95"/>
      <c r="BNY62" s="95"/>
      <c r="BNZ62" s="95"/>
      <c r="BOA62" s="95"/>
      <c r="BOB62" s="95"/>
      <c r="BOC62" s="95"/>
      <c r="BOD62" s="95"/>
      <c r="BOE62" s="95"/>
      <c r="BOF62" s="95"/>
      <c r="BOG62" s="95"/>
      <c r="BOH62" s="95"/>
      <c r="BOI62" s="95"/>
      <c r="BOJ62" s="95"/>
      <c r="BOK62" s="95"/>
      <c r="BOL62" s="95"/>
      <c r="BOM62" s="95"/>
      <c r="BON62" s="95"/>
      <c r="BOO62" s="95"/>
      <c r="BOP62" s="95"/>
      <c r="BOQ62" s="95"/>
      <c r="BOR62" s="95"/>
      <c r="BOS62" s="95"/>
      <c r="BOT62" s="95"/>
      <c r="BOU62" s="95"/>
      <c r="BOV62" s="95"/>
      <c r="BOW62" s="95"/>
      <c r="BOX62" s="95"/>
      <c r="BOY62" s="95"/>
      <c r="BOZ62" s="95"/>
      <c r="BPA62" s="95"/>
      <c r="BPB62" s="95"/>
      <c r="BPC62" s="95"/>
      <c r="BPD62" s="95"/>
      <c r="BPE62" s="95"/>
      <c r="BPF62" s="95"/>
      <c r="BPG62" s="95"/>
      <c r="BPH62" s="95"/>
      <c r="BPI62" s="95"/>
      <c r="BPJ62" s="95"/>
      <c r="BPK62" s="95"/>
      <c r="BPL62" s="95"/>
      <c r="BPM62" s="95"/>
      <c r="BPN62" s="95"/>
      <c r="BPO62" s="95"/>
      <c r="BPP62" s="95"/>
      <c r="BPQ62" s="95"/>
      <c r="BPR62" s="95"/>
      <c r="BPS62" s="95"/>
      <c r="BPT62" s="95"/>
      <c r="BPU62" s="95"/>
      <c r="BPV62" s="95"/>
      <c r="BPW62" s="95"/>
      <c r="BPX62" s="95"/>
      <c r="BPY62" s="95"/>
      <c r="BPZ62" s="95"/>
      <c r="BQA62" s="95"/>
      <c r="BQB62" s="95"/>
      <c r="BQC62" s="95"/>
      <c r="BQD62" s="95"/>
      <c r="BQE62" s="95"/>
      <c r="BQF62" s="95"/>
      <c r="BQG62" s="95"/>
      <c r="BQH62" s="95"/>
      <c r="BQI62" s="95"/>
      <c r="BQJ62" s="95"/>
      <c r="BQK62" s="95"/>
      <c r="BQL62" s="95"/>
      <c r="BQM62" s="95"/>
      <c r="BQN62" s="95"/>
      <c r="BQO62" s="95"/>
      <c r="BQP62" s="95"/>
      <c r="BQQ62" s="95"/>
      <c r="BQR62" s="95"/>
      <c r="BQS62" s="95"/>
      <c r="BQT62" s="95"/>
      <c r="BQU62" s="95"/>
      <c r="BQV62" s="95"/>
      <c r="BQW62" s="95"/>
      <c r="BQX62" s="95"/>
      <c r="BQY62" s="95"/>
      <c r="BQZ62" s="95"/>
      <c r="BRA62" s="95"/>
      <c r="BRB62" s="95"/>
      <c r="BRC62" s="95"/>
      <c r="BRD62" s="95"/>
      <c r="BRE62" s="95"/>
      <c r="BRF62" s="95"/>
      <c r="BRG62" s="95"/>
      <c r="BRH62" s="95"/>
      <c r="BRI62" s="95"/>
      <c r="BRJ62" s="95"/>
      <c r="BRK62" s="95"/>
      <c r="BRL62" s="95"/>
      <c r="BRM62" s="95"/>
      <c r="BRN62" s="95"/>
      <c r="BRO62" s="95"/>
      <c r="BRP62" s="95"/>
      <c r="BRQ62" s="95"/>
      <c r="BRR62" s="95"/>
      <c r="BRS62" s="95"/>
      <c r="BRT62" s="95"/>
      <c r="BRU62" s="95"/>
      <c r="BRV62" s="95"/>
      <c r="BRW62" s="95"/>
      <c r="BRX62" s="95"/>
      <c r="BRY62" s="95"/>
      <c r="BRZ62" s="95"/>
      <c r="BSA62" s="95"/>
      <c r="BSB62" s="95"/>
      <c r="BSC62" s="95"/>
      <c r="BSD62" s="95"/>
      <c r="BSE62" s="95"/>
      <c r="BSF62" s="95"/>
      <c r="BSG62" s="95"/>
      <c r="BSH62" s="95"/>
      <c r="BSI62" s="95"/>
      <c r="BSJ62" s="95"/>
      <c r="BSK62" s="95"/>
      <c r="BSL62" s="95"/>
      <c r="BSM62" s="95"/>
      <c r="BSN62" s="95"/>
      <c r="BSO62" s="95"/>
      <c r="BSP62" s="95"/>
      <c r="BSQ62" s="95"/>
      <c r="BSR62" s="95"/>
      <c r="BSS62" s="95"/>
      <c r="BST62" s="95"/>
      <c r="BSU62" s="95"/>
      <c r="BSV62" s="95"/>
      <c r="BSW62" s="95"/>
      <c r="BSX62" s="95"/>
      <c r="BSY62" s="95"/>
      <c r="BSZ62" s="95"/>
      <c r="BTA62" s="95"/>
      <c r="BTB62" s="95"/>
      <c r="BTC62" s="95"/>
      <c r="BTD62" s="95"/>
      <c r="BTE62" s="95"/>
      <c r="BTF62" s="95"/>
      <c r="BTG62" s="95"/>
      <c r="BTH62" s="95"/>
      <c r="BTI62" s="95"/>
      <c r="BTJ62" s="95"/>
      <c r="BTK62" s="95"/>
      <c r="BTL62" s="95"/>
      <c r="BTM62" s="95"/>
      <c r="BTN62" s="95"/>
      <c r="BTO62" s="95"/>
      <c r="BTP62" s="95"/>
      <c r="BTQ62" s="95"/>
      <c r="BTR62" s="95"/>
      <c r="BTS62" s="95"/>
      <c r="BTT62" s="95"/>
      <c r="BTU62" s="95"/>
      <c r="BTV62" s="95"/>
      <c r="BTW62" s="95"/>
      <c r="BTX62" s="95"/>
      <c r="BTY62" s="95"/>
      <c r="BTZ62" s="95"/>
      <c r="BUA62" s="95"/>
      <c r="BUB62" s="95"/>
      <c r="BUC62" s="95"/>
      <c r="BUD62" s="95"/>
      <c r="BUE62" s="95"/>
      <c r="BUF62" s="95"/>
      <c r="BUG62" s="95"/>
      <c r="BUH62" s="95"/>
      <c r="BUI62" s="95"/>
      <c r="BUJ62" s="95"/>
      <c r="BUK62" s="95"/>
      <c r="BUL62" s="95"/>
      <c r="BUM62" s="95"/>
      <c r="BUN62" s="95"/>
      <c r="BUO62" s="95"/>
      <c r="BUP62" s="95"/>
      <c r="BUQ62" s="95"/>
      <c r="BUR62" s="95"/>
      <c r="BUS62" s="95"/>
      <c r="BUT62" s="95"/>
      <c r="BUU62" s="95"/>
      <c r="BUV62" s="95"/>
      <c r="BUW62" s="95"/>
      <c r="BUX62" s="95"/>
      <c r="BUY62" s="95"/>
      <c r="BUZ62" s="95"/>
      <c r="BVA62" s="95"/>
      <c r="BVB62" s="95"/>
      <c r="BVC62" s="95"/>
      <c r="BVD62" s="95"/>
      <c r="BVE62" s="95"/>
      <c r="BVF62" s="95"/>
      <c r="BVG62" s="95"/>
      <c r="BVH62" s="95"/>
      <c r="BVI62" s="95"/>
      <c r="BVJ62" s="95"/>
      <c r="BVK62" s="95"/>
      <c r="BVL62" s="95"/>
      <c r="BVM62" s="95"/>
      <c r="BVN62" s="95"/>
      <c r="BVO62" s="95"/>
      <c r="BVP62" s="95"/>
      <c r="BVQ62" s="95"/>
      <c r="BVR62" s="95"/>
      <c r="BVS62" s="95"/>
      <c r="BVT62" s="95"/>
      <c r="BVU62" s="95"/>
      <c r="BVV62" s="95"/>
      <c r="BVW62" s="95"/>
      <c r="BVX62" s="95"/>
      <c r="BVY62" s="95"/>
      <c r="BVZ62" s="95"/>
      <c r="BWA62" s="95"/>
      <c r="BWB62" s="95"/>
      <c r="BWC62" s="95"/>
      <c r="BWD62" s="95"/>
      <c r="BWE62" s="95"/>
      <c r="BWF62" s="95"/>
      <c r="BWG62" s="95"/>
      <c r="BWH62" s="95"/>
      <c r="BWI62" s="95"/>
      <c r="BWJ62" s="95"/>
      <c r="BWK62" s="95"/>
      <c r="BWL62" s="95"/>
      <c r="BWM62" s="95"/>
      <c r="BWN62" s="95"/>
      <c r="BWO62" s="95"/>
      <c r="BWP62" s="95"/>
      <c r="BWQ62" s="95"/>
      <c r="BWR62" s="95"/>
      <c r="BWS62" s="95"/>
      <c r="BWT62" s="95"/>
      <c r="BWU62" s="95"/>
      <c r="BWV62" s="95"/>
      <c r="BWW62" s="95"/>
      <c r="BWX62" s="95"/>
      <c r="BWY62" s="95"/>
      <c r="BWZ62" s="95"/>
      <c r="BXA62" s="95"/>
      <c r="BXB62" s="95"/>
      <c r="BXC62" s="95"/>
      <c r="BXD62" s="95"/>
      <c r="BXE62" s="95"/>
      <c r="BXF62" s="95"/>
      <c r="BXG62" s="95"/>
      <c r="BXH62" s="95"/>
      <c r="BXI62" s="95"/>
      <c r="BXJ62" s="95"/>
      <c r="BXK62" s="95"/>
      <c r="BXL62" s="95"/>
      <c r="BXM62" s="95"/>
      <c r="BXN62" s="95"/>
      <c r="BXO62" s="95"/>
      <c r="BXP62" s="95"/>
      <c r="BXQ62" s="95"/>
      <c r="BXR62" s="95"/>
      <c r="BXS62" s="95"/>
      <c r="BXT62" s="95"/>
      <c r="BXU62" s="95"/>
      <c r="BXV62" s="95"/>
      <c r="BXW62" s="95"/>
      <c r="BXX62" s="95"/>
      <c r="BXY62" s="95"/>
      <c r="BXZ62" s="95"/>
      <c r="BYA62" s="95"/>
      <c r="BYB62" s="95"/>
      <c r="BYC62" s="95"/>
      <c r="BYD62" s="95"/>
      <c r="BYE62" s="95"/>
      <c r="BYF62" s="95"/>
      <c r="BYG62" s="95"/>
    </row>
    <row r="63" spans="1:2009" s="121" customFormat="1" ht="24.95" customHeight="1" thickBot="1" x14ac:dyDescent="0.3">
      <c r="A63" s="742" t="s">
        <v>429</v>
      </c>
      <c r="B63" s="743"/>
      <c r="C63" s="744">
        <v>50000</v>
      </c>
      <c r="D63" s="745"/>
      <c r="E63" s="745"/>
      <c r="F63" s="745"/>
      <c r="G63" s="746">
        <f>SUM(C63:F63)</f>
        <v>50000</v>
      </c>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5"/>
      <c r="SL63" s="95"/>
      <c r="SM63" s="95"/>
      <c r="SN63" s="95"/>
      <c r="SO63" s="95"/>
      <c r="SP63" s="95"/>
      <c r="SQ63" s="95"/>
      <c r="SR63" s="95"/>
      <c r="SS63" s="95"/>
      <c r="ST63" s="95"/>
      <c r="SU63" s="95"/>
      <c r="SV63" s="95"/>
      <c r="SW63" s="95"/>
      <c r="SX63" s="95"/>
      <c r="SY63" s="95"/>
      <c r="SZ63" s="95"/>
      <c r="TA63" s="95"/>
      <c r="TB63" s="95"/>
      <c r="TC63" s="95"/>
      <c r="TD63" s="95"/>
      <c r="TE63" s="95"/>
      <c r="TF63" s="95"/>
      <c r="TG63" s="95"/>
      <c r="TH63" s="95"/>
      <c r="TI63" s="95"/>
      <c r="TJ63" s="95"/>
      <c r="TK63" s="95"/>
      <c r="TL63" s="95"/>
      <c r="TM63" s="95"/>
      <c r="TN63" s="95"/>
      <c r="TO63" s="95"/>
      <c r="TP63" s="95"/>
      <c r="TQ63" s="95"/>
      <c r="TR63" s="95"/>
      <c r="TS63" s="95"/>
      <c r="TT63" s="95"/>
      <c r="TU63" s="95"/>
      <c r="TV63" s="95"/>
      <c r="TW63" s="95"/>
      <c r="TX63" s="95"/>
      <c r="TY63" s="95"/>
      <c r="TZ63" s="95"/>
      <c r="UA63" s="95"/>
      <c r="UB63" s="95"/>
      <c r="UC63" s="95"/>
      <c r="UD63" s="95"/>
      <c r="UE63" s="95"/>
      <c r="UF63" s="95"/>
      <c r="UG63" s="95"/>
      <c r="UH63" s="95"/>
      <c r="UI63" s="95"/>
      <c r="UJ63" s="95"/>
      <c r="UK63" s="95"/>
      <c r="UL63" s="95"/>
      <c r="UM63" s="95"/>
      <c r="UN63" s="95"/>
      <c r="UO63" s="95"/>
      <c r="UP63" s="95"/>
      <c r="UQ63" s="95"/>
      <c r="UR63" s="95"/>
      <c r="US63" s="95"/>
      <c r="UT63" s="95"/>
      <c r="UU63" s="95"/>
      <c r="UV63" s="95"/>
      <c r="UW63" s="95"/>
      <c r="UX63" s="95"/>
      <c r="UY63" s="95"/>
      <c r="UZ63" s="95"/>
      <c r="VA63" s="95"/>
      <c r="VB63" s="95"/>
      <c r="VC63" s="95"/>
      <c r="VD63" s="95"/>
      <c r="VE63" s="95"/>
      <c r="VF63" s="95"/>
      <c r="VG63" s="95"/>
      <c r="VH63" s="95"/>
      <c r="VI63" s="95"/>
      <c r="VJ63" s="95"/>
      <c r="VK63" s="95"/>
      <c r="VL63" s="95"/>
      <c r="VM63" s="95"/>
      <c r="VN63" s="95"/>
      <c r="VO63" s="95"/>
      <c r="VP63" s="95"/>
      <c r="VQ63" s="95"/>
      <c r="VR63" s="95"/>
      <c r="VS63" s="95"/>
      <c r="VT63" s="95"/>
      <c r="VU63" s="95"/>
      <c r="VV63" s="95"/>
      <c r="VW63" s="95"/>
      <c r="VX63" s="95"/>
      <c r="VY63" s="95"/>
      <c r="VZ63" s="95"/>
      <c r="WA63" s="95"/>
      <c r="WB63" s="95"/>
      <c r="WC63" s="95"/>
      <c r="WD63" s="95"/>
      <c r="WE63" s="95"/>
      <c r="WF63" s="95"/>
      <c r="WG63" s="95"/>
      <c r="WH63" s="95"/>
      <c r="WI63" s="95"/>
      <c r="WJ63" s="95"/>
      <c r="WK63" s="95"/>
      <c r="WL63" s="95"/>
      <c r="WM63" s="95"/>
      <c r="WN63" s="95"/>
      <c r="WO63" s="95"/>
      <c r="WP63" s="95"/>
      <c r="WQ63" s="95"/>
      <c r="WR63" s="95"/>
      <c r="WS63" s="95"/>
      <c r="WT63" s="95"/>
      <c r="WU63" s="95"/>
      <c r="WV63" s="95"/>
      <c r="WW63" s="95"/>
      <c r="WX63" s="95"/>
      <c r="WY63" s="95"/>
      <c r="WZ63" s="95"/>
      <c r="XA63" s="95"/>
      <c r="XB63" s="95"/>
      <c r="XC63" s="95"/>
      <c r="XD63" s="95"/>
      <c r="XE63" s="95"/>
      <c r="XF63" s="95"/>
      <c r="XG63" s="95"/>
      <c r="XH63" s="95"/>
      <c r="XI63" s="95"/>
      <c r="XJ63" s="95"/>
      <c r="XK63" s="95"/>
      <c r="XL63" s="95"/>
      <c r="XM63" s="95"/>
      <c r="XN63" s="95"/>
      <c r="XO63" s="95"/>
      <c r="XP63" s="95"/>
      <c r="XQ63" s="95"/>
      <c r="XR63" s="95"/>
      <c r="XS63" s="95"/>
      <c r="XT63" s="95"/>
      <c r="XU63" s="95"/>
      <c r="XV63" s="95"/>
      <c r="XW63" s="95"/>
      <c r="XX63" s="95"/>
      <c r="XY63" s="95"/>
      <c r="XZ63" s="95"/>
      <c r="YA63" s="95"/>
      <c r="YB63" s="95"/>
      <c r="YC63" s="95"/>
      <c r="YD63" s="95"/>
      <c r="YE63" s="95"/>
      <c r="YF63" s="95"/>
      <c r="YG63" s="95"/>
      <c r="YH63" s="95"/>
      <c r="YI63" s="95"/>
      <c r="YJ63" s="95"/>
      <c r="YK63" s="95"/>
      <c r="YL63" s="95"/>
      <c r="YM63" s="95"/>
      <c r="YN63" s="95"/>
      <c r="YO63" s="95"/>
      <c r="YP63" s="95"/>
      <c r="YQ63" s="95"/>
      <c r="YR63" s="95"/>
      <c r="YS63" s="95"/>
      <c r="YT63" s="95"/>
      <c r="YU63" s="95"/>
      <c r="YV63" s="95"/>
      <c r="YW63" s="95"/>
      <c r="YX63" s="95"/>
      <c r="YY63" s="95"/>
      <c r="YZ63" s="95"/>
      <c r="ZA63" s="95"/>
      <c r="ZB63" s="95"/>
      <c r="ZC63" s="95"/>
      <c r="ZD63" s="95"/>
      <c r="ZE63" s="95"/>
      <c r="ZF63" s="95"/>
      <c r="ZG63" s="95"/>
      <c r="ZH63" s="95"/>
      <c r="ZI63" s="95"/>
      <c r="ZJ63" s="95"/>
      <c r="ZK63" s="95"/>
      <c r="ZL63" s="95"/>
      <c r="ZM63" s="95"/>
      <c r="ZN63" s="95"/>
      <c r="ZO63" s="95"/>
      <c r="ZP63" s="95"/>
      <c r="ZQ63" s="95"/>
      <c r="ZR63" s="95"/>
      <c r="ZS63" s="95"/>
      <c r="ZT63" s="95"/>
      <c r="ZU63" s="95"/>
      <c r="ZV63" s="95"/>
      <c r="ZW63" s="95"/>
      <c r="ZX63" s="95"/>
      <c r="ZY63" s="95"/>
      <c r="ZZ63" s="95"/>
      <c r="AAA63" s="95"/>
      <c r="AAB63" s="95"/>
      <c r="AAC63" s="95"/>
      <c r="AAD63" s="95"/>
      <c r="AAE63" s="95"/>
      <c r="AAF63" s="95"/>
      <c r="AAG63" s="95"/>
      <c r="AAH63" s="95"/>
      <c r="AAI63" s="95"/>
      <c r="AAJ63" s="95"/>
      <c r="AAK63" s="95"/>
      <c r="AAL63" s="95"/>
      <c r="AAM63" s="95"/>
      <c r="AAN63" s="95"/>
      <c r="AAO63" s="95"/>
      <c r="AAP63" s="95"/>
      <c r="AAQ63" s="95"/>
      <c r="AAR63" s="95"/>
      <c r="AAS63" s="95"/>
      <c r="AAT63" s="95"/>
      <c r="AAU63" s="95"/>
      <c r="AAV63" s="95"/>
      <c r="AAW63" s="95"/>
      <c r="AAX63" s="95"/>
      <c r="AAY63" s="95"/>
      <c r="AAZ63" s="95"/>
      <c r="ABA63" s="95"/>
      <c r="ABB63" s="95"/>
      <c r="ABC63" s="95"/>
      <c r="ABD63" s="95"/>
      <c r="ABE63" s="95"/>
      <c r="ABF63" s="95"/>
      <c r="ABG63" s="95"/>
      <c r="ABH63" s="95"/>
      <c r="ABI63" s="95"/>
      <c r="ABJ63" s="95"/>
      <c r="ABK63" s="95"/>
      <c r="ABL63" s="95"/>
      <c r="ABM63" s="95"/>
      <c r="ABN63" s="95"/>
      <c r="ABO63" s="95"/>
      <c r="ABP63" s="95"/>
      <c r="ABQ63" s="95"/>
      <c r="ABR63" s="95"/>
      <c r="ABS63" s="95"/>
      <c r="ABT63" s="95"/>
      <c r="ABU63" s="95"/>
      <c r="ABV63" s="95"/>
      <c r="ABW63" s="95"/>
      <c r="ABX63" s="95"/>
      <c r="ABY63" s="95"/>
      <c r="ABZ63" s="95"/>
      <c r="ACA63" s="95"/>
      <c r="ACB63" s="95"/>
      <c r="ACC63" s="95"/>
      <c r="ACD63" s="95"/>
      <c r="ACE63" s="95"/>
      <c r="ACF63" s="95"/>
      <c r="ACG63" s="95"/>
      <c r="ACH63" s="95"/>
      <c r="ACI63" s="95"/>
      <c r="ACJ63" s="95"/>
      <c r="ACK63" s="95"/>
      <c r="ACL63" s="95"/>
      <c r="ACM63" s="95"/>
      <c r="ACN63" s="95"/>
      <c r="ACO63" s="95"/>
      <c r="ACP63" s="95"/>
      <c r="ACQ63" s="95"/>
      <c r="ACR63" s="95"/>
      <c r="ACS63" s="95"/>
      <c r="ACT63" s="95"/>
      <c r="ACU63" s="95"/>
      <c r="ACV63" s="95"/>
      <c r="ACW63" s="95"/>
      <c r="ACX63" s="95"/>
      <c r="ACY63" s="95"/>
      <c r="ACZ63" s="95"/>
      <c r="ADA63" s="95"/>
      <c r="ADB63" s="95"/>
      <c r="ADC63" s="95"/>
      <c r="ADD63" s="95"/>
      <c r="ADE63" s="95"/>
      <c r="ADF63" s="95"/>
      <c r="ADG63" s="95"/>
      <c r="ADH63" s="95"/>
      <c r="ADI63" s="95"/>
      <c r="ADJ63" s="95"/>
      <c r="ADK63" s="95"/>
      <c r="ADL63" s="95"/>
      <c r="ADM63" s="95"/>
      <c r="ADN63" s="95"/>
      <c r="ADO63" s="95"/>
      <c r="ADP63" s="95"/>
      <c r="ADQ63" s="95"/>
      <c r="ADR63" s="95"/>
      <c r="ADS63" s="95"/>
      <c r="ADT63" s="95"/>
      <c r="ADU63" s="95"/>
      <c r="ADV63" s="95"/>
      <c r="ADW63" s="95"/>
      <c r="ADX63" s="95"/>
      <c r="ADY63" s="95"/>
      <c r="ADZ63" s="95"/>
      <c r="AEA63" s="95"/>
      <c r="AEB63" s="95"/>
      <c r="AEC63" s="95"/>
      <c r="AED63" s="95"/>
      <c r="AEE63" s="95"/>
      <c r="AEF63" s="95"/>
      <c r="AEG63" s="95"/>
      <c r="AEH63" s="95"/>
      <c r="AEI63" s="95"/>
      <c r="AEJ63" s="95"/>
      <c r="AEK63" s="95"/>
      <c r="AEL63" s="95"/>
      <c r="AEM63" s="95"/>
      <c r="AEN63" s="95"/>
      <c r="AEO63" s="95"/>
      <c r="AEP63" s="95"/>
      <c r="AEQ63" s="95"/>
      <c r="AER63" s="95"/>
      <c r="AES63" s="95"/>
      <c r="AET63" s="95"/>
      <c r="AEU63" s="95"/>
      <c r="AEV63" s="95"/>
      <c r="AEW63" s="95"/>
      <c r="AEX63" s="95"/>
      <c r="AEY63" s="95"/>
      <c r="AEZ63" s="95"/>
      <c r="AFA63" s="95"/>
      <c r="AFB63" s="95"/>
      <c r="AFC63" s="95"/>
      <c r="AFD63" s="95"/>
      <c r="AFE63" s="95"/>
      <c r="AFF63" s="95"/>
      <c r="AFG63" s="95"/>
      <c r="AFH63" s="95"/>
      <c r="AFI63" s="95"/>
      <c r="AFJ63" s="95"/>
      <c r="AFK63" s="95"/>
      <c r="AFL63" s="95"/>
      <c r="AFM63" s="95"/>
      <c r="AFN63" s="95"/>
      <c r="AFO63" s="95"/>
      <c r="AFP63" s="95"/>
      <c r="AFQ63" s="95"/>
      <c r="AFR63" s="95"/>
      <c r="AFS63" s="95"/>
      <c r="AFT63" s="95"/>
      <c r="AFU63" s="95"/>
      <c r="AFV63" s="95"/>
      <c r="AFW63" s="95"/>
      <c r="AFX63" s="95"/>
      <c r="AFY63" s="95"/>
      <c r="AFZ63" s="95"/>
      <c r="AGA63" s="95"/>
      <c r="AGB63" s="95"/>
      <c r="AGC63" s="95"/>
      <c r="AGD63" s="95"/>
      <c r="AGE63" s="95"/>
      <c r="AGF63" s="95"/>
      <c r="AGG63" s="95"/>
      <c r="AGH63" s="95"/>
      <c r="AGI63" s="95"/>
      <c r="AGJ63" s="95"/>
      <c r="AGK63" s="95"/>
      <c r="AGL63" s="95"/>
      <c r="AGM63" s="95"/>
      <c r="AGN63" s="95"/>
      <c r="AGO63" s="95"/>
      <c r="AGP63" s="95"/>
      <c r="AGQ63" s="95"/>
      <c r="AGR63" s="95"/>
      <c r="AGS63" s="95"/>
      <c r="AGT63" s="95"/>
      <c r="AGU63" s="95"/>
      <c r="AGV63" s="95"/>
      <c r="AGW63" s="95"/>
      <c r="AGX63" s="95"/>
      <c r="AGY63" s="95"/>
      <c r="AGZ63" s="95"/>
      <c r="AHA63" s="95"/>
      <c r="AHB63" s="95"/>
      <c r="AHC63" s="95"/>
      <c r="AHD63" s="95"/>
      <c r="AHE63" s="95"/>
      <c r="AHF63" s="95"/>
      <c r="AHG63" s="95"/>
      <c r="AHH63" s="95"/>
      <c r="AHI63" s="95"/>
      <c r="AHJ63" s="95"/>
      <c r="AHK63" s="95"/>
      <c r="AHL63" s="95"/>
      <c r="AHM63" s="95"/>
      <c r="AHN63" s="95"/>
      <c r="AHO63" s="95"/>
      <c r="AHP63" s="95"/>
      <c r="AHQ63" s="95"/>
      <c r="AHR63" s="95"/>
      <c r="AHS63" s="95"/>
      <c r="AHT63" s="95"/>
      <c r="AHU63" s="95"/>
      <c r="AHV63" s="95"/>
      <c r="AHW63" s="95"/>
      <c r="AHX63" s="95"/>
      <c r="AHY63" s="95"/>
      <c r="AHZ63" s="95"/>
      <c r="AIA63" s="95"/>
      <c r="AIB63" s="95"/>
      <c r="AIC63" s="95"/>
      <c r="AID63" s="95"/>
      <c r="AIE63" s="95"/>
      <c r="AIF63" s="95"/>
      <c r="AIG63" s="95"/>
      <c r="AIH63" s="95"/>
      <c r="AII63" s="95"/>
      <c r="AIJ63" s="95"/>
      <c r="AIK63" s="95"/>
      <c r="AIL63" s="95"/>
      <c r="AIM63" s="95"/>
      <c r="AIN63" s="95"/>
      <c r="AIO63" s="95"/>
      <c r="AIP63" s="95"/>
      <c r="AIQ63" s="95"/>
      <c r="AIR63" s="95"/>
      <c r="AIS63" s="95"/>
      <c r="AIT63" s="95"/>
      <c r="AIU63" s="95"/>
      <c r="AIV63" s="95"/>
      <c r="AIW63" s="95"/>
      <c r="AIX63" s="95"/>
      <c r="AIY63" s="95"/>
      <c r="AIZ63" s="95"/>
      <c r="AJA63" s="95"/>
      <c r="AJB63" s="95"/>
      <c r="AJC63" s="95"/>
      <c r="AJD63" s="95"/>
      <c r="AJE63" s="95"/>
      <c r="AJF63" s="95"/>
      <c r="AJG63" s="95"/>
      <c r="AJH63" s="95"/>
      <c r="AJI63" s="95"/>
      <c r="AJJ63" s="95"/>
      <c r="AJK63" s="95"/>
      <c r="AJL63" s="95"/>
      <c r="AJM63" s="95"/>
      <c r="AJN63" s="95"/>
      <c r="AJO63" s="95"/>
      <c r="AJP63" s="95"/>
      <c r="AJQ63" s="95"/>
      <c r="AJR63" s="95"/>
      <c r="AJS63" s="95"/>
      <c r="AJT63" s="95"/>
      <c r="AJU63" s="95"/>
      <c r="AJV63" s="95"/>
      <c r="AJW63" s="95"/>
      <c r="AJX63" s="95"/>
      <c r="AJY63" s="95"/>
      <c r="AJZ63" s="95"/>
      <c r="AKA63" s="95"/>
      <c r="AKB63" s="95"/>
      <c r="AKC63" s="95"/>
      <c r="AKD63" s="95"/>
      <c r="AKE63" s="95"/>
      <c r="AKF63" s="95"/>
      <c r="AKG63" s="95"/>
      <c r="AKH63" s="95"/>
      <c r="AKI63" s="95"/>
      <c r="AKJ63" s="95"/>
      <c r="AKK63" s="95"/>
      <c r="AKL63" s="95"/>
      <c r="AKM63" s="95"/>
      <c r="AKN63" s="95"/>
      <c r="AKO63" s="95"/>
      <c r="AKP63" s="95"/>
      <c r="AKQ63" s="95"/>
      <c r="AKR63" s="95"/>
      <c r="AKS63" s="95"/>
      <c r="AKT63" s="95"/>
      <c r="AKU63" s="95"/>
      <c r="AKV63" s="95"/>
      <c r="AKW63" s="95"/>
      <c r="AKX63" s="95"/>
      <c r="AKY63" s="95"/>
      <c r="AKZ63" s="95"/>
      <c r="ALA63" s="95"/>
      <c r="ALB63" s="95"/>
      <c r="ALC63" s="95"/>
      <c r="ALD63" s="95"/>
      <c r="ALE63" s="95"/>
      <c r="ALF63" s="95"/>
      <c r="ALG63" s="95"/>
      <c r="ALH63" s="95"/>
      <c r="ALI63" s="95"/>
      <c r="ALJ63" s="95"/>
      <c r="ALK63" s="95"/>
      <c r="ALL63" s="95"/>
      <c r="ALM63" s="95"/>
      <c r="ALN63" s="95"/>
      <c r="ALO63" s="95"/>
      <c r="ALP63" s="95"/>
      <c r="ALQ63" s="95"/>
      <c r="ALR63" s="95"/>
      <c r="ALS63" s="95"/>
      <c r="ALT63" s="95"/>
      <c r="ALU63" s="95"/>
      <c r="ALV63" s="95"/>
      <c r="ALW63" s="95"/>
      <c r="ALX63" s="95"/>
      <c r="ALY63" s="95"/>
      <c r="ALZ63" s="95"/>
      <c r="AMA63" s="95"/>
      <c r="AMB63" s="95"/>
      <c r="AMC63" s="95"/>
      <c r="AMD63" s="95"/>
      <c r="AME63" s="95"/>
      <c r="AMF63" s="95"/>
      <c r="AMG63" s="95"/>
      <c r="AMH63" s="95"/>
      <c r="AMI63" s="95"/>
      <c r="AMJ63" s="95"/>
      <c r="AMK63" s="95"/>
      <c r="AML63" s="95"/>
      <c r="AMM63" s="95"/>
      <c r="AMN63" s="95"/>
      <c r="AMO63" s="95"/>
      <c r="AMP63" s="95"/>
      <c r="AMQ63" s="95"/>
      <c r="AMR63" s="95"/>
      <c r="AMS63" s="95"/>
      <c r="AMT63" s="95"/>
      <c r="AMU63" s="95"/>
      <c r="AMV63" s="95"/>
      <c r="AMW63" s="95"/>
      <c r="AMX63" s="95"/>
      <c r="AMY63" s="95"/>
      <c r="AMZ63" s="95"/>
      <c r="ANA63" s="95"/>
      <c r="ANB63" s="95"/>
      <c r="ANC63" s="95"/>
      <c r="AND63" s="95"/>
      <c r="ANE63" s="95"/>
      <c r="ANF63" s="95"/>
      <c r="ANG63" s="95"/>
      <c r="ANH63" s="95"/>
      <c r="ANI63" s="95"/>
      <c r="ANJ63" s="95"/>
      <c r="ANK63" s="95"/>
      <c r="ANL63" s="95"/>
      <c r="ANM63" s="95"/>
      <c r="ANN63" s="95"/>
      <c r="ANO63" s="95"/>
      <c r="ANP63" s="95"/>
      <c r="ANQ63" s="95"/>
      <c r="ANR63" s="95"/>
      <c r="ANS63" s="95"/>
      <c r="ANT63" s="95"/>
      <c r="ANU63" s="95"/>
      <c r="ANV63" s="95"/>
      <c r="ANW63" s="95"/>
      <c r="ANX63" s="95"/>
      <c r="ANY63" s="95"/>
      <c r="ANZ63" s="95"/>
      <c r="AOA63" s="95"/>
      <c r="AOB63" s="95"/>
      <c r="AOC63" s="95"/>
      <c r="AOD63" s="95"/>
      <c r="AOE63" s="95"/>
      <c r="AOF63" s="95"/>
      <c r="AOG63" s="95"/>
      <c r="AOH63" s="95"/>
      <c r="AOI63" s="95"/>
      <c r="AOJ63" s="95"/>
      <c r="AOK63" s="95"/>
      <c r="AOL63" s="95"/>
      <c r="AOM63" s="95"/>
      <c r="AON63" s="95"/>
      <c r="AOO63" s="95"/>
      <c r="AOP63" s="95"/>
      <c r="AOQ63" s="95"/>
      <c r="AOR63" s="95"/>
      <c r="AOS63" s="95"/>
      <c r="AOT63" s="95"/>
      <c r="AOU63" s="95"/>
      <c r="AOV63" s="95"/>
      <c r="AOW63" s="95"/>
      <c r="AOX63" s="95"/>
      <c r="AOY63" s="95"/>
      <c r="AOZ63" s="95"/>
      <c r="APA63" s="95"/>
      <c r="APB63" s="95"/>
      <c r="APC63" s="95"/>
      <c r="APD63" s="95"/>
      <c r="APE63" s="95"/>
      <c r="APF63" s="95"/>
      <c r="APG63" s="95"/>
      <c r="APH63" s="95"/>
      <c r="API63" s="95"/>
      <c r="APJ63" s="95"/>
      <c r="APK63" s="95"/>
      <c r="APL63" s="95"/>
      <c r="APM63" s="95"/>
      <c r="APN63" s="95"/>
      <c r="APO63" s="95"/>
      <c r="APP63" s="95"/>
      <c r="APQ63" s="95"/>
      <c r="APR63" s="95"/>
      <c r="APS63" s="95"/>
      <c r="APT63" s="95"/>
      <c r="APU63" s="95"/>
      <c r="APV63" s="95"/>
      <c r="APW63" s="95"/>
      <c r="APX63" s="95"/>
      <c r="APY63" s="95"/>
      <c r="APZ63" s="95"/>
      <c r="AQA63" s="95"/>
      <c r="AQB63" s="95"/>
      <c r="AQC63" s="95"/>
      <c r="AQD63" s="95"/>
      <c r="AQE63" s="95"/>
      <c r="AQF63" s="95"/>
      <c r="AQG63" s="95"/>
      <c r="AQH63" s="95"/>
      <c r="AQI63" s="95"/>
      <c r="AQJ63" s="95"/>
      <c r="AQK63" s="95"/>
      <c r="AQL63" s="95"/>
      <c r="AQM63" s="95"/>
      <c r="AQN63" s="95"/>
      <c r="AQO63" s="95"/>
      <c r="AQP63" s="95"/>
      <c r="AQQ63" s="95"/>
      <c r="AQR63" s="95"/>
      <c r="AQS63" s="95"/>
      <c r="AQT63" s="95"/>
      <c r="AQU63" s="95"/>
      <c r="AQV63" s="95"/>
      <c r="AQW63" s="95"/>
      <c r="AQX63" s="95"/>
      <c r="AQY63" s="95"/>
      <c r="AQZ63" s="95"/>
      <c r="ARA63" s="95"/>
      <c r="ARB63" s="95"/>
      <c r="ARC63" s="95"/>
      <c r="ARD63" s="95"/>
      <c r="ARE63" s="95"/>
      <c r="ARF63" s="95"/>
      <c r="ARG63" s="95"/>
      <c r="ARH63" s="95"/>
      <c r="ARI63" s="95"/>
      <c r="ARJ63" s="95"/>
      <c r="ARK63" s="95"/>
      <c r="ARL63" s="95"/>
      <c r="ARM63" s="95"/>
      <c r="ARN63" s="95"/>
      <c r="ARO63" s="95"/>
      <c r="ARP63" s="95"/>
      <c r="ARQ63" s="95"/>
      <c r="ARR63" s="95"/>
      <c r="ARS63" s="95"/>
      <c r="ART63" s="95"/>
      <c r="ARU63" s="95"/>
      <c r="ARV63" s="95"/>
      <c r="ARW63" s="95"/>
      <c r="ARX63" s="95"/>
      <c r="ARY63" s="95"/>
      <c r="ARZ63" s="95"/>
      <c r="ASA63" s="95"/>
      <c r="ASB63" s="95"/>
      <c r="ASC63" s="95"/>
      <c r="ASD63" s="95"/>
      <c r="ASE63" s="95"/>
      <c r="ASF63" s="95"/>
      <c r="ASG63" s="95"/>
      <c r="ASH63" s="95"/>
      <c r="ASI63" s="95"/>
      <c r="ASJ63" s="95"/>
      <c r="ASK63" s="95"/>
      <c r="ASL63" s="95"/>
      <c r="ASM63" s="95"/>
      <c r="ASN63" s="95"/>
      <c r="ASO63" s="95"/>
      <c r="ASP63" s="95"/>
      <c r="ASQ63" s="95"/>
      <c r="ASR63" s="95"/>
      <c r="ASS63" s="95"/>
      <c r="AST63" s="95"/>
      <c r="ASU63" s="95"/>
      <c r="ASV63" s="95"/>
      <c r="ASW63" s="95"/>
      <c r="ASX63" s="95"/>
      <c r="ASY63" s="95"/>
      <c r="ASZ63" s="95"/>
      <c r="ATA63" s="95"/>
      <c r="ATB63" s="95"/>
      <c r="ATC63" s="95"/>
      <c r="ATD63" s="95"/>
      <c r="ATE63" s="95"/>
      <c r="ATF63" s="95"/>
      <c r="ATG63" s="95"/>
      <c r="ATH63" s="95"/>
      <c r="ATI63" s="95"/>
      <c r="ATJ63" s="95"/>
      <c r="ATK63" s="95"/>
      <c r="ATL63" s="95"/>
      <c r="ATM63" s="95"/>
      <c r="ATN63" s="95"/>
      <c r="ATO63" s="95"/>
      <c r="ATP63" s="95"/>
      <c r="ATQ63" s="95"/>
      <c r="ATR63" s="95"/>
      <c r="ATS63" s="95"/>
      <c r="ATT63" s="95"/>
      <c r="ATU63" s="95"/>
      <c r="ATV63" s="95"/>
      <c r="ATW63" s="95"/>
      <c r="ATX63" s="95"/>
      <c r="ATY63" s="95"/>
      <c r="ATZ63" s="95"/>
      <c r="AUA63" s="95"/>
      <c r="AUB63" s="95"/>
      <c r="AUC63" s="95"/>
      <c r="AUD63" s="95"/>
      <c r="AUE63" s="95"/>
      <c r="AUF63" s="95"/>
      <c r="AUG63" s="95"/>
      <c r="AUH63" s="95"/>
      <c r="AUI63" s="95"/>
      <c r="AUJ63" s="95"/>
      <c r="AUK63" s="95"/>
      <c r="AUL63" s="95"/>
      <c r="AUM63" s="95"/>
      <c r="AUN63" s="95"/>
      <c r="AUO63" s="95"/>
      <c r="AUP63" s="95"/>
      <c r="AUQ63" s="95"/>
      <c r="AUR63" s="95"/>
      <c r="AUS63" s="95"/>
      <c r="AUT63" s="95"/>
      <c r="AUU63" s="95"/>
      <c r="AUV63" s="95"/>
      <c r="AUW63" s="95"/>
      <c r="AUX63" s="95"/>
      <c r="AUY63" s="95"/>
      <c r="AUZ63" s="95"/>
      <c r="AVA63" s="95"/>
      <c r="AVB63" s="95"/>
      <c r="AVC63" s="95"/>
      <c r="AVD63" s="95"/>
      <c r="AVE63" s="95"/>
      <c r="AVF63" s="95"/>
      <c r="AVG63" s="95"/>
      <c r="AVH63" s="95"/>
      <c r="AVI63" s="95"/>
      <c r="AVJ63" s="95"/>
      <c r="AVK63" s="95"/>
      <c r="AVL63" s="95"/>
      <c r="AVM63" s="95"/>
      <c r="AVN63" s="95"/>
      <c r="AVO63" s="95"/>
      <c r="AVP63" s="95"/>
      <c r="AVQ63" s="95"/>
      <c r="AVR63" s="95"/>
      <c r="AVS63" s="95"/>
      <c r="AVT63" s="95"/>
      <c r="AVU63" s="95"/>
      <c r="AVV63" s="95"/>
      <c r="AVW63" s="95"/>
      <c r="AVX63" s="95"/>
      <c r="AVY63" s="95"/>
      <c r="AVZ63" s="95"/>
      <c r="AWA63" s="95"/>
      <c r="AWB63" s="95"/>
      <c r="AWC63" s="95"/>
      <c r="AWD63" s="95"/>
      <c r="AWE63" s="95"/>
      <c r="AWF63" s="95"/>
      <c r="AWG63" s="95"/>
      <c r="AWH63" s="95"/>
      <c r="AWI63" s="95"/>
      <c r="AWJ63" s="95"/>
      <c r="AWK63" s="95"/>
      <c r="AWL63" s="95"/>
      <c r="AWM63" s="95"/>
      <c r="AWN63" s="95"/>
      <c r="AWO63" s="95"/>
      <c r="AWP63" s="95"/>
      <c r="AWQ63" s="95"/>
      <c r="AWR63" s="95"/>
      <c r="AWS63" s="95"/>
      <c r="AWT63" s="95"/>
      <c r="AWU63" s="95"/>
      <c r="AWV63" s="95"/>
      <c r="AWW63" s="95"/>
      <c r="AWX63" s="95"/>
      <c r="AWY63" s="95"/>
      <c r="AWZ63" s="95"/>
      <c r="AXA63" s="95"/>
      <c r="AXB63" s="95"/>
      <c r="AXC63" s="95"/>
      <c r="AXD63" s="95"/>
      <c r="AXE63" s="95"/>
      <c r="AXF63" s="95"/>
      <c r="AXG63" s="95"/>
      <c r="AXH63" s="95"/>
      <c r="AXI63" s="95"/>
      <c r="AXJ63" s="95"/>
      <c r="AXK63" s="95"/>
      <c r="AXL63" s="95"/>
      <c r="AXM63" s="95"/>
      <c r="AXN63" s="95"/>
      <c r="AXO63" s="95"/>
      <c r="AXP63" s="95"/>
      <c r="AXQ63" s="95"/>
      <c r="AXR63" s="95"/>
      <c r="AXS63" s="95"/>
      <c r="AXT63" s="95"/>
      <c r="AXU63" s="95"/>
      <c r="AXV63" s="95"/>
      <c r="AXW63" s="95"/>
      <c r="AXX63" s="95"/>
      <c r="AXY63" s="95"/>
      <c r="AXZ63" s="95"/>
      <c r="AYA63" s="95"/>
      <c r="AYB63" s="95"/>
      <c r="AYC63" s="95"/>
      <c r="AYD63" s="95"/>
      <c r="AYE63" s="95"/>
      <c r="AYF63" s="95"/>
      <c r="AYG63" s="95"/>
      <c r="AYH63" s="95"/>
      <c r="AYI63" s="95"/>
      <c r="AYJ63" s="95"/>
      <c r="AYK63" s="95"/>
      <c r="AYL63" s="95"/>
      <c r="AYM63" s="95"/>
      <c r="AYN63" s="95"/>
      <c r="AYO63" s="95"/>
      <c r="AYP63" s="95"/>
      <c r="AYQ63" s="95"/>
      <c r="AYR63" s="95"/>
      <c r="AYS63" s="95"/>
      <c r="AYT63" s="95"/>
      <c r="AYU63" s="95"/>
      <c r="AYV63" s="95"/>
      <c r="AYW63" s="95"/>
      <c r="AYX63" s="95"/>
      <c r="AYY63" s="95"/>
      <c r="AYZ63" s="95"/>
      <c r="AZA63" s="95"/>
      <c r="AZB63" s="95"/>
      <c r="AZC63" s="95"/>
      <c r="AZD63" s="95"/>
      <c r="AZE63" s="95"/>
      <c r="AZF63" s="95"/>
      <c r="AZG63" s="95"/>
      <c r="AZH63" s="95"/>
      <c r="AZI63" s="95"/>
      <c r="AZJ63" s="95"/>
      <c r="AZK63" s="95"/>
      <c r="AZL63" s="95"/>
      <c r="AZM63" s="95"/>
      <c r="AZN63" s="95"/>
      <c r="AZO63" s="95"/>
      <c r="AZP63" s="95"/>
      <c r="AZQ63" s="95"/>
      <c r="AZR63" s="95"/>
      <c r="AZS63" s="95"/>
      <c r="AZT63" s="95"/>
      <c r="AZU63" s="95"/>
      <c r="AZV63" s="95"/>
      <c r="AZW63" s="95"/>
      <c r="AZX63" s="95"/>
      <c r="AZY63" s="95"/>
      <c r="AZZ63" s="95"/>
      <c r="BAA63" s="95"/>
      <c r="BAB63" s="95"/>
      <c r="BAC63" s="95"/>
      <c r="BAD63" s="95"/>
      <c r="BAE63" s="95"/>
      <c r="BAF63" s="95"/>
      <c r="BAG63" s="95"/>
      <c r="BAH63" s="95"/>
      <c r="BAI63" s="95"/>
      <c r="BAJ63" s="95"/>
      <c r="BAK63" s="95"/>
      <c r="BAL63" s="95"/>
      <c r="BAM63" s="95"/>
      <c r="BAN63" s="95"/>
      <c r="BAO63" s="95"/>
      <c r="BAP63" s="95"/>
      <c r="BAQ63" s="95"/>
      <c r="BAR63" s="95"/>
      <c r="BAS63" s="95"/>
      <c r="BAT63" s="95"/>
      <c r="BAU63" s="95"/>
      <c r="BAV63" s="95"/>
      <c r="BAW63" s="95"/>
      <c r="BAX63" s="95"/>
      <c r="BAY63" s="95"/>
      <c r="BAZ63" s="95"/>
      <c r="BBA63" s="95"/>
      <c r="BBB63" s="95"/>
      <c r="BBC63" s="95"/>
      <c r="BBD63" s="95"/>
      <c r="BBE63" s="95"/>
      <c r="BBF63" s="95"/>
      <c r="BBG63" s="95"/>
      <c r="BBH63" s="95"/>
      <c r="BBI63" s="95"/>
      <c r="BBJ63" s="95"/>
      <c r="BBK63" s="95"/>
      <c r="BBL63" s="95"/>
      <c r="BBM63" s="95"/>
      <c r="BBN63" s="95"/>
      <c r="BBO63" s="95"/>
      <c r="BBP63" s="95"/>
      <c r="BBQ63" s="95"/>
      <c r="BBR63" s="95"/>
      <c r="BBS63" s="95"/>
      <c r="BBT63" s="95"/>
      <c r="BBU63" s="95"/>
      <c r="BBV63" s="95"/>
      <c r="BBW63" s="95"/>
      <c r="BBX63" s="95"/>
      <c r="BBY63" s="95"/>
      <c r="BBZ63" s="95"/>
      <c r="BCA63" s="95"/>
      <c r="BCB63" s="95"/>
      <c r="BCC63" s="95"/>
      <c r="BCD63" s="95"/>
      <c r="BCE63" s="95"/>
      <c r="BCF63" s="95"/>
      <c r="BCG63" s="95"/>
      <c r="BCH63" s="95"/>
      <c r="BCI63" s="95"/>
      <c r="BCJ63" s="95"/>
      <c r="BCK63" s="95"/>
      <c r="BCL63" s="95"/>
      <c r="BCM63" s="95"/>
      <c r="BCN63" s="95"/>
      <c r="BCO63" s="95"/>
      <c r="BCP63" s="95"/>
      <c r="BCQ63" s="95"/>
      <c r="BCR63" s="95"/>
      <c r="BCS63" s="95"/>
      <c r="BCT63" s="95"/>
      <c r="BCU63" s="95"/>
      <c r="BCV63" s="95"/>
      <c r="BCW63" s="95"/>
      <c r="BCX63" s="95"/>
      <c r="BCY63" s="95"/>
      <c r="BCZ63" s="95"/>
      <c r="BDA63" s="95"/>
      <c r="BDB63" s="95"/>
      <c r="BDC63" s="95"/>
      <c r="BDD63" s="95"/>
      <c r="BDE63" s="95"/>
      <c r="BDF63" s="95"/>
      <c r="BDG63" s="95"/>
      <c r="BDH63" s="95"/>
      <c r="BDI63" s="95"/>
      <c r="BDJ63" s="95"/>
      <c r="BDK63" s="95"/>
      <c r="BDL63" s="95"/>
      <c r="BDM63" s="95"/>
      <c r="BDN63" s="95"/>
      <c r="BDO63" s="95"/>
      <c r="BDP63" s="95"/>
      <c r="BDQ63" s="95"/>
      <c r="BDR63" s="95"/>
      <c r="BDS63" s="95"/>
      <c r="BDT63" s="95"/>
      <c r="BDU63" s="95"/>
      <c r="BDV63" s="95"/>
      <c r="BDW63" s="95"/>
      <c r="BDX63" s="95"/>
      <c r="BDY63" s="95"/>
      <c r="BDZ63" s="95"/>
      <c r="BEA63" s="95"/>
      <c r="BEB63" s="95"/>
      <c r="BEC63" s="95"/>
      <c r="BED63" s="95"/>
      <c r="BEE63" s="95"/>
      <c r="BEF63" s="95"/>
      <c r="BEG63" s="95"/>
      <c r="BEH63" s="95"/>
      <c r="BEI63" s="95"/>
      <c r="BEJ63" s="95"/>
      <c r="BEK63" s="95"/>
      <c r="BEL63" s="95"/>
      <c r="BEM63" s="95"/>
      <c r="BEN63" s="95"/>
      <c r="BEO63" s="95"/>
      <c r="BEP63" s="95"/>
      <c r="BEQ63" s="95"/>
      <c r="BER63" s="95"/>
      <c r="BES63" s="95"/>
      <c r="BET63" s="95"/>
      <c r="BEU63" s="95"/>
      <c r="BEV63" s="95"/>
      <c r="BEW63" s="95"/>
      <c r="BEX63" s="95"/>
      <c r="BEY63" s="95"/>
      <c r="BEZ63" s="95"/>
      <c r="BFA63" s="95"/>
      <c r="BFB63" s="95"/>
      <c r="BFC63" s="95"/>
      <c r="BFD63" s="95"/>
      <c r="BFE63" s="95"/>
      <c r="BFF63" s="95"/>
      <c r="BFG63" s="95"/>
      <c r="BFH63" s="95"/>
      <c r="BFI63" s="95"/>
      <c r="BFJ63" s="95"/>
      <c r="BFK63" s="95"/>
      <c r="BFL63" s="95"/>
      <c r="BFM63" s="95"/>
      <c r="BFN63" s="95"/>
      <c r="BFO63" s="95"/>
      <c r="BFP63" s="95"/>
      <c r="BFQ63" s="95"/>
      <c r="BFR63" s="95"/>
      <c r="BFS63" s="95"/>
      <c r="BFT63" s="95"/>
      <c r="BFU63" s="95"/>
      <c r="BFV63" s="95"/>
      <c r="BFW63" s="95"/>
      <c r="BFX63" s="95"/>
      <c r="BFY63" s="95"/>
      <c r="BFZ63" s="95"/>
      <c r="BGA63" s="95"/>
      <c r="BGB63" s="95"/>
      <c r="BGC63" s="95"/>
      <c r="BGD63" s="95"/>
      <c r="BGE63" s="95"/>
      <c r="BGF63" s="95"/>
      <c r="BGG63" s="95"/>
      <c r="BGH63" s="95"/>
      <c r="BGI63" s="95"/>
      <c r="BGJ63" s="95"/>
      <c r="BGK63" s="95"/>
      <c r="BGL63" s="95"/>
      <c r="BGM63" s="95"/>
      <c r="BGN63" s="95"/>
      <c r="BGO63" s="95"/>
      <c r="BGP63" s="95"/>
      <c r="BGQ63" s="95"/>
      <c r="BGR63" s="95"/>
      <c r="BGS63" s="95"/>
      <c r="BGT63" s="95"/>
      <c r="BGU63" s="95"/>
      <c r="BGV63" s="95"/>
      <c r="BGW63" s="95"/>
      <c r="BGX63" s="95"/>
      <c r="BGY63" s="95"/>
      <c r="BGZ63" s="95"/>
      <c r="BHA63" s="95"/>
      <c r="BHB63" s="95"/>
      <c r="BHC63" s="95"/>
      <c r="BHD63" s="95"/>
      <c r="BHE63" s="95"/>
      <c r="BHF63" s="95"/>
      <c r="BHG63" s="95"/>
      <c r="BHH63" s="95"/>
      <c r="BHI63" s="95"/>
      <c r="BHJ63" s="95"/>
      <c r="BHK63" s="95"/>
      <c r="BHL63" s="95"/>
      <c r="BHM63" s="95"/>
      <c r="BHN63" s="95"/>
      <c r="BHO63" s="95"/>
      <c r="BHP63" s="95"/>
      <c r="BHQ63" s="95"/>
      <c r="BHR63" s="95"/>
      <c r="BHS63" s="95"/>
      <c r="BHT63" s="95"/>
      <c r="BHU63" s="95"/>
      <c r="BHV63" s="95"/>
      <c r="BHW63" s="95"/>
      <c r="BHX63" s="95"/>
      <c r="BHY63" s="95"/>
      <c r="BHZ63" s="95"/>
      <c r="BIA63" s="95"/>
      <c r="BIB63" s="95"/>
      <c r="BIC63" s="95"/>
      <c r="BID63" s="95"/>
      <c r="BIE63" s="95"/>
      <c r="BIF63" s="95"/>
      <c r="BIG63" s="95"/>
      <c r="BIH63" s="95"/>
      <c r="BII63" s="95"/>
      <c r="BIJ63" s="95"/>
      <c r="BIK63" s="95"/>
      <c r="BIL63" s="95"/>
      <c r="BIM63" s="95"/>
      <c r="BIN63" s="95"/>
      <c r="BIO63" s="95"/>
      <c r="BIP63" s="95"/>
      <c r="BIQ63" s="95"/>
      <c r="BIR63" s="95"/>
      <c r="BIS63" s="95"/>
      <c r="BIT63" s="95"/>
      <c r="BIU63" s="95"/>
      <c r="BIV63" s="95"/>
      <c r="BIW63" s="95"/>
      <c r="BIX63" s="95"/>
      <c r="BIY63" s="95"/>
      <c r="BIZ63" s="95"/>
      <c r="BJA63" s="95"/>
      <c r="BJB63" s="95"/>
      <c r="BJC63" s="95"/>
      <c r="BJD63" s="95"/>
      <c r="BJE63" s="95"/>
      <c r="BJF63" s="95"/>
      <c r="BJG63" s="95"/>
      <c r="BJH63" s="95"/>
      <c r="BJI63" s="95"/>
      <c r="BJJ63" s="95"/>
      <c r="BJK63" s="95"/>
      <c r="BJL63" s="95"/>
      <c r="BJM63" s="95"/>
      <c r="BJN63" s="95"/>
      <c r="BJO63" s="95"/>
      <c r="BJP63" s="95"/>
      <c r="BJQ63" s="95"/>
      <c r="BJR63" s="95"/>
      <c r="BJS63" s="95"/>
      <c r="BJT63" s="95"/>
      <c r="BJU63" s="95"/>
      <c r="BJV63" s="95"/>
      <c r="BJW63" s="95"/>
      <c r="BJX63" s="95"/>
      <c r="BJY63" s="95"/>
      <c r="BJZ63" s="95"/>
      <c r="BKA63" s="95"/>
      <c r="BKB63" s="95"/>
      <c r="BKC63" s="95"/>
      <c r="BKD63" s="95"/>
      <c r="BKE63" s="95"/>
      <c r="BKF63" s="95"/>
      <c r="BKG63" s="95"/>
      <c r="BKH63" s="95"/>
      <c r="BKI63" s="95"/>
      <c r="BKJ63" s="95"/>
      <c r="BKK63" s="95"/>
      <c r="BKL63" s="95"/>
      <c r="BKM63" s="95"/>
      <c r="BKN63" s="95"/>
      <c r="BKO63" s="95"/>
      <c r="BKP63" s="95"/>
      <c r="BKQ63" s="95"/>
      <c r="BKR63" s="95"/>
      <c r="BKS63" s="95"/>
      <c r="BKT63" s="95"/>
      <c r="BKU63" s="95"/>
      <c r="BKV63" s="95"/>
      <c r="BKW63" s="95"/>
      <c r="BKX63" s="95"/>
      <c r="BKY63" s="95"/>
      <c r="BKZ63" s="95"/>
      <c r="BLA63" s="95"/>
      <c r="BLB63" s="95"/>
      <c r="BLC63" s="95"/>
      <c r="BLD63" s="95"/>
      <c r="BLE63" s="95"/>
      <c r="BLF63" s="95"/>
      <c r="BLG63" s="95"/>
      <c r="BLH63" s="95"/>
      <c r="BLI63" s="95"/>
      <c r="BLJ63" s="95"/>
      <c r="BLK63" s="95"/>
      <c r="BLL63" s="95"/>
      <c r="BLM63" s="95"/>
      <c r="BLN63" s="95"/>
      <c r="BLO63" s="95"/>
      <c r="BLP63" s="95"/>
      <c r="BLQ63" s="95"/>
      <c r="BLR63" s="95"/>
      <c r="BLS63" s="95"/>
      <c r="BLT63" s="95"/>
      <c r="BLU63" s="95"/>
      <c r="BLV63" s="95"/>
      <c r="BLW63" s="95"/>
      <c r="BLX63" s="95"/>
      <c r="BLY63" s="95"/>
      <c r="BLZ63" s="95"/>
      <c r="BMA63" s="95"/>
      <c r="BMB63" s="95"/>
      <c r="BMC63" s="95"/>
      <c r="BMD63" s="95"/>
      <c r="BME63" s="95"/>
      <c r="BMF63" s="95"/>
      <c r="BMG63" s="95"/>
      <c r="BMH63" s="95"/>
      <c r="BMI63" s="95"/>
      <c r="BMJ63" s="95"/>
      <c r="BMK63" s="95"/>
      <c r="BML63" s="95"/>
      <c r="BMM63" s="95"/>
      <c r="BMN63" s="95"/>
      <c r="BMO63" s="95"/>
      <c r="BMP63" s="95"/>
      <c r="BMQ63" s="95"/>
      <c r="BMR63" s="95"/>
      <c r="BMS63" s="95"/>
      <c r="BMT63" s="95"/>
      <c r="BMU63" s="95"/>
      <c r="BMV63" s="95"/>
      <c r="BMW63" s="95"/>
      <c r="BMX63" s="95"/>
      <c r="BMY63" s="95"/>
      <c r="BMZ63" s="95"/>
      <c r="BNA63" s="95"/>
      <c r="BNB63" s="95"/>
      <c r="BNC63" s="95"/>
      <c r="BND63" s="95"/>
      <c r="BNE63" s="95"/>
      <c r="BNF63" s="95"/>
      <c r="BNG63" s="95"/>
      <c r="BNH63" s="95"/>
      <c r="BNI63" s="95"/>
      <c r="BNJ63" s="95"/>
      <c r="BNK63" s="95"/>
      <c r="BNL63" s="95"/>
      <c r="BNM63" s="95"/>
      <c r="BNN63" s="95"/>
      <c r="BNO63" s="95"/>
      <c r="BNP63" s="95"/>
      <c r="BNQ63" s="95"/>
      <c r="BNR63" s="95"/>
      <c r="BNS63" s="95"/>
      <c r="BNT63" s="95"/>
      <c r="BNU63" s="95"/>
      <c r="BNV63" s="95"/>
      <c r="BNW63" s="95"/>
      <c r="BNX63" s="95"/>
      <c r="BNY63" s="95"/>
      <c r="BNZ63" s="95"/>
      <c r="BOA63" s="95"/>
      <c r="BOB63" s="95"/>
      <c r="BOC63" s="95"/>
      <c r="BOD63" s="95"/>
      <c r="BOE63" s="95"/>
      <c r="BOF63" s="95"/>
      <c r="BOG63" s="95"/>
      <c r="BOH63" s="95"/>
      <c r="BOI63" s="95"/>
      <c r="BOJ63" s="95"/>
      <c r="BOK63" s="95"/>
      <c r="BOL63" s="95"/>
      <c r="BOM63" s="95"/>
      <c r="BON63" s="95"/>
      <c r="BOO63" s="95"/>
      <c r="BOP63" s="95"/>
      <c r="BOQ63" s="95"/>
      <c r="BOR63" s="95"/>
      <c r="BOS63" s="95"/>
      <c r="BOT63" s="95"/>
      <c r="BOU63" s="95"/>
      <c r="BOV63" s="95"/>
      <c r="BOW63" s="95"/>
      <c r="BOX63" s="95"/>
      <c r="BOY63" s="95"/>
      <c r="BOZ63" s="95"/>
      <c r="BPA63" s="95"/>
      <c r="BPB63" s="95"/>
      <c r="BPC63" s="95"/>
      <c r="BPD63" s="95"/>
      <c r="BPE63" s="95"/>
      <c r="BPF63" s="95"/>
      <c r="BPG63" s="95"/>
      <c r="BPH63" s="95"/>
      <c r="BPI63" s="95"/>
      <c r="BPJ63" s="95"/>
      <c r="BPK63" s="95"/>
      <c r="BPL63" s="95"/>
      <c r="BPM63" s="95"/>
      <c r="BPN63" s="95"/>
      <c r="BPO63" s="95"/>
      <c r="BPP63" s="95"/>
      <c r="BPQ63" s="95"/>
      <c r="BPR63" s="95"/>
      <c r="BPS63" s="95"/>
      <c r="BPT63" s="95"/>
      <c r="BPU63" s="95"/>
      <c r="BPV63" s="95"/>
      <c r="BPW63" s="95"/>
      <c r="BPX63" s="95"/>
      <c r="BPY63" s="95"/>
      <c r="BPZ63" s="95"/>
      <c r="BQA63" s="95"/>
      <c r="BQB63" s="95"/>
      <c r="BQC63" s="95"/>
      <c r="BQD63" s="95"/>
      <c r="BQE63" s="95"/>
      <c r="BQF63" s="95"/>
      <c r="BQG63" s="95"/>
      <c r="BQH63" s="95"/>
      <c r="BQI63" s="95"/>
      <c r="BQJ63" s="95"/>
      <c r="BQK63" s="95"/>
      <c r="BQL63" s="95"/>
      <c r="BQM63" s="95"/>
      <c r="BQN63" s="95"/>
      <c r="BQO63" s="95"/>
      <c r="BQP63" s="95"/>
      <c r="BQQ63" s="95"/>
      <c r="BQR63" s="95"/>
      <c r="BQS63" s="95"/>
      <c r="BQT63" s="95"/>
      <c r="BQU63" s="95"/>
      <c r="BQV63" s="95"/>
      <c r="BQW63" s="95"/>
      <c r="BQX63" s="95"/>
      <c r="BQY63" s="95"/>
      <c r="BQZ63" s="95"/>
      <c r="BRA63" s="95"/>
      <c r="BRB63" s="95"/>
      <c r="BRC63" s="95"/>
      <c r="BRD63" s="95"/>
      <c r="BRE63" s="95"/>
      <c r="BRF63" s="95"/>
      <c r="BRG63" s="95"/>
      <c r="BRH63" s="95"/>
      <c r="BRI63" s="95"/>
      <c r="BRJ63" s="95"/>
      <c r="BRK63" s="95"/>
      <c r="BRL63" s="95"/>
      <c r="BRM63" s="95"/>
      <c r="BRN63" s="95"/>
      <c r="BRO63" s="95"/>
      <c r="BRP63" s="95"/>
      <c r="BRQ63" s="95"/>
      <c r="BRR63" s="95"/>
      <c r="BRS63" s="95"/>
      <c r="BRT63" s="95"/>
      <c r="BRU63" s="95"/>
      <c r="BRV63" s="95"/>
      <c r="BRW63" s="95"/>
      <c r="BRX63" s="95"/>
      <c r="BRY63" s="95"/>
      <c r="BRZ63" s="95"/>
      <c r="BSA63" s="95"/>
      <c r="BSB63" s="95"/>
      <c r="BSC63" s="95"/>
      <c r="BSD63" s="95"/>
      <c r="BSE63" s="95"/>
      <c r="BSF63" s="95"/>
      <c r="BSG63" s="95"/>
      <c r="BSH63" s="95"/>
      <c r="BSI63" s="95"/>
      <c r="BSJ63" s="95"/>
      <c r="BSK63" s="95"/>
      <c r="BSL63" s="95"/>
      <c r="BSM63" s="95"/>
      <c r="BSN63" s="95"/>
      <c r="BSO63" s="95"/>
      <c r="BSP63" s="95"/>
      <c r="BSQ63" s="95"/>
      <c r="BSR63" s="95"/>
      <c r="BSS63" s="95"/>
      <c r="BST63" s="95"/>
      <c r="BSU63" s="95"/>
      <c r="BSV63" s="95"/>
      <c r="BSW63" s="95"/>
      <c r="BSX63" s="95"/>
      <c r="BSY63" s="95"/>
      <c r="BSZ63" s="95"/>
      <c r="BTA63" s="95"/>
      <c r="BTB63" s="95"/>
      <c r="BTC63" s="95"/>
      <c r="BTD63" s="95"/>
      <c r="BTE63" s="95"/>
      <c r="BTF63" s="95"/>
      <c r="BTG63" s="95"/>
      <c r="BTH63" s="95"/>
      <c r="BTI63" s="95"/>
      <c r="BTJ63" s="95"/>
      <c r="BTK63" s="95"/>
      <c r="BTL63" s="95"/>
      <c r="BTM63" s="95"/>
      <c r="BTN63" s="95"/>
      <c r="BTO63" s="95"/>
      <c r="BTP63" s="95"/>
      <c r="BTQ63" s="95"/>
      <c r="BTR63" s="95"/>
      <c r="BTS63" s="95"/>
      <c r="BTT63" s="95"/>
      <c r="BTU63" s="95"/>
      <c r="BTV63" s="95"/>
      <c r="BTW63" s="95"/>
      <c r="BTX63" s="95"/>
      <c r="BTY63" s="95"/>
      <c r="BTZ63" s="95"/>
      <c r="BUA63" s="95"/>
      <c r="BUB63" s="95"/>
      <c r="BUC63" s="95"/>
      <c r="BUD63" s="95"/>
      <c r="BUE63" s="95"/>
      <c r="BUF63" s="95"/>
      <c r="BUG63" s="95"/>
      <c r="BUH63" s="95"/>
      <c r="BUI63" s="95"/>
      <c r="BUJ63" s="95"/>
      <c r="BUK63" s="95"/>
      <c r="BUL63" s="95"/>
      <c r="BUM63" s="95"/>
      <c r="BUN63" s="95"/>
      <c r="BUO63" s="95"/>
      <c r="BUP63" s="95"/>
      <c r="BUQ63" s="95"/>
      <c r="BUR63" s="95"/>
      <c r="BUS63" s="95"/>
      <c r="BUT63" s="95"/>
      <c r="BUU63" s="95"/>
      <c r="BUV63" s="95"/>
      <c r="BUW63" s="95"/>
      <c r="BUX63" s="95"/>
      <c r="BUY63" s="95"/>
      <c r="BUZ63" s="95"/>
      <c r="BVA63" s="95"/>
      <c r="BVB63" s="95"/>
      <c r="BVC63" s="95"/>
      <c r="BVD63" s="95"/>
      <c r="BVE63" s="95"/>
      <c r="BVF63" s="95"/>
      <c r="BVG63" s="95"/>
      <c r="BVH63" s="95"/>
      <c r="BVI63" s="95"/>
      <c r="BVJ63" s="95"/>
      <c r="BVK63" s="95"/>
      <c r="BVL63" s="95"/>
      <c r="BVM63" s="95"/>
      <c r="BVN63" s="95"/>
      <c r="BVO63" s="95"/>
      <c r="BVP63" s="95"/>
      <c r="BVQ63" s="95"/>
      <c r="BVR63" s="95"/>
      <c r="BVS63" s="95"/>
      <c r="BVT63" s="95"/>
      <c r="BVU63" s="95"/>
      <c r="BVV63" s="95"/>
      <c r="BVW63" s="95"/>
      <c r="BVX63" s="95"/>
      <c r="BVY63" s="95"/>
      <c r="BVZ63" s="95"/>
      <c r="BWA63" s="95"/>
      <c r="BWB63" s="95"/>
      <c r="BWC63" s="95"/>
      <c r="BWD63" s="95"/>
      <c r="BWE63" s="95"/>
      <c r="BWF63" s="95"/>
      <c r="BWG63" s="95"/>
      <c r="BWH63" s="95"/>
      <c r="BWI63" s="95"/>
      <c r="BWJ63" s="95"/>
      <c r="BWK63" s="95"/>
      <c r="BWL63" s="95"/>
      <c r="BWM63" s="95"/>
      <c r="BWN63" s="95"/>
      <c r="BWO63" s="95"/>
      <c r="BWP63" s="95"/>
      <c r="BWQ63" s="95"/>
      <c r="BWR63" s="95"/>
      <c r="BWS63" s="95"/>
      <c r="BWT63" s="95"/>
      <c r="BWU63" s="95"/>
      <c r="BWV63" s="95"/>
      <c r="BWW63" s="95"/>
      <c r="BWX63" s="95"/>
      <c r="BWY63" s="95"/>
      <c r="BWZ63" s="95"/>
      <c r="BXA63" s="95"/>
      <c r="BXB63" s="95"/>
      <c r="BXC63" s="95"/>
      <c r="BXD63" s="95"/>
      <c r="BXE63" s="95"/>
      <c r="BXF63" s="95"/>
      <c r="BXG63" s="95"/>
      <c r="BXH63" s="95"/>
      <c r="BXI63" s="95"/>
      <c r="BXJ63" s="95"/>
      <c r="BXK63" s="95"/>
      <c r="BXL63" s="95"/>
      <c r="BXM63" s="95"/>
      <c r="BXN63" s="95"/>
      <c r="BXO63" s="95"/>
      <c r="BXP63" s="95"/>
      <c r="BXQ63" s="95"/>
      <c r="BXR63" s="95"/>
      <c r="BXS63" s="95"/>
      <c r="BXT63" s="95"/>
      <c r="BXU63" s="95"/>
      <c r="BXV63" s="95"/>
      <c r="BXW63" s="95"/>
      <c r="BXX63" s="95"/>
      <c r="BXY63" s="95"/>
      <c r="BXZ63" s="95"/>
      <c r="BYA63" s="95"/>
      <c r="BYB63" s="95"/>
      <c r="BYC63" s="95"/>
      <c r="BYD63" s="95"/>
      <c r="BYE63" s="95"/>
      <c r="BYF63" s="95"/>
      <c r="BYG63" s="95"/>
    </row>
    <row r="64" spans="1:2009" s="96" customFormat="1" ht="12.75" customHeight="1" thickBot="1" x14ac:dyDescent="0.3">
      <c r="A64" s="120"/>
      <c r="B64" s="120"/>
      <c r="C64" s="171"/>
      <c r="D64" s="171"/>
      <c r="E64" s="171"/>
      <c r="F64" s="171"/>
      <c r="G64" s="726"/>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c r="IW64" s="95"/>
      <c r="IX64" s="95"/>
      <c r="IY64" s="95"/>
      <c r="IZ64" s="95"/>
      <c r="JA64" s="95"/>
      <c r="JB64" s="95"/>
      <c r="JC64" s="95"/>
      <c r="JD64" s="95"/>
      <c r="JE64" s="95"/>
      <c r="JF64" s="95"/>
      <c r="JG64" s="95"/>
      <c r="JH64" s="95"/>
      <c r="JI64" s="95"/>
      <c r="JJ64" s="95"/>
      <c r="JK64" s="95"/>
      <c r="JL64" s="95"/>
      <c r="JM64" s="95"/>
      <c r="JN64" s="95"/>
      <c r="JO64" s="95"/>
      <c r="JP64" s="95"/>
      <c r="JQ64" s="95"/>
      <c r="JR64" s="95"/>
      <c r="JS64" s="95"/>
      <c r="JT64" s="95"/>
      <c r="JU64" s="95"/>
      <c r="JV64" s="95"/>
      <c r="JW64" s="95"/>
      <c r="JX64" s="95"/>
      <c r="JY64" s="95"/>
      <c r="JZ64" s="95"/>
      <c r="KA64" s="95"/>
      <c r="KB64" s="95"/>
      <c r="KC64" s="95"/>
      <c r="KD64" s="95"/>
      <c r="KE64" s="95"/>
      <c r="KF64" s="95"/>
      <c r="KG64" s="95"/>
      <c r="KH64" s="95"/>
      <c r="KI64" s="95"/>
      <c r="KJ64" s="95"/>
      <c r="KK64" s="95"/>
      <c r="KL64" s="95"/>
      <c r="KM64" s="95"/>
      <c r="KN64" s="95"/>
      <c r="KO64" s="95"/>
      <c r="KP64" s="95"/>
      <c r="KQ64" s="95"/>
      <c r="KR64" s="95"/>
      <c r="KS64" s="95"/>
      <c r="KT64" s="95"/>
      <c r="KU64" s="95"/>
      <c r="KV64" s="95"/>
      <c r="KW64" s="95"/>
      <c r="KX64" s="95"/>
      <c r="KY64" s="95"/>
      <c r="KZ64" s="95"/>
      <c r="LA64" s="95"/>
      <c r="LB64" s="95"/>
      <c r="LC64" s="95"/>
      <c r="LD64" s="95"/>
      <c r="LE64" s="95"/>
      <c r="LF64" s="95"/>
      <c r="LG64" s="95"/>
      <c r="LH64" s="95"/>
      <c r="LI64" s="95"/>
      <c r="LJ64" s="95"/>
      <c r="LK64" s="95"/>
      <c r="LL64" s="95"/>
      <c r="LM64" s="95"/>
      <c r="LN64" s="95"/>
      <c r="LO64" s="95"/>
      <c r="LP64" s="95"/>
      <c r="LQ64" s="95"/>
      <c r="LR64" s="95"/>
      <c r="LS64" s="95"/>
      <c r="LT64" s="95"/>
      <c r="LU64" s="95"/>
      <c r="LV64" s="95"/>
      <c r="LW64" s="95"/>
      <c r="LX64" s="95"/>
      <c r="LY64" s="95"/>
      <c r="LZ64" s="95"/>
      <c r="MA64" s="95"/>
      <c r="MB64" s="95"/>
      <c r="MC64" s="95"/>
      <c r="MD64" s="95"/>
      <c r="ME64" s="95"/>
      <c r="MF64" s="95"/>
      <c r="MG64" s="95"/>
      <c r="MH64" s="95"/>
      <c r="MI64" s="95"/>
      <c r="MJ64" s="95"/>
      <c r="MK64" s="95"/>
      <c r="ML64" s="95"/>
      <c r="MM64" s="95"/>
      <c r="MN64" s="95"/>
      <c r="MO64" s="95"/>
      <c r="MP64" s="95"/>
      <c r="MQ64" s="95"/>
      <c r="MR64" s="95"/>
      <c r="MS64" s="95"/>
      <c r="MT64" s="95"/>
      <c r="MU64" s="95"/>
      <c r="MV64" s="95"/>
      <c r="MW64" s="95"/>
      <c r="MX64" s="95"/>
      <c r="MY64" s="95"/>
      <c r="MZ64" s="95"/>
      <c r="NA64" s="95"/>
      <c r="NB64" s="95"/>
      <c r="NC64" s="95"/>
      <c r="ND64" s="95"/>
      <c r="NE64" s="95"/>
      <c r="NF64" s="95"/>
      <c r="NG64" s="95"/>
      <c r="NH64" s="95"/>
      <c r="NI64" s="95"/>
      <c r="NJ64" s="95"/>
      <c r="NK64" s="95"/>
      <c r="NL64" s="95"/>
      <c r="NM64" s="95"/>
      <c r="NN64" s="95"/>
      <c r="NO64" s="95"/>
      <c r="NP64" s="95"/>
      <c r="NQ64" s="95"/>
      <c r="NR64" s="95"/>
      <c r="NS64" s="95"/>
      <c r="NT64" s="95"/>
      <c r="NU64" s="95"/>
      <c r="NV64" s="95"/>
      <c r="NW64" s="95"/>
      <c r="NX64" s="95"/>
      <c r="NY64" s="95"/>
      <c r="NZ64" s="95"/>
      <c r="OA64" s="95"/>
      <c r="OB64" s="95"/>
      <c r="OC64" s="95"/>
      <c r="OD64" s="95"/>
      <c r="OE64" s="95"/>
      <c r="OF64" s="95"/>
      <c r="OG64" s="95"/>
      <c r="OH64" s="95"/>
      <c r="OI64" s="95"/>
      <c r="OJ64" s="95"/>
      <c r="OK64" s="95"/>
      <c r="OL64" s="95"/>
      <c r="OM64" s="95"/>
      <c r="ON64" s="95"/>
      <c r="OO64" s="95"/>
      <c r="OP64" s="95"/>
      <c r="OQ64" s="95"/>
      <c r="OR64" s="95"/>
      <c r="OS64" s="95"/>
      <c r="OT64" s="95"/>
      <c r="OU64" s="95"/>
      <c r="OV64" s="95"/>
      <c r="OW64" s="95"/>
      <c r="OX64" s="95"/>
      <c r="OY64" s="95"/>
      <c r="OZ64" s="95"/>
      <c r="PA64" s="95"/>
      <c r="PB64" s="95"/>
      <c r="PC64" s="95"/>
      <c r="PD64" s="95"/>
      <c r="PE64" s="95"/>
      <c r="PF64" s="95"/>
      <c r="PG64" s="95"/>
      <c r="PH64" s="95"/>
      <c r="PI64" s="95"/>
      <c r="PJ64" s="95"/>
      <c r="PK64" s="95"/>
      <c r="PL64" s="95"/>
      <c r="PM64" s="95"/>
      <c r="PN64" s="95"/>
      <c r="PO64" s="95"/>
      <c r="PP64" s="95"/>
      <c r="PQ64" s="95"/>
      <c r="PR64" s="95"/>
      <c r="PS64" s="95"/>
      <c r="PT64" s="95"/>
      <c r="PU64" s="95"/>
      <c r="PV64" s="95"/>
      <c r="PW64" s="95"/>
      <c r="PX64" s="95"/>
      <c r="PY64" s="95"/>
      <c r="PZ64" s="95"/>
      <c r="QA64" s="95"/>
      <c r="QB64" s="95"/>
      <c r="QC64" s="95"/>
      <c r="QD64" s="95"/>
      <c r="QE64" s="95"/>
      <c r="QF64" s="95"/>
      <c r="QG64" s="95"/>
      <c r="QH64" s="95"/>
      <c r="QI64" s="95"/>
      <c r="QJ64" s="95"/>
      <c r="QK64" s="95"/>
      <c r="QL64" s="95"/>
      <c r="QM64" s="95"/>
      <c r="QN64" s="95"/>
      <c r="QO64" s="95"/>
      <c r="QP64" s="95"/>
      <c r="QQ64" s="95"/>
      <c r="QR64" s="95"/>
      <c r="QS64" s="95"/>
      <c r="QT64" s="95"/>
      <c r="QU64" s="95"/>
      <c r="QV64" s="95"/>
      <c r="QW64" s="95"/>
      <c r="QX64" s="95"/>
      <c r="QY64" s="95"/>
      <c r="QZ64" s="95"/>
      <c r="RA64" s="95"/>
      <c r="RB64" s="95"/>
      <c r="RC64" s="95"/>
      <c r="RD64" s="95"/>
      <c r="RE64" s="95"/>
      <c r="RF64" s="95"/>
      <c r="RG64" s="95"/>
      <c r="RH64" s="95"/>
      <c r="RI64" s="95"/>
      <c r="RJ64" s="95"/>
      <c r="RK64" s="95"/>
      <c r="RL64" s="95"/>
      <c r="RM64" s="95"/>
      <c r="RN64" s="95"/>
      <c r="RO64" s="95"/>
      <c r="RP64" s="95"/>
      <c r="RQ64" s="95"/>
      <c r="RR64" s="95"/>
      <c r="RS64" s="95"/>
      <c r="RT64" s="95"/>
      <c r="RU64" s="95"/>
      <c r="RV64" s="95"/>
      <c r="RW64" s="95"/>
      <c r="RX64" s="95"/>
      <c r="RY64" s="95"/>
      <c r="RZ64" s="95"/>
      <c r="SA64" s="95"/>
      <c r="SB64" s="95"/>
      <c r="SC64" s="95"/>
      <c r="SD64" s="95"/>
      <c r="SE64" s="95"/>
      <c r="SF64" s="95"/>
      <c r="SG64" s="95"/>
      <c r="SH64" s="95"/>
      <c r="SI64" s="95"/>
      <c r="SJ64" s="95"/>
      <c r="SK64" s="95"/>
      <c r="SL64" s="95"/>
      <c r="SM64" s="95"/>
      <c r="SN64" s="95"/>
      <c r="SO64" s="95"/>
      <c r="SP64" s="95"/>
      <c r="SQ64" s="95"/>
      <c r="SR64" s="95"/>
      <c r="SS64" s="95"/>
      <c r="ST64" s="95"/>
      <c r="SU64" s="95"/>
      <c r="SV64" s="95"/>
      <c r="SW64" s="95"/>
      <c r="SX64" s="95"/>
      <c r="SY64" s="95"/>
      <c r="SZ64" s="95"/>
      <c r="TA64" s="95"/>
      <c r="TB64" s="95"/>
      <c r="TC64" s="95"/>
      <c r="TD64" s="95"/>
      <c r="TE64" s="95"/>
      <c r="TF64" s="95"/>
      <c r="TG64" s="95"/>
      <c r="TH64" s="95"/>
      <c r="TI64" s="95"/>
      <c r="TJ64" s="95"/>
      <c r="TK64" s="95"/>
      <c r="TL64" s="95"/>
      <c r="TM64" s="95"/>
      <c r="TN64" s="95"/>
      <c r="TO64" s="95"/>
      <c r="TP64" s="95"/>
      <c r="TQ64" s="95"/>
      <c r="TR64" s="95"/>
      <c r="TS64" s="95"/>
      <c r="TT64" s="95"/>
      <c r="TU64" s="95"/>
      <c r="TV64" s="95"/>
      <c r="TW64" s="95"/>
      <c r="TX64" s="95"/>
      <c r="TY64" s="95"/>
      <c r="TZ64" s="95"/>
      <c r="UA64" s="95"/>
      <c r="UB64" s="95"/>
      <c r="UC64" s="95"/>
      <c r="UD64" s="95"/>
      <c r="UE64" s="95"/>
      <c r="UF64" s="95"/>
      <c r="UG64" s="95"/>
      <c r="UH64" s="95"/>
      <c r="UI64" s="95"/>
      <c r="UJ64" s="95"/>
      <c r="UK64" s="95"/>
      <c r="UL64" s="95"/>
      <c r="UM64" s="95"/>
      <c r="UN64" s="95"/>
      <c r="UO64" s="95"/>
      <c r="UP64" s="95"/>
      <c r="UQ64" s="95"/>
      <c r="UR64" s="95"/>
      <c r="US64" s="95"/>
      <c r="UT64" s="95"/>
      <c r="UU64" s="95"/>
      <c r="UV64" s="95"/>
      <c r="UW64" s="95"/>
      <c r="UX64" s="95"/>
      <c r="UY64" s="95"/>
      <c r="UZ64" s="95"/>
      <c r="VA64" s="95"/>
      <c r="VB64" s="95"/>
      <c r="VC64" s="95"/>
      <c r="VD64" s="95"/>
      <c r="VE64" s="95"/>
      <c r="VF64" s="95"/>
      <c r="VG64" s="95"/>
      <c r="VH64" s="95"/>
      <c r="VI64" s="95"/>
      <c r="VJ64" s="95"/>
      <c r="VK64" s="95"/>
      <c r="VL64" s="95"/>
      <c r="VM64" s="95"/>
      <c r="VN64" s="95"/>
      <c r="VO64" s="95"/>
      <c r="VP64" s="95"/>
      <c r="VQ64" s="95"/>
      <c r="VR64" s="95"/>
      <c r="VS64" s="95"/>
      <c r="VT64" s="95"/>
      <c r="VU64" s="95"/>
      <c r="VV64" s="95"/>
      <c r="VW64" s="95"/>
      <c r="VX64" s="95"/>
      <c r="VY64" s="95"/>
      <c r="VZ64" s="95"/>
      <c r="WA64" s="95"/>
      <c r="WB64" s="95"/>
      <c r="WC64" s="95"/>
      <c r="WD64" s="95"/>
      <c r="WE64" s="95"/>
      <c r="WF64" s="95"/>
      <c r="WG64" s="95"/>
      <c r="WH64" s="95"/>
      <c r="WI64" s="95"/>
      <c r="WJ64" s="95"/>
      <c r="WK64" s="95"/>
      <c r="WL64" s="95"/>
      <c r="WM64" s="95"/>
      <c r="WN64" s="95"/>
      <c r="WO64" s="95"/>
      <c r="WP64" s="95"/>
      <c r="WQ64" s="95"/>
      <c r="WR64" s="95"/>
      <c r="WS64" s="95"/>
      <c r="WT64" s="95"/>
      <c r="WU64" s="95"/>
      <c r="WV64" s="95"/>
      <c r="WW64" s="95"/>
      <c r="WX64" s="95"/>
      <c r="WY64" s="95"/>
      <c r="WZ64" s="95"/>
      <c r="XA64" s="95"/>
      <c r="XB64" s="95"/>
      <c r="XC64" s="95"/>
      <c r="XD64" s="95"/>
      <c r="XE64" s="95"/>
      <c r="XF64" s="95"/>
      <c r="XG64" s="95"/>
      <c r="XH64" s="95"/>
      <c r="XI64" s="95"/>
      <c r="XJ64" s="95"/>
      <c r="XK64" s="95"/>
      <c r="XL64" s="95"/>
      <c r="XM64" s="95"/>
      <c r="XN64" s="95"/>
      <c r="XO64" s="95"/>
      <c r="XP64" s="95"/>
      <c r="XQ64" s="95"/>
      <c r="XR64" s="95"/>
      <c r="XS64" s="95"/>
      <c r="XT64" s="95"/>
      <c r="XU64" s="95"/>
      <c r="XV64" s="95"/>
      <c r="XW64" s="95"/>
      <c r="XX64" s="95"/>
      <c r="XY64" s="95"/>
      <c r="XZ64" s="95"/>
      <c r="YA64" s="95"/>
      <c r="YB64" s="95"/>
      <c r="YC64" s="95"/>
      <c r="YD64" s="95"/>
      <c r="YE64" s="95"/>
      <c r="YF64" s="95"/>
      <c r="YG64" s="95"/>
      <c r="YH64" s="95"/>
      <c r="YI64" s="95"/>
      <c r="YJ64" s="95"/>
      <c r="YK64" s="95"/>
      <c r="YL64" s="95"/>
      <c r="YM64" s="95"/>
      <c r="YN64" s="95"/>
      <c r="YO64" s="95"/>
      <c r="YP64" s="95"/>
      <c r="YQ64" s="95"/>
      <c r="YR64" s="95"/>
      <c r="YS64" s="95"/>
      <c r="YT64" s="95"/>
      <c r="YU64" s="95"/>
      <c r="YV64" s="95"/>
      <c r="YW64" s="95"/>
      <c r="YX64" s="95"/>
      <c r="YY64" s="95"/>
      <c r="YZ64" s="95"/>
      <c r="ZA64" s="95"/>
      <c r="ZB64" s="95"/>
      <c r="ZC64" s="95"/>
      <c r="ZD64" s="95"/>
      <c r="ZE64" s="95"/>
      <c r="ZF64" s="95"/>
      <c r="ZG64" s="95"/>
      <c r="ZH64" s="95"/>
      <c r="ZI64" s="95"/>
      <c r="ZJ64" s="95"/>
      <c r="ZK64" s="95"/>
      <c r="ZL64" s="95"/>
      <c r="ZM64" s="95"/>
      <c r="ZN64" s="95"/>
      <c r="ZO64" s="95"/>
      <c r="ZP64" s="95"/>
      <c r="ZQ64" s="95"/>
      <c r="ZR64" s="95"/>
      <c r="ZS64" s="95"/>
      <c r="ZT64" s="95"/>
      <c r="ZU64" s="95"/>
      <c r="ZV64" s="95"/>
      <c r="ZW64" s="95"/>
      <c r="ZX64" s="95"/>
      <c r="ZY64" s="95"/>
      <c r="ZZ64" s="95"/>
      <c r="AAA64" s="95"/>
      <c r="AAB64" s="95"/>
      <c r="AAC64" s="95"/>
      <c r="AAD64" s="95"/>
      <c r="AAE64" s="95"/>
      <c r="AAF64" s="95"/>
      <c r="AAG64" s="95"/>
      <c r="AAH64" s="95"/>
      <c r="AAI64" s="95"/>
      <c r="AAJ64" s="95"/>
      <c r="AAK64" s="95"/>
      <c r="AAL64" s="95"/>
      <c r="AAM64" s="95"/>
      <c r="AAN64" s="95"/>
      <c r="AAO64" s="95"/>
      <c r="AAP64" s="95"/>
      <c r="AAQ64" s="95"/>
      <c r="AAR64" s="95"/>
      <c r="AAS64" s="95"/>
      <c r="AAT64" s="95"/>
      <c r="AAU64" s="95"/>
      <c r="AAV64" s="95"/>
      <c r="AAW64" s="95"/>
      <c r="AAX64" s="95"/>
      <c r="AAY64" s="95"/>
      <c r="AAZ64" s="95"/>
      <c r="ABA64" s="95"/>
      <c r="ABB64" s="95"/>
      <c r="ABC64" s="95"/>
      <c r="ABD64" s="95"/>
      <c r="ABE64" s="95"/>
      <c r="ABF64" s="95"/>
      <c r="ABG64" s="95"/>
      <c r="ABH64" s="95"/>
      <c r="ABI64" s="95"/>
      <c r="ABJ64" s="95"/>
      <c r="ABK64" s="95"/>
      <c r="ABL64" s="95"/>
      <c r="ABM64" s="95"/>
      <c r="ABN64" s="95"/>
      <c r="ABO64" s="95"/>
      <c r="ABP64" s="95"/>
      <c r="ABQ64" s="95"/>
      <c r="ABR64" s="95"/>
      <c r="ABS64" s="95"/>
      <c r="ABT64" s="95"/>
      <c r="ABU64" s="95"/>
      <c r="ABV64" s="95"/>
      <c r="ABW64" s="95"/>
      <c r="ABX64" s="95"/>
      <c r="ABY64" s="95"/>
      <c r="ABZ64" s="95"/>
      <c r="ACA64" s="95"/>
      <c r="ACB64" s="95"/>
      <c r="ACC64" s="95"/>
      <c r="ACD64" s="95"/>
      <c r="ACE64" s="95"/>
      <c r="ACF64" s="95"/>
      <c r="ACG64" s="95"/>
      <c r="ACH64" s="95"/>
      <c r="ACI64" s="95"/>
      <c r="ACJ64" s="95"/>
      <c r="ACK64" s="95"/>
      <c r="ACL64" s="95"/>
      <c r="ACM64" s="95"/>
      <c r="ACN64" s="95"/>
      <c r="ACO64" s="95"/>
      <c r="ACP64" s="95"/>
      <c r="ACQ64" s="95"/>
      <c r="ACR64" s="95"/>
      <c r="ACS64" s="95"/>
      <c r="ACT64" s="95"/>
      <c r="ACU64" s="95"/>
      <c r="ACV64" s="95"/>
      <c r="ACW64" s="95"/>
      <c r="ACX64" s="95"/>
      <c r="ACY64" s="95"/>
      <c r="ACZ64" s="95"/>
      <c r="ADA64" s="95"/>
      <c r="ADB64" s="95"/>
      <c r="ADC64" s="95"/>
      <c r="ADD64" s="95"/>
      <c r="ADE64" s="95"/>
      <c r="ADF64" s="95"/>
      <c r="ADG64" s="95"/>
      <c r="ADH64" s="95"/>
      <c r="ADI64" s="95"/>
      <c r="ADJ64" s="95"/>
      <c r="ADK64" s="95"/>
      <c r="ADL64" s="95"/>
      <c r="ADM64" s="95"/>
      <c r="ADN64" s="95"/>
      <c r="ADO64" s="95"/>
      <c r="ADP64" s="95"/>
      <c r="ADQ64" s="95"/>
      <c r="ADR64" s="95"/>
      <c r="ADS64" s="95"/>
      <c r="ADT64" s="95"/>
      <c r="ADU64" s="95"/>
      <c r="ADV64" s="95"/>
      <c r="ADW64" s="95"/>
      <c r="ADX64" s="95"/>
      <c r="ADY64" s="95"/>
      <c r="ADZ64" s="95"/>
      <c r="AEA64" s="95"/>
      <c r="AEB64" s="95"/>
      <c r="AEC64" s="95"/>
      <c r="AED64" s="95"/>
      <c r="AEE64" s="95"/>
      <c r="AEF64" s="95"/>
      <c r="AEG64" s="95"/>
      <c r="AEH64" s="95"/>
      <c r="AEI64" s="95"/>
      <c r="AEJ64" s="95"/>
      <c r="AEK64" s="95"/>
      <c r="AEL64" s="95"/>
      <c r="AEM64" s="95"/>
      <c r="AEN64" s="95"/>
      <c r="AEO64" s="95"/>
      <c r="AEP64" s="95"/>
      <c r="AEQ64" s="95"/>
      <c r="AER64" s="95"/>
      <c r="AES64" s="95"/>
      <c r="AET64" s="95"/>
      <c r="AEU64" s="95"/>
      <c r="AEV64" s="95"/>
      <c r="AEW64" s="95"/>
      <c r="AEX64" s="95"/>
      <c r="AEY64" s="95"/>
      <c r="AEZ64" s="95"/>
      <c r="AFA64" s="95"/>
      <c r="AFB64" s="95"/>
      <c r="AFC64" s="95"/>
      <c r="AFD64" s="95"/>
      <c r="AFE64" s="95"/>
      <c r="AFF64" s="95"/>
      <c r="AFG64" s="95"/>
      <c r="AFH64" s="95"/>
      <c r="AFI64" s="95"/>
      <c r="AFJ64" s="95"/>
      <c r="AFK64" s="95"/>
      <c r="AFL64" s="95"/>
      <c r="AFM64" s="95"/>
      <c r="AFN64" s="95"/>
      <c r="AFO64" s="95"/>
      <c r="AFP64" s="95"/>
      <c r="AFQ64" s="95"/>
      <c r="AFR64" s="95"/>
      <c r="AFS64" s="95"/>
      <c r="AFT64" s="95"/>
      <c r="AFU64" s="95"/>
      <c r="AFV64" s="95"/>
      <c r="AFW64" s="95"/>
      <c r="AFX64" s="95"/>
      <c r="AFY64" s="95"/>
      <c r="AFZ64" s="95"/>
      <c r="AGA64" s="95"/>
      <c r="AGB64" s="95"/>
      <c r="AGC64" s="95"/>
      <c r="AGD64" s="95"/>
      <c r="AGE64" s="95"/>
      <c r="AGF64" s="95"/>
      <c r="AGG64" s="95"/>
      <c r="AGH64" s="95"/>
      <c r="AGI64" s="95"/>
      <c r="AGJ64" s="95"/>
      <c r="AGK64" s="95"/>
      <c r="AGL64" s="95"/>
      <c r="AGM64" s="95"/>
      <c r="AGN64" s="95"/>
      <c r="AGO64" s="95"/>
      <c r="AGP64" s="95"/>
      <c r="AGQ64" s="95"/>
      <c r="AGR64" s="95"/>
      <c r="AGS64" s="95"/>
      <c r="AGT64" s="95"/>
      <c r="AGU64" s="95"/>
      <c r="AGV64" s="95"/>
      <c r="AGW64" s="95"/>
      <c r="AGX64" s="95"/>
      <c r="AGY64" s="95"/>
      <c r="AGZ64" s="95"/>
      <c r="AHA64" s="95"/>
      <c r="AHB64" s="95"/>
      <c r="AHC64" s="95"/>
      <c r="AHD64" s="95"/>
      <c r="AHE64" s="95"/>
      <c r="AHF64" s="95"/>
      <c r="AHG64" s="95"/>
      <c r="AHH64" s="95"/>
      <c r="AHI64" s="95"/>
      <c r="AHJ64" s="95"/>
      <c r="AHK64" s="95"/>
      <c r="AHL64" s="95"/>
      <c r="AHM64" s="95"/>
      <c r="AHN64" s="95"/>
      <c r="AHO64" s="95"/>
      <c r="AHP64" s="95"/>
      <c r="AHQ64" s="95"/>
      <c r="AHR64" s="95"/>
      <c r="AHS64" s="95"/>
      <c r="AHT64" s="95"/>
      <c r="AHU64" s="95"/>
      <c r="AHV64" s="95"/>
      <c r="AHW64" s="95"/>
      <c r="AHX64" s="95"/>
      <c r="AHY64" s="95"/>
      <c r="AHZ64" s="95"/>
      <c r="AIA64" s="95"/>
      <c r="AIB64" s="95"/>
      <c r="AIC64" s="95"/>
      <c r="AID64" s="95"/>
      <c r="AIE64" s="95"/>
      <c r="AIF64" s="95"/>
      <c r="AIG64" s="95"/>
      <c r="AIH64" s="95"/>
      <c r="AII64" s="95"/>
      <c r="AIJ64" s="95"/>
      <c r="AIK64" s="95"/>
      <c r="AIL64" s="95"/>
      <c r="AIM64" s="95"/>
      <c r="AIN64" s="95"/>
      <c r="AIO64" s="95"/>
      <c r="AIP64" s="95"/>
      <c r="AIQ64" s="95"/>
      <c r="AIR64" s="95"/>
      <c r="AIS64" s="95"/>
      <c r="AIT64" s="95"/>
      <c r="AIU64" s="95"/>
      <c r="AIV64" s="95"/>
      <c r="AIW64" s="95"/>
      <c r="AIX64" s="95"/>
      <c r="AIY64" s="95"/>
      <c r="AIZ64" s="95"/>
      <c r="AJA64" s="95"/>
      <c r="AJB64" s="95"/>
      <c r="AJC64" s="95"/>
      <c r="AJD64" s="95"/>
      <c r="AJE64" s="95"/>
      <c r="AJF64" s="95"/>
      <c r="AJG64" s="95"/>
      <c r="AJH64" s="95"/>
      <c r="AJI64" s="95"/>
      <c r="AJJ64" s="95"/>
      <c r="AJK64" s="95"/>
      <c r="AJL64" s="95"/>
      <c r="AJM64" s="95"/>
      <c r="AJN64" s="95"/>
      <c r="AJO64" s="95"/>
      <c r="AJP64" s="95"/>
      <c r="AJQ64" s="95"/>
      <c r="AJR64" s="95"/>
      <c r="AJS64" s="95"/>
      <c r="AJT64" s="95"/>
      <c r="AJU64" s="95"/>
      <c r="AJV64" s="95"/>
      <c r="AJW64" s="95"/>
      <c r="AJX64" s="95"/>
      <c r="AJY64" s="95"/>
      <c r="AJZ64" s="95"/>
      <c r="AKA64" s="95"/>
      <c r="AKB64" s="95"/>
      <c r="AKC64" s="95"/>
      <c r="AKD64" s="95"/>
      <c r="AKE64" s="95"/>
      <c r="AKF64" s="95"/>
      <c r="AKG64" s="95"/>
      <c r="AKH64" s="95"/>
      <c r="AKI64" s="95"/>
      <c r="AKJ64" s="95"/>
      <c r="AKK64" s="95"/>
      <c r="AKL64" s="95"/>
      <c r="AKM64" s="95"/>
      <c r="AKN64" s="95"/>
      <c r="AKO64" s="95"/>
      <c r="AKP64" s="95"/>
      <c r="AKQ64" s="95"/>
      <c r="AKR64" s="95"/>
      <c r="AKS64" s="95"/>
      <c r="AKT64" s="95"/>
      <c r="AKU64" s="95"/>
      <c r="AKV64" s="95"/>
      <c r="AKW64" s="95"/>
      <c r="AKX64" s="95"/>
      <c r="AKY64" s="95"/>
      <c r="AKZ64" s="95"/>
      <c r="ALA64" s="95"/>
      <c r="ALB64" s="95"/>
      <c r="ALC64" s="95"/>
      <c r="ALD64" s="95"/>
      <c r="ALE64" s="95"/>
      <c r="ALF64" s="95"/>
      <c r="ALG64" s="95"/>
      <c r="ALH64" s="95"/>
      <c r="ALI64" s="95"/>
      <c r="ALJ64" s="95"/>
      <c r="ALK64" s="95"/>
      <c r="ALL64" s="95"/>
      <c r="ALM64" s="95"/>
      <c r="ALN64" s="95"/>
      <c r="ALO64" s="95"/>
      <c r="ALP64" s="95"/>
      <c r="ALQ64" s="95"/>
      <c r="ALR64" s="95"/>
      <c r="ALS64" s="95"/>
      <c r="ALT64" s="95"/>
      <c r="ALU64" s="95"/>
      <c r="ALV64" s="95"/>
      <c r="ALW64" s="95"/>
      <c r="ALX64" s="95"/>
      <c r="ALY64" s="95"/>
      <c r="ALZ64" s="95"/>
      <c r="AMA64" s="95"/>
      <c r="AMB64" s="95"/>
      <c r="AMC64" s="95"/>
      <c r="AMD64" s="95"/>
      <c r="AME64" s="95"/>
      <c r="AMF64" s="95"/>
      <c r="AMG64" s="95"/>
      <c r="AMH64" s="95"/>
      <c r="AMI64" s="95"/>
      <c r="AMJ64" s="95"/>
      <c r="AMK64" s="95"/>
      <c r="AML64" s="95"/>
      <c r="AMM64" s="95"/>
      <c r="AMN64" s="95"/>
      <c r="AMO64" s="95"/>
      <c r="AMP64" s="95"/>
      <c r="AMQ64" s="95"/>
      <c r="AMR64" s="95"/>
      <c r="AMS64" s="95"/>
      <c r="AMT64" s="95"/>
      <c r="AMU64" s="95"/>
      <c r="AMV64" s="95"/>
      <c r="AMW64" s="95"/>
      <c r="AMX64" s="95"/>
      <c r="AMY64" s="95"/>
      <c r="AMZ64" s="95"/>
      <c r="ANA64" s="95"/>
      <c r="ANB64" s="95"/>
      <c r="ANC64" s="95"/>
      <c r="AND64" s="95"/>
      <c r="ANE64" s="95"/>
      <c r="ANF64" s="95"/>
      <c r="ANG64" s="95"/>
      <c r="ANH64" s="95"/>
      <c r="ANI64" s="95"/>
      <c r="ANJ64" s="95"/>
      <c r="ANK64" s="95"/>
      <c r="ANL64" s="95"/>
      <c r="ANM64" s="95"/>
      <c r="ANN64" s="95"/>
      <c r="ANO64" s="95"/>
      <c r="ANP64" s="95"/>
      <c r="ANQ64" s="95"/>
      <c r="ANR64" s="95"/>
      <c r="ANS64" s="95"/>
      <c r="ANT64" s="95"/>
      <c r="ANU64" s="95"/>
      <c r="ANV64" s="95"/>
      <c r="ANW64" s="95"/>
      <c r="ANX64" s="95"/>
      <c r="ANY64" s="95"/>
      <c r="ANZ64" s="95"/>
      <c r="AOA64" s="95"/>
      <c r="AOB64" s="95"/>
      <c r="AOC64" s="95"/>
      <c r="AOD64" s="95"/>
      <c r="AOE64" s="95"/>
      <c r="AOF64" s="95"/>
      <c r="AOG64" s="95"/>
      <c r="AOH64" s="95"/>
      <c r="AOI64" s="95"/>
      <c r="AOJ64" s="95"/>
      <c r="AOK64" s="95"/>
      <c r="AOL64" s="95"/>
      <c r="AOM64" s="95"/>
      <c r="AON64" s="95"/>
      <c r="AOO64" s="95"/>
      <c r="AOP64" s="95"/>
      <c r="AOQ64" s="95"/>
      <c r="AOR64" s="95"/>
      <c r="AOS64" s="95"/>
      <c r="AOT64" s="95"/>
      <c r="AOU64" s="95"/>
      <c r="AOV64" s="95"/>
      <c r="AOW64" s="95"/>
      <c r="AOX64" s="95"/>
      <c r="AOY64" s="95"/>
      <c r="AOZ64" s="95"/>
      <c r="APA64" s="95"/>
      <c r="APB64" s="95"/>
      <c r="APC64" s="95"/>
      <c r="APD64" s="95"/>
      <c r="APE64" s="95"/>
      <c r="APF64" s="95"/>
      <c r="APG64" s="95"/>
      <c r="APH64" s="95"/>
      <c r="API64" s="95"/>
      <c r="APJ64" s="95"/>
      <c r="APK64" s="95"/>
      <c r="APL64" s="95"/>
      <c r="APM64" s="95"/>
      <c r="APN64" s="95"/>
      <c r="APO64" s="95"/>
      <c r="APP64" s="95"/>
      <c r="APQ64" s="95"/>
      <c r="APR64" s="95"/>
      <c r="APS64" s="95"/>
      <c r="APT64" s="95"/>
      <c r="APU64" s="95"/>
      <c r="APV64" s="95"/>
      <c r="APW64" s="95"/>
      <c r="APX64" s="95"/>
      <c r="APY64" s="95"/>
      <c r="APZ64" s="95"/>
      <c r="AQA64" s="95"/>
      <c r="AQB64" s="95"/>
      <c r="AQC64" s="95"/>
      <c r="AQD64" s="95"/>
      <c r="AQE64" s="95"/>
      <c r="AQF64" s="95"/>
      <c r="AQG64" s="95"/>
      <c r="AQH64" s="95"/>
      <c r="AQI64" s="95"/>
      <c r="AQJ64" s="95"/>
      <c r="AQK64" s="95"/>
      <c r="AQL64" s="95"/>
      <c r="AQM64" s="95"/>
      <c r="AQN64" s="95"/>
      <c r="AQO64" s="95"/>
      <c r="AQP64" s="95"/>
      <c r="AQQ64" s="95"/>
      <c r="AQR64" s="95"/>
      <c r="AQS64" s="95"/>
      <c r="AQT64" s="95"/>
      <c r="AQU64" s="95"/>
      <c r="AQV64" s="95"/>
      <c r="AQW64" s="95"/>
      <c r="AQX64" s="95"/>
      <c r="AQY64" s="95"/>
      <c r="AQZ64" s="95"/>
      <c r="ARA64" s="95"/>
      <c r="ARB64" s="95"/>
      <c r="ARC64" s="95"/>
      <c r="ARD64" s="95"/>
      <c r="ARE64" s="95"/>
      <c r="ARF64" s="95"/>
      <c r="ARG64" s="95"/>
      <c r="ARH64" s="95"/>
      <c r="ARI64" s="95"/>
      <c r="ARJ64" s="95"/>
      <c r="ARK64" s="95"/>
      <c r="ARL64" s="95"/>
      <c r="ARM64" s="95"/>
      <c r="ARN64" s="95"/>
      <c r="ARO64" s="95"/>
      <c r="ARP64" s="95"/>
      <c r="ARQ64" s="95"/>
      <c r="ARR64" s="95"/>
      <c r="ARS64" s="95"/>
      <c r="ART64" s="95"/>
      <c r="ARU64" s="95"/>
      <c r="ARV64" s="95"/>
      <c r="ARW64" s="95"/>
      <c r="ARX64" s="95"/>
      <c r="ARY64" s="95"/>
      <c r="ARZ64" s="95"/>
      <c r="ASA64" s="95"/>
      <c r="ASB64" s="95"/>
      <c r="ASC64" s="95"/>
      <c r="ASD64" s="95"/>
      <c r="ASE64" s="95"/>
      <c r="ASF64" s="95"/>
      <c r="ASG64" s="95"/>
      <c r="ASH64" s="95"/>
      <c r="ASI64" s="95"/>
      <c r="ASJ64" s="95"/>
      <c r="ASK64" s="95"/>
      <c r="ASL64" s="95"/>
      <c r="ASM64" s="95"/>
      <c r="ASN64" s="95"/>
      <c r="ASO64" s="95"/>
      <c r="ASP64" s="95"/>
      <c r="ASQ64" s="95"/>
      <c r="ASR64" s="95"/>
      <c r="ASS64" s="95"/>
      <c r="AST64" s="95"/>
      <c r="ASU64" s="95"/>
      <c r="ASV64" s="95"/>
      <c r="ASW64" s="95"/>
      <c r="ASX64" s="95"/>
      <c r="ASY64" s="95"/>
      <c r="ASZ64" s="95"/>
      <c r="ATA64" s="95"/>
      <c r="ATB64" s="95"/>
      <c r="ATC64" s="95"/>
      <c r="ATD64" s="95"/>
      <c r="ATE64" s="95"/>
      <c r="ATF64" s="95"/>
      <c r="ATG64" s="95"/>
      <c r="ATH64" s="95"/>
      <c r="ATI64" s="95"/>
      <c r="ATJ64" s="95"/>
      <c r="ATK64" s="95"/>
      <c r="ATL64" s="95"/>
      <c r="ATM64" s="95"/>
      <c r="ATN64" s="95"/>
      <c r="ATO64" s="95"/>
      <c r="ATP64" s="95"/>
      <c r="ATQ64" s="95"/>
      <c r="ATR64" s="95"/>
      <c r="ATS64" s="95"/>
      <c r="ATT64" s="95"/>
      <c r="ATU64" s="95"/>
      <c r="ATV64" s="95"/>
      <c r="ATW64" s="95"/>
      <c r="ATX64" s="95"/>
      <c r="ATY64" s="95"/>
      <c r="ATZ64" s="95"/>
      <c r="AUA64" s="95"/>
      <c r="AUB64" s="95"/>
      <c r="AUC64" s="95"/>
      <c r="AUD64" s="95"/>
      <c r="AUE64" s="95"/>
      <c r="AUF64" s="95"/>
      <c r="AUG64" s="95"/>
      <c r="AUH64" s="95"/>
      <c r="AUI64" s="95"/>
      <c r="AUJ64" s="95"/>
      <c r="AUK64" s="95"/>
      <c r="AUL64" s="95"/>
      <c r="AUM64" s="95"/>
      <c r="AUN64" s="95"/>
      <c r="AUO64" s="95"/>
      <c r="AUP64" s="95"/>
      <c r="AUQ64" s="95"/>
      <c r="AUR64" s="95"/>
      <c r="AUS64" s="95"/>
      <c r="AUT64" s="95"/>
      <c r="AUU64" s="95"/>
      <c r="AUV64" s="95"/>
      <c r="AUW64" s="95"/>
      <c r="AUX64" s="95"/>
      <c r="AUY64" s="95"/>
      <c r="AUZ64" s="95"/>
      <c r="AVA64" s="95"/>
      <c r="AVB64" s="95"/>
      <c r="AVC64" s="95"/>
      <c r="AVD64" s="95"/>
      <c r="AVE64" s="95"/>
      <c r="AVF64" s="95"/>
      <c r="AVG64" s="95"/>
      <c r="AVH64" s="95"/>
      <c r="AVI64" s="95"/>
      <c r="AVJ64" s="95"/>
      <c r="AVK64" s="95"/>
      <c r="AVL64" s="95"/>
      <c r="AVM64" s="95"/>
      <c r="AVN64" s="95"/>
      <c r="AVO64" s="95"/>
      <c r="AVP64" s="95"/>
      <c r="AVQ64" s="95"/>
      <c r="AVR64" s="95"/>
      <c r="AVS64" s="95"/>
      <c r="AVT64" s="95"/>
      <c r="AVU64" s="95"/>
      <c r="AVV64" s="95"/>
      <c r="AVW64" s="95"/>
      <c r="AVX64" s="95"/>
      <c r="AVY64" s="95"/>
      <c r="AVZ64" s="95"/>
      <c r="AWA64" s="95"/>
      <c r="AWB64" s="95"/>
      <c r="AWC64" s="95"/>
      <c r="AWD64" s="95"/>
      <c r="AWE64" s="95"/>
      <c r="AWF64" s="95"/>
      <c r="AWG64" s="95"/>
      <c r="AWH64" s="95"/>
      <c r="AWI64" s="95"/>
      <c r="AWJ64" s="95"/>
      <c r="AWK64" s="95"/>
      <c r="AWL64" s="95"/>
      <c r="AWM64" s="95"/>
      <c r="AWN64" s="95"/>
      <c r="AWO64" s="95"/>
      <c r="AWP64" s="95"/>
      <c r="AWQ64" s="95"/>
      <c r="AWR64" s="95"/>
      <c r="AWS64" s="95"/>
      <c r="AWT64" s="95"/>
      <c r="AWU64" s="95"/>
      <c r="AWV64" s="95"/>
      <c r="AWW64" s="95"/>
      <c r="AWX64" s="95"/>
      <c r="AWY64" s="95"/>
      <c r="AWZ64" s="95"/>
      <c r="AXA64" s="95"/>
      <c r="AXB64" s="95"/>
      <c r="AXC64" s="95"/>
      <c r="AXD64" s="95"/>
      <c r="AXE64" s="95"/>
      <c r="AXF64" s="95"/>
      <c r="AXG64" s="95"/>
      <c r="AXH64" s="95"/>
      <c r="AXI64" s="95"/>
      <c r="AXJ64" s="95"/>
      <c r="AXK64" s="95"/>
      <c r="AXL64" s="95"/>
      <c r="AXM64" s="95"/>
      <c r="AXN64" s="95"/>
      <c r="AXO64" s="95"/>
      <c r="AXP64" s="95"/>
      <c r="AXQ64" s="95"/>
      <c r="AXR64" s="95"/>
      <c r="AXS64" s="95"/>
      <c r="AXT64" s="95"/>
      <c r="AXU64" s="95"/>
      <c r="AXV64" s="95"/>
      <c r="AXW64" s="95"/>
      <c r="AXX64" s="95"/>
      <c r="AXY64" s="95"/>
      <c r="AXZ64" s="95"/>
      <c r="AYA64" s="95"/>
      <c r="AYB64" s="95"/>
      <c r="AYC64" s="95"/>
      <c r="AYD64" s="95"/>
      <c r="AYE64" s="95"/>
      <c r="AYF64" s="95"/>
      <c r="AYG64" s="95"/>
      <c r="AYH64" s="95"/>
      <c r="AYI64" s="95"/>
      <c r="AYJ64" s="95"/>
      <c r="AYK64" s="95"/>
      <c r="AYL64" s="95"/>
      <c r="AYM64" s="95"/>
      <c r="AYN64" s="95"/>
      <c r="AYO64" s="95"/>
      <c r="AYP64" s="95"/>
      <c r="AYQ64" s="95"/>
      <c r="AYR64" s="95"/>
      <c r="AYS64" s="95"/>
      <c r="AYT64" s="95"/>
      <c r="AYU64" s="95"/>
      <c r="AYV64" s="95"/>
      <c r="AYW64" s="95"/>
      <c r="AYX64" s="95"/>
      <c r="AYY64" s="95"/>
      <c r="AYZ64" s="95"/>
      <c r="AZA64" s="95"/>
      <c r="AZB64" s="95"/>
      <c r="AZC64" s="95"/>
      <c r="AZD64" s="95"/>
      <c r="AZE64" s="95"/>
      <c r="AZF64" s="95"/>
      <c r="AZG64" s="95"/>
      <c r="AZH64" s="95"/>
      <c r="AZI64" s="95"/>
      <c r="AZJ64" s="95"/>
      <c r="AZK64" s="95"/>
      <c r="AZL64" s="95"/>
      <c r="AZM64" s="95"/>
      <c r="AZN64" s="95"/>
      <c r="AZO64" s="95"/>
      <c r="AZP64" s="95"/>
      <c r="AZQ64" s="95"/>
      <c r="AZR64" s="95"/>
      <c r="AZS64" s="95"/>
      <c r="AZT64" s="95"/>
      <c r="AZU64" s="95"/>
      <c r="AZV64" s="95"/>
      <c r="AZW64" s="95"/>
      <c r="AZX64" s="95"/>
      <c r="AZY64" s="95"/>
      <c r="AZZ64" s="95"/>
      <c r="BAA64" s="95"/>
      <c r="BAB64" s="95"/>
      <c r="BAC64" s="95"/>
      <c r="BAD64" s="95"/>
      <c r="BAE64" s="95"/>
      <c r="BAF64" s="95"/>
      <c r="BAG64" s="95"/>
      <c r="BAH64" s="95"/>
      <c r="BAI64" s="95"/>
      <c r="BAJ64" s="95"/>
      <c r="BAK64" s="95"/>
      <c r="BAL64" s="95"/>
      <c r="BAM64" s="95"/>
      <c r="BAN64" s="95"/>
      <c r="BAO64" s="95"/>
      <c r="BAP64" s="95"/>
      <c r="BAQ64" s="95"/>
      <c r="BAR64" s="95"/>
      <c r="BAS64" s="95"/>
      <c r="BAT64" s="95"/>
      <c r="BAU64" s="95"/>
      <c r="BAV64" s="95"/>
      <c r="BAW64" s="95"/>
      <c r="BAX64" s="95"/>
      <c r="BAY64" s="95"/>
      <c r="BAZ64" s="95"/>
      <c r="BBA64" s="95"/>
      <c r="BBB64" s="95"/>
      <c r="BBC64" s="95"/>
      <c r="BBD64" s="95"/>
      <c r="BBE64" s="95"/>
      <c r="BBF64" s="95"/>
      <c r="BBG64" s="95"/>
      <c r="BBH64" s="95"/>
      <c r="BBI64" s="95"/>
      <c r="BBJ64" s="95"/>
      <c r="BBK64" s="95"/>
      <c r="BBL64" s="95"/>
      <c r="BBM64" s="95"/>
      <c r="BBN64" s="95"/>
      <c r="BBO64" s="95"/>
      <c r="BBP64" s="95"/>
      <c r="BBQ64" s="95"/>
      <c r="BBR64" s="95"/>
      <c r="BBS64" s="95"/>
      <c r="BBT64" s="95"/>
      <c r="BBU64" s="95"/>
      <c r="BBV64" s="95"/>
      <c r="BBW64" s="95"/>
      <c r="BBX64" s="95"/>
      <c r="BBY64" s="95"/>
      <c r="BBZ64" s="95"/>
      <c r="BCA64" s="95"/>
      <c r="BCB64" s="95"/>
      <c r="BCC64" s="95"/>
      <c r="BCD64" s="95"/>
      <c r="BCE64" s="95"/>
      <c r="BCF64" s="95"/>
      <c r="BCG64" s="95"/>
      <c r="BCH64" s="95"/>
      <c r="BCI64" s="95"/>
      <c r="BCJ64" s="95"/>
      <c r="BCK64" s="95"/>
      <c r="BCL64" s="95"/>
      <c r="BCM64" s="95"/>
      <c r="BCN64" s="95"/>
      <c r="BCO64" s="95"/>
      <c r="BCP64" s="95"/>
      <c r="BCQ64" s="95"/>
      <c r="BCR64" s="95"/>
      <c r="BCS64" s="95"/>
      <c r="BCT64" s="95"/>
      <c r="BCU64" s="95"/>
      <c r="BCV64" s="95"/>
      <c r="BCW64" s="95"/>
      <c r="BCX64" s="95"/>
      <c r="BCY64" s="95"/>
      <c r="BCZ64" s="95"/>
      <c r="BDA64" s="95"/>
      <c r="BDB64" s="95"/>
      <c r="BDC64" s="95"/>
      <c r="BDD64" s="95"/>
      <c r="BDE64" s="95"/>
      <c r="BDF64" s="95"/>
      <c r="BDG64" s="95"/>
      <c r="BDH64" s="95"/>
      <c r="BDI64" s="95"/>
      <c r="BDJ64" s="95"/>
      <c r="BDK64" s="95"/>
      <c r="BDL64" s="95"/>
      <c r="BDM64" s="95"/>
      <c r="BDN64" s="95"/>
      <c r="BDO64" s="95"/>
      <c r="BDP64" s="95"/>
      <c r="BDQ64" s="95"/>
      <c r="BDR64" s="95"/>
      <c r="BDS64" s="95"/>
      <c r="BDT64" s="95"/>
      <c r="BDU64" s="95"/>
      <c r="BDV64" s="95"/>
      <c r="BDW64" s="95"/>
      <c r="BDX64" s="95"/>
      <c r="BDY64" s="95"/>
      <c r="BDZ64" s="95"/>
      <c r="BEA64" s="95"/>
      <c r="BEB64" s="95"/>
      <c r="BEC64" s="95"/>
      <c r="BED64" s="95"/>
      <c r="BEE64" s="95"/>
      <c r="BEF64" s="95"/>
      <c r="BEG64" s="95"/>
      <c r="BEH64" s="95"/>
      <c r="BEI64" s="95"/>
      <c r="BEJ64" s="95"/>
      <c r="BEK64" s="95"/>
      <c r="BEL64" s="95"/>
      <c r="BEM64" s="95"/>
      <c r="BEN64" s="95"/>
      <c r="BEO64" s="95"/>
      <c r="BEP64" s="95"/>
      <c r="BEQ64" s="95"/>
      <c r="BER64" s="95"/>
      <c r="BES64" s="95"/>
      <c r="BET64" s="95"/>
      <c r="BEU64" s="95"/>
      <c r="BEV64" s="95"/>
      <c r="BEW64" s="95"/>
      <c r="BEX64" s="95"/>
      <c r="BEY64" s="95"/>
      <c r="BEZ64" s="95"/>
      <c r="BFA64" s="95"/>
      <c r="BFB64" s="95"/>
      <c r="BFC64" s="95"/>
      <c r="BFD64" s="95"/>
      <c r="BFE64" s="95"/>
      <c r="BFF64" s="95"/>
      <c r="BFG64" s="95"/>
      <c r="BFH64" s="95"/>
      <c r="BFI64" s="95"/>
      <c r="BFJ64" s="95"/>
      <c r="BFK64" s="95"/>
      <c r="BFL64" s="95"/>
      <c r="BFM64" s="95"/>
      <c r="BFN64" s="95"/>
      <c r="BFO64" s="95"/>
      <c r="BFP64" s="95"/>
      <c r="BFQ64" s="95"/>
      <c r="BFR64" s="95"/>
      <c r="BFS64" s="95"/>
      <c r="BFT64" s="95"/>
      <c r="BFU64" s="95"/>
      <c r="BFV64" s="95"/>
      <c r="BFW64" s="95"/>
      <c r="BFX64" s="95"/>
      <c r="BFY64" s="95"/>
      <c r="BFZ64" s="95"/>
      <c r="BGA64" s="95"/>
      <c r="BGB64" s="95"/>
      <c r="BGC64" s="95"/>
      <c r="BGD64" s="95"/>
      <c r="BGE64" s="95"/>
      <c r="BGF64" s="95"/>
      <c r="BGG64" s="95"/>
      <c r="BGH64" s="95"/>
      <c r="BGI64" s="95"/>
      <c r="BGJ64" s="95"/>
      <c r="BGK64" s="95"/>
      <c r="BGL64" s="95"/>
      <c r="BGM64" s="95"/>
      <c r="BGN64" s="95"/>
      <c r="BGO64" s="95"/>
      <c r="BGP64" s="95"/>
      <c r="BGQ64" s="95"/>
      <c r="BGR64" s="95"/>
      <c r="BGS64" s="95"/>
      <c r="BGT64" s="95"/>
      <c r="BGU64" s="95"/>
      <c r="BGV64" s="95"/>
      <c r="BGW64" s="95"/>
      <c r="BGX64" s="95"/>
      <c r="BGY64" s="95"/>
      <c r="BGZ64" s="95"/>
      <c r="BHA64" s="95"/>
      <c r="BHB64" s="95"/>
      <c r="BHC64" s="95"/>
      <c r="BHD64" s="95"/>
      <c r="BHE64" s="95"/>
      <c r="BHF64" s="95"/>
      <c r="BHG64" s="95"/>
      <c r="BHH64" s="95"/>
      <c r="BHI64" s="95"/>
      <c r="BHJ64" s="95"/>
      <c r="BHK64" s="95"/>
      <c r="BHL64" s="95"/>
      <c r="BHM64" s="95"/>
      <c r="BHN64" s="95"/>
      <c r="BHO64" s="95"/>
      <c r="BHP64" s="95"/>
      <c r="BHQ64" s="95"/>
      <c r="BHR64" s="95"/>
      <c r="BHS64" s="95"/>
      <c r="BHT64" s="95"/>
      <c r="BHU64" s="95"/>
      <c r="BHV64" s="95"/>
      <c r="BHW64" s="95"/>
      <c r="BHX64" s="95"/>
      <c r="BHY64" s="95"/>
      <c r="BHZ64" s="95"/>
      <c r="BIA64" s="95"/>
      <c r="BIB64" s="95"/>
      <c r="BIC64" s="95"/>
      <c r="BID64" s="95"/>
      <c r="BIE64" s="95"/>
      <c r="BIF64" s="95"/>
      <c r="BIG64" s="95"/>
      <c r="BIH64" s="95"/>
      <c r="BII64" s="95"/>
      <c r="BIJ64" s="95"/>
      <c r="BIK64" s="95"/>
      <c r="BIL64" s="95"/>
      <c r="BIM64" s="95"/>
      <c r="BIN64" s="95"/>
      <c r="BIO64" s="95"/>
      <c r="BIP64" s="95"/>
      <c r="BIQ64" s="95"/>
      <c r="BIR64" s="95"/>
      <c r="BIS64" s="95"/>
      <c r="BIT64" s="95"/>
      <c r="BIU64" s="95"/>
      <c r="BIV64" s="95"/>
      <c r="BIW64" s="95"/>
      <c r="BIX64" s="95"/>
      <c r="BIY64" s="95"/>
      <c r="BIZ64" s="95"/>
      <c r="BJA64" s="95"/>
      <c r="BJB64" s="95"/>
      <c r="BJC64" s="95"/>
      <c r="BJD64" s="95"/>
      <c r="BJE64" s="95"/>
      <c r="BJF64" s="95"/>
      <c r="BJG64" s="95"/>
      <c r="BJH64" s="95"/>
      <c r="BJI64" s="95"/>
      <c r="BJJ64" s="95"/>
      <c r="BJK64" s="95"/>
      <c r="BJL64" s="95"/>
      <c r="BJM64" s="95"/>
      <c r="BJN64" s="95"/>
      <c r="BJO64" s="95"/>
      <c r="BJP64" s="95"/>
      <c r="BJQ64" s="95"/>
      <c r="BJR64" s="95"/>
      <c r="BJS64" s="95"/>
      <c r="BJT64" s="95"/>
      <c r="BJU64" s="95"/>
      <c r="BJV64" s="95"/>
      <c r="BJW64" s="95"/>
      <c r="BJX64" s="95"/>
      <c r="BJY64" s="95"/>
      <c r="BJZ64" s="95"/>
      <c r="BKA64" s="95"/>
      <c r="BKB64" s="95"/>
      <c r="BKC64" s="95"/>
      <c r="BKD64" s="95"/>
      <c r="BKE64" s="95"/>
      <c r="BKF64" s="95"/>
      <c r="BKG64" s="95"/>
      <c r="BKH64" s="95"/>
      <c r="BKI64" s="95"/>
      <c r="BKJ64" s="95"/>
      <c r="BKK64" s="95"/>
      <c r="BKL64" s="95"/>
      <c r="BKM64" s="95"/>
      <c r="BKN64" s="95"/>
      <c r="BKO64" s="95"/>
      <c r="BKP64" s="95"/>
      <c r="BKQ64" s="95"/>
      <c r="BKR64" s="95"/>
      <c r="BKS64" s="95"/>
      <c r="BKT64" s="95"/>
      <c r="BKU64" s="95"/>
      <c r="BKV64" s="95"/>
      <c r="BKW64" s="95"/>
      <c r="BKX64" s="95"/>
      <c r="BKY64" s="95"/>
      <c r="BKZ64" s="95"/>
      <c r="BLA64" s="95"/>
      <c r="BLB64" s="95"/>
      <c r="BLC64" s="95"/>
      <c r="BLD64" s="95"/>
      <c r="BLE64" s="95"/>
      <c r="BLF64" s="95"/>
      <c r="BLG64" s="95"/>
      <c r="BLH64" s="95"/>
      <c r="BLI64" s="95"/>
      <c r="BLJ64" s="95"/>
      <c r="BLK64" s="95"/>
      <c r="BLL64" s="95"/>
      <c r="BLM64" s="95"/>
      <c r="BLN64" s="95"/>
      <c r="BLO64" s="95"/>
      <c r="BLP64" s="95"/>
      <c r="BLQ64" s="95"/>
      <c r="BLR64" s="95"/>
      <c r="BLS64" s="95"/>
      <c r="BLT64" s="95"/>
      <c r="BLU64" s="95"/>
      <c r="BLV64" s="95"/>
      <c r="BLW64" s="95"/>
      <c r="BLX64" s="95"/>
      <c r="BLY64" s="95"/>
      <c r="BLZ64" s="95"/>
      <c r="BMA64" s="95"/>
      <c r="BMB64" s="95"/>
      <c r="BMC64" s="95"/>
      <c r="BMD64" s="95"/>
      <c r="BME64" s="95"/>
      <c r="BMF64" s="95"/>
      <c r="BMG64" s="95"/>
      <c r="BMH64" s="95"/>
      <c r="BMI64" s="95"/>
      <c r="BMJ64" s="95"/>
      <c r="BMK64" s="95"/>
      <c r="BML64" s="95"/>
      <c r="BMM64" s="95"/>
      <c r="BMN64" s="95"/>
      <c r="BMO64" s="95"/>
      <c r="BMP64" s="95"/>
      <c r="BMQ64" s="95"/>
      <c r="BMR64" s="95"/>
      <c r="BMS64" s="95"/>
      <c r="BMT64" s="95"/>
      <c r="BMU64" s="95"/>
      <c r="BMV64" s="95"/>
      <c r="BMW64" s="95"/>
      <c r="BMX64" s="95"/>
      <c r="BMY64" s="95"/>
      <c r="BMZ64" s="95"/>
      <c r="BNA64" s="95"/>
      <c r="BNB64" s="95"/>
      <c r="BNC64" s="95"/>
      <c r="BND64" s="95"/>
      <c r="BNE64" s="95"/>
      <c r="BNF64" s="95"/>
      <c r="BNG64" s="95"/>
      <c r="BNH64" s="95"/>
      <c r="BNI64" s="95"/>
      <c r="BNJ64" s="95"/>
      <c r="BNK64" s="95"/>
      <c r="BNL64" s="95"/>
      <c r="BNM64" s="95"/>
      <c r="BNN64" s="95"/>
      <c r="BNO64" s="95"/>
      <c r="BNP64" s="95"/>
      <c r="BNQ64" s="95"/>
      <c r="BNR64" s="95"/>
      <c r="BNS64" s="95"/>
      <c r="BNT64" s="95"/>
      <c r="BNU64" s="95"/>
      <c r="BNV64" s="95"/>
      <c r="BNW64" s="95"/>
      <c r="BNX64" s="95"/>
      <c r="BNY64" s="95"/>
      <c r="BNZ64" s="95"/>
      <c r="BOA64" s="95"/>
      <c r="BOB64" s="95"/>
      <c r="BOC64" s="95"/>
      <c r="BOD64" s="95"/>
      <c r="BOE64" s="95"/>
      <c r="BOF64" s="95"/>
      <c r="BOG64" s="95"/>
      <c r="BOH64" s="95"/>
      <c r="BOI64" s="95"/>
      <c r="BOJ64" s="95"/>
      <c r="BOK64" s="95"/>
      <c r="BOL64" s="95"/>
      <c r="BOM64" s="95"/>
      <c r="BON64" s="95"/>
      <c r="BOO64" s="95"/>
      <c r="BOP64" s="95"/>
      <c r="BOQ64" s="95"/>
      <c r="BOR64" s="95"/>
      <c r="BOS64" s="95"/>
      <c r="BOT64" s="95"/>
      <c r="BOU64" s="95"/>
      <c r="BOV64" s="95"/>
      <c r="BOW64" s="95"/>
      <c r="BOX64" s="95"/>
      <c r="BOY64" s="95"/>
      <c r="BOZ64" s="95"/>
      <c r="BPA64" s="95"/>
      <c r="BPB64" s="95"/>
      <c r="BPC64" s="95"/>
      <c r="BPD64" s="95"/>
      <c r="BPE64" s="95"/>
      <c r="BPF64" s="95"/>
      <c r="BPG64" s="95"/>
      <c r="BPH64" s="95"/>
      <c r="BPI64" s="95"/>
      <c r="BPJ64" s="95"/>
      <c r="BPK64" s="95"/>
      <c r="BPL64" s="95"/>
      <c r="BPM64" s="95"/>
      <c r="BPN64" s="95"/>
      <c r="BPO64" s="95"/>
      <c r="BPP64" s="95"/>
      <c r="BPQ64" s="95"/>
      <c r="BPR64" s="95"/>
      <c r="BPS64" s="95"/>
      <c r="BPT64" s="95"/>
      <c r="BPU64" s="95"/>
      <c r="BPV64" s="95"/>
      <c r="BPW64" s="95"/>
      <c r="BPX64" s="95"/>
      <c r="BPY64" s="95"/>
      <c r="BPZ64" s="95"/>
      <c r="BQA64" s="95"/>
      <c r="BQB64" s="95"/>
      <c r="BQC64" s="95"/>
      <c r="BQD64" s="95"/>
      <c r="BQE64" s="95"/>
      <c r="BQF64" s="95"/>
      <c r="BQG64" s="95"/>
      <c r="BQH64" s="95"/>
      <c r="BQI64" s="95"/>
      <c r="BQJ64" s="95"/>
      <c r="BQK64" s="95"/>
      <c r="BQL64" s="95"/>
      <c r="BQM64" s="95"/>
      <c r="BQN64" s="95"/>
      <c r="BQO64" s="95"/>
      <c r="BQP64" s="95"/>
      <c r="BQQ64" s="95"/>
      <c r="BQR64" s="95"/>
      <c r="BQS64" s="95"/>
      <c r="BQT64" s="95"/>
      <c r="BQU64" s="95"/>
      <c r="BQV64" s="95"/>
      <c r="BQW64" s="95"/>
      <c r="BQX64" s="95"/>
      <c r="BQY64" s="95"/>
      <c r="BQZ64" s="95"/>
      <c r="BRA64" s="95"/>
      <c r="BRB64" s="95"/>
      <c r="BRC64" s="95"/>
      <c r="BRD64" s="95"/>
      <c r="BRE64" s="95"/>
      <c r="BRF64" s="95"/>
      <c r="BRG64" s="95"/>
      <c r="BRH64" s="95"/>
      <c r="BRI64" s="95"/>
      <c r="BRJ64" s="95"/>
      <c r="BRK64" s="95"/>
      <c r="BRL64" s="95"/>
      <c r="BRM64" s="95"/>
      <c r="BRN64" s="95"/>
      <c r="BRO64" s="95"/>
      <c r="BRP64" s="95"/>
      <c r="BRQ64" s="95"/>
      <c r="BRR64" s="95"/>
      <c r="BRS64" s="95"/>
      <c r="BRT64" s="95"/>
      <c r="BRU64" s="95"/>
      <c r="BRV64" s="95"/>
      <c r="BRW64" s="95"/>
      <c r="BRX64" s="95"/>
      <c r="BRY64" s="95"/>
      <c r="BRZ64" s="95"/>
      <c r="BSA64" s="95"/>
      <c r="BSB64" s="95"/>
      <c r="BSC64" s="95"/>
      <c r="BSD64" s="95"/>
      <c r="BSE64" s="95"/>
      <c r="BSF64" s="95"/>
      <c r="BSG64" s="95"/>
      <c r="BSH64" s="95"/>
      <c r="BSI64" s="95"/>
      <c r="BSJ64" s="95"/>
      <c r="BSK64" s="95"/>
      <c r="BSL64" s="95"/>
      <c r="BSM64" s="95"/>
      <c r="BSN64" s="95"/>
      <c r="BSO64" s="95"/>
      <c r="BSP64" s="95"/>
      <c r="BSQ64" s="95"/>
      <c r="BSR64" s="95"/>
      <c r="BSS64" s="95"/>
      <c r="BST64" s="95"/>
      <c r="BSU64" s="95"/>
      <c r="BSV64" s="95"/>
      <c r="BSW64" s="95"/>
      <c r="BSX64" s="95"/>
      <c r="BSY64" s="95"/>
      <c r="BSZ64" s="95"/>
      <c r="BTA64" s="95"/>
      <c r="BTB64" s="95"/>
      <c r="BTC64" s="95"/>
      <c r="BTD64" s="95"/>
      <c r="BTE64" s="95"/>
      <c r="BTF64" s="95"/>
      <c r="BTG64" s="95"/>
      <c r="BTH64" s="95"/>
      <c r="BTI64" s="95"/>
      <c r="BTJ64" s="95"/>
      <c r="BTK64" s="95"/>
      <c r="BTL64" s="95"/>
      <c r="BTM64" s="95"/>
      <c r="BTN64" s="95"/>
      <c r="BTO64" s="95"/>
      <c r="BTP64" s="95"/>
      <c r="BTQ64" s="95"/>
      <c r="BTR64" s="95"/>
      <c r="BTS64" s="95"/>
      <c r="BTT64" s="95"/>
      <c r="BTU64" s="95"/>
      <c r="BTV64" s="95"/>
      <c r="BTW64" s="95"/>
      <c r="BTX64" s="95"/>
      <c r="BTY64" s="95"/>
      <c r="BTZ64" s="95"/>
      <c r="BUA64" s="95"/>
      <c r="BUB64" s="95"/>
      <c r="BUC64" s="95"/>
      <c r="BUD64" s="95"/>
      <c r="BUE64" s="95"/>
      <c r="BUF64" s="95"/>
      <c r="BUG64" s="95"/>
      <c r="BUH64" s="95"/>
      <c r="BUI64" s="95"/>
      <c r="BUJ64" s="95"/>
      <c r="BUK64" s="95"/>
      <c r="BUL64" s="95"/>
      <c r="BUM64" s="95"/>
      <c r="BUN64" s="95"/>
      <c r="BUO64" s="95"/>
      <c r="BUP64" s="95"/>
      <c r="BUQ64" s="95"/>
      <c r="BUR64" s="95"/>
      <c r="BUS64" s="95"/>
      <c r="BUT64" s="95"/>
      <c r="BUU64" s="95"/>
      <c r="BUV64" s="95"/>
      <c r="BUW64" s="95"/>
      <c r="BUX64" s="95"/>
      <c r="BUY64" s="95"/>
      <c r="BUZ64" s="95"/>
      <c r="BVA64" s="95"/>
      <c r="BVB64" s="95"/>
      <c r="BVC64" s="95"/>
      <c r="BVD64" s="95"/>
      <c r="BVE64" s="95"/>
      <c r="BVF64" s="95"/>
      <c r="BVG64" s="95"/>
      <c r="BVH64" s="95"/>
      <c r="BVI64" s="95"/>
      <c r="BVJ64" s="95"/>
      <c r="BVK64" s="95"/>
      <c r="BVL64" s="95"/>
      <c r="BVM64" s="95"/>
      <c r="BVN64" s="95"/>
      <c r="BVO64" s="95"/>
      <c r="BVP64" s="95"/>
      <c r="BVQ64" s="95"/>
      <c r="BVR64" s="95"/>
      <c r="BVS64" s="95"/>
      <c r="BVT64" s="95"/>
      <c r="BVU64" s="95"/>
      <c r="BVV64" s="95"/>
      <c r="BVW64" s="95"/>
      <c r="BVX64" s="95"/>
      <c r="BVY64" s="95"/>
      <c r="BVZ64" s="95"/>
      <c r="BWA64" s="95"/>
      <c r="BWB64" s="95"/>
      <c r="BWC64" s="95"/>
      <c r="BWD64" s="95"/>
      <c r="BWE64" s="95"/>
      <c r="BWF64" s="95"/>
      <c r="BWG64" s="95"/>
      <c r="BWH64" s="95"/>
      <c r="BWI64" s="95"/>
      <c r="BWJ64" s="95"/>
      <c r="BWK64" s="95"/>
      <c r="BWL64" s="95"/>
      <c r="BWM64" s="95"/>
      <c r="BWN64" s="95"/>
      <c r="BWO64" s="95"/>
      <c r="BWP64" s="95"/>
      <c r="BWQ64" s="95"/>
      <c r="BWR64" s="95"/>
      <c r="BWS64" s="95"/>
      <c r="BWT64" s="95"/>
      <c r="BWU64" s="95"/>
      <c r="BWV64" s="95"/>
      <c r="BWW64" s="95"/>
      <c r="BWX64" s="95"/>
      <c r="BWY64" s="95"/>
      <c r="BWZ64" s="95"/>
      <c r="BXA64" s="95"/>
      <c r="BXB64" s="95"/>
      <c r="BXC64" s="95"/>
      <c r="BXD64" s="95"/>
      <c r="BXE64" s="95"/>
      <c r="BXF64" s="95"/>
      <c r="BXG64" s="95"/>
      <c r="BXH64" s="95"/>
      <c r="BXI64" s="95"/>
      <c r="BXJ64" s="95"/>
      <c r="BXK64" s="95"/>
      <c r="BXL64" s="95"/>
      <c r="BXM64" s="95"/>
      <c r="BXN64" s="95"/>
      <c r="BXO64" s="95"/>
      <c r="BXP64" s="95"/>
      <c r="BXQ64" s="95"/>
      <c r="BXR64" s="95"/>
      <c r="BXS64" s="95"/>
      <c r="BXT64" s="95"/>
      <c r="BXU64" s="95"/>
      <c r="BXV64" s="95"/>
      <c r="BXW64" s="95"/>
      <c r="BXX64" s="95"/>
      <c r="BXY64" s="95"/>
      <c r="BXZ64" s="95"/>
      <c r="BYA64" s="95"/>
      <c r="BYB64" s="95"/>
      <c r="BYC64" s="95"/>
      <c r="BYD64" s="95"/>
      <c r="BYE64" s="95"/>
      <c r="BYF64" s="95"/>
      <c r="BYG64" s="95"/>
    </row>
    <row r="65" spans="1:2009" s="229" customFormat="1" ht="24.95" customHeight="1" thickBot="1" x14ac:dyDescent="0.3">
      <c r="A65" s="228"/>
      <c r="B65" s="478" t="s">
        <v>409</v>
      </c>
      <c r="C65" s="286">
        <f>SUM(C8+C14+C23+C27+C32+C43+C55)+C36+C50+C59+C61+C57+C63</f>
        <v>157697.14666666667</v>
      </c>
      <c r="D65" s="286">
        <f>SUM(D8+D14+D23+D27+D32+D43+D55)+D36+D50+D59+D57+D61</f>
        <v>133469.66999999998</v>
      </c>
      <c r="E65" s="286">
        <f>SUM(E8+E14+E23+E27+E32+E43+E55)+E36+E50+E59</f>
        <v>94720.599999999991</v>
      </c>
      <c r="F65" s="286">
        <f>SUM(F8+F14+F23+F27+F32+F43+F55)+F36+F50+F59</f>
        <v>0</v>
      </c>
      <c r="G65" s="740">
        <f>SUM(G8+G14+G23+G27+G32+G43+G55)+G36+G50+G59+G61+G57+G63</f>
        <v>385887.41667000001</v>
      </c>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198"/>
      <c r="CX65" s="198"/>
      <c r="CY65" s="198"/>
      <c r="CZ65" s="198"/>
      <c r="DA65" s="198"/>
      <c r="DB65" s="198"/>
      <c r="DC65" s="198"/>
      <c r="DD65" s="198"/>
      <c r="DE65" s="198"/>
      <c r="DF65" s="198"/>
      <c r="DG65" s="198"/>
      <c r="DH65" s="198"/>
      <c r="DI65" s="198"/>
      <c r="DJ65" s="198"/>
      <c r="DK65" s="198"/>
      <c r="DL65" s="198"/>
      <c r="DM65" s="198"/>
      <c r="DN65" s="198"/>
      <c r="DO65" s="198"/>
      <c r="DP65" s="198"/>
      <c r="DQ65" s="198"/>
      <c r="DR65" s="198"/>
      <c r="DS65" s="198"/>
      <c r="DT65" s="198"/>
      <c r="DU65" s="198"/>
      <c r="DV65" s="198"/>
      <c r="DW65" s="198"/>
      <c r="DX65" s="198"/>
      <c r="DY65" s="198"/>
      <c r="DZ65" s="198"/>
      <c r="EA65" s="198"/>
      <c r="EB65" s="198"/>
      <c r="EC65" s="198"/>
      <c r="ED65" s="198"/>
      <c r="EE65" s="198"/>
      <c r="EF65" s="198"/>
      <c r="EG65" s="198"/>
      <c r="EH65" s="198"/>
      <c r="EI65" s="198"/>
      <c r="EJ65" s="198"/>
      <c r="EK65" s="198"/>
      <c r="EL65" s="198"/>
      <c r="EM65" s="198"/>
      <c r="EN65" s="198"/>
      <c r="EO65" s="198"/>
      <c r="EP65" s="198"/>
      <c r="EQ65" s="198"/>
      <c r="ER65" s="198"/>
      <c r="ES65" s="198"/>
      <c r="ET65" s="198"/>
      <c r="EU65" s="198"/>
      <c r="EV65" s="198"/>
      <c r="EW65" s="198"/>
      <c r="EX65" s="198"/>
      <c r="EY65" s="198"/>
      <c r="EZ65" s="198"/>
      <c r="FA65" s="198"/>
      <c r="FB65" s="198"/>
      <c r="FC65" s="198"/>
      <c r="FD65" s="198"/>
      <c r="FE65" s="198"/>
      <c r="FF65" s="198"/>
      <c r="FG65" s="198"/>
      <c r="FH65" s="198"/>
      <c r="FI65" s="198"/>
      <c r="FJ65" s="198"/>
      <c r="FK65" s="198"/>
      <c r="FL65" s="198"/>
      <c r="FM65" s="198"/>
      <c r="FN65" s="198"/>
      <c r="FO65" s="198"/>
      <c r="FP65" s="198"/>
      <c r="FQ65" s="198"/>
      <c r="FR65" s="198"/>
      <c r="FS65" s="198"/>
      <c r="FT65" s="198"/>
      <c r="FU65" s="198"/>
      <c r="FV65" s="198"/>
      <c r="FW65" s="198"/>
      <c r="FX65" s="198"/>
      <c r="FY65" s="198"/>
      <c r="FZ65" s="198"/>
      <c r="GA65" s="198"/>
      <c r="GB65" s="198"/>
      <c r="GC65" s="198"/>
      <c r="GD65" s="198"/>
      <c r="GE65" s="198"/>
      <c r="GF65" s="198"/>
      <c r="GG65" s="198"/>
      <c r="GH65" s="198"/>
      <c r="GI65" s="198"/>
      <c r="GJ65" s="198"/>
      <c r="GK65" s="198"/>
      <c r="GL65" s="198"/>
      <c r="GM65" s="198"/>
      <c r="GN65" s="198"/>
      <c r="GO65" s="198"/>
      <c r="GP65" s="198"/>
      <c r="GQ65" s="198"/>
      <c r="GR65" s="198"/>
      <c r="GS65" s="198"/>
      <c r="GT65" s="198"/>
      <c r="GU65" s="198"/>
      <c r="GV65" s="198"/>
      <c r="GW65" s="198"/>
      <c r="GX65" s="198"/>
      <c r="GY65" s="198"/>
      <c r="GZ65" s="198"/>
      <c r="HA65" s="198"/>
      <c r="HB65" s="198"/>
      <c r="HC65" s="198"/>
      <c r="HD65" s="198"/>
      <c r="HE65" s="198"/>
      <c r="HF65" s="198"/>
      <c r="HG65" s="198"/>
      <c r="HH65" s="198"/>
      <c r="HI65" s="198"/>
      <c r="HJ65" s="198"/>
      <c r="HK65" s="198"/>
      <c r="HL65" s="198"/>
      <c r="HM65" s="198"/>
      <c r="HN65" s="198"/>
      <c r="HO65" s="198"/>
      <c r="HP65" s="198"/>
      <c r="HQ65" s="198"/>
      <c r="HR65" s="198"/>
      <c r="HS65" s="198"/>
      <c r="HT65" s="198"/>
      <c r="HU65" s="198"/>
      <c r="HV65" s="198"/>
      <c r="HW65" s="198"/>
      <c r="HX65" s="198"/>
      <c r="HY65" s="198"/>
      <c r="HZ65" s="198"/>
      <c r="IA65" s="198"/>
      <c r="IB65" s="198"/>
      <c r="IC65" s="198"/>
      <c r="ID65" s="198"/>
      <c r="IE65" s="198"/>
      <c r="IF65" s="198"/>
      <c r="IG65" s="198"/>
      <c r="IH65" s="198"/>
      <c r="II65" s="198"/>
      <c r="IJ65" s="198"/>
      <c r="IK65" s="198"/>
      <c r="IL65" s="198"/>
      <c r="IM65" s="198"/>
      <c r="IN65" s="198"/>
      <c r="IO65" s="198"/>
      <c r="IP65" s="198"/>
      <c r="IQ65" s="198"/>
      <c r="IR65" s="198"/>
      <c r="IS65" s="198"/>
      <c r="IT65" s="198"/>
      <c r="IU65" s="198"/>
      <c r="IV65" s="198"/>
      <c r="IW65" s="198"/>
      <c r="IX65" s="198"/>
      <c r="IY65" s="198"/>
      <c r="IZ65" s="198"/>
      <c r="JA65" s="198"/>
      <c r="JB65" s="198"/>
      <c r="JC65" s="198"/>
      <c r="JD65" s="198"/>
      <c r="JE65" s="198"/>
      <c r="JF65" s="198"/>
      <c r="JG65" s="198"/>
      <c r="JH65" s="198"/>
      <c r="JI65" s="198"/>
      <c r="JJ65" s="198"/>
      <c r="JK65" s="198"/>
      <c r="JL65" s="198"/>
      <c r="JM65" s="198"/>
      <c r="JN65" s="198"/>
      <c r="JO65" s="198"/>
      <c r="JP65" s="198"/>
      <c r="JQ65" s="198"/>
      <c r="JR65" s="198"/>
      <c r="JS65" s="198"/>
      <c r="JT65" s="198"/>
      <c r="JU65" s="198"/>
      <c r="JV65" s="198"/>
      <c r="JW65" s="198"/>
      <c r="JX65" s="198"/>
      <c r="JY65" s="198"/>
      <c r="JZ65" s="198"/>
      <c r="KA65" s="198"/>
      <c r="KB65" s="198"/>
      <c r="KC65" s="198"/>
      <c r="KD65" s="198"/>
      <c r="KE65" s="198"/>
      <c r="KF65" s="198"/>
      <c r="KG65" s="198"/>
      <c r="KH65" s="198"/>
      <c r="KI65" s="198"/>
      <c r="KJ65" s="198"/>
      <c r="KK65" s="198"/>
      <c r="KL65" s="198"/>
      <c r="KM65" s="198"/>
      <c r="KN65" s="198"/>
      <c r="KO65" s="198"/>
      <c r="KP65" s="198"/>
      <c r="KQ65" s="198"/>
      <c r="KR65" s="198"/>
      <c r="KS65" s="198"/>
      <c r="KT65" s="198"/>
      <c r="KU65" s="198"/>
      <c r="KV65" s="198"/>
      <c r="KW65" s="198"/>
      <c r="KX65" s="198"/>
      <c r="KY65" s="198"/>
      <c r="KZ65" s="198"/>
      <c r="LA65" s="198"/>
      <c r="LB65" s="198"/>
      <c r="LC65" s="198"/>
      <c r="LD65" s="198"/>
      <c r="LE65" s="198"/>
      <c r="LF65" s="198"/>
      <c r="LG65" s="198"/>
      <c r="LH65" s="198"/>
      <c r="LI65" s="198"/>
      <c r="LJ65" s="198"/>
      <c r="LK65" s="198"/>
      <c r="LL65" s="198"/>
      <c r="LM65" s="198"/>
      <c r="LN65" s="198"/>
      <c r="LO65" s="198"/>
      <c r="LP65" s="198"/>
      <c r="LQ65" s="198"/>
      <c r="LR65" s="198"/>
      <c r="LS65" s="198"/>
      <c r="LT65" s="198"/>
      <c r="LU65" s="198"/>
      <c r="LV65" s="198"/>
      <c r="LW65" s="198"/>
      <c r="LX65" s="198"/>
      <c r="LY65" s="198"/>
      <c r="LZ65" s="198"/>
      <c r="MA65" s="198"/>
      <c r="MB65" s="198"/>
      <c r="MC65" s="198"/>
      <c r="MD65" s="198"/>
      <c r="ME65" s="198"/>
      <c r="MF65" s="198"/>
      <c r="MG65" s="198"/>
      <c r="MH65" s="198"/>
      <c r="MI65" s="198"/>
      <c r="MJ65" s="198"/>
      <c r="MK65" s="198"/>
      <c r="ML65" s="198"/>
      <c r="MM65" s="198"/>
      <c r="MN65" s="198"/>
      <c r="MO65" s="198"/>
      <c r="MP65" s="198"/>
      <c r="MQ65" s="198"/>
      <c r="MR65" s="198"/>
      <c r="MS65" s="198"/>
      <c r="MT65" s="198"/>
      <c r="MU65" s="198"/>
      <c r="MV65" s="198"/>
      <c r="MW65" s="198"/>
      <c r="MX65" s="198"/>
      <c r="MY65" s="198"/>
      <c r="MZ65" s="198"/>
      <c r="NA65" s="198"/>
      <c r="NB65" s="198"/>
      <c r="NC65" s="198"/>
      <c r="ND65" s="198"/>
      <c r="NE65" s="198"/>
      <c r="NF65" s="198"/>
      <c r="NG65" s="198"/>
      <c r="NH65" s="198"/>
      <c r="NI65" s="198"/>
      <c r="NJ65" s="198"/>
      <c r="NK65" s="198"/>
      <c r="NL65" s="198"/>
      <c r="NM65" s="198"/>
      <c r="NN65" s="198"/>
      <c r="NO65" s="198"/>
      <c r="NP65" s="198"/>
      <c r="NQ65" s="198"/>
      <c r="NR65" s="198"/>
      <c r="NS65" s="198"/>
      <c r="NT65" s="198"/>
      <c r="NU65" s="198"/>
      <c r="NV65" s="198"/>
      <c r="NW65" s="198"/>
      <c r="NX65" s="198"/>
      <c r="NY65" s="198"/>
      <c r="NZ65" s="198"/>
      <c r="OA65" s="198"/>
      <c r="OB65" s="198"/>
      <c r="OC65" s="198"/>
      <c r="OD65" s="198"/>
      <c r="OE65" s="198"/>
      <c r="OF65" s="198"/>
      <c r="OG65" s="198"/>
      <c r="OH65" s="198"/>
      <c r="OI65" s="198"/>
      <c r="OJ65" s="198"/>
      <c r="OK65" s="198"/>
      <c r="OL65" s="198"/>
      <c r="OM65" s="198"/>
      <c r="ON65" s="198"/>
      <c r="OO65" s="198"/>
      <c r="OP65" s="198"/>
      <c r="OQ65" s="198"/>
      <c r="OR65" s="198"/>
      <c r="OS65" s="198"/>
      <c r="OT65" s="198"/>
      <c r="OU65" s="198"/>
      <c r="OV65" s="198"/>
      <c r="OW65" s="198"/>
      <c r="OX65" s="198"/>
      <c r="OY65" s="198"/>
      <c r="OZ65" s="198"/>
      <c r="PA65" s="198"/>
      <c r="PB65" s="198"/>
      <c r="PC65" s="198"/>
      <c r="PD65" s="198"/>
      <c r="PE65" s="198"/>
      <c r="PF65" s="198"/>
      <c r="PG65" s="198"/>
      <c r="PH65" s="198"/>
      <c r="PI65" s="198"/>
      <c r="PJ65" s="198"/>
      <c r="PK65" s="198"/>
      <c r="PL65" s="198"/>
      <c r="PM65" s="198"/>
      <c r="PN65" s="198"/>
      <c r="PO65" s="198"/>
      <c r="PP65" s="198"/>
      <c r="PQ65" s="198"/>
      <c r="PR65" s="198"/>
      <c r="PS65" s="198"/>
      <c r="PT65" s="198"/>
      <c r="PU65" s="198"/>
      <c r="PV65" s="198"/>
      <c r="PW65" s="198"/>
      <c r="PX65" s="198"/>
      <c r="PY65" s="198"/>
      <c r="PZ65" s="198"/>
      <c r="QA65" s="198"/>
      <c r="QB65" s="198"/>
      <c r="QC65" s="198"/>
      <c r="QD65" s="198"/>
      <c r="QE65" s="198"/>
      <c r="QF65" s="198"/>
      <c r="QG65" s="198"/>
      <c r="QH65" s="198"/>
      <c r="QI65" s="198"/>
      <c r="QJ65" s="198"/>
      <c r="QK65" s="198"/>
      <c r="QL65" s="198"/>
      <c r="QM65" s="198"/>
      <c r="QN65" s="198"/>
      <c r="QO65" s="198"/>
      <c r="QP65" s="198"/>
      <c r="QQ65" s="198"/>
      <c r="QR65" s="198"/>
      <c r="QS65" s="198"/>
      <c r="QT65" s="198"/>
      <c r="QU65" s="198"/>
      <c r="QV65" s="198"/>
      <c r="QW65" s="198"/>
      <c r="QX65" s="198"/>
      <c r="QY65" s="198"/>
      <c r="QZ65" s="198"/>
      <c r="RA65" s="198"/>
      <c r="RB65" s="198"/>
      <c r="RC65" s="198"/>
      <c r="RD65" s="198"/>
      <c r="RE65" s="198"/>
      <c r="RF65" s="198"/>
      <c r="RG65" s="198"/>
      <c r="RH65" s="198"/>
      <c r="RI65" s="198"/>
      <c r="RJ65" s="198"/>
      <c r="RK65" s="198"/>
      <c r="RL65" s="198"/>
      <c r="RM65" s="198"/>
      <c r="RN65" s="198"/>
      <c r="RO65" s="198"/>
      <c r="RP65" s="198"/>
      <c r="RQ65" s="198"/>
      <c r="RR65" s="198"/>
      <c r="RS65" s="198"/>
      <c r="RT65" s="198"/>
      <c r="RU65" s="198"/>
      <c r="RV65" s="198"/>
      <c r="RW65" s="198"/>
      <c r="RX65" s="198"/>
      <c r="RY65" s="198"/>
      <c r="RZ65" s="198"/>
      <c r="SA65" s="198"/>
      <c r="SB65" s="198"/>
      <c r="SC65" s="198"/>
      <c r="SD65" s="198"/>
      <c r="SE65" s="198"/>
      <c r="SF65" s="198"/>
      <c r="SG65" s="198"/>
      <c r="SH65" s="198"/>
      <c r="SI65" s="198"/>
      <c r="SJ65" s="198"/>
      <c r="SK65" s="198"/>
      <c r="SL65" s="198"/>
      <c r="SM65" s="198"/>
      <c r="SN65" s="198"/>
      <c r="SO65" s="198"/>
      <c r="SP65" s="198"/>
      <c r="SQ65" s="198"/>
      <c r="SR65" s="198"/>
      <c r="SS65" s="198"/>
      <c r="ST65" s="198"/>
      <c r="SU65" s="198"/>
      <c r="SV65" s="198"/>
      <c r="SW65" s="198"/>
      <c r="SX65" s="198"/>
      <c r="SY65" s="198"/>
      <c r="SZ65" s="198"/>
      <c r="TA65" s="198"/>
      <c r="TB65" s="198"/>
      <c r="TC65" s="198"/>
      <c r="TD65" s="198"/>
      <c r="TE65" s="198"/>
      <c r="TF65" s="198"/>
      <c r="TG65" s="198"/>
      <c r="TH65" s="198"/>
      <c r="TI65" s="198"/>
      <c r="TJ65" s="198"/>
      <c r="TK65" s="198"/>
      <c r="TL65" s="198"/>
      <c r="TM65" s="198"/>
      <c r="TN65" s="198"/>
      <c r="TO65" s="198"/>
      <c r="TP65" s="198"/>
      <c r="TQ65" s="198"/>
      <c r="TR65" s="198"/>
      <c r="TS65" s="198"/>
      <c r="TT65" s="198"/>
      <c r="TU65" s="198"/>
      <c r="TV65" s="198"/>
      <c r="TW65" s="198"/>
      <c r="TX65" s="198"/>
      <c r="TY65" s="198"/>
      <c r="TZ65" s="198"/>
      <c r="UA65" s="198"/>
      <c r="UB65" s="198"/>
      <c r="UC65" s="198"/>
      <c r="UD65" s="198"/>
      <c r="UE65" s="198"/>
      <c r="UF65" s="198"/>
      <c r="UG65" s="198"/>
      <c r="UH65" s="198"/>
      <c r="UI65" s="198"/>
      <c r="UJ65" s="198"/>
      <c r="UK65" s="198"/>
      <c r="UL65" s="198"/>
      <c r="UM65" s="198"/>
      <c r="UN65" s="198"/>
      <c r="UO65" s="198"/>
      <c r="UP65" s="198"/>
      <c r="UQ65" s="198"/>
      <c r="UR65" s="198"/>
      <c r="US65" s="198"/>
      <c r="UT65" s="198"/>
      <c r="UU65" s="198"/>
      <c r="UV65" s="198"/>
      <c r="UW65" s="198"/>
      <c r="UX65" s="198"/>
      <c r="UY65" s="198"/>
      <c r="UZ65" s="198"/>
      <c r="VA65" s="198"/>
      <c r="VB65" s="198"/>
      <c r="VC65" s="198"/>
      <c r="VD65" s="198"/>
      <c r="VE65" s="198"/>
      <c r="VF65" s="198"/>
      <c r="VG65" s="198"/>
      <c r="VH65" s="198"/>
      <c r="VI65" s="198"/>
      <c r="VJ65" s="198"/>
      <c r="VK65" s="198"/>
      <c r="VL65" s="198"/>
      <c r="VM65" s="198"/>
      <c r="VN65" s="198"/>
      <c r="VO65" s="198"/>
      <c r="VP65" s="198"/>
      <c r="VQ65" s="198"/>
      <c r="VR65" s="198"/>
      <c r="VS65" s="198"/>
      <c r="VT65" s="198"/>
      <c r="VU65" s="198"/>
      <c r="VV65" s="198"/>
      <c r="VW65" s="198"/>
      <c r="VX65" s="198"/>
      <c r="VY65" s="198"/>
      <c r="VZ65" s="198"/>
      <c r="WA65" s="198"/>
      <c r="WB65" s="198"/>
      <c r="WC65" s="198"/>
      <c r="WD65" s="198"/>
      <c r="WE65" s="198"/>
      <c r="WF65" s="198"/>
      <c r="WG65" s="198"/>
      <c r="WH65" s="198"/>
      <c r="WI65" s="198"/>
      <c r="WJ65" s="198"/>
      <c r="WK65" s="198"/>
      <c r="WL65" s="198"/>
      <c r="WM65" s="198"/>
      <c r="WN65" s="198"/>
      <c r="WO65" s="198"/>
      <c r="WP65" s="198"/>
      <c r="WQ65" s="198"/>
      <c r="WR65" s="198"/>
      <c r="WS65" s="198"/>
      <c r="WT65" s="198"/>
      <c r="WU65" s="198"/>
      <c r="WV65" s="198"/>
      <c r="WW65" s="198"/>
      <c r="WX65" s="198"/>
      <c r="WY65" s="198"/>
      <c r="WZ65" s="198"/>
      <c r="XA65" s="198"/>
      <c r="XB65" s="198"/>
      <c r="XC65" s="198"/>
      <c r="XD65" s="198"/>
      <c r="XE65" s="198"/>
      <c r="XF65" s="198"/>
      <c r="XG65" s="198"/>
      <c r="XH65" s="198"/>
      <c r="XI65" s="198"/>
      <c r="XJ65" s="198"/>
      <c r="XK65" s="198"/>
      <c r="XL65" s="198"/>
      <c r="XM65" s="198"/>
      <c r="XN65" s="198"/>
      <c r="XO65" s="198"/>
      <c r="XP65" s="198"/>
      <c r="XQ65" s="198"/>
      <c r="XR65" s="198"/>
      <c r="XS65" s="198"/>
      <c r="XT65" s="198"/>
      <c r="XU65" s="198"/>
      <c r="XV65" s="198"/>
      <c r="XW65" s="198"/>
      <c r="XX65" s="198"/>
      <c r="XY65" s="198"/>
      <c r="XZ65" s="198"/>
      <c r="YA65" s="198"/>
      <c r="YB65" s="198"/>
      <c r="YC65" s="198"/>
      <c r="YD65" s="198"/>
      <c r="YE65" s="198"/>
      <c r="YF65" s="198"/>
      <c r="YG65" s="198"/>
      <c r="YH65" s="198"/>
      <c r="YI65" s="198"/>
      <c r="YJ65" s="198"/>
      <c r="YK65" s="198"/>
      <c r="YL65" s="198"/>
      <c r="YM65" s="198"/>
      <c r="YN65" s="198"/>
      <c r="YO65" s="198"/>
      <c r="YP65" s="198"/>
      <c r="YQ65" s="198"/>
      <c r="YR65" s="198"/>
      <c r="YS65" s="198"/>
      <c r="YT65" s="198"/>
      <c r="YU65" s="198"/>
      <c r="YV65" s="198"/>
      <c r="YW65" s="198"/>
      <c r="YX65" s="198"/>
      <c r="YY65" s="198"/>
      <c r="YZ65" s="198"/>
      <c r="ZA65" s="198"/>
      <c r="ZB65" s="198"/>
      <c r="ZC65" s="198"/>
      <c r="ZD65" s="198"/>
      <c r="ZE65" s="198"/>
      <c r="ZF65" s="198"/>
      <c r="ZG65" s="198"/>
      <c r="ZH65" s="198"/>
      <c r="ZI65" s="198"/>
      <c r="ZJ65" s="198"/>
      <c r="ZK65" s="198"/>
      <c r="ZL65" s="198"/>
      <c r="ZM65" s="198"/>
      <c r="ZN65" s="198"/>
      <c r="ZO65" s="198"/>
      <c r="ZP65" s="198"/>
      <c r="ZQ65" s="198"/>
      <c r="ZR65" s="198"/>
      <c r="ZS65" s="198"/>
      <c r="ZT65" s="198"/>
      <c r="ZU65" s="198"/>
      <c r="ZV65" s="198"/>
      <c r="ZW65" s="198"/>
      <c r="ZX65" s="198"/>
      <c r="ZY65" s="198"/>
      <c r="ZZ65" s="198"/>
      <c r="AAA65" s="198"/>
      <c r="AAB65" s="198"/>
      <c r="AAC65" s="198"/>
      <c r="AAD65" s="198"/>
      <c r="AAE65" s="198"/>
      <c r="AAF65" s="198"/>
      <c r="AAG65" s="198"/>
      <c r="AAH65" s="198"/>
      <c r="AAI65" s="198"/>
      <c r="AAJ65" s="198"/>
      <c r="AAK65" s="198"/>
      <c r="AAL65" s="198"/>
      <c r="AAM65" s="198"/>
      <c r="AAN65" s="198"/>
      <c r="AAO65" s="198"/>
      <c r="AAP65" s="198"/>
      <c r="AAQ65" s="198"/>
      <c r="AAR65" s="198"/>
      <c r="AAS65" s="198"/>
      <c r="AAT65" s="198"/>
      <c r="AAU65" s="198"/>
      <c r="AAV65" s="198"/>
      <c r="AAW65" s="198"/>
      <c r="AAX65" s="198"/>
      <c r="AAY65" s="198"/>
      <c r="AAZ65" s="198"/>
      <c r="ABA65" s="198"/>
      <c r="ABB65" s="198"/>
      <c r="ABC65" s="198"/>
      <c r="ABD65" s="198"/>
      <c r="ABE65" s="198"/>
      <c r="ABF65" s="198"/>
      <c r="ABG65" s="198"/>
      <c r="ABH65" s="198"/>
      <c r="ABI65" s="198"/>
      <c r="ABJ65" s="198"/>
      <c r="ABK65" s="198"/>
      <c r="ABL65" s="198"/>
      <c r="ABM65" s="198"/>
      <c r="ABN65" s="198"/>
      <c r="ABO65" s="198"/>
      <c r="ABP65" s="198"/>
      <c r="ABQ65" s="198"/>
      <c r="ABR65" s="198"/>
      <c r="ABS65" s="198"/>
      <c r="ABT65" s="198"/>
      <c r="ABU65" s="198"/>
      <c r="ABV65" s="198"/>
      <c r="ABW65" s="198"/>
      <c r="ABX65" s="198"/>
      <c r="ABY65" s="198"/>
      <c r="ABZ65" s="198"/>
      <c r="ACA65" s="198"/>
      <c r="ACB65" s="198"/>
      <c r="ACC65" s="198"/>
      <c r="ACD65" s="198"/>
      <c r="ACE65" s="198"/>
      <c r="ACF65" s="198"/>
      <c r="ACG65" s="198"/>
      <c r="ACH65" s="198"/>
      <c r="ACI65" s="198"/>
      <c r="ACJ65" s="198"/>
      <c r="ACK65" s="198"/>
      <c r="ACL65" s="198"/>
      <c r="ACM65" s="198"/>
      <c r="ACN65" s="198"/>
      <c r="ACO65" s="198"/>
      <c r="ACP65" s="198"/>
      <c r="ACQ65" s="198"/>
      <c r="ACR65" s="198"/>
      <c r="ACS65" s="198"/>
      <c r="ACT65" s="198"/>
      <c r="ACU65" s="198"/>
      <c r="ACV65" s="198"/>
      <c r="ACW65" s="198"/>
      <c r="ACX65" s="198"/>
      <c r="ACY65" s="198"/>
      <c r="ACZ65" s="198"/>
      <c r="ADA65" s="198"/>
      <c r="ADB65" s="198"/>
      <c r="ADC65" s="198"/>
      <c r="ADD65" s="198"/>
      <c r="ADE65" s="198"/>
      <c r="ADF65" s="198"/>
      <c r="ADG65" s="198"/>
      <c r="ADH65" s="198"/>
      <c r="ADI65" s="198"/>
      <c r="ADJ65" s="198"/>
      <c r="ADK65" s="198"/>
      <c r="ADL65" s="198"/>
      <c r="ADM65" s="198"/>
      <c r="ADN65" s="198"/>
      <c r="ADO65" s="198"/>
      <c r="ADP65" s="198"/>
      <c r="ADQ65" s="198"/>
      <c r="ADR65" s="198"/>
      <c r="ADS65" s="198"/>
      <c r="ADT65" s="198"/>
      <c r="ADU65" s="198"/>
      <c r="ADV65" s="198"/>
      <c r="ADW65" s="198"/>
      <c r="ADX65" s="198"/>
      <c r="ADY65" s="198"/>
      <c r="ADZ65" s="198"/>
      <c r="AEA65" s="198"/>
      <c r="AEB65" s="198"/>
      <c r="AEC65" s="198"/>
      <c r="AED65" s="198"/>
      <c r="AEE65" s="198"/>
      <c r="AEF65" s="198"/>
      <c r="AEG65" s="198"/>
      <c r="AEH65" s="198"/>
      <c r="AEI65" s="198"/>
      <c r="AEJ65" s="198"/>
      <c r="AEK65" s="198"/>
      <c r="AEL65" s="198"/>
      <c r="AEM65" s="198"/>
      <c r="AEN65" s="198"/>
      <c r="AEO65" s="198"/>
      <c r="AEP65" s="198"/>
      <c r="AEQ65" s="198"/>
      <c r="AER65" s="198"/>
      <c r="AES65" s="198"/>
      <c r="AET65" s="198"/>
      <c r="AEU65" s="198"/>
      <c r="AEV65" s="198"/>
      <c r="AEW65" s="198"/>
      <c r="AEX65" s="198"/>
      <c r="AEY65" s="198"/>
      <c r="AEZ65" s="198"/>
      <c r="AFA65" s="198"/>
      <c r="AFB65" s="198"/>
      <c r="AFC65" s="198"/>
      <c r="AFD65" s="198"/>
      <c r="AFE65" s="198"/>
      <c r="AFF65" s="198"/>
      <c r="AFG65" s="198"/>
      <c r="AFH65" s="198"/>
      <c r="AFI65" s="198"/>
      <c r="AFJ65" s="198"/>
      <c r="AFK65" s="198"/>
      <c r="AFL65" s="198"/>
      <c r="AFM65" s="198"/>
      <c r="AFN65" s="198"/>
      <c r="AFO65" s="198"/>
      <c r="AFP65" s="198"/>
      <c r="AFQ65" s="198"/>
      <c r="AFR65" s="198"/>
      <c r="AFS65" s="198"/>
      <c r="AFT65" s="198"/>
      <c r="AFU65" s="198"/>
      <c r="AFV65" s="198"/>
      <c r="AFW65" s="198"/>
      <c r="AFX65" s="198"/>
      <c r="AFY65" s="198"/>
      <c r="AFZ65" s="198"/>
      <c r="AGA65" s="198"/>
      <c r="AGB65" s="198"/>
      <c r="AGC65" s="198"/>
      <c r="AGD65" s="198"/>
      <c r="AGE65" s="198"/>
      <c r="AGF65" s="198"/>
      <c r="AGG65" s="198"/>
      <c r="AGH65" s="198"/>
      <c r="AGI65" s="198"/>
      <c r="AGJ65" s="198"/>
      <c r="AGK65" s="198"/>
      <c r="AGL65" s="198"/>
      <c r="AGM65" s="198"/>
      <c r="AGN65" s="198"/>
      <c r="AGO65" s="198"/>
      <c r="AGP65" s="198"/>
      <c r="AGQ65" s="198"/>
      <c r="AGR65" s="198"/>
      <c r="AGS65" s="198"/>
      <c r="AGT65" s="198"/>
      <c r="AGU65" s="198"/>
      <c r="AGV65" s="198"/>
      <c r="AGW65" s="198"/>
      <c r="AGX65" s="198"/>
      <c r="AGY65" s="198"/>
      <c r="AGZ65" s="198"/>
      <c r="AHA65" s="198"/>
      <c r="AHB65" s="198"/>
      <c r="AHC65" s="198"/>
      <c r="AHD65" s="198"/>
      <c r="AHE65" s="198"/>
      <c r="AHF65" s="198"/>
      <c r="AHG65" s="198"/>
      <c r="AHH65" s="198"/>
      <c r="AHI65" s="198"/>
      <c r="AHJ65" s="198"/>
      <c r="AHK65" s="198"/>
      <c r="AHL65" s="198"/>
      <c r="AHM65" s="198"/>
      <c r="AHN65" s="198"/>
      <c r="AHO65" s="198"/>
      <c r="AHP65" s="198"/>
      <c r="AHQ65" s="198"/>
      <c r="AHR65" s="198"/>
      <c r="AHS65" s="198"/>
      <c r="AHT65" s="198"/>
      <c r="AHU65" s="198"/>
      <c r="AHV65" s="198"/>
      <c r="AHW65" s="198"/>
      <c r="AHX65" s="198"/>
      <c r="AHY65" s="198"/>
      <c r="AHZ65" s="198"/>
      <c r="AIA65" s="198"/>
      <c r="AIB65" s="198"/>
      <c r="AIC65" s="198"/>
      <c r="AID65" s="198"/>
      <c r="AIE65" s="198"/>
      <c r="AIF65" s="198"/>
      <c r="AIG65" s="198"/>
      <c r="AIH65" s="198"/>
      <c r="AII65" s="198"/>
      <c r="AIJ65" s="198"/>
      <c r="AIK65" s="198"/>
      <c r="AIL65" s="198"/>
      <c r="AIM65" s="198"/>
      <c r="AIN65" s="198"/>
      <c r="AIO65" s="198"/>
      <c r="AIP65" s="198"/>
      <c r="AIQ65" s="198"/>
      <c r="AIR65" s="198"/>
      <c r="AIS65" s="198"/>
      <c r="AIT65" s="198"/>
      <c r="AIU65" s="198"/>
      <c r="AIV65" s="198"/>
      <c r="AIW65" s="198"/>
      <c r="AIX65" s="198"/>
      <c r="AIY65" s="198"/>
      <c r="AIZ65" s="198"/>
      <c r="AJA65" s="198"/>
      <c r="AJB65" s="198"/>
      <c r="AJC65" s="198"/>
      <c r="AJD65" s="198"/>
      <c r="AJE65" s="198"/>
      <c r="AJF65" s="198"/>
      <c r="AJG65" s="198"/>
      <c r="AJH65" s="198"/>
      <c r="AJI65" s="198"/>
      <c r="AJJ65" s="198"/>
      <c r="AJK65" s="198"/>
      <c r="AJL65" s="198"/>
      <c r="AJM65" s="198"/>
      <c r="AJN65" s="198"/>
      <c r="AJO65" s="198"/>
      <c r="AJP65" s="198"/>
      <c r="AJQ65" s="198"/>
      <c r="AJR65" s="198"/>
      <c r="AJS65" s="198"/>
      <c r="AJT65" s="198"/>
      <c r="AJU65" s="198"/>
      <c r="AJV65" s="198"/>
      <c r="AJW65" s="198"/>
      <c r="AJX65" s="198"/>
      <c r="AJY65" s="198"/>
      <c r="AJZ65" s="198"/>
      <c r="AKA65" s="198"/>
      <c r="AKB65" s="198"/>
      <c r="AKC65" s="198"/>
      <c r="AKD65" s="198"/>
      <c r="AKE65" s="198"/>
      <c r="AKF65" s="198"/>
      <c r="AKG65" s="198"/>
      <c r="AKH65" s="198"/>
      <c r="AKI65" s="198"/>
      <c r="AKJ65" s="198"/>
      <c r="AKK65" s="198"/>
      <c r="AKL65" s="198"/>
      <c r="AKM65" s="198"/>
      <c r="AKN65" s="198"/>
      <c r="AKO65" s="198"/>
      <c r="AKP65" s="198"/>
      <c r="AKQ65" s="198"/>
      <c r="AKR65" s="198"/>
      <c r="AKS65" s="198"/>
      <c r="AKT65" s="198"/>
      <c r="AKU65" s="198"/>
      <c r="AKV65" s="198"/>
      <c r="AKW65" s="198"/>
      <c r="AKX65" s="198"/>
      <c r="AKY65" s="198"/>
      <c r="AKZ65" s="198"/>
      <c r="ALA65" s="198"/>
      <c r="ALB65" s="198"/>
      <c r="ALC65" s="198"/>
      <c r="ALD65" s="198"/>
      <c r="ALE65" s="198"/>
      <c r="ALF65" s="198"/>
      <c r="ALG65" s="198"/>
      <c r="ALH65" s="198"/>
      <c r="ALI65" s="198"/>
      <c r="ALJ65" s="198"/>
      <c r="ALK65" s="198"/>
      <c r="ALL65" s="198"/>
      <c r="ALM65" s="198"/>
      <c r="ALN65" s="198"/>
      <c r="ALO65" s="198"/>
      <c r="ALP65" s="198"/>
      <c r="ALQ65" s="198"/>
      <c r="ALR65" s="198"/>
      <c r="ALS65" s="198"/>
      <c r="ALT65" s="198"/>
      <c r="ALU65" s="198"/>
      <c r="ALV65" s="198"/>
      <c r="ALW65" s="198"/>
      <c r="ALX65" s="198"/>
      <c r="ALY65" s="198"/>
      <c r="ALZ65" s="198"/>
      <c r="AMA65" s="198"/>
      <c r="AMB65" s="198"/>
      <c r="AMC65" s="198"/>
      <c r="AMD65" s="198"/>
      <c r="AME65" s="198"/>
      <c r="AMF65" s="198"/>
      <c r="AMG65" s="198"/>
      <c r="AMH65" s="198"/>
      <c r="AMI65" s="198"/>
      <c r="AMJ65" s="198"/>
      <c r="AMK65" s="198"/>
      <c r="AML65" s="198"/>
      <c r="AMM65" s="198"/>
      <c r="AMN65" s="198"/>
      <c r="AMO65" s="198"/>
      <c r="AMP65" s="198"/>
      <c r="AMQ65" s="198"/>
      <c r="AMR65" s="198"/>
      <c r="AMS65" s="198"/>
      <c r="AMT65" s="198"/>
      <c r="AMU65" s="198"/>
      <c r="AMV65" s="198"/>
      <c r="AMW65" s="198"/>
      <c r="AMX65" s="198"/>
      <c r="AMY65" s="198"/>
      <c r="AMZ65" s="198"/>
      <c r="ANA65" s="198"/>
      <c r="ANB65" s="198"/>
      <c r="ANC65" s="198"/>
      <c r="AND65" s="198"/>
      <c r="ANE65" s="198"/>
      <c r="ANF65" s="198"/>
      <c r="ANG65" s="198"/>
      <c r="ANH65" s="198"/>
      <c r="ANI65" s="198"/>
      <c r="ANJ65" s="198"/>
      <c r="ANK65" s="198"/>
      <c r="ANL65" s="198"/>
      <c r="ANM65" s="198"/>
      <c r="ANN65" s="198"/>
      <c r="ANO65" s="198"/>
      <c r="ANP65" s="198"/>
      <c r="ANQ65" s="198"/>
      <c r="ANR65" s="198"/>
      <c r="ANS65" s="198"/>
      <c r="ANT65" s="198"/>
      <c r="ANU65" s="198"/>
      <c r="ANV65" s="198"/>
      <c r="ANW65" s="198"/>
      <c r="ANX65" s="198"/>
      <c r="ANY65" s="198"/>
      <c r="ANZ65" s="198"/>
      <c r="AOA65" s="198"/>
      <c r="AOB65" s="198"/>
      <c r="AOC65" s="198"/>
      <c r="AOD65" s="198"/>
      <c r="AOE65" s="198"/>
      <c r="AOF65" s="198"/>
      <c r="AOG65" s="198"/>
      <c r="AOH65" s="198"/>
      <c r="AOI65" s="198"/>
      <c r="AOJ65" s="198"/>
      <c r="AOK65" s="198"/>
      <c r="AOL65" s="198"/>
      <c r="AOM65" s="198"/>
      <c r="AON65" s="198"/>
      <c r="AOO65" s="198"/>
      <c r="AOP65" s="198"/>
      <c r="AOQ65" s="198"/>
      <c r="AOR65" s="198"/>
      <c r="AOS65" s="198"/>
      <c r="AOT65" s="198"/>
      <c r="AOU65" s="198"/>
      <c r="AOV65" s="198"/>
      <c r="AOW65" s="198"/>
      <c r="AOX65" s="198"/>
      <c r="AOY65" s="198"/>
      <c r="AOZ65" s="198"/>
      <c r="APA65" s="198"/>
      <c r="APB65" s="198"/>
      <c r="APC65" s="198"/>
      <c r="APD65" s="198"/>
      <c r="APE65" s="198"/>
      <c r="APF65" s="198"/>
      <c r="APG65" s="198"/>
      <c r="APH65" s="198"/>
      <c r="API65" s="198"/>
      <c r="APJ65" s="198"/>
      <c r="APK65" s="198"/>
      <c r="APL65" s="198"/>
      <c r="APM65" s="198"/>
      <c r="APN65" s="198"/>
      <c r="APO65" s="198"/>
      <c r="APP65" s="198"/>
      <c r="APQ65" s="198"/>
      <c r="APR65" s="198"/>
      <c r="APS65" s="198"/>
      <c r="APT65" s="198"/>
      <c r="APU65" s="198"/>
      <c r="APV65" s="198"/>
      <c r="APW65" s="198"/>
      <c r="APX65" s="198"/>
      <c r="APY65" s="198"/>
      <c r="APZ65" s="198"/>
      <c r="AQA65" s="198"/>
      <c r="AQB65" s="198"/>
      <c r="AQC65" s="198"/>
      <c r="AQD65" s="198"/>
      <c r="AQE65" s="198"/>
      <c r="AQF65" s="198"/>
      <c r="AQG65" s="198"/>
      <c r="AQH65" s="198"/>
      <c r="AQI65" s="198"/>
      <c r="AQJ65" s="198"/>
      <c r="AQK65" s="198"/>
      <c r="AQL65" s="198"/>
      <c r="AQM65" s="198"/>
      <c r="AQN65" s="198"/>
      <c r="AQO65" s="198"/>
      <c r="AQP65" s="198"/>
      <c r="AQQ65" s="198"/>
      <c r="AQR65" s="198"/>
      <c r="AQS65" s="198"/>
      <c r="AQT65" s="198"/>
      <c r="AQU65" s="198"/>
      <c r="AQV65" s="198"/>
      <c r="AQW65" s="198"/>
      <c r="AQX65" s="198"/>
      <c r="AQY65" s="198"/>
      <c r="AQZ65" s="198"/>
      <c r="ARA65" s="198"/>
      <c r="ARB65" s="198"/>
      <c r="ARC65" s="198"/>
      <c r="ARD65" s="198"/>
      <c r="ARE65" s="198"/>
      <c r="ARF65" s="198"/>
      <c r="ARG65" s="198"/>
      <c r="ARH65" s="198"/>
      <c r="ARI65" s="198"/>
      <c r="ARJ65" s="198"/>
      <c r="ARK65" s="198"/>
      <c r="ARL65" s="198"/>
      <c r="ARM65" s="198"/>
      <c r="ARN65" s="198"/>
      <c r="ARO65" s="198"/>
      <c r="ARP65" s="198"/>
      <c r="ARQ65" s="198"/>
      <c r="ARR65" s="198"/>
      <c r="ARS65" s="198"/>
      <c r="ART65" s="198"/>
      <c r="ARU65" s="198"/>
      <c r="ARV65" s="198"/>
      <c r="ARW65" s="198"/>
      <c r="ARX65" s="198"/>
      <c r="ARY65" s="198"/>
      <c r="ARZ65" s="198"/>
      <c r="ASA65" s="198"/>
      <c r="ASB65" s="198"/>
      <c r="ASC65" s="198"/>
      <c r="ASD65" s="198"/>
      <c r="ASE65" s="198"/>
      <c r="ASF65" s="198"/>
      <c r="ASG65" s="198"/>
      <c r="ASH65" s="198"/>
      <c r="ASI65" s="198"/>
      <c r="ASJ65" s="198"/>
      <c r="ASK65" s="198"/>
      <c r="ASL65" s="198"/>
      <c r="ASM65" s="198"/>
      <c r="ASN65" s="198"/>
      <c r="ASO65" s="198"/>
      <c r="ASP65" s="198"/>
      <c r="ASQ65" s="198"/>
      <c r="ASR65" s="198"/>
      <c r="ASS65" s="198"/>
      <c r="AST65" s="198"/>
      <c r="ASU65" s="198"/>
      <c r="ASV65" s="198"/>
      <c r="ASW65" s="198"/>
      <c r="ASX65" s="198"/>
      <c r="ASY65" s="198"/>
      <c r="ASZ65" s="198"/>
      <c r="ATA65" s="198"/>
      <c r="ATB65" s="198"/>
      <c r="ATC65" s="198"/>
      <c r="ATD65" s="198"/>
      <c r="ATE65" s="198"/>
      <c r="ATF65" s="198"/>
      <c r="ATG65" s="198"/>
      <c r="ATH65" s="198"/>
      <c r="ATI65" s="198"/>
      <c r="ATJ65" s="198"/>
      <c r="ATK65" s="198"/>
      <c r="ATL65" s="198"/>
      <c r="ATM65" s="198"/>
      <c r="ATN65" s="198"/>
      <c r="ATO65" s="198"/>
      <c r="ATP65" s="198"/>
      <c r="ATQ65" s="198"/>
      <c r="ATR65" s="198"/>
      <c r="ATS65" s="198"/>
      <c r="ATT65" s="198"/>
      <c r="ATU65" s="198"/>
      <c r="ATV65" s="198"/>
      <c r="ATW65" s="198"/>
      <c r="ATX65" s="198"/>
      <c r="ATY65" s="198"/>
      <c r="ATZ65" s="198"/>
      <c r="AUA65" s="198"/>
      <c r="AUB65" s="198"/>
      <c r="AUC65" s="198"/>
      <c r="AUD65" s="198"/>
      <c r="AUE65" s="198"/>
      <c r="AUF65" s="198"/>
      <c r="AUG65" s="198"/>
      <c r="AUH65" s="198"/>
      <c r="AUI65" s="198"/>
      <c r="AUJ65" s="198"/>
      <c r="AUK65" s="198"/>
      <c r="AUL65" s="198"/>
      <c r="AUM65" s="198"/>
      <c r="AUN65" s="198"/>
      <c r="AUO65" s="198"/>
      <c r="AUP65" s="198"/>
      <c r="AUQ65" s="198"/>
      <c r="AUR65" s="198"/>
      <c r="AUS65" s="198"/>
      <c r="AUT65" s="198"/>
      <c r="AUU65" s="198"/>
      <c r="AUV65" s="198"/>
      <c r="AUW65" s="198"/>
      <c r="AUX65" s="198"/>
      <c r="AUY65" s="198"/>
      <c r="AUZ65" s="198"/>
      <c r="AVA65" s="198"/>
      <c r="AVB65" s="198"/>
      <c r="AVC65" s="198"/>
      <c r="AVD65" s="198"/>
      <c r="AVE65" s="198"/>
      <c r="AVF65" s="198"/>
      <c r="AVG65" s="198"/>
      <c r="AVH65" s="198"/>
      <c r="AVI65" s="198"/>
      <c r="AVJ65" s="198"/>
      <c r="AVK65" s="198"/>
      <c r="AVL65" s="198"/>
      <c r="AVM65" s="198"/>
      <c r="AVN65" s="198"/>
      <c r="AVO65" s="198"/>
      <c r="AVP65" s="198"/>
      <c r="AVQ65" s="198"/>
      <c r="AVR65" s="198"/>
      <c r="AVS65" s="198"/>
      <c r="AVT65" s="198"/>
      <c r="AVU65" s="198"/>
      <c r="AVV65" s="198"/>
      <c r="AVW65" s="198"/>
      <c r="AVX65" s="198"/>
      <c r="AVY65" s="198"/>
      <c r="AVZ65" s="198"/>
      <c r="AWA65" s="198"/>
      <c r="AWB65" s="198"/>
      <c r="AWC65" s="198"/>
      <c r="AWD65" s="198"/>
      <c r="AWE65" s="198"/>
      <c r="AWF65" s="198"/>
      <c r="AWG65" s="198"/>
      <c r="AWH65" s="198"/>
      <c r="AWI65" s="198"/>
      <c r="AWJ65" s="198"/>
      <c r="AWK65" s="198"/>
      <c r="AWL65" s="198"/>
      <c r="AWM65" s="198"/>
      <c r="AWN65" s="198"/>
      <c r="AWO65" s="198"/>
      <c r="AWP65" s="198"/>
      <c r="AWQ65" s="198"/>
      <c r="AWR65" s="198"/>
      <c r="AWS65" s="198"/>
      <c r="AWT65" s="198"/>
      <c r="AWU65" s="198"/>
      <c r="AWV65" s="198"/>
      <c r="AWW65" s="198"/>
      <c r="AWX65" s="198"/>
      <c r="AWY65" s="198"/>
      <c r="AWZ65" s="198"/>
      <c r="AXA65" s="198"/>
      <c r="AXB65" s="198"/>
      <c r="AXC65" s="198"/>
      <c r="AXD65" s="198"/>
      <c r="AXE65" s="198"/>
      <c r="AXF65" s="198"/>
      <c r="AXG65" s="198"/>
      <c r="AXH65" s="198"/>
      <c r="AXI65" s="198"/>
      <c r="AXJ65" s="198"/>
      <c r="AXK65" s="198"/>
      <c r="AXL65" s="198"/>
      <c r="AXM65" s="198"/>
      <c r="AXN65" s="198"/>
      <c r="AXO65" s="198"/>
      <c r="AXP65" s="198"/>
      <c r="AXQ65" s="198"/>
      <c r="AXR65" s="198"/>
      <c r="AXS65" s="198"/>
      <c r="AXT65" s="198"/>
      <c r="AXU65" s="198"/>
      <c r="AXV65" s="198"/>
      <c r="AXW65" s="198"/>
      <c r="AXX65" s="198"/>
      <c r="AXY65" s="198"/>
      <c r="AXZ65" s="198"/>
      <c r="AYA65" s="198"/>
      <c r="AYB65" s="198"/>
      <c r="AYC65" s="198"/>
      <c r="AYD65" s="198"/>
      <c r="AYE65" s="198"/>
      <c r="AYF65" s="198"/>
      <c r="AYG65" s="198"/>
      <c r="AYH65" s="198"/>
      <c r="AYI65" s="198"/>
      <c r="AYJ65" s="198"/>
      <c r="AYK65" s="198"/>
      <c r="AYL65" s="198"/>
      <c r="AYM65" s="198"/>
      <c r="AYN65" s="198"/>
      <c r="AYO65" s="198"/>
      <c r="AYP65" s="198"/>
      <c r="AYQ65" s="198"/>
      <c r="AYR65" s="198"/>
      <c r="AYS65" s="198"/>
      <c r="AYT65" s="198"/>
      <c r="AYU65" s="198"/>
      <c r="AYV65" s="198"/>
      <c r="AYW65" s="198"/>
      <c r="AYX65" s="198"/>
      <c r="AYY65" s="198"/>
      <c r="AYZ65" s="198"/>
      <c r="AZA65" s="198"/>
      <c r="AZB65" s="198"/>
      <c r="AZC65" s="198"/>
      <c r="AZD65" s="198"/>
      <c r="AZE65" s="198"/>
      <c r="AZF65" s="198"/>
      <c r="AZG65" s="198"/>
      <c r="AZH65" s="198"/>
      <c r="AZI65" s="198"/>
      <c r="AZJ65" s="198"/>
      <c r="AZK65" s="198"/>
      <c r="AZL65" s="198"/>
      <c r="AZM65" s="198"/>
      <c r="AZN65" s="198"/>
      <c r="AZO65" s="198"/>
      <c r="AZP65" s="198"/>
      <c r="AZQ65" s="198"/>
      <c r="AZR65" s="198"/>
      <c r="AZS65" s="198"/>
      <c r="AZT65" s="198"/>
      <c r="AZU65" s="198"/>
      <c r="AZV65" s="198"/>
      <c r="AZW65" s="198"/>
      <c r="AZX65" s="198"/>
      <c r="AZY65" s="198"/>
      <c r="AZZ65" s="198"/>
      <c r="BAA65" s="198"/>
      <c r="BAB65" s="198"/>
      <c r="BAC65" s="198"/>
      <c r="BAD65" s="198"/>
      <c r="BAE65" s="198"/>
      <c r="BAF65" s="198"/>
      <c r="BAG65" s="198"/>
      <c r="BAH65" s="198"/>
      <c r="BAI65" s="198"/>
      <c r="BAJ65" s="198"/>
      <c r="BAK65" s="198"/>
      <c r="BAL65" s="198"/>
      <c r="BAM65" s="198"/>
      <c r="BAN65" s="198"/>
      <c r="BAO65" s="198"/>
      <c r="BAP65" s="198"/>
      <c r="BAQ65" s="198"/>
      <c r="BAR65" s="198"/>
      <c r="BAS65" s="198"/>
      <c r="BAT65" s="198"/>
      <c r="BAU65" s="198"/>
      <c r="BAV65" s="198"/>
      <c r="BAW65" s="198"/>
      <c r="BAX65" s="198"/>
      <c r="BAY65" s="198"/>
      <c r="BAZ65" s="198"/>
      <c r="BBA65" s="198"/>
      <c r="BBB65" s="198"/>
      <c r="BBC65" s="198"/>
      <c r="BBD65" s="198"/>
      <c r="BBE65" s="198"/>
      <c r="BBF65" s="198"/>
      <c r="BBG65" s="198"/>
      <c r="BBH65" s="198"/>
      <c r="BBI65" s="198"/>
      <c r="BBJ65" s="198"/>
      <c r="BBK65" s="198"/>
      <c r="BBL65" s="198"/>
      <c r="BBM65" s="198"/>
      <c r="BBN65" s="198"/>
      <c r="BBO65" s="198"/>
      <c r="BBP65" s="198"/>
      <c r="BBQ65" s="198"/>
      <c r="BBR65" s="198"/>
      <c r="BBS65" s="198"/>
      <c r="BBT65" s="198"/>
      <c r="BBU65" s="198"/>
      <c r="BBV65" s="198"/>
      <c r="BBW65" s="198"/>
      <c r="BBX65" s="198"/>
      <c r="BBY65" s="198"/>
      <c r="BBZ65" s="198"/>
      <c r="BCA65" s="198"/>
      <c r="BCB65" s="198"/>
      <c r="BCC65" s="198"/>
      <c r="BCD65" s="198"/>
      <c r="BCE65" s="198"/>
      <c r="BCF65" s="198"/>
      <c r="BCG65" s="198"/>
      <c r="BCH65" s="198"/>
      <c r="BCI65" s="198"/>
      <c r="BCJ65" s="198"/>
      <c r="BCK65" s="198"/>
      <c r="BCL65" s="198"/>
      <c r="BCM65" s="198"/>
      <c r="BCN65" s="198"/>
      <c r="BCO65" s="198"/>
      <c r="BCP65" s="198"/>
      <c r="BCQ65" s="198"/>
      <c r="BCR65" s="198"/>
      <c r="BCS65" s="198"/>
      <c r="BCT65" s="198"/>
      <c r="BCU65" s="198"/>
      <c r="BCV65" s="198"/>
      <c r="BCW65" s="198"/>
      <c r="BCX65" s="198"/>
      <c r="BCY65" s="198"/>
      <c r="BCZ65" s="198"/>
      <c r="BDA65" s="198"/>
      <c r="BDB65" s="198"/>
      <c r="BDC65" s="198"/>
      <c r="BDD65" s="198"/>
      <c r="BDE65" s="198"/>
      <c r="BDF65" s="198"/>
      <c r="BDG65" s="198"/>
      <c r="BDH65" s="198"/>
      <c r="BDI65" s="198"/>
      <c r="BDJ65" s="198"/>
      <c r="BDK65" s="198"/>
      <c r="BDL65" s="198"/>
      <c r="BDM65" s="198"/>
      <c r="BDN65" s="198"/>
      <c r="BDO65" s="198"/>
      <c r="BDP65" s="198"/>
      <c r="BDQ65" s="198"/>
      <c r="BDR65" s="198"/>
      <c r="BDS65" s="198"/>
      <c r="BDT65" s="198"/>
      <c r="BDU65" s="198"/>
      <c r="BDV65" s="198"/>
      <c r="BDW65" s="198"/>
      <c r="BDX65" s="198"/>
      <c r="BDY65" s="198"/>
      <c r="BDZ65" s="198"/>
      <c r="BEA65" s="198"/>
      <c r="BEB65" s="198"/>
      <c r="BEC65" s="198"/>
      <c r="BED65" s="198"/>
      <c r="BEE65" s="198"/>
      <c r="BEF65" s="198"/>
      <c r="BEG65" s="198"/>
      <c r="BEH65" s="198"/>
      <c r="BEI65" s="198"/>
      <c r="BEJ65" s="198"/>
      <c r="BEK65" s="198"/>
      <c r="BEL65" s="198"/>
      <c r="BEM65" s="198"/>
      <c r="BEN65" s="198"/>
      <c r="BEO65" s="198"/>
      <c r="BEP65" s="198"/>
      <c r="BEQ65" s="198"/>
      <c r="BER65" s="198"/>
      <c r="BES65" s="198"/>
      <c r="BET65" s="198"/>
      <c r="BEU65" s="198"/>
      <c r="BEV65" s="198"/>
      <c r="BEW65" s="198"/>
      <c r="BEX65" s="198"/>
      <c r="BEY65" s="198"/>
      <c r="BEZ65" s="198"/>
      <c r="BFA65" s="198"/>
      <c r="BFB65" s="198"/>
      <c r="BFC65" s="198"/>
      <c r="BFD65" s="198"/>
      <c r="BFE65" s="198"/>
      <c r="BFF65" s="198"/>
      <c r="BFG65" s="198"/>
      <c r="BFH65" s="198"/>
      <c r="BFI65" s="198"/>
      <c r="BFJ65" s="198"/>
      <c r="BFK65" s="198"/>
      <c r="BFL65" s="198"/>
      <c r="BFM65" s="198"/>
      <c r="BFN65" s="198"/>
      <c r="BFO65" s="198"/>
      <c r="BFP65" s="198"/>
      <c r="BFQ65" s="198"/>
      <c r="BFR65" s="198"/>
      <c r="BFS65" s="198"/>
      <c r="BFT65" s="198"/>
      <c r="BFU65" s="198"/>
      <c r="BFV65" s="198"/>
      <c r="BFW65" s="198"/>
      <c r="BFX65" s="198"/>
      <c r="BFY65" s="198"/>
      <c r="BFZ65" s="198"/>
      <c r="BGA65" s="198"/>
      <c r="BGB65" s="198"/>
      <c r="BGC65" s="198"/>
      <c r="BGD65" s="198"/>
      <c r="BGE65" s="198"/>
      <c r="BGF65" s="198"/>
      <c r="BGG65" s="198"/>
      <c r="BGH65" s="198"/>
      <c r="BGI65" s="198"/>
      <c r="BGJ65" s="198"/>
      <c r="BGK65" s="198"/>
      <c r="BGL65" s="198"/>
      <c r="BGM65" s="198"/>
      <c r="BGN65" s="198"/>
      <c r="BGO65" s="198"/>
      <c r="BGP65" s="198"/>
      <c r="BGQ65" s="198"/>
      <c r="BGR65" s="198"/>
      <c r="BGS65" s="198"/>
      <c r="BGT65" s="198"/>
      <c r="BGU65" s="198"/>
      <c r="BGV65" s="198"/>
      <c r="BGW65" s="198"/>
      <c r="BGX65" s="198"/>
      <c r="BGY65" s="198"/>
      <c r="BGZ65" s="198"/>
      <c r="BHA65" s="198"/>
      <c r="BHB65" s="198"/>
      <c r="BHC65" s="198"/>
      <c r="BHD65" s="198"/>
      <c r="BHE65" s="198"/>
      <c r="BHF65" s="198"/>
      <c r="BHG65" s="198"/>
      <c r="BHH65" s="198"/>
      <c r="BHI65" s="198"/>
      <c r="BHJ65" s="198"/>
      <c r="BHK65" s="198"/>
      <c r="BHL65" s="198"/>
      <c r="BHM65" s="198"/>
      <c r="BHN65" s="198"/>
      <c r="BHO65" s="198"/>
      <c r="BHP65" s="198"/>
      <c r="BHQ65" s="198"/>
      <c r="BHR65" s="198"/>
      <c r="BHS65" s="198"/>
      <c r="BHT65" s="198"/>
      <c r="BHU65" s="198"/>
      <c r="BHV65" s="198"/>
      <c r="BHW65" s="198"/>
      <c r="BHX65" s="198"/>
      <c r="BHY65" s="198"/>
      <c r="BHZ65" s="198"/>
      <c r="BIA65" s="198"/>
      <c r="BIB65" s="198"/>
      <c r="BIC65" s="198"/>
      <c r="BID65" s="198"/>
      <c r="BIE65" s="198"/>
      <c r="BIF65" s="198"/>
      <c r="BIG65" s="198"/>
      <c r="BIH65" s="198"/>
      <c r="BII65" s="198"/>
      <c r="BIJ65" s="198"/>
      <c r="BIK65" s="198"/>
      <c r="BIL65" s="198"/>
      <c r="BIM65" s="198"/>
      <c r="BIN65" s="198"/>
      <c r="BIO65" s="198"/>
      <c r="BIP65" s="198"/>
      <c r="BIQ65" s="198"/>
      <c r="BIR65" s="198"/>
      <c r="BIS65" s="198"/>
      <c r="BIT65" s="198"/>
      <c r="BIU65" s="198"/>
      <c r="BIV65" s="198"/>
      <c r="BIW65" s="198"/>
      <c r="BIX65" s="198"/>
      <c r="BIY65" s="198"/>
      <c r="BIZ65" s="198"/>
      <c r="BJA65" s="198"/>
      <c r="BJB65" s="198"/>
      <c r="BJC65" s="198"/>
      <c r="BJD65" s="198"/>
      <c r="BJE65" s="198"/>
      <c r="BJF65" s="198"/>
      <c r="BJG65" s="198"/>
      <c r="BJH65" s="198"/>
      <c r="BJI65" s="198"/>
      <c r="BJJ65" s="198"/>
      <c r="BJK65" s="198"/>
      <c r="BJL65" s="198"/>
      <c r="BJM65" s="198"/>
      <c r="BJN65" s="198"/>
      <c r="BJO65" s="198"/>
      <c r="BJP65" s="198"/>
      <c r="BJQ65" s="198"/>
      <c r="BJR65" s="198"/>
      <c r="BJS65" s="198"/>
      <c r="BJT65" s="198"/>
      <c r="BJU65" s="198"/>
      <c r="BJV65" s="198"/>
      <c r="BJW65" s="198"/>
      <c r="BJX65" s="198"/>
      <c r="BJY65" s="198"/>
      <c r="BJZ65" s="198"/>
      <c r="BKA65" s="198"/>
      <c r="BKB65" s="198"/>
      <c r="BKC65" s="198"/>
      <c r="BKD65" s="198"/>
      <c r="BKE65" s="198"/>
      <c r="BKF65" s="198"/>
      <c r="BKG65" s="198"/>
      <c r="BKH65" s="198"/>
      <c r="BKI65" s="198"/>
      <c r="BKJ65" s="198"/>
      <c r="BKK65" s="198"/>
      <c r="BKL65" s="198"/>
      <c r="BKM65" s="198"/>
      <c r="BKN65" s="198"/>
      <c r="BKO65" s="198"/>
      <c r="BKP65" s="198"/>
      <c r="BKQ65" s="198"/>
      <c r="BKR65" s="198"/>
      <c r="BKS65" s="198"/>
      <c r="BKT65" s="198"/>
      <c r="BKU65" s="198"/>
      <c r="BKV65" s="198"/>
      <c r="BKW65" s="198"/>
      <c r="BKX65" s="198"/>
      <c r="BKY65" s="198"/>
      <c r="BKZ65" s="198"/>
      <c r="BLA65" s="198"/>
      <c r="BLB65" s="198"/>
      <c r="BLC65" s="198"/>
      <c r="BLD65" s="198"/>
      <c r="BLE65" s="198"/>
      <c r="BLF65" s="198"/>
      <c r="BLG65" s="198"/>
      <c r="BLH65" s="198"/>
      <c r="BLI65" s="198"/>
      <c r="BLJ65" s="198"/>
      <c r="BLK65" s="198"/>
      <c r="BLL65" s="198"/>
      <c r="BLM65" s="198"/>
      <c r="BLN65" s="198"/>
      <c r="BLO65" s="198"/>
      <c r="BLP65" s="198"/>
      <c r="BLQ65" s="198"/>
      <c r="BLR65" s="198"/>
      <c r="BLS65" s="198"/>
      <c r="BLT65" s="198"/>
      <c r="BLU65" s="198"/>
      <c r="BLV65" s="198"/>
      <c r="BLW65" s="198"/>
      <c r="BLX65" s="198"/>
      <c r="BLY65" s="198"/>
      <c r="BLZ65" s="198"/>
      <c r="BMA65" s="198"/>
      <c r="BMB65" s="198"/>
      <c r="BMC65" s="198"/>
      <c r="BMD65" s="198"/>
      <c r="BME65" s="198"/>
      <c r="BMF65" s="198"/>
      <c r="BMG65" s="198"/>
      <c r="BMH65" s="198"/>
      <c r="BMI65" s="198"/>
      <c r="BMJ65" s="198"/>
      <c r="BMK65" s="198"/>
      <c r="BML65" s="198"/>
      <c r="BMM65" s="198"/>
      <c r="BMN65" s="198"/>
      <c r="BMO65" s="198"/>
      <c r="BMP65" s="198"/>
      <c r="BMQ65" s="198"/>
      <c r="BMR65" s="198"/>
      <c r="BMS65" s="198"/>
      <c r="BMT65" s="198"/>
      <c r="BMU65" s="198"/>
      <c r="BMV65" s="198"/>
      <c r="BMW65" s="198"/>
      <c r="BMX65" s="198"/>
      <c r="BMY65" s="198"/>
      <c r="BMZ65" s="198"/>
      <c r="BNA65" s="198"/>
      <c r="BNB65" s="198"/>
      <c r="BNC65" s="198"/>
      <c r="BND65" s="198"/>
      <c r="BNE65" s="198"/>
      <c r="BNF65" s="198"/>
      <c r="BNG65" s="198"/>
      <c r="BNH65" s="198"/>
      <c r="BNI65" s="198"/>
      <c r="BNJ65" s="198"/>
      <c r="BNK65" s="198"/>
      <c r="BNL65" s="198"/>
      <c r="BNM65" s="198"/>
      <c r="BNN65" s="198"/>
      <c r="BNO65" s="198"/>
      <c r="BNP65" s="198"/>
      <c r="BNQ65" s="198"/>
      <c r="BNR65" s="198"/>
      <c r="BNS65" s="198"/>
      <c r="BNT65" s="198"/>
      <c r="BNU65" s="198"/>
      <c r="BNV65" s="198"/>
      <c r="BNW65" s="198"/>
      <c r="BNX65" s="198"/>
      <c r="BNY65" s="198"/>
      <c r="BNZ65" s="198"/>
      <c r="BOA65" s="198"/>
      <c r="BOB65" s="198"/>
      <c r="BOC65" s="198"/>
      <c r="BOD65" s="198"/>
      <c r="BOE65" s="198"/>
      <c r="BOF65" s="198"/>
      <c r="BOG65" s="198"/>
      <c r="BOH65" s="198"/>
      <c r="BOI65" s="198"/>
      <c r="BOJ65" s="198"/>
      <c r="BOK65" s="198"/>
      <c r="BOL65" s="198"/>
      <c r="BOM65" s="198"/>
      <c r="BON65" s="198"/>
      <c r="BOO65" s="198"/>
      <c r="BOP65" s="198"/>
      <c r="BOQ65" s="198"/>
      <c r="BOR65" s="198"/>
      <c r="BOS65" s="198"/>
      <c r="BOT65" s="198"/>
      <c r="BOU65" s="198"/>
      <c r="BOV65" s="198"/>
      <c r="BOW65" s="198"/>
      <c r="BOX65" s="198"/>
      <c r="BOY65" s="198"/>
      <c r="BOZ65" s="198"/>
      <c r="BPA65" s="198"/>
      <c r="BPB65" s="198"/>
      <c r="BPC65" s="198"/>
      <c r="BPD65" s="198"/>
      <c r="BPE65" s="198"/>
      <c r="BPF65" s="198"/>
      <c r="BPG65" s="198"/>
      <c r="BPH65" s="198"/>
      <c r="BPI65" s="198"/>
      <c r="BPJ65" s="198"/>
      <c r="BPK65" s="198"/>
      <c r="BPL65" s="198"/>
      <c r="BPM65" s="198"/>
      <c r="BPN65" s="198"/>
      <c r="BPO65" s="198"/>
      <c r="BPP65" s="198"/>
      <c r="BPQ65" s="198"/>
      <c r="BPR65" s="198"/>
      <c r="BPS65" s="198"/>
      <c r="BPT65" s="198"/>
      <c r="BPU65" s="198"/>
      <c r="BPV65" s="198"/>
      <c r="BPW65" s="198"/>
      <c r="BPX65" s="198"/>
      <c r="BPY65" s="198"/>
      <c r="BPZ65" s="198"/>
      <c r="BQA65" s="198"/>
      <c r="BQB65" s="198"/>
      <c r="BQC65" s="198"/>
      <c r="BQD65" s="198"/>
      <c r="BQE65" s="198"/>
      <c r="BQF65" s="198"/>
      <c r="BQG65" s="198"/>
      <c r="BQH65" s="198"/>
      <c r="BQI65" s="198"/>
      <c r="BQJ65" s="198"/>
      <c r="BQK65" s="198"/>
      <c r="BQL65" s="198"/>
      <c r="BQM65" s="198"/>
      <c r="BQN65" s="198"/>
      <c r="BQO65" s="198"/>
      <c r="BQP65" s="198"/>
      <c r="BQQ65" s="198"/>
      <c r="BQR65" s="198"/>
      <c r="BQS65" s="198"/>
      <c r="BQT65" s="198"/>
      <c r="BQU65" s="198"/>
      <c r="BQV65" s="198"/>
      <c r="BQW65" s="198"/>
      <c r="BQX65" s="198"/>
      <c r="BQY65" s="198"/>
      <c r="BQZ65" s="198"/>
      <c r="BRA65" s="198"/>
      <c r="BRB65" s="198"/>
      <c r="BRC65" s="198"/>
      <c r="BRD65" s="198"/>
      <c r="BRE65" s="198"/>
      <c r="BRF65" s="198"/>
      <c r="BRG65" s="198"/>
      <c r="BRH65" s="198"/>
      <c r="BRI65" s="198"/>
      <c r="BRJ65" s="198"/>
      <c r="BRK65" s="198"/>
      <c r="BRL65" s="198"/>
      <c r="BRM65" s="198"/>
      <c r="BRN65" s="198"/>
      <c r="BRO65" s="198"/>
      <c r="BRP65" s="198"/>
      <c r="BRQ65" s="198"/>
      <c r="BRR65" s="198"/>
      <c r="BRS65" s="198"/>
      <c r="BRT65" s="198"/>
      <c r="BRU65" s="198"/>
      <c r="BRV65" s="198"/>
      <c r="BRW65" s="198"/>
      <c r="BRX65" s="198"/>
      <c r="BRY65" s="198"/>
      <c r="BRZ65" s="198"/>
      <c r="BSA65" s="198"/>
      <c r="BSB65" s="198"/>
      <c r="BSC65" s="198"/>
      <c r="BSD65" s="198"/>
      <c r="BSE65" s="198"/>
      <c r="BSF65" s="198"/>
      <c r="BSG65" s="198"/>
      <c r="BSH65" s="198"/>
      <c r="BSI65" s="198"/>
      <c r="BSJ65" s="198"/>
      <c r="BSK65" s="198"/>
      <c r="BSL65" s="198"/>
      <c r="BSM65" s="198"/>
      <c r="BSN65" s="198"/>
      <c r="BSO65" s="198"/>
      <c r="BSP65" s="198"/>
      <c r="BSQ65" s="198"/>
      <c r="BSR65" s="198"/>
      <c r="BSS65" s="198"/>
      <c r="BST65" s="198"/>
      <c r="BSU65" s="198"/>
      <c r="BSV65" s="198"/>
      <c r="BSW65" s="198"/>
      <c r="BSX65" s="198"/>
      <c r="BSY65" s="198"/>
      <c r="BSZ65" s="198"/>
      <c r="BTA65" s="198"/>
      <c r="BTB65" s="198"/>
      <c r="BTC65" s="198"/>
      <c r="BTD65" s="198"/>
      <c r="BTE65" s="198"/>
      <c r="BTF65" s="198"/>
      <c r="BTG65" s="198"/>
      <c r="BTH65" s="198"/>
      <c r="BTI65" s="198"/>
      <c r="BTJ65" s="198"/>
      <c r="BTK65" s="198"/>
      <c r="BTL65" s="198"/>
      <c r="BTM65" s="198"/>
      <c r="BTN65" s="198"/>
      <c r="BTO65" s="198"/>
      <c r="BTP65" s="198"/>
      <c r="BTQ65" s="198"/>
      <c r="BTR65" s="198"/>
      <c r="BTS65" s="198"/>
      <c r="BTT65" s="198"/>
      <c r="BTU65" s="198"/>
      <c r="BTV65" s="198"/>
      <c r="BTW65" s="198"/>
      <c r="BTX65" s="198"/>
      <c r="BTY65" s="198"/>
      <c r="BTZ65" s="198"/>
      <c r="BUA65" s="198"/>
      <c r="BUB65" s="198"/>
      <c r="BUC65" s="198"/>
      <c r="BUD65" s="198"/>
      <c r="BUE65" s="198"/>
      <c r="BUF65" s="198"/>
      <c r="BUG65" s="198"/>
      <c r="BUH65" s="198"/>
      <c r="BUI65" s="198"/>
      <c r="BUJ65" s="198"/>
      <c r="BUK65" s="198"/>
      <c r="BUL65" s="198"/>
      <c r="BUM65" s="198"/>
      <c r="BUN65" s="198"/>
      <c r="BUO65" s="198"/>
      <c r="BUP65" s="198"/>
      <c r="BUQ65" s="198"/>
      <c r="BUR65" s="198"/>
      <c r="BUS65" s="198"/>
      <c r="BUT65" s="198"/>
      <c r="BUU65" s="198"/>
      <c r="BUV65" s="198"/>
      <c r="BUW65" s="198"/>
      <c r="BUX65" s="198"/>
      <c r="BUY65" s="198"/>
      <c r="BUZ65" s="198"/>
      <c r="BVA65" s="198"/>
      <c r="BVB65" s="198"/>
      <c r="BVC65" s="198"/>
      <c r="BVD65" s="198"/>
      <c r="BVE65" s="198"/>
      <c r="BVF65" s="198"/>
      <c r="BVG65" s="198"/>
      <c r="BVH65" s="198"/>
      <c r="BVI65" s="198"/>
      <c r="BVJ65" s="198"/>
      <c r="BVK65" s="198"/>
      <c r="BVL65" s="198"/>
      <c r="BVM65" s="198"/>
      <c r="BVN65" s="198"/>
      <c r="BVO65" s="198"/>
      <c r="BVP65" s="198"/>
      <c r="BVQ65" s="198"/>
      <c r="BVR65" s="198"/>
      <c r="BVS65" s="198"/>
      <c r="BVT65" s="198"/>
      <c r="BVU65" s="198"/>
      <c r="BVV65" s="198"/>
      <c r="BVW65" s="198"/>
      <c r="BVX65" s="198"/>
      <c r="BVY65" s="198"/>
      <c r="BVZ65" s="198"/>
      <c r="BWA65" s="198"/>
      <c r="BWB65" s="198"/>
      <c r="BWC65" s="198"/>
      <c r="BWD65" s="198"/>
      <c r="BWE65" s="198"/>
      <c r="BWF65" s="198"/>
      <c r="BWG65" s="198"/>
      <c r="BWH65" s="198"/>
      <c r="BWI65" s="198"/>
      <c r="BWJ65" s="198"/>
      <c r="BWK65" s="198"/>
      <c r="BWL65" s="198"/>
      <c r="BWM65" s="198"/>
      <c r="BWN65" s="198"/>
      <c r="BWO65" s="198"/>
      <c r="BWP65" s="198"/>
      <c r="BWQ65" s="198"/>
      <c r="BWR65" s="198"/>
      <c r="BWS65" s="198"/>
      <c r="BWT65" s="198"/>
      <c r="BWU65" s="198"/>
      <c r="BWV65" s="198"/>
      <c r="BWW65" s="198"/>
      <c r="BWX65" s="198"/>
      <c r="BWY65" s="198"/>
      <c r="BWZ65" s="198"/>
      <c r="BXA65" s="198"/>
      <c r="BXB65" s="198"/>
      <c r="BXC65" s="198"/>
      <c r="BXD65" s="198"/>
      <c r="BXE65" s="198"/>
      <c r="BXF65" s="198"/>
      <c r="BXG65" s="198"/>
      <c r="BXH65" s="198"/>
      <c r="BXI65" s="198"/>
      <c r="BXJ65" s="198"/>
      <c r="BXK65" s="198"/>
      <c r="BXL65" s="198"/>
      <c r="BXM65" s="198"/>
      <c r="BXN65" s="198"/>
      <c r="BXO65" s="198"/>
      <c r="BXP65" s="198"/>
      <c r="BXQ65" s="198"/>
      <c r="BXR65" s="198"/>
      <c r="BXS65" s="198"/>
      <c r="BXT65" s="198"/>
      <c r="BXU65" s="198"/>
      <c r="BXV65" s="198"/>
      <c r="BXW65" s="198"/>
      <c r="BXX65" s="198"/>
      <c r="BXY65" s="198"/>
      <c r="BXZ65" s="198"/>
      <c r="BYA65" s="198"/>
      <c r="BYB65" s="198"/>
      <c r="BYC65" s="198"/>
      <c r="BYD65" s="198"/>
      <c r="BYE65" s="198"/>
      <c r="BYF65" s="198"/>
      <c r="BYG65" s="198"/>
    </row>
    <row r="66" spans="1:2009" s="96" customFormat="1" ht="10.5" customHeight="1" x14ac:dyDescent="0.25">
      <c r="A66" s="122"/>
      <c r="B66" s="122"/>
      <c r="C66" s="191"/>
      <c r="D66" s="191"/>
      <c r="E66" s="191"/>
      <c r="F66" s="191"/>
      <c r="G66" s="738"/>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95"/>
      <c r="GB66" s="95"/>
      <c r="GC66" s="95"/>
      <c r="GD66" s="95"/>
      <c r="GE66" s="95"/>
      <c r="GF66" s="95"/>
      <c r="GG66" s="95"/>
      <c r="GH66" s="95"/>
      <c r="GI66" s="95"/>
      <c r="GJ66" s="95"/>
      <c r="GK66" s="95"/>
      <c r="GL66" s="95"/>
      <c r="GM66" s="95"/>
      <c r="GN66" s="95"/>
      <c r="GO66" s="95"/>
      <c r="GP66" s="95"/>
      <c r="GQ66" s="95"/>
      <c r="GR66" s="95"/>
      <c r="GS66" s="95"/>
      <c r="GT66" s="95"/>
      <c r="GU66" s="95"/>
      <c r="GV66" s="95"/>
      <c r="GW66" s="95"/>
      <c r="GX66" s="95"/>
      <c r="GY66" s="95"/>
      <c r="GZ66" s="95"/>
      <c r="HA66" s="95"/>
      <c r="HB66" s="95"/>
      <c r="HC66" s="95"/>
      <c r="HD66" s="95"/>
      <c r="HE66" s="95"/>
      <c r="HF66" s="95"/>
      <c r="HG66" s="95"/>
      <c r="HH66" s="95"/>
      <c r="HI66" s="95"/>
      <c r="HJ66" s="95"/>
      <c r="HK66" s="95"/>
      <c r="HL66" s="95"/>
      <c r="HM66" s="95"/>
      <c r="HN66" s="95"/>
      <c r="HO66" s="95"/>
      <c r="HP66" s="95"/>
      <c r="HQ66" s="95"/>
      <c r="HR66" s="95"/>
      <c r="HS66" s="95"/>
      <c r="HT66" s="95"/>
      <c r="HU66" s="95"/>
      <c r="HV66" s="95"/>
      <c r="HW66" s="95"/>
      <c r="HX66" s="95"/>
      <c r="HY66" s="95"/>
      <c r="HZ66" s="95"/>
      <c r="IA66" s="95"/>
      <c r="IB66" s="95"/>
      <c r="IC66" s="95"/>
      <c r="ID66" s="95"/>
      <c r="IE66" s="95"/>
      <c r="IF66" s="95"/>
      <c r="IG66" s="95"/>
      <c r="IH66" s="95"/>
      <c r="II66" s="95"/>
      <c r="IJ66" s="95"/>
      <c r="IK66" s="95"/>
      <c r="IL66" s="95"/>
      <c r="IM66" s="95"/>
      <c r="IN66" s="95"/>
      <c r="IO66" s="95"/>
      <c r="IP66" s="95"/>
      <c r="IQ66" s="95"/>
      <c r="IR66" s="95"/>
      <c r="IS66" s="95"/>
      <c r="IT66" s="95"/>
      <c r="IU66" s="95"/>
      <c r="IV66" s="95"/>
      <c r="IW66" s="95"/>
      <c r="IX66" s="95"/>
      <c r="IY66" s="95"/>
      <c r="IZ66" s="95"/>
      <c r="JA66" s="95"/>
      <c r="JB66" s="95"/>
      <c r="JC66" s="95"/>
      <c r="JD66" s="95"/>
      <c r="JE66" s="95"/>
      <c r="JF66" s="95"/>
      <c r="JG66" s="95"/>
      <c r="JH66" s="95"/>
      <c r="JI66" s="95"/>
      <c r="JJ66" s="95"/>
      <c r="JK66" s="95"/>
      <c r="JL66" s="95"/>
      <c r="JM66" s="95"/>
      <c r="JN66" s="95"/>
      <c r="JO66" s="95"/>
      <c r="JP66" s="95"/>
      <c r="JQ66" s="95"/>
      <c r="JR66" s="95"/>
      <c r="JS66" s="95"/>
      <c r="JT66" s="95"/>
      <c r="JU66" s="95"/>
      <c r="JV66" s="95"/>
      <c r="JW66" s="95"/>
      <c r="JX66" s="95"/>
      <c r="JY66" s="95"/>
      <c r="JZ66" s="95"/>
      <c r="KA66" s="95"/>
      <c r="KB66" s="95"/>
      <c r="KC66" s="95"/>
      <c r="KD66" s="95"/>
      <c r="KE66" s="95"/>
      <c r="KF66" s="95"/>
      <c r="KG66" s="95"/>
      <c r="KH66" s="95"/>
      <c r="KI66" s="95"/>
      <c r="KJ66" s="95"/>
      <c r="KK66" s="95"/>
      <c r="KL66" s="95"/>
      <c r="KM66" s="95"/>
      <c r="KN66" s="95"/>
      <c r="KO66" s="95"/>
      <c r="KP66" s="95"/>
      <c r="KQ66" s="95"/>
      <c r="KR66" s="95"/>
      <c r="KS66" s="95"/>
      <c r="KT66" s="95"/>
      <c r="KU66" s="95"/>
      <c r="KV66" s="95"/>
      <c r="KW66" s="95"/>
      <c r="KX66" s="95"/>
      <c r="KY66" s="95"/>
      <c r="KZ66" s="95"/>
      <c r="LA66" s="95"/>
      <c r="LB66" s="95"/>
      <c r="LC66" s="95"/>
      <c r="LD66" s="95"/>
      <c r="LE66" s="95"/>
      <c r="LF66" s="95"/>
      <c r="LG66" s="95"/>
      <c r="LH66" s="95"/>
      <c r="LI66" s="95"/>
      <c r="LJ66" s="95"/>
      <c r="LK66" s="95"/>
      <c r="LL66" s="95"/>
      <c r="LM66" s="95"/>
      <c r="LN66" s="95"/>
      <c r="LO66" s="95"/>
      <c r="LP66" s="95"/>
      <c r="LQ66" s="95"/>
      <c r="LR66" s="95"/>
      <c r="LS66" s="95"/>
      <c r="LT66" s="95"/>
      <c r="LU66" s="95"/>
      <c r="LV66" s="95"/>
      <c r="LW66" s="95"/>
      <c r="LX66" s="95"/>
      <c r="LY66" s="95"/>
      <c r="LZ66" s="95"/>
      <c r="MA66" s="95"/>
      <c r="MB66" s="95"/>
      <c r="MC66" s="95"/>
      <c r="MD66" s="95"/>
      <c r="ME66" s="95"/>
      <c r="MF66" s="95"/>
      <c r="MG66" s="95"/>
      <c r="MH66" s="95"/>
      <c r="MI66" s="95"/>
      <c r="MJ66" s="95"/>
      <c r="MK66" s="95"/>
      <c r="ML66" s="95"/>
      <c r="MM66" s="95"/>
      <c r="MN66" s="95"/>
      <c r="MO66" s="95"/>
      <c r="MP66" s="95"/>
      <c r="MQ66" s="95"/>
      <c r="MR66" s="95"/>
      <c r="MS66" s="95"/>
      <c r="MT66" s="95"/>
      <c r="MU66" s="95"/>
      <c r="MV66" s="95"/>
      <c r="MW66" s="95"/>
      <c r="MX66" s="95"/>
      <c r="MY66" s="95"/>
      <c r="MZ66" s="95"/>
      <c r="NA66" s="95"/>
      <c r="NB66" s="95"/>
      <c r="NC66" s="95"/>
      <c r="ND66" s="95"/>
      <c r="NE66" s="95"/>
      <c r="NF66" s="95"/>
      <c r="NG66" s="95"/>
      <c r="NH66" s="95"/>
      <c r="NI66" s="95"/>
      <c r="NJ66" s="95"/>
      <c r="NK66" s="95"/>
      <c r="NL66" s="95"/>
      <c r="NM66" s="95"/>
      <c r="NN66" s="95"/>
      <c r="NO66" s="95"/>
      <c r="NP66" s="95"/>
      <c r="NQ66" s="95"/>
      <c r="NR66" s="95"/>
      <c r="NS66" s="95"/>
      <c r="NT66" s="95"/>
      <c r="NU66" s="95"/>
      <c r="NV66" s="95"/>
      <c r="NW66" s="95"/>
      <c r="NX66" s="95"/>
      <c r="NY66" s="95"/>
      <c r="NZ66" s="95"/>
      <c r="OA66" s="95"/>
      <c r="OB66" s="95"/>
      <c r="OC66" s="95"/>
      <c r="OD66" s="95"/>
      <c r="OE66" s="95"/>
      <c r="OF66" s="95"/>
      <c r="OG66" s="95"/>
      <c r="OH66" s="95"/>
      <c r="OI66" s="95"/>
      <c r="OJ66" s="95"/>
      <c r="OK66" s="95"/>
      <c r="OL66" s="95"/>
      <c r="OM66" s="95"/>
      <c r="ON66" s="95"/>
      <c r="OO66" s="95"/>
      <c r="OP66" s="95"/>
      <c r="OQ66" s="95"/>
      <c r="OR66" s="95"/>
      <c r="OS66" s="95"/>
      <c r="OT66" s="95"/>
      <c r="OU66" s="95"/>
      <c r="OV66" s="95"/>
      <c r="OW66" s="95"/>
      <c r="OX66" s="95"/>
      <c r="OY66" s="95"/>
      <c r="OZ66" s="95"/>
      <c r="PA66" s="95"/>
      <c r="PB66" s="95"/>
      <c r="PC66" s="95"/>
      <c r="PD66" s="95"/>
      <c r="PE66" s="95"/>
      <c r="PF66" s="95"/>
      <c r="PG66" s="95"/>
      <c r="PH66" s="95"/>
      <c r="PI66" s="95"/>
      <c r="PJ66" s="95"/>
      <c r="PK66" s="95"/>
      <c r="PL66" s="95"/>
      <c r="PM66" s="95"/>
      <c r="PN66" s="95"/>
      <c r="PO66" s="95"/>
      <c r="PP66" s="95"/>
      <c r="PQ66" s="95"/>
      <c r="PR66" s="95"/>
      <c r="PS66" s="95"/>
      <c r="PT66" s="95"/>
      <c r="PU66" s="95"/>
      <c r="PV66" s="95"/>
      <c r="PW66" s="95"/>
      <c r="PX66" s="95"/>
      <c r="PY66" s="95"/>
      <c r="PZ66" s="95"/>
      <c r="QA66" s="95"/>
      <c r="QB66" s="95"/>
      <c r="QC66" s="95"/>
      <c r="QD66" s="95"/>
      <c r="QE66" s="95"/>
      <c r="QF66" s="95"/>
      <c r="QG66" s="95"/>
      <c r="QH66" s="95"/>
      <c r="QI66" s="95"/>
      <c r="QJ66" s="95"/>
      <c r="QK66" s="95"/>
      <c r="QL66" s="95"/>
      <c r="QM66" s="95"/>
      <c r="QN66" s="95"/>
      <c r="QO66" s="95"/>
      <c r="QP66" s="95"/>
      <c r="QQ66" s="95"/>
      <c r="QR66" s="95"/>
      <c r="QS66" s="95"/>
      <c r="QT66" s="95"/>
      <c r="QU66" s="95"/>
      <c r="QV66" s="95"/>
      <c r="QW66" s="95"/>
      <c r="QX66" s="95"/>
      <c r="QY66" s="95"/>
      <c r="QZ66" s="95"/>
      <c r="RA66" s="95"/>
      <c r="RB66" s="95"/>
      <c r="RC66" s="95"/>
      <c r="RD66" s="95"/>
      <c r="RE66" s="95"/>
      <c r="RF66" s="95"/>
      <c r="RG66" s="95"/>
      <c r="RH66" s="95"/>
      <c r="RI66" s="95"/>
      <c r="RJ66" s="95"/>
      <c r="RK66" s="95"/>
      <c r="RL66" s="95"/>
      <c r="RM66" s="95"/>
      <c r="RN66" s="95"/>
      <c r="RO66" s="95"/>
      <c r="RP66" s="95"/>
      <c r="RQ66" s="95"/>
      <c r="RR66" s="95"/>
      <c r="RS66" s="95"/>
      <c r="RT66" s="95"/>
      <c r="RU66" s="95"/>
      <c r="RV66" s="95"/>
      <c r="RW66" s="95"/>
      <c r="RX66" s="95"/>
      <c r="RY66" s="95"/>
      <c r="RZ66" s="95"/>
      <c r="SA66" s="95"/>
      <c r="SB66" s="95"/>
      <c r="SC66" s="95"/>
      <c r="SD66" s="95"/>
      <c r="SE66" s="95"/>
      <c r="SF66" s="95"/>
      <c r="SG66" s="95"/>
      <c r="SH66" s="95"/>
      <c r="SI66" s="95"/>
      <c r="SJ66" s="95"/>
      <c r="SK66" s="95"/>
      <c r="SL66" s="95"/>
      <c r="SM66" s="95"/>
      <c r="SN66" s="95"/>
      <c r="SO66" s="95"/>
      <c r="SP66" s="95"/>
      <c r="SQ66" s="95"/>
      <c r="SR66" s="95"/>
      <c r="SS66" s="95"/>
      <c r="ST66" s="95"/>
      <c r="SU66" s="95"/>
      <c r="SV66" s="95"/>
      <c r="SW66" s="95"/>
      <c r="SX66" s="95"/>
      <c r="SY66" s="95"/>
      <c r="SZ66" s="95"/>
      <c r="TA66" s="95"/>
      <c r="TB66" s="95"/>
      <c r="TC66" s="95"/>
      <c r="TD66" s="95"/>
      <c r="TE66" s="95"/>
      <c r="TF66" s="95"/>
      <c r="TG66" s="95"/>
      <c r="TH66" s="95"/>
      <c r="TI66" s="95"/>
      <c r="TJ66" s="95"/>
      <c r="TK66" s="95"/>
      <c r="TL66" s="95"/>
      <c r="TM66" s="95"/>
      <c r="TN66" s="95"/>
      <c r="TO66" s="95"/>
      <c r="TP66" s="95"/>
      <c r="TQ66" s="95"/>
      <c r="TR66" s="95"/>
      <c r="TS66" s="95"/>
      <c r="TT66" s="95"/>
      <c r="TU66" s="95"/>
      <c r="TV66" s="95"/>
      <c r="TW66" s="95"/>
      <c r="TX66" s="95"/>
      <c r="TY66" s="95"/>
      <c r="TZ66" s="95"/>
      <c r="UA66" s="95"/>
      <c r="UB66" s="95"/>
      <c r="UC66" s="95"/>
      <c r="UD66" s="95"/>
      <c r="UE66" s="95"/>
      <c r="UF66" s="95"/>
      <c r="UG66" s="95"/>
      <c r="UH66" s="95"/>
      <c r="UI66" s="95"/>
      <c r="UJ66" s="95"/>
      <c r="UK66" s="95"/>
      <c r="UL66" s="95"/>
      <c r="UM66" s="95"/>
      <c r="UN66" s="95"/>
      <c r="UO66" s="95"/>
      <c r="UP66" s="95"/>
      <c r="UQ66" s="95"/>
      <c r="UR66" s="95"/>
      <c r="US66" s="95"/>
      <c r="UT66" s="95"/>
      <c r="UU66" s="95"/>
      <c r="UV66" s="95"/>
      <c r="UW66" s="95"/>
      <c r="UX66" s="95"/>
      <c r="UY66" s="95"/>
      <c r="UZ66" s="95"/>
      <c r="VA66" s="95"/>
      <c r="VB66" s="95"/>
      <c r="VC66" s="95"/>
      <c r="VD66" s="95"/>
      <c r="VE66" s="95"/>
      <c r="VF66" s="95"/>
      <c r="VG66" s="95"/>
      <c r="VH66" s="95"/>
      <c r="VI66" s="95"/>
      <c r="VJ66" s="95"/>
      <c r="VK66" s="95"/>
      <c r="VL66" s="95"/>
      <c r="VM66" s="95"/>
      <c r="VN66" s="95"/>
      <c r="VO66" s="95"/>
      <c r="VP66" s="95"/>
      <c r="VQ66" s="95"/>
      <c r="VR66" s="95"/>
      <c r="VS66" s="95"/>
      <c r="VT66" s="95"/>
      <c r="VU66" s="95"/>
      <c r="VV66" s="95"/>
      <c r="VW66" s="95"/>
      <c r="VX66" s="95"/>
      <c r="VY66" s="95"/>
      <c r="VZ66" s="95"/>
      <c r="WA66" s="95"/>
      <c r="WB66" s="95"/>
      <c r="WC66" s="95"/>
      <c r="WD66" s="95"/>
      <c r="WE66" s="95"/>
      <c r="WF66" s="95"/>
      <c r="WG66" s="95"/>
      <c r="WH66" s="95"/>
      <c r="WI66" s="95"/>
      <c r="WJ66" s="95"/>
      <c r="WK66" s="95"/>
      <c r="WL66" s="95"/>
      <c r="WM66" s="95"/>
      <c r="WN66" s="95"/>
      <c r="WO66" s="95"/>
      <c r="WP66" s="95"/>
      <c r="WQ66" s="95"/>
      <c r="WR66" s="95"/>
      <c r="WS66" s="95"/>
      <c r="WT66" s="95"/>
      <c r="WU66" s="95"/>
      <c r="WV66" s="95"/>
      <c r="WW66" s="95"/>
      <c r="WX66" s="95"/>
      <c r="WY66" s="95"/>
      <c r="WZ66" s="95"/>
      <c r="XA66" s="95"/>
      <c r="XB66" s="95"/>
      <c r="XC66" s="95"/>
      <c r="XD66" s="95"/>
      <c r="XE66" s="95"/>
      <c r="XF66" s="95"/>
      <c r="XG66" s="95"/>
      <c r="XH66" s="95"/>
      <c r="XI66" s="95"/>
      <c r="XJ66" s="95"/>
      <c r="XK66" s="95"/>
      <c r="XL66" s="95"/>
      <c r="XM66" s="95"/>
      <c r="XN66" s="95"/>
      <c r="XO66" s="95"/>
      <c r="XP66" s="95"/>
      <c r="XQ66" s="95"/>
      <c r="XR66" s="95"/>
      <c r="XS66" s="95"/>
      <c r="XT66" s="95"/>
      <c r="XU66" s="95"/>
      <c r="XV66" s="95"/>
      <c r="XW66" s="95"/>
      <c r="XX66" s="95"/>
      <c r="XY66" s="95"/>
      <c r="XZ66" s="95"/>
      <c r="YA66" s="95"/>
      <c r="YB66" s="95"/>
      <c r="YC66" s="95"/>
      <c r="YD66" s="95"/>
      <c r="YE66" s="95"/>
      <c r="YF66" s="95"/>
      <c r="YG66" s="95"/>
      <c r="YH66" s="95"/>
      <c r="YI66" s="95"/>
      <c r="YJ66" s="95"/>
      <c r="YK66" s="95"/>
      <c r="YL66" s="95"/>
      <c r="YM66" s="95"/>
      <c r="YN66" s="95"/>
      <c r="YO66" s="95"/>
      <c r="YP66" s="95"/>
      <c r="YQ66" s="95"/>
      <c r="YR66" s="95"/>
      <c r="YS66" s="95"/>
      <c r="YT66" s="95"/>
      <c r="YU66" s="95"/>
      <c r="YV66" s="95"/>
      <c r="YW66" s="95"/>
      <c r="YX66" s="95"/>
      <c r="YY66" s="95"/>
      <c r="YZ66" s="95"/>
      <c r="ZA66" s="95"/>
      <c r="ZB66" s="95"/>
      <c r="ZC66" s="95"/>
      <c r="ZD66" s="95"/>
      <c r="ZE66" s="95"/>
      <c r="ZF66" s="95"/>
      <c r="ZG66" s="95"/>
      <c r="ZH66" s="95"/>
      <c r="ZI66" s="95"/>
      <c r="ZJ66" s="95"/>
      <c r="ZK66" s="95"/>
      <c r="ZL66" s="95"/>
      <c r="ZM66" s="95"/>
      <c r="ZN66" s="95"/>
      <c r="ZO66" s="95"/>
      <c r="ZP66" s="95"/>
      <c r="ZQ66" s="95"/>
      <c r="ZR66" s="95"/>
      <c r="ZS66" s="95"/>
      <c r="ZT66" s="95"/>
      <c r="ZU66" s="95"/>
      <c r="ZV66" s="95"/>
      <c r="ZW66" s="95"/>
      <c r="ZX66" s="95"/>
      <c r="ZY66" s="95"/>
      <c r="ZZ66" s="95"/>
      <c r="AAA66" s="95"/>
      <c r="AAB66" s="95"/>
      <c r="AAC66" s="95"/>
      <c r="AAD66" s="95"/>
      <c r="AAE66" s="95"/>
      <c r="AAF66" s="95"/>
      <c r="AAG66" s="95"/>
      <c r="AAH66" s="95"/>
      <c r="AAI66" s="95"/>
      <c r="AAJ66" s="95"/>
      <c r="AAK66" s="95"/>
      <c r="AAL66" s="95"/>
      <c r="AAM66" s="95"/>
      <c r="AAN66" s="95"/>
      <c r="AAO66" s="95"/>
      <c r="AAP66" s="95"/>
      <c r="AAQ66" s="95"/>
      <c r="AAR66" s="95"/>
      <c r="AAS66" s="95"/>
      <c r="AAT66" s="95"/>
      <c r="AAU66" s="95"/>
      <c r="AAV66" s="95"/>
      <c r="AAW66" s="95"/>
      <c r="AAX66" s="95"/>
      <c r="AAY66" s="95"/>
      <c r="AAZ66" s="95"/>
      <c r="ABA66" s="95"/>
      <c r="ABB66" s="95"/>
      <c r="ABC66" s="95"/>
      <c r="ABD66" s="95"/>
      <c r="ABE66" s="95"/>
      <c r="ABF66" s="95"/>
      <c r="ABG66" s="95"/>
      <c r="ABH66" s="95"/>
      <c r="ABI66" s="95"/>
      <c r="ABJ66" s="95"/>
      <c r="ABK66" s="95"/>
      <c r="ABL66" s="95"/>
      <c r="ABM66" s="95"/>
      <c r="ABN66" s="95"/>
      <c r="ABO66" s="95"/>
      <c r="ABP66" s="95"/>
      <c r="ABQ66" s="95"/>
      <c r="ABR66" s="95"/>
      <c r="ABS66" s="95"/>
      <c r="ABT66" s="95"/>
      <c r="ABU66" s="95"/>
      <c r="ABV66" s="95"/>
      <c r="ABW66" s="95"/>
      <c r="ABX66" s="95"/>
      <c r="ABY66" s="95"/>
      <c r="ABZ66" s="95"/>
      <c r="ACA66" s="95"/>
      <c r="ACB66" s="95"/>
      <c r="ACC66" s="95"/>
      <c r="ACD66" s="95"/>
      <c r="ACE66" s="95"/>
      <c r="ACF66" s="95"/>
      <c r="ACG66" s="95"/>
      <c r="ACH66" s="95"/>
      <c r="ACI66" s="95"/>
      <c r="ACJ66" s="95"/>
      <c r="ACK66" s="95"/>
      <c r="ACL66" s="95"/>
      <c r="ACM66" s="95"/>
      <c r="ACN66" s="95"/>
      <c r="ACO66" s="95"/>
      <c r="ACP66" s="95"/>
      <c r="ACQ66" s="95"/>
      <c r="ACR66" s="95"/>
      <c r="ACS66" s="95"/>
      <c r="ACT66" s="95"/>
      <c r="ACU66" s="95"/>
      <c r="ACV66" s="95"/>
      <c r="ACW66" s="95"/>
      <c r="ACX66" s="95"/>
      <c r="ACY66" s="95"/>
      <c r="ACZ66" s="95"/>
      <c r="ADA66" s="95"/>
      <c r="ADB66" s="95"/>
      <c r="ADC66" s="95"/>
      <c r="ADD66" s="95"/>
      <c r="ADE66" s="95"/>
      <c r="ADF66" s="95"/>
      <c r="ADG66" s="95"/>
      <c r="ADH66" s="95"/>
      <c r="ADI66" s="95"/>
      <c r="ADJ66" s="95"/>
      <c r="ADK66" s="95"/>
      <c r="ADL66" s="95"/>
      <c r="ADM66" s="95"/>
      <c r="ADN66" s="95"/>
      <c r="ADO66" s="95"/>
      <c r="ADP66" s="95"/>
      <c r="ADQ66" s="95"/>
      <c r="ADR66" s="95"/>
      <c r="ADS66" s="95"/>
      <c r="ADT66" s="95"/>
      <c r="ADU66" s="95"/>
      <c r="ADV66" s="95"/>
      <c r="ADW66" s="95"/>
      <c r="ADX66" s="95"/>
      <c r="ADY66" s="95"/>
      <c r="ADZ66" s="95"/>
      <c r="AEA66" s="95"/>
      <c r="AEB66" s="95"/>
      <c r="AEC66" s="95"/>
      <c r="AED66" s="95"/>
      <c r="AEE66" s="95"/>
      <c r="AEF66" s="95"/>
      <c r="AEG66" s="95"/>
      <c r="AEH66" s="95"/>
      <c r="AEI66" s="95"/>
      <c r="AEJ66" s="95"/>
      <c r="AEK66" s="95"/>
      <c r="AEL66" s="95"/>
      <c r="AEM66" s="95"/>
      <c r="AEN66" s="95"/>
      <c r="AEO66" s="95"/>
      <c r="AEP66" s="95"/>
      <c r="AEQ66" s="95"/>
      <c r="AER66" s="95"/>
      <c r="AES66" s="95"/>
      <c r="AET66" s="95"/>
      <c r="AEU66" s="95"/>
      <c r="AEV66" s="95"/>
      <c r="AEW66" s="95"/>
      <c r="AEX66" s="95"/>
      <c r="AEY66" s="95"/>
      <c r="AEZ66" s="95"/>
      <c r="AFA66" s="95"/>
      <c r="AFB66" s="95"/>
      <c r="AFC66" s="95"/>
      <c r="AFD66" s="95"/>
      <c r="AFE66" s="95"/>
      <c r="AFF66" s="95"/>
      <c r="AFG66" s="95"/>
      <c r="AFH66" s="95"/>
      <c r="AFI66" s="95"/>
      <c r="AFJ66" s="95"/>
      <c r="AFK66" s="95"/>
      <c r="AFL66" s="95"/>
      <c r="AFM66" s="95"/>
      <c r="AFN66" s="95"/>
      <c r="AFO66" s="95"/>
      <c r="AFP66" s="95"/>
      <c r="AFQ66" s="95"/>
      <c r="AFR66" s="95"/>
      <c r="AFS66" s="95"/>
      <c r="AFT66" s="95"/>
      <c r="AFU66" s="95"/>
      <c r="AFV66" s="95"/>
      <c r="AFW66" s="95"/>
      <c r="AFX66" s="95"/>
      <c r="AFY66" s="95"/>
      <c r="AFZ66" s="95"/>
      <c r="AGA66" s="95"/>
      <c r="AGB66" s="95"/>
      <c r="AGC66" s="95"/>
      <c r="AGD66" s="95"/>
      <c r="AGE66" s="95"/>
      <c r="AGF66" s="95"/>
      <c r="AGG66" s="95"/>
      <c r="AGH66" s="95"/>
      <c r="AGI66" s="95"/>
      <c r="AGJ66" s="95"/>
      <c r="AGK66" s="95"/>
      <c r="AGL66" s="95"/>
      <c r="AGM66" s="95"/>
      <c r="AGN66" s="95"/>
      <c r="AGO66" s="95"/>
      <c r="AGP66" s="95"/>
      <c r="AGQ66" s="95"/>
      <c r="AGR66" s="95"/>
      <c r="AGS66" s="95"/>
      <c r="AGT66" s="95"/>
      <c r="AGU66" s="95"/>
      <c r="AGV66" s="95"/>
      <c r="AGW66" s="95"/>
      <c r="AGX66" s="95"/>
      <c r="AGY66" s="95"/>
      <c r="AGZ66" s="95"/>
      <c r="AHA66" s="95"/>
      <c r="AHB66" s="95"/>
      <c r="AHC66" s="95"/>
      <c r="AHD66" s="95"/>
      <c r="AHE66" s="95"/>
      <c r="AHF66" s="95"/>
      <c r="AHG66" s="95"/>
      <c r="AHH66" s="95"/>
      <c r="AHI66" s="95"/>
      <c r="AHJ66" s="95"/>
      <c r="AHK66" s="95"/>
      <c r="AHL66" s="95"/>
      <c r="AHM66" s="95"/>
      <c r="AHN66" s="95"/>
      <c r="AHO66" s="95"/>
      <c r="AHP66" s="95"/>
      <c r="AHQ66" s="95"/>
      <c r="AHR66" s="95"/>
      <c r="AHS66" s="95"/>
      <c r="AHT66" s="95"/>
      <c r="AHU66" s="95"/>
      <c r="AHV66" s="95"/>
      <c r="AHW66" s="95"/>
      <c r="AHX66" s="95"/>
      <c r="AHY66" s="95"/>
      <c r="AHZ66" s="95"/>
      <c r="AIA66" s="95"/>
      <c r="AIB66" s="95"/>
      <c r="AIC66" s="95"/>
      <c r="AID66" s="95"/>
      <c r="AIE66" s="95"/>
      <c r="AIF66" s="95"/>
      <c r="AIG66" s="95"/>
      <c r="AIH66" s="95"/>
      <c r="AII66" s="95"/>
      <c r="AIJ66" s="95"/>
      <c r="AIK66" s="95"/>
      <c r="AIL66" s="95"/>
      <c r="AIM66" s="95"/>
      <c r="AIN66" s="95"/>
      <c r="AIO66" s="95"/>
      <c r="AIP66" s="95"/>
      <c r="AIQ66" s="95"/>
      <c r="AIR66" s="95"/>
      <c r="AIS66" s="95"/>
      <c r="AIT66" s="95"/>
      <c r="AIU66" s="95"/>
      <c r="AIV66" s="95"/>
      <c r="AIW66" s="95"/>
      <c r="AIX66" s="95"/>
      <c r="AIY66" s="95"/>
      <c r="AIZ66" s="95"/>
      <c r="AJA66" s="95"/>
      <c r="AJB66" s="95"/>
      <c r="AJC66" s="95"/>
      <c r="AJD66" s="95"/>
      <c r="AJE66" s="95"/>
      <c r="AJF66" s="95"/>
      <c r="AJG66" s="95"/>
      <c r="AJH66" s="95"/>
      <c r="AJI66" s="95"/>
      <c r="AJJ66" s="95"/>
      <c r="AJK66" s="95"/>
      <c r="AJL66" s="95"/>
      <c r="AJM66" s="95"/>
      <c r="AJN66" s="95"/>
      <c r="AJO66" s="95"/>
      <c r="AJP66" s="95"/>
      <c r="AJQ66" s="95"/>
      <c r="AJR66" s="95"/>
      <c r="AJS66" s="95"/>
      <c r="AJT66" s="95"/>
      <c r="AJU66" s="95"/>
      <c r="AJV66" s="95"/>
      <c r="AJW66" s="95"/>
      <c r="AJX66" s="95"/>
      <c r="AJY66" s="95"/>
      <c r="AJZ66" s="95"/>
      <c r="AKA66" s="95"/>
      <c r="AKB66" s="95"/>
      <c r="AKC66" s="95"/>
      <c r="AKD66" s="95"/>
      <c r="AKE66" s="95"/>
      <c r="AKF66" s="95"/>
      <c r="AKG66" s="95"/>
      <c r="AKH66" s="95"/>
      <c r="AKI66" s="95"/>
      <c r="AKJ66" s="95"/>
      <c r="AKK66" s="95"/>
      <c r="AKL66" s="95"/>
      <c r="AKM66" s="95"/>
      <c r="AKN66" s="95"/>
      <c r="AKO66" s="95"/>
      <c r="AKP66" s="95"/>
      <c r="AKQ66" s="95"/>
      <c r="AKR66" s="95"/>
      <c r="AKS66" s="95"/>
      <c r="AKT66" s="95"/>
      <c r="AKU66" s="95"/>
      <c r="AKV66" s="95"/>
      <c r="AKW66" s="95"/>
      <c r="AKX66" s="95"/>
      <c r="AKY66" s="95"/>
      <c r="AKZ66" s="95"/>
      <c r="ALA66" s="95"/>
      <c r="ALB66" s="95"/>
      <c r="ALC66" s="95"/>
      <c r="ALD66" s="95"/>
      <c r="ALE66" s="95"/>
      <c r="ALF66" s="95"/>
      <c r="ALG66" s="95"/>
      <c r="ALH66" s="95"/>
      <c r="ALI66" s="95"/>
      <c r="ALJ66" s="95"/>
      <c r="ALK66" s="95"/>
      <c r="ALL66" s="95"/>
      <c r="ALM66" s="95"/>
      <c r="ALN66" s="95"/>
      <c r="ALO66" s="95"/>
      <c r="ALP66" s="95"/>
      <c r="ALQ66" s="95"/>
      <c r="ALR66" s="95"/>
      <c r="ALS66" s="95"/>
      <c r="ALT66" s="95"/>
      <c r="ALU66" s="95"/>
      <c r="ALV66" s="95"/>
      <c r="ALW66" s="95"/>
      <c r="ALX66" s="95"/>
      <c r="ALY66" s="95"/>
      <c r="ALZ66" s="95"/>
      <c r="AMA66" s="95"/>
      <c r="AMB66" s="95"/>
      <c r="AMC66" s="95"/>
      <c r="AMD66" s="95"/>
      <c r="AME66" s="95"/>
      <c r="AMF66" s="95"/>
      <c r="AMG66" s="95"/>
      <c r="AMH66" s="95"/>
      <c r="AMI66" s="95"/>
      <c r="AMJ66" s="95"/>
      <c r="AMK66" s="95"/>
      <c r="AML66" s="95"/>
      <c r="AMM66" s="95"/>
      <c r="AMN66" s="95"/>
      <c r="AMO66" s="95"/>
      <c r="AMP66" s="95"/>
      <c r="AMQ66" s="95"/>
      <c r="AMR66" s="95"/>
      <c r="AMS66" s="95"/>
      <c r="AMT66" s="95"/>
      <c r="AMU66" s="95"/>
      <c r="AMV66" s="95"/>
      <c r="AMW66" s="95"/>
      <c r="AMX66" s="95"/>
      <c r="AMY66" s="95"/>
      <c r="AMZ66" s="95"/>
      <c r="ANA66" s="95"/>
      <c r="ANB66" s="95"/>
      <c r="ANC66" s="95"/>
      <c r="AND66" s="95"/>
      <c r="ANE66" s="95"/>
      <c r="ANF66" s="95"/>
      <c r="ANG66" s="95"/>
      <c r="ANH66" s="95"/>
      <c r="ANI66" s="95"/>
      <c r="ANJ66" s="95"/>
      <c r="ANK66" s="95"/>
      <c r="ANL66" s="95"/>
      <c r="ANM66" s="95"/>
      <c r="ANN66" s="95"/>
      <c r="ANO66" s="95"/>
      <c r="ANP66" s="95"/>
      <c r="ANQ66" s="95"/>
      <c r="ANR66" s="95"/>
      <c r="ANS66" s="95"/>
      <c r="ANT66" s="95"/>
      <c r="ANU66" s="95"/>
      <c r="ANV66" s="95"/>
      <c r="ANW66" s="95"/>
      <c r="ANX66" s="95"/>
      <c r="ANY66" s="95"/>
      <c r="ANZ66" s="95"/>
      <c r="AOA66" s="95"/>
      <c r="AOB66" s="95"/>
      <c r="AOC66" s="95"/>
      <c r="AOD66" s="95"/>
      <c r="AOE66" s="95"/>
      <c r="AOF66" s="95"/>
      <c r="AOG66" s="95"/>
      <c r="AOH66" s="95"/>
      <c r="AOI66" s="95"/>
      <c r="AOJ66" s="95"/>
      <c r="AOK66" s="95"/>
      <c r="AOL66" s="95"/>
      <c r="AOM66" s="95"/>
      <c r="AON66" s="95"/>
      <c r="AOO66" s="95"/>
      <c r="AOP66" s="95"/>
      <c r="AOQ66" s="95"/>
      <c r="AOR66" s="95"/>
      <c r="AOS66" s="95"/>
      <c r="AOT66" s="95"/>
      <c r="AOU66" s="95"/>
      <c r="AOV66" s="95"/>
      <c r="AOW66" s="95"/>
      <c r="AOX66" s="95"/>
      <c r="AOY66" s="95"/>
      <c r="AOZ66" s="95"/>
      <c r="APA66" s="95"/>
      <c r="APB66" s="95"/>
      <c r="APC66" s="95"/>
      <c r="APD66" s="95"/>
      <c r="APE66" s="95"/>
      <c r="APF66" s="95"/>
      <c r="APG66" s="95"/>
      <c r="APH66" s="95"/>
      <c r="API66" s="95"/>
      <c r="APJ66" s="95"/>
      <c r="APK66" s="95"/>
      <c r="APL66" s="95"/>
      <c r="APM66" s="95"/>
      <c r="APN66" s="95"/>
      <c r="APO66" s="95"/>
      <c r="APP66" s="95"/>
      <c r="APQ66" s="95"/>
      <c r="APR66" s="95"/>
      <c r="APS66" s="95"/>
      <c r="APT66" s="95"/>
      <c r="APU66" s="95"/>
      <c r="APV66" s="95"/>
      <c r="APW66" s="95"/>
      <c r="APX66" s="95"/>
      <c r="APY66" s="95"/>
      <c r="APZ66" s="95"/>
      <c r="AQA66" s="95"/>
      <c r="AQB66" s="95"/>
      <c r="AQC66" s="95"/>
      <c r="AQD66" s="95"/>
      <c r="AQE66" s="95"/>
      <c r="AQF66" s="95"/>
      <c r="AQG66" s="95"/>
      <c r="AQH66" s="95"/>
      <c r="AQI66" s="95"/>
      <c r="AQJ66" s="95"/>
      <c r="AQK66" s="95"/>
      <c r="AQL66" s="95"/>
      <c r="AQM66" s="95"/>
      <c r="AQN66" s="95"/>
      <c r="AQO66" s="95"/>
      <c r="AQP66" s="95"/>
      <c r="AQQ66" s="95"/>
      <c r="AQR66" s="95"/>
      <c r="AQS66" s="95"/>
      <c r="AQT66" s="95"/>
      <c r="AQU66" s="95"/>
      <c r="AQV66" s="95"/>
      <c r="AQW66" s="95"/>
      <c r="AQX66" s="95"/>
      <c r="AQY66" s="95"/>
      <c r="AQZ66" s="95"/>
      <c r="ARA66" s="95"/>
      <c r="ARB66" s="95"/>
      <c r="ARC66" s="95"/>
      <c r="ARD66" s="95"/>
      <c r="ARE66" s="95"/>
      <c r="ARF66" s="95"/>
      <c r="ARG66" s="95"/>
      <c r="ARH66" s="95"/>
      <c r="ARI66" s="95"/>
      <c r="ARJ66" s="95"/>
      <c r="ARK66" s="95"/>
      <c r="ARL66" s="95"/>
      <c r="ARM66" s="95"/>
      <c r="ARN66" s="95"/>
      <c r="ARO66" s="95"/>
      <c r="ARP66" s="95"/>
      <c r="ARQ66" s="95"/>
      <c r="ARR66" s="95"/>
      <c r="ARS66" s="95"/>
      <c r="ART66" s="95"/>
      <c r="ARU66" s="95"/>
      <c r="ARV66" s="95"/>
      <c r="ARW66" s="95"/>
      <c r="ARX66" s="95"/>
      <c r="ARY66" s="95"/>
      <c r="ARZ66" s="95"/>
      <c r="ASA66" s="95"/>
      <c r="ASB66" s="95"/>
      <c r="ASC66" s="95"/>
      <c r="ASD66" s="95"/>
      <c r="ASE66" s="95"/>
      <c r="ASF66" s="95"/>
      <c r="ASG66" s="95"/>
      <c r="ASH66" s="95"/>
      <c r="ASI66" s="95"/>
      <c r="ASJ66" s="95"/>
      <c r="ASK66" s="95"/>
      <c r="ASL66" s="95"/>
      <c r="ASM66" s="95"/>
      <c r="ASN66" s="95"/>
      <c r="ASO66" s="95"/>
      <c r="ASP66" s="95"/>
      <c r="ASQ66" s="95"/>
      <c r="ASR66" s="95"/>
      <c r="ASS66" s="95"/>
      <c r="AST66" s="95"/>
      <c r="ASU66" s="95"/>
      <c r="ASV66" s="95"/>
      <c r="ASW66" s="95"/>
      <c r="ASX66" s="95"/>
      <c r="ASY66" s="95"/>
      <c r="ASZ66" s="95"/>
      <c r="ATA66" s="95"/>
      <c r="ATB66" s="95"/>
      <c r="ATC66" s="95"/>
      <c r="ATD66" s="95"/>
      <c r="ATE66" s="95"/>
      <c r="ATF66" s="95"/>
      <c r="ATG66" s="95"/>
      <c r="ATH66" s="95"/>
      <c r="ATI66" s="95"/>
      <c r="ATJ66" s="95"/>
      <c r="ATK66" s="95"/>
      <c r="ATL66" s="95"/>
      <c r="ATM66" s="95"/>
      <c r="ATN66" s="95"/>
      <c r="ATO66" s="95"/>
      <c r="ATP66" s="95"/>
      <c r="ATQ66" s="95"/>
      <c r="ATR66" s="95"/>
      <c r="ATS66" s="95"/>
      <c r="ATT66" s="95"/>
      <c r="ATU66" s="95"/>
      <c r="ATV66" s="95"/>
      <c r="ATW66" s="95"/>
      <c r="ATX66" s="95"/>
      <c r="ATY66" s="95"/>
      <c r="ATZ66" s="95"/>
      <c r="AUA66" s="95"/>
      <c r="AUB66" s="95"/>
      <c r="AUC66" s="95"/>
      <c r="AUD66" s="95"/>
      <c r="AUE66" s="95"/>
      <c r="AUF66" s="95"/>
      <c r="AUG66" s="95"/>
      <c r="AUH66" s="95"/>
      <c r="AUI66" s="95"/>
      <c r="AUJ66" s="95"/>
      <c r="AUK66" s="95"/>
      <c r="AUL66" s="95"/>
      <c r="AUM66" s="95"/>
      <c r="AUN66" s="95"/>
      <c r="AUO66" s="95"/>
      <c r="AUP66" s="95"/>
      <c r="AUQ66" s="95"/>
      <c r="AUR66" s="95"/>
      <c r="AUS66" s="95"/>
      <c r="AUT66" s="95"/>
      <c r="AUU66" s="95"/>
      <c r="AUV66" s="95"/>
      <c r="AUW66" s="95"/>
      <c r="AUX66" s="95"/>
      <c r="AUY66" s="95"/>
      <c r="AUZ66" s="95"/>
      <c r="AVA66" s="95"/>
      <c r="AVB66" s="95"/>
      <c r="AVC66" s="95"/>
      <c r="AVD66" s="95"/>
      <c r="AVE66" s="95"/>
      <c r="AVF66" s="95"/>
      <c r="AVG66" s="95"/>
      <c r="AVH66" s="95"/>
      <c r="AVI66" s="95"/>
      <c r="AVJ66" s="95"/>
      <c r="AVK66" s="95"/>
      <c r="AVL66" s="95"/>
      <c r="AVM66" s="95"/>
      <c r="AVN66" s="95"/>
      <c r="AVO66" s="95"/>
      <c r="AVP66" s="95"/>
      <c r="AVQ66" s="95"/>
      <c r="AVR66" s="95"/>
      <c r="AVS66" s="95"/>
      <c r="AVT66" s="95"/>
      <c r="AVU66" s="95"/>
      <c r="AVV66" s="95"/>
      <c r="AVW66" s="95"/>
      <c r="AVX66" s="95"/>
      <c r="AVY66" s="95"/>
      <c r="AVZ66" s="95"/>
      <c r="AWA66" s="95"/>
      <c r="AWB66" s="95"/>
      <c r="AWC66" s="95"/>
      <c r="AWD66" s="95"/>
      <c r="AWE66" s="95"/>
      <c r="AWF66" s="95"/>
      <c r="AWG66" s="95"/>
      <c r="AWH66" s="95"/>
      <c r="AWI66" s="95"/>
      <c r="AWJ66" s="95"/>
      <c r="AWK66" s="95"/>
      <c r="AWL66" s="95"/>
      <c r="AWM66" s="95"/>
      <c r="AWN66" s="95"/>
      <c r="AWO66" s="95"/>
      <c r="AWP66" s="95"/>
      <c r="AWQ66" s="95"/>
      <c r="AWR66" s="95"/>
      <c r="AWS66" s="95"/>
      <c r="AWT66" s="95"/>
      <c r="AWU66" s="95"/>
      <c r="AWV66" s="95"/>
      <c r="AWW66" s="95"/>
      <c r="AWX66" s="95"/>
      <c r="AWY66" s="95"/>
      <c r="AWZ66" s="95"/>
      <c r="AXA66" s="95"/>
      <c r="AXB66" s="95"/>
      <c r="AXC66" s="95"/>
      <c r="AXD66" s="95"/>
      <c r="AXE66" s="95"/>
      <c r="AXF66" s="95"/>
      <c r="AXG66" s="95"/>
      <c r="AXH66" s="95"/>
      <c r="AXI66" s="95"/>
      <c r="AXJ66" s="95"/>
      <c r="AXK66" s="95"/>
      <c r="AXL66" s="95"/>
      <c r="AXM66" s="95"/>
      <c r="AXN66" s="95"/>
      <c r="AXO66" s="95"/>
      <c r="AXP66" s="95"/>
      <c r="AXQ66" s="95"/>
      <c r="AXR66" s="95"/>
      <c r="AXS66" s="95"/>
      <c r="AXT66" s="95"/>
      <c r="AXU66" s="95"/>
      <c r="AXV66" s="95"/>
      <c r="AXW66" s="95"/>
      <c r="AXX66" s="95"/>
      <c r="AXY66" s="95"/>
      <c r="AXZ66" s="95"/>
      <c r="AYA66" s="95"/>
      <c r="AYB66" s="95"/>
      <c r="AYC66" s="95"/>
      <c r="AYD66" s="95"/>
      <c r="AYE66" s="95"/>
      <c r="AYF66" s="95"/>
      <c r="AYG66" s="95"/>
      <c r="AYH66" s="95"/>
      <c r="AYI66" s="95"/>
      <c r="AYJ66" s="95"/>
      <c r="AYK66" s="95"/>
      <c r="AYL66" s="95"/>
      <c r="AYM66" s="95"/>
      <c r="AYN66" s="95"/>
      <c r="AYO66" s="95"/>
      <c r="AYP66" s="95"/>
      <c r="AYQ66" s="95"/>
      <c r="AYR66" s="95"/>
      <c r="AYS66" s="95"/>
      <c r="AYT66" s="95"/>
      <c r="AYU66" s="95"/>
      <c r="AYV66" s="95"/>
      <c r="AYW66" s="95"/>
      <c r="AYX66" s="95"/>
      <c r="AYY66" s="95"/>
      <c r="AYZ66" s="95"/>
      <c r="AZA66" s="95"/>
      <c r="AZB66" s="95"/>
      <c r="AZC66" s="95"/>
      <c r="AZD66" s="95"/>
      <c r="AZE66" s="95"/>
      <c r="AZF66" s="95"/>
      <c r="AZG66" s="95"/>
      <c r="AZH66" s="95"/>
      <c r="AZI66" s="95"/>
      <c r="AZJ66" s="95"/>
      <c r="AZK66" s="95"/>
      <c r="AZL66" s="95"/>
      <c r="AZM66" s="95"/>
      <c r="AZN66" s="95"/>
      <c r="AZO66" s="95"/>
      <c r="AZP66" s="95"/>
      <c r="AZQ66" s="95"/>
      <c r="AZR66" s="95"/>
      <c r="AZS66" s="95"/>
      <c r="AZT66" s="95"/>
      <c r="AZU66" s="95"/>
      <c r="AZV66" s="95"/>
      <c r="AZW66" s="95"/>
      <c r="AZX66" s="95"/>
      <c r="AZY66" s="95"/>
      <c r="AZZ66" s="95"/>
      <c r="BAA66" s="95"/>
      <c r="BAB66" s="95"/>
      <c r="BAC66" s="95"/>
      <c r="BAD66" s="95"/>
      <c r="BAE66" s="95"/>
      <c r="BAF66" s="95"/>
      <c r="BAG66" s="95"/>
      <c r="BAH66" s="95"/>
      <c r="BAI66" s="95"/>
      <c r="BAJ66" s="95"/>
      <c r="BAK66" s="95"/>
      <c r="BAL66" s="95"/>
      <c r="BAM66" s="95"/>
      <c r="BAN66" s="95"/>
      <c r="BAO66" s="95"/>
      <c r="BAP66" s="95"/>
      <c r="BAQ66" s="95"/>
      <c r="BAR66" s="95"/>
      <c r="BAS66" s="95"/>
      <c r="BAT66" s="95"/>
      <c r="BAU66" s="95"/>
      <c r="BAV66" s="95"/>
      <c r="BAW66" s="95"/>
      <c r="BAX66" s="95"/>
      <c r="BAY66" s="95"/>
      <c r="BAZ66" s="95"/>
      <c r="BBA66" s="95"/>
      <c r="BBB66" s="95"/>
      <c r="BBC66" s="95"/>
      <c r="BBD66" s="95"/>
      <c r="BBE66" s="95"/>
      <c r="BBF66" s="95"/>
      <c r="BBG66" s="95"/>
      <c r="BBH66" s="95"/>
      <c r="BBI66" s="95"/>
      <c r="BBJ66" s="95"/>
      <c r="BBK66" s="95"/>
      <c r="BBL66" s="95"/>
      <c r="BBM66" s="95"/>
      <c r="BBN66" s="95"/>
      <c r="BBO66" s="95"/>
      <c r="BBP66" s="95"/>
      <c r="BBQ66" s="95"/>
      <c r="BBR66" s="95"/>
      <c r="BBS66" s="95"/>
      <c r="BBT66" s="95"/>
      <c r="BBU66" s="95"/>
      <c r="BBV66" s="95"/>
      <c r="BBW66" s="95"/>
      <c r="BBX66" s="95"/>
      <c r="BBY66" s="95"/>
      <c r="BBZ66" s="95"/>
      <c r="BCA66" s="95"/>
      <c r="BCB66" s="95"/>
      <c r="BCC66" s="95"/>
      <c r="BCD66" s="95"/>
      <c r="BCE66" s="95"/>
      <c r="BCF66" s="95"/>
      <c r="BCG66" s="95"/>
      <c r="BCH66" s="95"/>
      <c r="BCI66" s="95"/>
      <c r="BCJ66" s="95"/>
      <c r="BCK66" s="95"/>
      <c r="BCL66" s="95"/>
      <c r="BCM66" s="95"/>
      <c r="BCN66" s="95"/>
      <c r="BCO66" s="95"/>
      <c r="BCP66" s="95"/>
      <c r="BCQ66" s="95"/>
      <c r="BCR66" s="95"/>
      <c r="BCS66" s="95"/>
      <c r="BCT66" s="95"/>
      <c r="BCU66" s="95"/>
      <c r="BCV66" s="95"/>
      <c r="BCW66" s="95"/>
      <c r="BCX66" s="95"/>
      <c r="BCY66" s="95"/>
      <c r="BCZ66" s="95"/>
      <c r="BDA66" s="95"/>
      <c r="BDB66" s="95"/>
      <c r="BDC66" s="95"/>
      <c r="BDD66" s="95"/>
      <c r="BDE66" s="95"/>
      <c r="BDF66" s="95"/>
      <c r="BDG66" s="95"/>
      <c r="BDH66" s="95"/>
      <c r="BDI66" s="95"/>
      <c r="BDJ66" s="95"/>
      <c r="BDK66" s="95"/>
      <c r="BDL66" s="95"/>
      <c r="BDM66" s="95"/>
      <c r="BDN66" s="95"/>
      <c r="BDO66" s="95"/>
      <c r="BDP66" s="95"/>
      <c r="BDQ66" s="95"/>
      <c r="BDR66" s="95"/>
      <c r="BDS66" s="95"/>
      <c r="BDT66" s="95"/>
      <c r="BDU66" s="95"/>
      <c r="BDV66" s="95"/>
      <c r="BDW66" s="95"/>
      <c r="BDX66" s="95"/>
      <c r="BDY66" s="95"/>
      <c r="BDZ66" s="95"/>
      <c r="BEA66" s="95"/>
      <c r="BEB66" s="95"/>
      <c r="BEC66" s="95"/>
      <c r="BED66" s="95"/>
      <c r="BEE66" s="95"/>
      <c r="BEF66" s="95"/>
      <c r="BEG66" s="95"/>
      <c r="BEH66" s="95"/>
      <c r="BEI66" s="95"/>
      <c r="BEJ66" s="95"/>
      <c r="BEK66" s="95"/>
      <c r="BEL66" s="95"/>
      <c r="BEM66" s="95"/>
      <c r="BEN66" s="95"/>
      <c r="BEO66" s="95"/>
      <c r="BEP66" s="95"/>
      <c r="BEQ66" s="95"/>
      <c r="BER66" s="95"/>
      <c r="BES66" s="95"/>
      <c r="BET66" s="95"/>
      <c r="BEU66" s="95"/>
      <c r="BEV66" s="95"/>
      <c r="BEW66" s="95"/>
      <c r="BEX66" s="95"/>
      <c r="BEY66" s="95"/>
      <c r="BEZ66" s="95"/>
      <c r="BFA66" s="95"/>
      <c r="BFB66" s="95"/>
      <c r="BFC66" s="95"/>
      <c r="BFD66" s="95"/>
      <c r="BFE66" s="95"/>
      <c r="BFF66" s="95"/>
      <c r="BFG66" s="95"/>
      <c r="BFH66" s="95"/>
      <c r="BFI66" s="95"/>
      <c r="BFJ66" s="95"/>
      <c r="BFK66" s="95"/>
      <c r="BFL66" s="95"/>
      <c r="BFM66" s="95"/>
      <c r="BFN66" s="95"/>
      <c r="BFO66" s="95"/>
      <c r="BFP66" s="95"/>
      <c r="BFQ66" s="95"/>
      <c r="BFR66" s="95"/>
      <c r="BFS66" s="95"/>
      <c r="BFT66" s="95"/>
      <c r="BFU66" s="95"/>
      <c r="BFV66" s="95"/>
      <c r="BFW66" s="95"/>
      <c r="BFX66" s="95"/>
      <c r="BFY66" s="95"/>
      <c r="BFZ66" s="95"/>
      <c r="BGA66" s="95"/>
      <c r="BGB66" s="95"/>
      <c r="BGC66" s="95"/>
      <c r="BGD66" s="95"/>
      <c r="BGE66" s="95"/>
      <c r="BGF66" s="95"/>
      <c r="BGG66" s="95"/>
      <c r="BGH66" s="95"/>
      <c r="BGI66" s="95"/>
      <c r="BGJ66" s="95"/>
      <c r="BGK66" s="95"/>
      <c r="BGL66" s="95"/>
      <c r="BGM66" s="95"/>
      <c r="BGN66" s="95"/>
      <c r="BGO66" s="95"/>
      <c r="BGP66" s="95"/>
      <c r="BGQ66" s="95"/>
      <c r="BGR66" s="95"/>
      <c r="BGS66" s="95"/>
      <c r="BGT66" s="95"/>
      <c r="BGU66" s="95"/>
      <c r="BGV66" s="95"/>
      <c r="BGW66" s="95"/>
      <c r="BGX66" s="95"/>
      <c r="BGY66" s="95"/>
      <c r="BGZ66" s="95"/>
      <c r="BHA66" s="95"/>
      <c r="BHB66" s="95"/>
      <c r="BHC66" s="95"/>
      <c r="BHD66" s="95"/>
      <c r="BHE66" s="95"/>
      <c r="BHF66" s="95"/>
      <c r="BHG66" s="95"/>
      <c r="BHH66" s="95"/>
      <c r="BHI66" s="95"/>
      <c r="BHJ66" s="95"/>
      <c r="BHK66" s="95"/>
      <c r="BHL66" s="95"/>
      <c r="BHM66" s="95"/>
      <c r="BHN66" s="95"/>
      <c r="BHO66" s="95"/>
      <c r="BHP66" s="95"/>
      <c r="BHQ66" s="95"/>
      <c r="BHR66" s="95"/>
      <c r="BHS66" s="95"/>
      <c r="BHT66" s="95"/>
      <c r="BHU66" s="95"/>
      <c r="BHV66" s="95"/>
      <c r="BHW66" s="95"/>
      <c r="BHX66" s="95"/>
      <c r="BHY66" s="95"/>
      <c r="BHZ66" s="95"/>
      <c r="BIA66" s="95"/>
      <c r="BIB66" s="95"/>
      <c r="BIC66" s="95"/>
      <c r="BID66" s="95"/>
      <c r="BIE66" s="95"/>
      <c r="BIF66" s="95"/>
      <c r="BIG66" s="95"/>
      <c r="BIH66" s="95"/>
      <c r="BII66" s="95"/>
      <c r="BIJ66" s="95"/>
      <c r="BIK66" s="95"/>
      <c r="BIL66" s="95"/>
      <c r="BIM66" s="95"/>
      <c r="BIN66" s="95"/>
      <c r="BIO66" s="95"/>
      <c r="BIP66" s="95"/>
      <c r="BIQ66" s="95"/>
      <c r="BIR66" s="95"/>
      <c r="BIS66" s="95"/>
      <c r="BIT66" s="95"/>
      <c r="BIU66" s="95"/>
      <c r="BIV66" s="95"/>
      <c r="BIW66" s="95"/>
      <c r="BIX66" s="95"/>
      <c r="BIY66" s="95"/>
      <c r="BIZ66" s="95"/>
      <c r="BJA66" s="95"/>
      <c r="BJB66" s="95"/>
      <c r="BJC66" s="95"/>
      <c r="BJD66" s="95"/>
      <c r="BJE66" s="95"/>
      <c r="BJF66" s="95"/>
      <c r="BJG66" s="95"/>
      <c r="BJH66" s="95"/>
      <c r="BJI66" s="95"/>
      <c r="BJJ66" s="95"/>
      <c r="BJK66" s="95"/>
      <c r="BJL66" s="95"/>
      <c r="BJM66" s="95"/>
      <c r="BJN66" s="95"/>
      <c r="BJO66" s="95"/>
      <c r="BJP66" s="95"/>
      <c r="BJQ66" s="95"/>
      <c r="BJR66" s="95"/>
      <c r="BJS66" s="95"/>
      <c r="BJT66" s="95"/>
      <c r="BJU66" s="95"/>
      <c r="BJV66" s="95"/>
      <c r="BJW66" s="95"/>
      <c r="BJX66" s="95"/>
      <c r="BJY66" s="95"/>
      <c r="BJZ66" s="95"/>
      <c r="BKA66" s="95"/>
      <c r="BKB66" s="95"/>
      <c r="BKC66" s="95"/>
      <c r="BKD66" s="95"/>
      <c r="BKE66" s="95"/>
      <c r="BKF66" s="95"/>
      <c r="BKG66" s="95"/>
      <c r="BKH66" s="95"/>
      <c r="BKI66" s="95"/>
      <c r="BKJ66" s="95"/>
      <c r="BKK66" s="95"/>
      <c r="BKL66" s="95"/>
      <c r="BKM66" s="95"/>
      <c r="BKN66" s="95"/>
      <c r="BKO66" s="95"/>
      <c r="BKP66" s="95"/>
      <c r="BKQ66" s="95"/>
      <c r="BKR66" s="95"/>
      <c r="BKS66" s="95"/>
      <c r="BKT66" s="95"/>
      <c r="BKU66" s="95"/>
      <c r="BKV66" s="95"/>
      <c r="BKW66" s="95"/>
      <c r="BKX66" s="95"/>
      <c r="BKY66" s="95"/>
      <c r="BKZ66" s="95"/>
      <c r="BLA66" s="95"/>
      <c r="BLB66" s="95"/>
      <c r="BLC66" s="95"/>
      <c r="BLD66" s="95"/>
      <c r="BLE66" s="95"/>
      <c r="BLF66" s="95"/>
      <c r="BLG66" s="95"/>
      <c r="BLH66" s="95"/>
      <c r="BLI66" s="95"/>
      <c r="BLJ66" s="95"/>
      <c r="BLK66" s="95"/>
      <c r="BLL66" s="95"/>
      <c r="BLM66" s="95"/>
      <c r="BLN66" s="95"/>
      <c r="BLO66" s="95"/>
      <c r="BLP66" s="95"/>
      <c r="BLQ66" s="95"/>
      <c r="BLR66" s="95"/>
      <c r="BLS66" s="95"/>
      <c r="BLT66" s="95"/>
      <c r="BLU66" s="95"/>
      <c r="BLV66" s="95"/>
      <c r="BLW66" s="95"/>
      <c r="BLX66" s="95"/>
      <c r="BLY66" s="95"/>
      <c r="BLZ66" s="95"/>
      <c r="BMA66" s="95"/>
      <c r="BMB66" s="95"/>
      <c r="BMC66" s="95"/>
      <c r="BMD66" s="95"/>
      <c r="BME66" s="95"/>
      <c r="BMF66" s="95"/>
      <c r="BMG66" s="95"/>
      <c r="BMH66" s="95"/>
      <c r="BMI66" s="95"/>
      <c r="BMJ66" s="95"/>
      <c r="BMK66" s="95"/>
      <c r="BML66" s="95"/>
      <c r="BMM66" s="95"/>
      <c r="BMN66" s="95"/>
      <c r="BMO66" s="95"/>
      <c r="BMP66" s="95"/>
      <c r="BMQ66" s="95"/>
      <c r="BMR66" s="95"/>
      <c r="BMS66" s="95"/>
      <c r="BMT66" s="95"/>
      <c r="BMU66" s="95"/>
      <c r="BMV66" s="95"/>
      <c r="BMW66" s="95"/>
      <c r="BMX66" s="95"/>
      <c r="BMY66" s="95"/>
      <c r="BMZ66" s="95"/>
      <c r="BNA66" s="95"/>
      <c r="BNB66" s="95"/>
      <c r="BNC66" s="95"/>
      <c r="BND66" s="95"/>
      <c r="BNE66" s="95"/>
      <c r="BNF66" s="95"/>
      <c r="BNG66" s="95"/>
      <c r="BNH66" s="95"/>
      <c r="BNI66" s="95"/>
      <c r="BNJ66" s="95"/>
      <c r="BNK66" s="95"/>
      <c r="BNL66" s="95"/>
      <c r="BNM66" s="95"/>
      <c r="BNN66" s="95"/>
      <c r="BNO66" s="95"/>
      <c r="BNP66" s="95"/>
      <c r="BNQ66" s="95"/>
      <c r="BNR66" s="95"/>
      <c r="BNS66" s="95"/>
      <c r="BNT66" s="95"/>
      <c r="BNU66" s="95"/>
      <c r="BNV66" s="95"/>
      <c r="BNW66" s="95"/>
      <c r="BNX66" s="95"/>
      <c r="BNY66" s="95"/>
      <c r="BNZ66" s="95"/>
      <c r="BOA66" s="95"/>
      <c r="BOB66" s="95"/>
      <c r="BOC66" s="95"/>
      <c r="BOD66" s="95"/>
      <c r="BOE66" s="95"/>
      <c r="BOF66" s="95"/>
      <c r="BOG66" s="95"/>
      <c r="BOH66" s="95"/>
      <c r="BOI66" s="95"/>
      <c r="BOJ66" s="95"/>
      <c r="BOK66" s="95"/>
      <c r="BOL66" s="95"/>
      <c r="BOM66" s="95"/>
      <c r="BON66" s="95"/>
      <c r="BOO66" s="95"/>
      <c r="BOP66" s="95"/>
      <c r="BOQ66" s="95"/>
      <c r="BOR66" s="95"/>
      <c r="BOS66" s="95"/>
      <c r="BOT66" s="95"/>
      <c r="BOU66" s="95"/>
      <c r="BOV66" s="95"/>
      <c r="BOW66" s="95"/>
      <c r="BOX66" s="95"/>
      <c r="BOY66" s="95"/>
      <c r="BOZ66" s="95"/>
      <c r="BPA66" s="95"/>
      <c r="BPB66" s="95"/>
      <c r="BPC66" s="95"/>
      <c r="BPD66" s="95"/>
      <c r="BPE66" s="95"/>
      <c r="BPF66" s="95"/>
      <c r="BPG66" s="95"/>
      <c r="BPH66" s="95"/>
      <c r="BPI66" s="95"/>
      <c r="BPJ66" s="95"/>
      <c r="BPK66" s="95"/>
      <c r="BPL66" s="95"/>
      <c r="BPM66" s="95"/>
      <c r="BPN66" s="95"/>
      <c r="BPO66" s="95"/>
      <c r="BPP66" s="95"/>
      <c r="BPQ66" s="95"/>
      <c r="BPR66" s="95"/>
      <c r="BPS66" s="95"/>
      <c r="BPT66" s="95"/>
      <c r="BPU66" s="95"/>
      <c r="BPV66" s="95"/>
      <c r="BPW66" s="95"/>
      <c r="BPX66" s="95"/>
      <c r="BPY66" s="95"/>
      <c r="BPZ66" s="95"/>
      <c r="BQA66" s="95"/>
      <c r="BQB66" s="95"/>
      <c r="BQC66" s="95"/>
      <c r="BQD66" s="95"/>
      <c r="BQE66" s="95"/>
      <c r="BQF66" s="95"/>
      <c r="BQG66" s="95"/>
      <c r="BQH66" s="95"/>
      <c r="BQI66" s="95"/>
      <c r="BQJ66" s="95"/>
      <c r="BQK66" s="95"/>
      <c r="BQL66" s="95"/>
      <c r="BQM66" s="95"/>
      <c r="BQN66" s="95"/>
      <c r="BQO66" s="95"/>
      <c r="BQP66" s="95"/>
      <c r="BQQ66" s="95"/>
      <c r="BQR66" s="95"/>
      <c r="BQS66" s="95"/>
      <c r="BQT66" s="95"/>
      <c r="BQU66" s="95"/>
      <c r="BQV66" s="95"/>
      <c r="BQW66" s="95"/>
      <c r="BQX66" s="95"/>
      <c r="BQY66" s="95"/>
      <c r="BQZ66" s="95"/>
      <c r="BRA66" s="95"/>
      <c r="BRB66" s="95"/>
      <c r="BRC66" s="95"/>
      <c r="BRD66" s="95"/>
      <c r="BRE66" s="95"/>
      <c r="BRF66" s="95"/>
      <c r="BRG66" s="95"/>
      <c r="BRH66" s="95"/>
      <c r="BRI66" s="95"/>
      <c r="BRJ66" s="95"/>
      <c r="BRK66" s="95"/>
      <c r="BRL66" s="95"/>
      <c r="BRM66" s="95"/>
      <c r="BRN66" s="95"/>
      <c r="BRO66" s="95"/>
      <c r="BRP66" s="95"/>
      <c r="BRQ66" s="95"/>
      <c r="BRR66" s="95"/>
      <c r="BRS66" s="95"/>
      <c r="BRT66" s="95"/>
      <c r="BRU66" s="95"/>
      <c r="BRV66" s="95"/>
      <c r="BRW66" s="95"/>
      <c r="BRX66" s="95"/>
      <c r="BRY66" s="95"/>
      <c r="BRZ66" s="95"/>
      <c r="BSA66" s="95"/>
      <c r="BSB66" s="95"/>
      <c r="BSC66" s="95"/>
      <c r="BSD66" s="95"/>
      <c r="BSE66" s="95"/>
      <c r="BSF66" s="95"/>
      <c r="BSG66" s="95"/>
      <c r="BSH66" s="95"/>
      <c r="BSI66" s="95"/>
      <c r="BSJ66" s="95"/>
      <c r="BSK66" s="95"/>
      <c r="BSL66" s="95"/>
      <c r="BSM66" s="95"/>
      <c r="BSN66" s="95"/>
      <c r="BSO66" s="95"/>
      <c r="BSP66" s="95"/>
      <c r="BSQ66" s="95"/>
      <c r="BSR66" s="95"/>
      <c r="BSS66" s="95"/>
      <c r="BST66" s="95"/>
      <c r="BSU66" s="95"/>
      <c r="BSV66" s="95"/>
      <c r="BSW66" s="95"/>
      <c r="BSX66" s="95"/>
      <c r="BSY66" s="95"/>
      <c r="BSZ66" s="95"/>
      <c r="BTA66" s="95"/>
      <c r="BTB66" s="95"/>
      <c r="BTC66" s="95"/>
      <c r="BTD66" s="95"/>
      <c r="BTE66" s="95"/>
      <c r="BTF66" s="95"/>
      <c r="BTG66" s="95"/>
      <c r="BTH66" s="95"/>
      <c r="BTI66" s="95"/>
      <c r="BTJ66" s="95"/>
      <c r="BTK66" s="95"/>
      <c r="BTL66" s="95"/>
      <c r="BTM66" s="95"/>
      <c r="BTN66" s="95"/>
      <c r="BTO66" s="95"/>
      <c r="BTP66" s="95"/>
      <c r="BTQ66" s="95"/>
      <c r="BTR66" s="95"/>
      <c r="BTS66" s="95"/>
      <c r="BTT66" s="95"/>
      <c r="BTU66" s="95"/>
      <c r="BTV66" s="95"/>
      <c r="BTW66" s="95"/>
      <c r="BTX66" s="95"/>
      <c r="BTY66" s="95"/>
      <c r="BTZ66" s="95"/>
      <c r="BUA66" s="95"/>
      <c r="BUB66" s="95"/>
      <c r="BUC66" s="95"/>
      <c r="BUD66" s="95"/>
      <c r="BUE66" s="95"/>
      <c r="BUF66" s="95"/>
      <c r="BUG66" s="95"/>
      <c r="BUH66" s="95"/>
      <c r="BUI66" s="95"/>
      <c r="BUJ66" s="95"/>
      <c r="BUK66" s="95"/>
      <c r="BUL66" s="95"/>
      <c r="BUM66" s="95"/>
      <c r="BUN66" s="95"/>
      <c r="BUO66" s="95"/>
      <c r="BUP66" s="95"/>
      <c r="BUQ66" s="95"/>
      <c r="BUR66" s="95"/>
      <c r="BUS66" s="95"/>
      <c r="BUT66" s="95"/>
      <c r="BUU66" s="95"/>
      <c r="BUV66" s="95"/>
      <c r="BUW66" s="95"/>
      <c r="BUX66" s="95"/>
      <c r="BUY66" s="95"/>
      <c r="BUZ66" s="95"/>
      <c r="BVA66" s="95"/>
      <c r="BVB66" s="95"/>
      <c r="BVC66" s="95"/>
      <c r="BVD66" s="95"/>
      <c r="BVE66" s="95"/>
      <c r="BVF66" s="95"/>
      <c r="BVG66" s="95"/>
      <c r="BVH66" s="95"/>
      <c r="BVI66" s="95"/>
      <c r="BVJ66" s="95"/>
      <c r="BVK66" s="95"/>
      <c r="BVL66" s="95"/>
      <c r="BVM66" s="95"/>
      <c r="BVN66" s="95"/>
      <c r="BVO66" s="95"/>
      <c r="BVP66" s="95"/>
      <c r="BVQ66" s="95"/>
      <c r="BVR66" s="95"/>
      <c r="BVS66" s="95"/>
      <c r="BVT66" s="95"/>
      <c r="BVU66" s="95"/>
      <c r="BVV66" s="95"/>
      <c r="BVW66" s="95"/>
      <c r="BVX66" s="95"/>
      <c r="BVY66" s="95"/>
      <c r="BVZ66" s="95"/>
      <c r="BWA66" s="95"/>
      <c r="BWB66" s="95"/>
      <c r="BWC66" s="95"/>
      <c r="BWD66" s="95"/>
      <c r="BWE66" s="95"/>
      <c r="BWF66" s="95"/>
      <c r="BWG66" s="95"/>
      <c r="BWH66" s="95"/>
      <c r="BWI66" s="95"/>
      <c r="BWJ66" s="95"/>
      <c r="BWK66" s="95"/>
      <c r="BWL66" s="95"/>
      <c r="BWM66" s="95"/>
      <c r="BWN66" s="95"/>
      <c r="BWO66" s="95"/>
      <c r="BWP66" s="95"/>
      <c r="BWQ66" s="95"/>
      <c r="BWR66" s="95"/>
      <c r="BWS66" s="95"/>
      <c r="BWT66" s="95"/>
      <c r="BWU66" s="95"/>
      <c r="BWV66" s="95"/>
      <c r="BWW66" s="95"/>
      <c r="BWX66" s="95"/>
      <c r="BWY66" s="95"/>
      <c r="BWZ66" s="95"/>
      <c r="BXA66" s="95"/>
      <c r="BXB66" s="95"/>
      <c r="BXC66" s="95"/>
      <c r="BXD66" s="95"/>
      <c r="BXE66" s="95"/>
      <c r="BXF66" s="95"/>
      <c r="BXG66" s="95"/>
      <c r="BXH66" s="95"/>
      <c r="BXI66" s="95"/>
      <c r="BXJ66" s="95"/>
      <c r="BXK66" s="95"/>
      <c r="BXL66" s="95"/>
      <c r="BXM66" s="95"/>
      <c r="BXN66" s="95"/>
      <c r="BXO66" s="95"/>
      <c r="BXP66" s="95"/>
      <c r="BXQ66" s="95"/>
      <c r="BXR66" s="95"/>
      <c r="BXS66" s="95"/>
      <c r="BXT66" s="95"/>
      <c r="BXU66" s="95"/>
      <c r="BXV66" s="95"/>
      <c r="BXW66" s="95"/>
      <c r="BXX66" s="95"/>
      <c r="BXY66" s="95"/>
      <c r="BXZ66" s="95"/>
      <c r="BYA66" s="95"/>
      <c r="BYB66" s="95"/>
      <c r="BYC66" s="95"/>
      <c r="BYD66" s="95"/>
      <c r="BYE66" s="95"/>
      <c r="BYF66" s="95"/>
      <c r="BYG66" s="95"/>
    </row>
    <row r="67" spans="1:2009" s="96" customFormat="1" ht="10.5" customHeight="1" x14ac:dyDescent="0.25">
      <c r="A67" s="122"/>
      <c r="B67" s="122"/>
      <c r="C67" s="191"/>
      <c r="D67" s="191"/>
      <c r="E67" s="191"/>
      <c r="F67" s="191"/>
      <c r="G67" s="738"/>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95"/>
      <c r="GB67" s="95"/>
      <c r="GC67" s="95"/>
      <c r="GD67" s="95"/>
      <c r="GE67" s="95"/>
      <c r="GF67" s="95"/>
      <c r="GG67" s="95"/>
      <c r="GH67" s="95"/>
      <c r="GI67" s="95"/>
      <c r="GJ67" s="95"/>
      <c r="GK67" s="95"/>
      <c r="GL67" s="95"/>
      <c r="GM67" s="95"/>
      <c r="GN67" s="95"/>
      <c r="GO67" s="95"/>
      <c r="GP67" s="95"/>
      <c r="GQ67" s="95"/>
      <c r="GR67" s="95"/>
      <c r="GS67" s="95"/>
      <c r="GT67" s="95"/>
      <c r="GU67" s="95"/>
      <c r="GV67" s="95"/>
      <c r="GW67" s="95"/>
      <c r="GX67" s="95"/>
      <c r="GY67" s="95"/>
      <c r="GZ67" s="95"/>
      <c r="HA67" s="95"/>
      <c r="HB67" s="95"/>
      <c r="HC67" s="95"/>
      <c r="HD67" s="95"/>
      <c r="HE67" s="95"/>
      <c r="HF67" s="95"/>
      <c r="HG67" s="95"/>
      <c r="HH67" s="95"/>
      <c r="HI67" s="95"/>
      <c r="HJ67" s="95"/>
      <c r="HK67" s="95"/>
      <c r="HL67" s="95"/>
      <c r="HM67" s="95"/>
      <c r="HN67" s="95"/>
      <c r="HO67" s="95"/>
      <c r="HP67" s="95"/>
      <c r="HQ67" s="95"/>
      <c r="HR67" s="95"/>
      <c r="HS67" s="95"/>
      <c r="HT67" s="95"/>
      <c r="HU67" s="95"/>
      <c r="HV67" s="95"/>
      <c r="HW67" s="95"/>
      <c r="HX67" s="95"/>
      <c r="HY67" s="95"/>
      <c r="HZ67" s="95"/>
      <c r="IA67" s="95"/>
      <c r="IB67" s="95"/>
      <c r="IC67" s="95"/>
      <c r="ID67" s="95"/>
      <c r="IE67" s="95"/>
      <c r="IF67" s="95"/>
      <c r="IG67" s="95"/>
      <c r="IH67" s="95"/>
      <c r="II67" s="95"/>
      <c r="IJ67" s="95"/>
      <c r="IK67" s="95"/>
      <c r="IL67" s="95"/>
      <c r="IM67" s="95"/>
      <c r="IN67" s="95"/>
      <c r="IO67" s="95"/>
      <c r="IP67" s="95"/>
      <c r="IQ67" s="95"/>
      <c r="IR67" s="95"/>
      <c r="IS67" s="95"/>
      <c r="IT67" s="95"/>
      <c r="IU67" s="95"/>
      <c r="IV67" s="95"/>
      <c r="IW67" s="95"/>
      <c r="IX67" s="95"/>
      <c r="IY67" s="95"/>
      <c r="IZ67" s="95"/>
      <c r="JA67" s="95"/>
      <c r="JB67" s="95"/>
      <c r="JC67" s="95"/>
      <c r="JD67" s="95"/>
      <c r="JE67" s="95"/>
      <c r="JF67" s="95"/>
      <c r="JG67" s="95"/>
      <c r="JH67" s="95"/>
      <c r="JI67" s="95"/>
      <c r="JJ67" s="95"/>
      <c r="JK67" s="95"/>
      <c r="JL67" s="95"/>
      <c r="JM67" s="95"/>
      <c r="JN67" s="95"/>
      <c r="JO67" s="95"/>
      <c r="JP67" s="95"/>
      <c r="JQ67" s="95"/>
      <c r="JR67" s="95"/>
      <c r="JS67" s="95"/>
      <c r="JT67" s="95"/>
      <c r="JU67" s="95"/>
      <c r="JV67" s="95"/>
      <c r="JW67" s="95"/>
      <c r="JX67" s="95"/>
      <c r="JY67" s="95"/>
      <c r="JZ67" s="95"/>
      <c r="KA67" s="95"/>
      <c r="KB67" s="95"/>
      <c r="KC67" s="95"/>
      <c r="KD67" s="95"/>
      <c r="KE67" s="95"/>
      <c r="KF67" s="95"/>
      <c r="KG67" s="95"/>
      <c r="KH67" s="95"/>
      <c r="KI67" s="95"/>
      <c r="KJ67" s="95"/>
      <c r="KK67" s="95"/>
      <c r="KL67" s="95"/>
      <c r="KM67" s="95"/>
      <c r="KN67" s="95"/>
      <c r="KO67" s="95"/>
      <c r="KP67" s="95"/>
      <c r="KQ67" s="95"/>
      <c r="KR67" s="95"/>
      <c r="KS67" s="95"/>
      <c r="KT67" s="95"/>
      <c r="KU67" s="95"/>
      <c r="KV67" s="95"/>
      <c r="KW67" s="95"/>
      <c r="KX67" s="95"/>
      <c r="KY67" s="95"/>
      <c r="KZ67" s="95"/>
      <c r="LA67" s="95"/>
      <c r="LB67" s="95"/>
      <c r="LC67" s="95"/>
      <c r="LD67" s="95"/>
      <c r="LE67" s="95"/>
      <c r="LF67" s="95"/>
      <c r="LG67" s="95"/>
      <c r="LH67" s="95"/>
      <c r="LI67" s="95"/>
      <c r="LJ67" s="95"/>
      <c r="LK67" s="95"/>
      <c r="LL67" s="95"/>
      <c r="LM67" s="95"/>
      <c r="LN67" s="95"/>
      <c r="LO67" s="95"/>
      <c r="LP67" s="95"/>
      <c r="LQ67" s="95"/>
      <c r="LR67" s="95"/>
      <c r="LS67" s="95"/>
      <c r="LT67" s="95"/>
      <c r="LU67" s="95"/>
      <c r="LV67" s="95"/>
      <c r="LW67" s="95"/>
      <c r="LX67" s="95"/>
      <c r="LY67" s="95"/>
      <c r="LZ67" s="95"/>
      <c r="MA67" s="95"/>
      <c r="MB67" s="95"/>
      <c r="MC67" s="95"/>
      <c r="MD67" s="95"/>
      <c r="ME67" s="95"/>
      <c r="MF67" s="95"/>
      <c r="MG67" s="95"/>
      <c r="MH67" s="95"/>
      <c r="MI67" s="95"/>
      <c r="MJ67" s="95"/>
      <c r="MK67" s="95"/>
      <c r="ML67" s="95"/>
      <c r="MM67" s="95"/>
      <c r="MN67" s="95"/>
      <c r="MO67" s="95"/>
      <c r="MP67" s="95"/>
      <c r="MQ67" s="95"/>
      <c r="MR67" s="95"/>
      <c r="MS67" s="95"/>
      <c r="MT67" s="95"/>
      <c r="MU67" s="95"/>
      <c r="MV67" s="95"/>
      <c r="MW67" s="95"/>
      <c r="MX67" s="95"/>
      <c r="MY67" s="95"/>
      <c r="MZ67" s="95"/>
      <c r="NA67" s="95"/>
      <c r="NB67" s="95"/>
      <c r="NC67" s="95"/>
      <c r="ND67" s="95"/>
      <c r="NE67" s="95"/>
      <c r="NF67" s="95"/>
      <c r="NG67" s="95"/>
      <c r="NH67" s="95"/>
      <c r="NI67" s="95"/>
      <c r="NJ67" s="95"/>
      <c r="NK67" s="95"/>
      <c r="NL67" s="95"/>
      <c r="NM67" s="95"/>
      <c r="NN67" s="95"/>
      <c r="NO67" s="95"/>
      <c r="NP67" s="95"/>
      <c r="NQ67" s="95"/>
      <c r="NR67" s="95"/>
      <c r="NS67" s="95"/>
      <c r="NT67" s="95"/>
      <c r="NU67" s="95"/>
      <c r="NV67" s="95"/>
      <c r="NW67" s="95"/>
      <c r="NX67" s="95"/>
      <c r="NY67" s="95"/>
      <c r="NZ67" s="95"/>
      <c r="OA67" s="95"/>
      <c r="OB67" s="95"/>
      <c r="OC67" s="95"/>
      <c r="OD67" s="95"/>
      <c r="OE67" s="95"/>
      <c r="OF67" s="95"/>
      <c r="OG67" s="95"/>
      <c r="OH67" s="95"/>
      <c r="OI67" s="95"/>
      <c r="OJ67" s="95"/>
      <c r="OK67" s="95"/>
      <c r="OL67" s="95"/>
      <c r="OM67" s="95"/>
      <c r="ON67" s="95"/>
      <c r="OO67" s="95"/>
      <c r="OP67" s="95"/>
      <c r="OQ67" s="95"/>
      <c r="OR67" s="95"/>
      <c r="OS67" s="95"/>
      <c r="OT67" s="95"/>
      <c r="OU67" s="95"/>
      <c r="OV67" s="95"/>
      <c r="OW67" s="95"/>
      <c r="OX67" s="95"/>
      <c r="OY67" s="95"/>
      <c r="OZ67" s="95"/>
      <c r="PA67" s="95"/>
      <c r="PB67" s="95"/>
      <c r="PC67" s="95"/>
      <c r="PD67" s="95"/>
      <c r="PE67" s="95"/>
      <c r="PF67" s="95"/>
      <c r="PG67" s="95"/>
      <c r="PH67" s="95"/>
      <c r="PI67" s="95"/>
      <c r="PJ67" s="95"/>
      <c r="PK67" s="95"/>
      <c r="PL67" s="95"/>
      <c r="PM67" s="95"/>
      <c r="PN67" s="95"/>
      <c r="PO67" s="95"/>
      <c r="PP67" s="95"/>
      <c r="PQ67" s="95"/>
      <c r="PR67" s="95"/>
      <c r="PS67" s="95"/>
      <c r="PT67" s="95"/>
      <c r="PU67" s="95"/>
      <c r="PV67" s="95"/>
      <c r="PW67" s="95"/>
      <c r="PX67" s="95"/>
      <c r="PY67" s="95"/>
      <c r="PZ67" s="95"/>
      <c r="QA67" s="95"/>
      <c r="QB67" s="95"/>
      <c r="QC67" s="95"/>
      <c r="QD67" s="95"/>
      <c r="QE67" s="95"/>
      <c r="QF67" s="95"/>
      <c r="QG67" s="95"/>
      <c r="QH67" s="95"/>
      <c r="QI67" s="95"/>
      <c r="QJ67" s="95"/>
      <c r="QK67" s="95"/>
      <c r="QL67" s="95"/>
      <c r="QM67" s="95"/>
      <c r="QN67" s="95"/>
      <c r="QO67" s="95"/>
      <c r="QP67" s="95"/>
      <c r="QQ67" s="95"/>
      <c r="QR67" s="95"/>
      <c r="QS67" s="95"/>
      <c r="QT67" s="95"/>
      <c r="QU67" s="95"/>
      <c r="QV67" s="95"/>
      <c r="QW67" s="95"/>
      <c r="QX67" s="95"/>
      <c r="QY67" s="95"/>
      <c r="QZ67" s="95"/>
      <c r="RA67" s="95"/>
      <c r="RB67" s="95"/>
      <c r="RC67" s="95"/>
      <c r="RD67" s="95"/>
      <c r="RE67" s="95"/>
      <c r="RF67" s="95"/>
      <c r="RG67" s="95"/>
      <c r="RH67" s="95"/>
      <c r="RI67" s="95"/>
      <c r="RJ67" s="95"/>
      <c r="RK67" s="95"/>
      <c r="RL67" s="95"/>
      <c r="RM67" s="95"/>
      <c r="RN67" s="95"/>
      <c r="RO67" s="95"/>
      <c r="RP67" s="95"/>
      <c r="RQ67" s="95"/>
      <c r="RR67" s="95"/>
      <c r="RS67" s="95"/>
      <c r="RT67" s="95"/>
      <c r="RU67" s="95"/>
      <c r="RV67" s="95"/>
      <c r="RW67" s="95"/>
      <c r="RX67" s="95"/>
      <c r="RY67" s="95"/>
      <c r="RZ67" s="95"/>
      <c r="SA67" s="95"/>
      <c r="SB67" s="95"/>
      <c r="SC67" s="95"/>
      <c r="SD67" s="95"/>
      <c r="SE67" s="95"/>
      <c r="SF67" s="95"/>
      <c r="SG67" s="95"/>
      <c r="SH67" s="95"/>
      <c r="SI67" s="95"/>
      <c r="SJ67" s="95"/>
      <c r="SK67" s="95"/>
      <c r="SL67" s="95"/>
      <c r="SM67" s="95"/>
      <c r="SN67" s="95"/>
      <c r="SO67" s="95"/>
      <c r="SP67" s="95"/>
      <c r="SQ67" s="95"/>
      <c r="SR67" s="95"/>
      <c r="SS67" s="95"/>
      <c r="ST67" s="95"/>
      <c r="SU67" s="95"/>
      <c r="SV67" s="95"/>
      <c r="SW67" s="95"/>
      <c r="SX67" s="95"/>
      <c r="SY67" s="95"/>
      <c r="SZ67" s="95"/>
      <c r="TA67" s="95"/>
      <c r="TB67" s="95"/>
      <c r="TC67" s="95"/>
      <c r="TD67" s="95"/>
      <c r="TE67" s="95"/>
      <c r="TF67" s="95"/>
      <c r="TG67" s="95"/>
      <c r="TH67" s="95"/>
      <c r="TI67" s="95"/>
      <c r="TJ67" s="95"/>
      <c r="TK67" s="95"/>
      <c r="TL67" s="95"/>
      <c r="TM67" s="95"/>
      <c r="TN67" s="95"/>
      <c r="TO67" s="95"/>
      <c r="TP67" s="95"/>
      <c r="TQ67" s="95"/>
      <c r="TR67" s="95"/>
      <c r="TS67" s="95"/>
      <c r="TT67" s="95"/>
      <c r="TU67" s="95"/>
      <c r="TV67" s="95"/>
      <c r="TW67" s="95"/>
      <c r="TX67" s="95"/>
      <c r="TY67" s="95"/>
      <c r="TZ67" s="95"/>
      <c r="UA67" s="95"/>
      <c r="UB67" s="95"/>
      <c r="UC67" s="95"/>
      <c r="UD67" s="95"/>
      <c r="UE67" s="95"/>
      <c r="UF67" s="95"/>
      <c r="UG67" s="95"/>
      <c r="UH67" s="95"/>
      <c r="UI67" s="95"/>
      <c r="UJ67" s="95"/>
      <c r="UK67" s="95"/>
      <c r="UL67" s="95"/>
      <c r="UM67" s="95"/>
      <c r="UN67" s="95"/>
      <c r="UO67" s="95"/>
      <c r="UP67" s="95"/>
      <c r="UQ67" s="95"/>
      <c r="UR67" s="95"/>
      <c r="US67" s="95"/>
      <c r="UT67" s="95"/>
      <c r="UU67" s="95"/>
      <c r="UV67" s="95"/>
      <c r="UW67" s="95"/>
      <c r="UX67" s="95"/>
      <c r="UY67" s="95"/>
      <c r="UZ67" s="95"/>
      <c r="VA67" s="95"/>
      <c r="VB67" s="95"/>
      <c r="VC67" s="95"/>
      <c r="VD67" s="95"/>
      <c r="VE67" s="95"/>
      <c r="VF67" s="95"/>
      <c r="VG67" s="95"/>
      <c r="VH67" s="95"/>
      <c r="VI67" s="95"/>
      <c r="VJ67" s="95"/>
      <c r="VK67" s="95"/>
      <c r="VL67" s="95"/>
      <c r="VM67" s="95"/>
      <c r="VN67" s="95"/>
      <c r="VO67" s="95"/>
      <c r="VP67" s="95"/>
      <c r="VQ67" s="95"/>
      <c r="VR67" s="95"/>
      <c r="VS67" s="95"/>
      <c r="VT67" s="95"/>
      <c r="VU67" s="95"/>
      <c r="VV67" s="95"/>
      <c r="VW67" s="95"/>
      <c r="VX67" s="95"/>
      <c r="VY67" s="95"/>
      <c r="VZ67" s="95"/>
      <c r="WA67" s="95"/>
      <c r="WB67" s="95"/>
      <c r="WC67" s="95"/>
      <c r="WD67" s="95"/>
      <c r="WE67" s="95"/>
      <c r="WF67" s="95"/>
      <c r="WG67" s="95"/>
      <c r="WH67" s="95"/>
      <c r="WI67" s="95"/>
      <c r="WJ67" s="95"/>
      <c r="WK67" s="95"/>
      <c r="WL67" s="95"/>
      <c r="WM67" s="95"/>
      <c r="WN67" s="95"/>
      <c r="WO67" s="95"/>
      <c r="WP67" s="95"/>
      <c r="WQ67" s="95"/>
      <c r="WR67" s="95"/>
      <c r="WS67" s="95"/>
      <c r="WT67" s="95"/>
      <c r="WU67" s="95"/>
      <c r="WV67" s="95"/>
      <c r="WW67" s="95"/>
      <c r="WX67" s="95"/>
      <c r="WY67" s="95"/>
      <c r="WZ67" s="95"/>
      <c r="XA67" s="95"/>
      <c r="XB67" s="95"/>
      <c r="XC67" s="95"/>
      <c r="XD67" s="95"/>
      <c r="XE67" s="95"/>
      <c r="XF67" s="95"/>
      <c r="XG67" s="95"/>
      <c r="XH67" s="95"/>
      <c r="XI67" s="95"/>
      <c r="XJ67" s="95"/>
      <c r="XK67" s="95"/>
      <c r="XL67" s="95"/>
      <c r="XM67" s="95"/>
      <c r="XN67" s="95"/>
      <c r="XO67" s="95"/>
      <c r="XP67" s="95"/>
      <c r="XQ67" s="95"/>
      <c r="XR67" s="95"/>
      <c r="XS67" s="95"/>
      <c r="XT67" s="95"/>
      <c r="XU67" s="95"/>
      <c r="XV67" s="95"/>
      <c r="XW67" s="95"/>
      <c r="XX67" s="95"/>
      <c r="XY67" s="95"/>
      <c r="XZ67" s="95"/>
      <c r="YA67" s="95"/>
      <c r="YB67" s="95"/>
      <c r="YC67" s="95"/>
      <c r="YD67" s="95"/>
      <c r="YE67" s="95"/>
      <c r="YF67" s="95"/>
      <c r="YG67" s="95"/>
      <c r="YH67" s="95"/>
      <c r="YI67" s="95"/>
      <c r="YJ67" s="95"/>
      <c r="YK67" s="95"/>
      <c r="YL67" s="95"/>
      <c r="YM67" s="95"/>
      <c r="YN67" s="95"/>
      <c r="YO67" s="95"/>
      <c r="YP67" s="95"/>
      <c r="YQ67" s="95"/>
      <c r="YR67" s="95"/>
      <c r="YS67" s="95"/>
      <c r="YT67" s="95"/>
      <c r="YU67" s="95"/>
      <c r="YV67" s="95"/>
      <c r="YW67" s="95"/>
      <c r="YX67" s="95"/>
      <c r="YY67" s="95"/>
      <c r="YZ67" s="95"/>
      <c r="ZA67" s="95"/>
      <c r="ZB67" s="95"/>
      <c r="ZC67" s="95"/>
      <c r="ZD67" s="95"/>
      <c r="ZE67" s="95"/>
      <c r="ZF67" s="95"/>
      <c r="ZG67" s="95"/>
      <c r="ZH67" s="95"/>
      <c r="ZI67" s="95"/>
      <c r="ZJ67" s="95"/>
      <c r="ZK67" s="95"/>
      <c r="ZL67" s="95"/>
      <c r="ZM67" s="95"/>
      <c r="ZN67" s="95"/>
      <c r="ZO67" s="95"/>
      <c r="ZP67" s="95"/>
      <c r="ZQ67" s="95"/>
      <c r="ZR67" s="95"/>
      <c r="ZS67" s="95"/>
      <c r="ZT67" s="95"/>
      <c r="ZU67" s="95"/>
      <c r="ZV67" s="95"/>
      <c r="ZW67" s="95"/>
      <c r="ZX67" s="95"/>
      <c r="ZY67" s="95"/>
      <c r="ZZ67" s="95"/>
      <c r="AAA67" s="95"/>
      <c r="AAB67" s="95"/>
      <c r="AAC67" s="95"/>
      <c r="AAD67" s="95"/>
      <c r="AAE67" s="95"/>
      <c r="AAF67" s="95"/>
      <c r="AAG67" s="95"/>
      <c r="AAH67" s="95"/>
      <c r="AAI67" s="95"/>
      <c r="AAJ67" s="95"/>
      <c r="AAK67" s="95"/>
      <c r="AAL67" s="95"/>
      <c r="AAM67" s="95"/>
      <c r="AAN67" s="95"/>
      <c r="AAO67" s="95"/>
      <c r="AAP67" s="95"/>
      <c r="AAQ67" s="95"/>
      <c r="AAR67" s="95"/>
      <c r="AAS67" s="95"/>
      <c r="AAT67" s="95"/>
      <c r="AAU67" s="95"/>
      <c r="AAV67" s="95"/>
      <c r="AAW67" s="95"/>
      <c r="AAX67" s="95"/>
      <c r="AAY67" s="95"/>
      <c r="AAZ67" s="95"/>
      <c r="ABA67" s="95"/>
      <c r="ABB67" s="95"/>
      <c r="ABC67" s="95"/>
      <c r="ABD67" s="95"/>
      <c r="ABE67" s="95"/>
      <c r="ABF67" s="95"/>
      <c r="ABG67" s="95"/>
      <c r="ABH67" s="95"/>
      <c r="ABI67" s="95"/>
      <c r="ABJ67" s="95"/>
      <c r="ABK67" s="95"/>
      <c r="ABL67" s="95"/>
      <c r="ABM67" s="95"/>
      <c r="ABN67" s="95"/>
      <c r="ABO67" s="95"/>
      <c r="ABP67" s="95"/>
      <c r="ABQ67" s="95"/>
      <c r="ABR67" s="95"/>
      <c r="ABS67" s="95"/>
      <c r="ABT67" s="95"/>
      <c r="ABU67" s="95"/>
      <c r="ABV67" s="95"/>
      <c r="ABW67" s="95"/>
      <c r="ABX67" s="95"/>
      <c r="ABY67" s="95"/>
      <c r="ABZ67" s="95"/>
      <c r="ACA67" s="95"/>
      <c r="ACB67" s="95"/>
      <c r="ACC67" s="95"/>
      <c r="ACD67" s="95"/>
      <c r="ACE67" s="95"/>
      <c r="ACF67" s="95"/>
      <c r="ACG67" s="95"/>
      <c r="ACH67" s="95"/>
      <c r="ACI67" s="95"/>
      <c r="ACJ67" s="95"/>
      <c r="ACK67" s="95"/>
      <c r="ACL67" s="95"/>
      <c r="ACM67" s="95"/>
      <c r="ACN67" s="95"/>
      <c r="ACO67" s="95"/>
      <c r="ACP67" s="95"/>
      <c r="ACQ67" s="95"/>
      <c r="ACR67" s="95"/>
      <c r="ACS67" s="95"/>
      <c r="ACT67" s="95"/>
      <c r="ACU67" s="95"/>
      <c r="ACV67" s="95"/>
      <c r="ACW67" s="95"/>
      <c r="ACX67" s="95"/>
      <c r="ACY67" s="95"/>
      <c r="ACZ67" s="95"/>
      <c r="ADA67" s="95"/>
      <c r="ADB67" s="95"/>
      <c r="ADC67" s="95"/>
      <c r="ADD67" s="95"/>
      <c r="ADE67" s="95"/>
      <c r="ADF67" s="95"/>
      <c r="ADG67" s="95"/>
      <c r="ADH67" s="95"/>
      <c r="ADI67" s="95"/>
      <c r="ADJ67" s="95"/>
      <c r="ADK67" s="95"/>
      <c r="ADL67" s="95"/>
      <c r="ADM67" s="95"/>
      <c r="ADN67" s="95"/>
      <c r="ADO67" s="95"/>
      <c r="ADP67" s="95"/>
      <c r="ADQ67" s="95"/>
      <c r="ADR67" s="95"/>
      <c r="ADS67" s="95"/>
      <c r="ADT67" s="95"/>
      <c r="ADU67" s="95"/>
      <c r="ADV67" s="95"/>
      <c r="ADW67" s="95"/>
      <c r="ADX67" s="95"/>
      <c r="ADY67" s="95"/>
      <c r="ADZ67" s="95"/>
      <c r="AEA67" s="95"/>
      <c r="AEB67" s="95"/>
      <c r="AEC67" s="95"/>
      <c r="AED67" s="95"/>
      <c r="AEE67" s="95"/>
      <c r="AEF67" s="95"/>
      <c r="AEG67" s="95"/>
      <c r="AEH67" s="95"/>
      <c r="AEI67" s="95"/>
      <c r="AEJ67" s="95"/>
      <c r="AEK67" s="95"/>
      <c r="AEL67" s="95"/>
      <c r="AEM67" s="95"/>
      <c r="AEN67" s="95"/>
      <c r="AEO67" s="95"/>
      <c r="AEP67" s="95"/>
      <c r="AEQ67" s="95"/>
      <c r="AER67" s="95"/>
      <c r="AES67" s="95"/>
      <c r="AET67" s="95"/>
      <c r="AEU67" s="95"/>
      <c r="AEV67" s="95"/>
      <c r="AEW67" s="95"/>
      <c r="AEX67" s="95"/>
      <c r="AEY67" s="95"/>
      <c r="AEZ67" s="95"/>
      <c r="AFA67" s="95"/>
      <c r="AFB67" s="95"/>
      <c r="AFC67" s="95"/>
      <c r="AFD67" s="95"/>
      <c r="AFE67" s="95"/>
      <c r="AFF67" s="95"/>
      <c r="AFG67" s="95"/>
      <c r="AFH67" s="95"/>
      <c r="AFI67" s="95"/>
      <c r="AFJ67" s="95"/>
      <c r="AFK67" s="95"/>
      <c r="AFL67" s="95"/>
      <c r="AFM67" s="95"/>
      <c r="AFN67" s="95"/>
      <c r="AFO67" s="95"/>
      <c r="AFP67" s="95"/>
      <c r="AFQ67" s="95"/>
      <c r="AFR67" s="95"/>
      <c r="AFS67" s="95"/>
      <c r="AFT67" s="95"/>
      <c r="AFU67" s="95"/>
      <c r="AFV67" s="95"/>
      <c r="AFW67" s="95"/>
      <c r="AFX67" s="95"/>
      <c r="AFY67" s="95"/>
      <c r="AFZ67" s="95"/>
      <c r="AGA67" s="95"/>
      <c r="AGB67" s="95"/>
      <c r="AGC67" s="95"/>
      <c r="AGD67" s="95"/>
      <c r="AGE67" s="95"/>
      <c r="AGF67" s="95"/>
      <c r="AGG67" s="95"/>
      <c r="AGH67" s="95"/>
      <c r="AGI67" s="95"/>
      <c r="AGJ67" s="95"/>
      <c r="AGK67" s="95"/>
      <c r="AGL67" s="95"/>
      <c r="AGM67" s="95"/>
      <c r="AGN67" s="95"/>
      <c r="AGO67" s="95"/>
      <c r="AGP67" s="95"/>
      <c r="AGQ67" s="95"/>
      <c r="AGR67" s="95"/>
      <c r="AGS67" s="95"/>
      <c r="AGT67" s="95"/>
      <c r="AGU67" s="95"/>
      <c r="AGV67" s="95"/>
      <c r="AGW67" s="95"/>
      <c r="AGX67" s="95"/>
      <c r="AGY67" s="95"/>
      <c r="AGZ67" s="95"/>
      <c r="AHA67" s="95"/>
      <c r="AHB67" s="95"/>
      <c r="AHC67" s="95"/>
      <c r="AHD67" s="95"/>
      <c r="AHE67" s="95"/>
      <c r="AHF67" s="95"/>
      <c r="AHG67" s="95"/>
      <c r="AHH67" s="95"/>
      <c r="AHI67" s="95"/>
      <c r="AHJ67" s="95"/>
      <c r="AHK67" s="95"/>
      <c r="AHL67" s="95"/>
      <c r="AHM67" s="95"/>
      <c r="AHN67" s="95"/>
      <c r="AHO67" s="95"/>
      <c r="AHP67" s="95"/>
      <c r="AHQ67" s="95"/>
      <c r="AHR67" s="95"/>
      <c r="AHS67" s="95"/>
      <c r="AHT67" s="95"/>
      <c r="AHU67" s="95"/>
      <c r="AHV67" s="95"/>
      <c r="AHW67" s="95"/>
      <c r="AHX67" s="95"/>
      <c r="AHY67" s="95"/>
      <c r="AHZ67" s="95"/>
      <c r="AIA67" s="95"/>
      <c r="AIB67" s="95"/>
      <c r="AIC67" s="95"/>
      <c r="AID67" s="95"/>
      <c r="AIE67" s="95"/>
      <c r="AIF67" s="95"/>
      <c r="AIG67" s="95"/>
      <c r="AIH67" s="95"/>
      <c r="AII67" s="95"/>
      <c r="AIJ67" s="95"/>
      <c r="AIK67" s="95"/>
      <c r="AIL67" s="95"/>
      <c r="AIM67" s="95"/>
      <c r="AIN67" s="95"/>
      <c r="AIO67" s="95"/>
      <c r="AIP67" s="95"/>
      <c r="AIQ67" s="95"/>
      <c r="AIR67" s="95"/>
      <c r="AIS67" s="95"/>
      <c r="AIT67" s="95"/>
      <c r="AIU67" s="95"/>
      <c r="AIV67" s="95"/>
      <c r="AIW67" s="95"/>
      <c r="AIX67" s="95"/>
      <c r="AIY67" s="95"/>
      <c r="AIZ67" s="95"/>
      <c r="AJA67" s="95"/>
      <c r="AJB67" s="95"/>
      <c r="AJC67" s="95"/>
      <c r="AJD67" s="95"/>
      <c r="AJE67" s="95"/>
      <c r="AJF67" s="95"/>
      <c r="AJG67" s="95"/>
      <c r="AJH67" s="95"/>
      <c r="AJI67" s="95"/>
      <c r="AJJ67" s="95"/>
      <c r="AJK67" s="95"/>
      <c r="AJL67" s="95"/>
      <c r="AJM67" s="95"/>
      <c r="AJN67" s="95"/>
      <c r="AJO67" s="95"/>
      <c r="AJP67" s="95"/>
      <c r="AJQ67" s="95"/>
      <c r="AJR67" s="95"/>
      <c r="AJS67" s="95"/>
      <c r="AJT67" s="95"/>
      <c r="AJU67" s="95"/>
      <c r="AJV67" s="95"/>
      <c r="AJW67" s="95"/>
      <c r="AJX67" s="95"/>
      <c r="AJY67" s="95"/>
      <c r="AJZ67" s="95"/>
      <c r="AKA67" s="95"/>
      <c r="AKB67" s="95"/>
      <c r="AKC67" s="95"/>
      <c r="AKD67" s="95"/>
      <c r="AKE67" s="95"/>
      <c r="AKF67" s="95"/>
      <c r="AKG67" s="95"/>
      <c r="AKH67" s="95"/>
      <c r="AKI67" s="95"/>
      <c r="AKJ67" s="95"/>
      <c r="AKK67" s="95"/>
      <c r="AKL67" s="95"/>
      <c r="AKM67" s="95"/>
      <c r="AKN67" s="95"/>
      <c r="AKO67" s="95"/>
      <c r="AKP67" s="95"/>
      <c r="AKQ67" s="95"/>
      <c r="AKR67" s="95"/>
      <c r="AKS67" s="95"/>
      <c r="AKT67" s="95"/>
      <c r="AKU67" s="95"/>
      <c r="AKV67" s="95"/>
      <c r="AKW67" s="95"/>
      <c r="AKX67" s="95"/>
      <c r="AKY67" s="95"/>
      <c r="AKZ67" s="95"/>
      <c r="ALA67" s="95"/>
      <c r="ALB67" s="95"/>
      <c r="ALC67" s="95"/>
      <c r="ALD67" s="95"/>
      <c r="ALE67" s="95"/>
      <c r="ALF67" s="95"/>
      <c r="ALG67" s="95"/>
      <c r="ALH67" s="95"/>
      <c r="ALI67" s="95"/>
      <c r="ALJ67" s="95"/>
      <c r="ALK67" s="95"/>
      <c r="ALL67" s="95"/>
      <c r="ALM67" s="95"/>
      <c r="ALN67" s="95"/>
      <c r="ALO67" s="95"/>
      <c r="ALP67" s="95"/>
      <c r="ALQ67" s="95"/>
      <c r="ALR67" s="95"/>
      <c r="ALS67" s="95"/>
      <c r="ALT67" s="95"/>
      <c r="ALU67" s="95"/>
      <c r="ALV67" s="95"/>
      <c r="ALW67" s="95"/>
      <c r="ALX67" s="95"/>
      <c r="ALY67" s="95"/>
      <c r="ALZ67" s="95"/>
      <c r="AMA67" s="95"/>
      <c r="AMB67" s="95"/>
      <c r="AMC67" s="95"/>
      <c r="AMD67" s="95"/>
      <c r="AME67" s="95"/>
      <c r="AMF67" s="95"/>
      <c r="AMG67" s="95"/>
      <c r="AMH67" s="95"/>
      <c r="AMI67" s="95"/>
      <c r="AMJ67" s="95"/>
      <c r="AMK67" s="95"/>
      <c r="AML67" s="95"/>
      <c r="AMM67" s="95"/>
      <c r="AMN67" s="95"/>
      <c r="AMO67" s="95"/>
      <c r="AMP67" s="95"/>
      <c r="AMQ67" s="95"/>
      <c r="AMR67" s="95"/>
      <c r="AMS67" s="95"/>
      <c r="AMT67" s="95"/>
      <c r="AMU67" s="95"/>
      <c r="AMV67" s="95"/>
      <c r="AMW67" s="95"/>
      <c r="AMX67" s="95"/>
      <c r="AMY67" s="95"/>
      <c r="AMZ67" s="95"/>
      <c r="ANA67" s="95"/>
      <c r="ANB67" s="95"/>
      <c r="ANC67" s="95"/>
      <c r="AND67" s="95"/>
      <c r="ANE67" s="95"/>
      <c r="ANF67" s="95"/>
      <c r="ANG67" s="95"/>
      <c r="ANH67" s="95"/>
      <c r="ANI67" s="95"/>
      <c r="ANJ67" s="95"/>
      <c r="ANK67" s="95"/>
      <c r="ANL67" s="95"/>
      <c r="ANM67" s="95"/>
      <c r="ANN67" s="95"/>
      <c r="ANO67" s="95"/>
      <c r="ANP67" s="95"/>
      <c r="ANQ67" s="95"/>
      <c r="ANR67" s="95"/>
      <c r="ANS67" s="95"/>
      <c r="ANT67" s="95"/>
      <c r="ANU67" s="95"/>
      <c r="ANV67" s="95"/>
      <c r="ANW67" s="95"/>
      <c r="ANX67" s="95"/>
      <c r="ANY67" s="95"/>
      <c r="ANZ67" s="95"/>
      <c r="AOA67" s="95"/>
      <c r="AOB67" s="95"/>
      <c r="AOC67" s="95"/>
      <c r="AOD67" s="95"/>
      <c r="AOE67" s="95"/>
      <c r="AOF67" s="95"/>
      <c r="AOG67" s="95"/>
      <c r="AOH67" s="95"/>
      <c r="AOI67" s="95"/>
      <c r="AOJ67" s="95"/>
      <c r="AOK67" s="95"/>
      <c r="AOL67" s="95"/>
      <c r="AOM67" s="95"/>
      <c r="AON67" s="95"/>
      <c r="AOO67" s="95"/>
      <c r="AOP67" s="95"/>
      <c r="AOQ67" s="95"/>
      <c r="AOR67" s="95"/>
      <c r="AOS67" s="95"/>
      <c r="AOT67" s="95"/>
      <c r="AOU67" s="95"/>
      <c r="AOV67" s="95"/>
      <c r="AOW67" s="95"/>
      <c r="AOX67" s="95"/>
      <c r="AOY67" s="95"/>
      <c r="AOZ67" s="95"/>
      <c r="APA67" s="95"/>
      <c r="APB67" s="95"/>
      <c r="APC67" s="95"/>
      <c r="APD67" s="95"/>
      <c r="APE67" s="95"/>
      <c r="APF67" s="95"/>
      <c r="APG67" s="95"/>
      <c r="APH67" s="95"/>
      <c r="API67" s="95"/>
      <c r="APJ67" s="95"/>
      <c r="APK67" s="95"/>
      <c r="APL67" s="95"/>
      <c r="APM67" s="95"/>
      <c r="APN67" s="95"/>
      <c r="APO67" s="95"/>
      <c r="APP67" s="95"/>
      <c r="APQ67" s="95"/>
      <c r="APR67" s="95"/>
      <c r="APS67" s="95"/>
      <c r="APT67" s="95"/>
      <c r="APU67" s="95"/>
      <c r="APV67" s="95"/>
      <c r="APW67" s="95"/>
      <c r="APX67" s="95"/>
      <c r="APY67" s="95"/>
      <c r="APZ67" s="95"/>
      <c r="AQA67" s="95"/>
      <c r="AQB67" s="95"/>
      <c r="AQC67" s="95"/>
      <c r="AQD67" s="95"/>
      <c r="AQE67" s="95"/>
      <c r="AQF67" s="95"/>
      <c r="AQG67" s="95"/>
      <c r="AQH67" s="95"/>
      <c r="AQI67" s="95"/>
      <c r="AQJ67" s="95"/>
      <c r="AQK67" s="95"/>
      <c r="AQL67" s="95"/>
      <c r="AQM67" s="95"/>
      <c r="AQN67" s="95"/>
      <c r="AQO67" s="95"/>
      <c r="AQP67" s="95"/>
      <c r="AQQ67" s="95"/>
      <c r="AQR67" s="95"/>
      <c r="AQS67" s="95"/>
      <c r="AQT67" s="95"/>
      <c r="AQU67" s="95"/>
      <c r="AQV67" s="95"/>
      <c r="AQW67" s="95"/>
      <c r="AQX67" s="95"/>
      <c r="AQY67" s="95"/>
      <c r="AQZ67" s="95"/>
      <c r="ARA67" s="95"/>
      <c r="ARB67" s="95"/>
      <c r="ARC67" s="95"/>
      <c r="ARD67" s="95"/>
      <c r="ARE67" s="95"/>
      <c r="ARF67" s="95"/>
      <c r="ARG67" s="95"/>
      <c r="ARH67" s="95"/>
      <c r="ARI67" s="95"/>
      <c r="ARJ67" s="95"/>
      <c r="ARK67" s="95"/>
      <c r="ARL67" s="95"/>
      <c r="ARM67" s="95"/>
      <c r="ARN67" s="95"/>
      <c r="ARO67" s="95"/>
      <c r="ARP67" s="95"/>
      <c r="ARQ67" s="95"/>
      <c r="ARR67" s="95"/>
      <c r="ARS67" s="95"/>
      <c r="ART67" s="95"/>
      <c r="ARU67" s="95"/>
      <c r="ARV67" s="95"/>
      <c r="ARW67" s="95"/>
      <c r="ARX67" s="95"/>
      <c r="ARY67" s="95"/>
      <c r="ARZ67" s="95"/>
      <c r="ASA67" s="95"/>
      <c r="ASB67" s="95"/>
      <c r="ASC67" s="95"/>
      <c r="ASD67" s="95"/>
      <c r="ASE67" s="95"/>
      <c r="ASF67" s="95"/>
      <c r="ASG67" s="95"/>
      <c r="ASH67" s="95"/>
      <c r="ASI67" s="95"/>
      <c r="ASJ67" s="95"/>
      <c r="ASK67" s="95"/>
      <c r="ASL67" s="95"/>
      <c r="ASM67" s="95"/>
      <c r="ASN67" s="95"/>
      <c r="ASO67" s="95"/>
      <c r="ASP67" s="95"/>
      <c r="ASQ67" s="95"/>
      <c r="ASR67" s="95"/>
      <c r="ASS67" s="95"/>
      <c r="AST67" s="95"/>
      <c r="ASU67" s="95"/>
      <c r="ASV67" s="95"/>
      <c r="ASW67" s="95"/>
      <c r="ASX67" s="95"/>
      <c r="ASY67" s="95"/>
      <c r="ASZ67" s="95"/>
      <c r="ATA67" s="95"/>
      <c r="ATB67" s="95"/>
      <c r="ATC67" s="95"/>
      <c r="ATD67" s="95"/>
      <c r="ATE67" s="95"/>
      <c r="ATF67" s="95"/>
      <c r="ATG67" s="95"/>
      <c r="ATH67" s="95"/>
      <c r="ATI67" s="95"/>
      <c r="ATJ67" s="95"/>
      <c r="ATK67" s="95"/>
      <c r="ATL67" s="95"/>
      <c r="ATM67" s="95"/>
      <c r="ATN67" s="95"/>
      <c r="ATO67" s="95"/>
      <c r="ATP67" s="95"/>
      <c r="ATQ67" s="95"/>
      <c r="ATR67" s="95"/>
      <c r="ATS67" s="95"/>
      <c r="ATT67" s="95"/>
      <c r="ATU67" s="95"/>
      <c r="ATV67" s="95"/>
      <c r="ATW67" s="95"/>
      <c r="ATX67" s="95"/>
      <c r="ATY67" s="95"/>
      <c r="ATZ67" s="95"/>
      <c r="AUA67" s="95"/>
      <c r="AUB67" s="95"/>
      <c r="AUC67" s="95"/>
      <c r="AUD67" s="95"/>
      <c r="AUE67" s="95"/>
      <c r="AUF67" s="95"/>
      <c r="AUG67" s="95"/>
      <c r="AUH67" s="95"/>
      <c r="AUI67" s="95"/>
      <c r="AUJ67" s="95"/>
      <c r="AUK67" s="95"/>
      <c r="AUL67" s="95"/>
      <c r="AUM67" s="95"/>
      <c r="AUN67" s="95"/>
      <c r="AUO67" s="95"/>
      <c r="AUP67" s="95"/>
      <c r="AUQ67" s="95"/>
      <c r="AUR67" s="95"/>
      <c r="AUS67" s="95"/>
      <c r="AUT67" s="95"/>
      <c r="AUU67" s="95"/>
      <c r="AUV67" s="95"/>
      <c r="AUW67" s="95"/>
      <c r="AUX67" s="95"/>
      <c r="AUY67" s="95"/>
      <c r="AUZ67" s="95"/>
      <c r="AVA67" s="95"/>
      <c r="AVB67" s="95"/>
      <c r="AVC67" s="95"/>
      <c r="AVD67" s="95"/>
      <c r="AVE67" s="95"/>
      <c r="AVF67" s="95"/>
      <c r="AVG67" s="95"/>
      <c r="AVH67" s="95"/>
      <c r="AVI67" s="95"/>
      <c r="AVJ67" s="95"/>
      <c r="AVK67" s="95"/>
      <c r="AVL67" s="95"/>
      <c r="AVM67" s="95"/>
      <c r="AVN67" s="95"/>
      <c r="AVO67" s="95"/>
      <c r="AVP67" s="95"/>
      <c r="AVQ67" s="95"/>
      <c r="AVR67" s="95"/>
      <c r="AVS67" s="95"/>
      <c r="AVT67" s="95"/>
      <c r="AVU67" s="95"/>
      <c r="AVV67" s="95"/>
      <c r="AVW67" s="95"/>
      <c r="AVX67" s="95"/>
      <c r="AVY67" s="95"/>
      <c r="AVZ67" s="95"/>
      <c r="AWA67" s="95"/>
      <c r="AWB67" s="95"/>
      <c r="AWC67" s="95"/>
      <c r="AWD67" s="95"/>
      <c r="AWE67" s="95"/>
      <c r="AWF67" s="95"/>
      <c r="AWG67" s="95"/>
      <c r="AWH67" s="95"/>
      <c r="AWI67" s="95"/>
      <c r="AWJ67" s="95"/>
      <c r="AWK67" s="95"/>
      <c r="AWL67" s="95"/>
      <c r="AWM67" s="95"/>
      <c r="AWN67" s="95"/>
      <c r="AWO67" s="95"/>
      <c r="AWP67" s="95"/>
      <c r="AWQ67" s="95"/>
      <c r="AWR67" s="95"/>
      <c r="AWS67" s="95"/>
      <c r="AWT67" s="95"/>
      <c r="AWU67" s="95"/>
      <c r="AWV67" s="95"/>
      <c r="AWW67" s="95"/>
      <c r="AWX67" s="95"/>
      <c r="AWY67" s="95"/>
      <c r="AWZ67" s="95"/>
      <c r="AXA67" s="95"/>
      <c r="AXB67" s="95"/>
      <c r="AXC67" s="95"/>
      <c r="AXD67" s="95"/>
      <c r="AXE67" s="95"/>
      <c r="AXF67" s="95"/>
      <c r="AXG67" s="95"/>
      <c r="AXH67" s="95"/>
      <c r="AXI67" s="95"/>
      <c r="AXJ67" s="95"/>
      <c r="AXK67" s="95"/>
      <c r="AXL67" s="95"/>
      <c r="AXM67" s="95"/>
      <c r="AXN67" s="95"/>
      <c r="AXO67" s="95"/>
      <c r="AXP67" s="95"/>
      <c r="AXQ67" s="95"/>
      <c r="AXR67" s="95"/>
      <c r="AXS67" s="95"/>
      <c r="AXT67" s="95"/>
      <c r="AXU67" s="95"/>
      <c r="AXV67" s="95"/>
      <c r="AXW67" s="95"/>
      <c r="AXX67" s="95"/>
      <c r="AXY67" s="95"/>
      <c r="AXZ67" s="95"/>
      <c r="AYA67" s="95"/>
      <c r="AYB67" s="95"/>
      <c r="AYC67" s="95"/>
      <c r="AYD67" s="95"/>
      <c r="AYE67" s="95"/>
      <c r="AYF67" s="95"/>
      <c r="AYG67" s="95"/>
      <c r="AYH67" s="95"/>
      <c r="AYI67" s="95"/>
      <c r="AYJ67" s="95"/>
      <c r="AYK67" s="95"/>
      <c r="AYL67" s="95"/>
      <c r="AYM67" s="95"/>
      <c r="AYN67" s="95"/>
      <c r="AYO67" s="95"/>
      <c r="AYP67" s="95"/>
      <c r="AYQ67" s="95"/>
      <c r="AYR67" s="95"/>
      <c r="AYS67" s="95"/>
      <c r="AYT67" s="95"/>
      <c r="AYU67" s="95"/>
      <c r="AYV67" s="95"/>
      <c r="AYW67" s="95"/>
      <c r="AYX67" s="95"/>
      <c r="AYY67" s="95"/>
      <c r="AYZ67" s="95"/>
      <c r="AZA67" s="95"/>
      <c r="AZB67" s="95"/>
      <c r="AZC67" s="95"/>
      <c r="AZD67" s="95"/>
      <c r="AZE67" s="95"/>
      <c r="AZF67" s="95"/>
      <c r="AZG67" s="95"/>
      <c r="AZH67" s="95"/>
      <c r="AZI67" s="95"/>
      <c r="AZJ67" s="95"/>
      <c r="AZK67" s="95"/>
      <c r="AZL67" s="95"/>
      <c r="AZM67" s="95"/>
      <c r="AZN67" s="95"/>
      <c r="AZO67" s="95"/>
      <c r="AZP67" s="95"/>
      <c r="AZQ67" s="95"/>
      <c r="AZR67" s="95"/>
      <c r="AZS67" s="95"/>
      <c r="AZT67" s="95"/>
      <c r="AZU67" s="95"/>
      <c r="AZV67" s="95"/>
      <c r="AZW67" s="95"/>
      <c r="AZX67" s="95"/>
      <c r="AZY67" s="95"/>
      <c r="AZZ67" s="95"/>
      <c r="BAA67" s="95"/>
      <c r="BAB67" s="95"/>
      <c r="BAC67" s="95"/>
      <c r="BAD67" s="95"/>
      <c r="BAE67" s="95"/>
      <c r="BAF67" s="95"/>
      <c r="BAG67" s="95"/>
      <c r="BAH67" s="95"/>
      <c r="BAI67" s="95"/>
      <c r="BAJ67" s="95"/>
      <c r="BAK67" s="95"/>
      <c r="BAL67" s="95"/>
      <c r="BAM67" s="95"/>
      <c r="BAN67" s="95"/>
      <c r="BAO67" s="95"/>
      <c r="BAP67" s="95"/>
      <c r="BAQ67" s="95"/>
      <c r="BAR67" s="95"/>
      <c r="BAS67" s="95"/>
      <c r="BAT67" s="95"/>
      <c r="BAU67" s="95"/>
      <c r="BAV67" s="95"/>
      <c r="BAW67" s="95"/>
      <c r="BAX67" s="95"/>
      <c r="BAY67" s="95"/>
      <c r="BAZ67" s="95"/>
      <c r="BBA67" s="95"/>
      <c r="BBB67" s="95"/>
      <c r="BBC67" s="95"/>
      <c r="BBD67" s="95"/>
      <c r="BBE67" s="95"/>
      <c r="BBF67" s="95"/>
      <c r="BBG67" s="95"/>
      <c r="BBH67" s="95"/>
      <c r="BBI67" s="95"/>
      <c r="BBJ67" s="95"/>
      <c r="BBK67" s="95"/>
      <c r="BBL67" s="95"/>
      <c r="BBM67" s="95"/>
      <c r="BBN67" s="95"/>
      <c r="BBO67" s="95"/>
      <c r="BBP67" s="95"/>
      <c r="BBQ67" s="95"/>
      <c r="BBR67" s="95"/>
      <c r="BBS67" s="95"/>
      <c r="BBT67" s="95"/>
      <c r="BBU67" s="95"/>
      <c r="BBV67" s="95"/>
      <c r="BBW67" s="95"/>
      <c r="BBX67" s="95"/>
      <c r="BBY67" s="95"/>
      <c r="BBZ67" s="95"/>
      <c r="BCA67" s="95"/>
      <c r="BCB67" s="95"/>
      <c r="BCC67" s="95"/>
      <c r="BCD67" s="95"/>
      <c r="BCE67" s="95"/>
      <c r="BCF67" s="95"/>
      <c r="BCG67" s="95"/>
      <c r="BCH67" s="95"/>
      <c r="BCI67" s="95"/>
      <c r="BCJ67" s="95"/>
      <c r="BCK67" s="95"/>
      <c r="BCL67" s="95"/>
      <c r="BCM67" s="95"/>
      <c r="BCN67" s="95"/>
      <c r="BCO67" s="95"/>
      <c r="BCP67" s="95"/>
      <c r="BCQ67" s="95"/>
      <c r="BCR67" s="95"/>
      <c r="BCS67" s="95"/>
      <c r="BCT67" s="95"/>
      <c r="BCU67" s="95"/>
      <c r="BCV67" s="95"/>
      <c r="BCW67" s="95"/>
      <c r="BCX67" s="95"/>
      <c r="BCY67" s="95"/>
      <c r="BCZ67" s="95"/>
      <c r="BDA67" s="95"/>
      <c r="BDB67" s="95"/>
      <c r="BDC67" s="95"/>
      <c r="BDD67" s="95"/>
      <c r="BDE67" s="95"/>
      <c r="BDF67" s="95"/>
      <c r="BDG67" s="95"/>
      <c r="BDH67" s="95"/>
      <c r="BDI67" s="95"/>
      <c r="BDJ67" s="95"/>
      <c r="BDK67" s="95"/>
      <c r="BDL67" s="95"/>
      <c r="BDM67" s="95"/>
      <c r="BDN67" s="95"/>
      <c r="BDO67" s="95"/>
      <c r="BDP67" s="95"/>
      <c r="BDQ67" s="95"/>
      <c r="BDR67" s="95"/>
      <c r="BDS67" s="95"/>
      <c r="BDT67" s="95"/>
      <c r="BDU67" s="95"/>
      <c r="BDV67" s="95"/>
      <c r="BDW67" s="95"/>
      <c r="BDX67" s="95"/>
      <c r="BDY67" s="95"/>
      <c r="BDZ67" s="95"/>
      <c r="BEA67" s="95"/>
      <c r="BEB67" s="95"/>
      <c r="BEC67" s="95"/>
      <c r="BED67" s="95"/>
      <c r="BEE67" s="95"/>
      <c r="BEF67" s="95"/>
      <c r="BEG67" s="95"/>
      <c r="BEH67" s="95"/>
      <c r="BEI67" s="95"/>
      <c r="BEJ67" s="95"/>
      <c r="BEK67" s="95"/>
      <c r="BEL67" s="95"/>
      <c r="BEM67" s="95"/>
      <c r="BEN67" s="95"/>
      <c r="BEO67" s="95"/>
      <c r="BEP67" s="95"/>
      <c r="BEQ67" s="95"/>
      <c r="BER67" s="95"/>
      <c r="BES67" s="95"/>
      <c r="BET67" s="95"/>
      <c r="BEU67" s="95"/>
      <c r="BEV67" s="95"/>
      <c r="BEW67" s="95"/>
      <c r="BEX67" s="95"/>
      <c r="BEY67" s="95"/>
      <c r="BEZ67" s="95"/>
      <c r="BFA67" s="95"/>
      <c r="BFB67" s="95"/>
      <c r="BFC67" s="95"/>
      <c r="BFD67" s="95"/>
      <c r="BFE67" s="95"/>
      <c r="BFF67" s="95"/>
      <c r="BFG67" s="95"/>
      <c r="BFH67" s="95"/>
      <c r="BFI67" s="95"/>
      <c r="BFJ67" s="95"/>
      <c r="BFK67" s="95"/>
      <c r="BFL67" s="95"/>
      <c r="BFM67" s="95"/>
      <c r="BFN67" s="95"/>
      <c r="BFO67" s="95"/>
      <c r="BFP67" s="95"/>
      <c r="BFQ67" s="95"/>
      <c r="BFR67" s="95"/>
      <c r="BFS67" s="95"/>
      <c r="BFT67" s="95"/>
      <c r="BFU67" s="95"/>
      <c r="BFV67" s="95"/>
      <c r="BFW67" s="95"/>
      <c r="BFX67" s="95"/>
      <c r="BFY67" s="95"/>
      <c r="BFZ67" s="95"/>
      <c r="BGA67" s="95"/>
      <c r="BGB67" s="95"/>
      <c r="BGC67" s="95"/>
      <c r="BGD67" s="95"/>
      <c r="BGE67" s="95"/>
      <c r="BGF67" s="95"/>
      <c r="BGG67" s="95"/>
      <c r="BGH67" s="95"/>
      <c r="BGI67" s="95"/>
      <c r="BGJ67" s="95"/>
      <c r="BGK67" s="95"/>
      <c r="BGL67" s="95"/>
      <c r="BGM67" s="95"/>
      <c r="BGN67" s="95"/>
      <c r="BGO67" s="95"/>
      <c r="BGP67" s="95"/>
      <c r="BGQ67" s="95"/>
      <c r="BGR67" s="95"/>
      <c r="BGS67" s="95"/>
      <c r="BGT67" s="95"/>
      <c r="BGU67" s="95"/>
      <c r="BGV67" s="95"/>
      <c r="BGW67" s="95"/>
      <c r="BGX67" s="95"/>
      <c r="BGY67" s="95"/>
      <c r="BGZ67" s="95"/>
      <c r="BHA67" s="95"/>
      <c r="BHB67" s="95"/>
      <c r="BHC67" s="95"/>
      <c r="BHD67" s="95"/>
      <c r="BHE67" s="95"/>
      <c r="BHF67" s="95"/>
      <c r="BHG67" s="95"/>
      <c r="BHH67" s="95"/>
      <c r="BHI67" s="95"/>
      <c r="BHJ67" s="95"/>
      <c r="BHK67" s="95"/>
      <c r="BHL67" s="95"/>
      <c r="BHM67" s="95"/>
      <c r="BHN67" s="95"/>
      <c r="BHO67" s="95"/>
      <c r="BHP67" s="95"/>
      <c r="BHQ67" s="95"/>
      <c r="BHR67" s="95"/>
      <c r="BHS67" s="95"/>
      <c r="BHT67" s="95"/>
      <c r="BHU67" s="95"/>
      <c r="BHV67" s="95"/>
      <c r="BHW67" s="95"/>
      <c r="BHX67" s="95"/>
      <c r="BHY67" s="95"/>
      <c r="BHZ67" s="95"/>
      <c r="BIA67" s="95"/>
      <c r="BIB67" s="95"/>
      <c r="BIC67" s="95"/>
      <c r="BID67" s="95"/>
      <c r="BIE67" s="95"/>
      <c r="BIF67" s="95"/>
      <c r="BIG67" s="95"/>
      <c r="BIH67" s="95"/>
      <c r="BII67" s="95"/>
      <c r="BIJ67" s="95"/>
      <c r="BIK67" s="95"/>
      <c r="BIL67" s="95"/>
      <c r="BIM67" s="95"/>
      <c r="BIN67" s="95"/>
      <c r="BIO67" s="95"/>
      <c r="BIP67" s="95"/>
      <c r="BIQ67" s="95"/>
      <c r="BIR67" s="95"/>
      <c r="BIS67" s="95"/>
      <c r="BIT67" s="95"/>
      <c r="BIU67" s="95"/>
      <c r="BIV67" s="95"/>
      <c r="BIW67" s="95"/>
      <c r="BIX67" s="95"/>
      <c r="BIY67" s="95"/>
      <c r="BIZ67" s="95"/>
      <c r="BJA67" s="95"/>
      <c r="BJB67" s="95"/>
      <c r="BJC67" s="95"/>
      <c r="BJD67" s="95"/>
      <c r="BJE67" s="95"/>
      <c r="BJF67" s="95"/>
      <c r="BJG67" s="95"/>
      <c r="BJH67" s="95"/>
      <c r="BJI67" s="95"/>
      <c r="BJJ67" s="95"/>
      <c r="BJK67" s="95"/>
      <c r="BJL67" s="95"/>
      <c r="BJM67" s="95"/>
      <c r="BJN67" s="95"/>
      <c r="BJO67" s="95"/>
      <c r="BJP67" s="95"/>
      <c r="BJQ67" s="95"/>
      <c r="BJR67" s="95"/>
      <c r="BJS67" s="95"/>
      <c r="BJT67" s="95"/>
      <c r="BJU67" s="95"/>
      <c r="BJV67" s="95"/>
      <c r="BJW67" s="95"/>
      <c r="BJX67" s="95"/>
      <c r="BJY67" s="95"/>
      <c r="BJZ67" s="95"/>
      <c r="BKA67" s="95"/>
      <c r="BKB67" s="95"/>
      <c r="BKC67" s="95"/>
      <c r="BKD67" s="95"/>
      <c r="BKE67" s="95"/>
      <c r="BKF67" s="95"/>
      <c r="BKG67" s="95"/>
      <c r="BKH67" s="95"/>
      <c r="BKI67" s="95"/>
      <c r="BKJ67" s="95"/>
      <c r="BKK67" s="95"/>
      <c r="BKL67" s="95"/>
      <c r="BKM67" s="95"/>
      <c r="BKN67" s="95"/>
      <c r="BKO67" s="95"/>
      <c r="BKP67" s="95"/>
      <c r="BKQ67" s="95"/>
      <c r="BKR67" s="95"/>
      <c r="BKS67" s="95"/>
      <c r="BKT67" s="95"/>
      <c r="BKU67" s="95"/>
      <c r="BKV67" s="95"/>
      <c r="BKW67" s="95"/>
      <c r="BKX67" s="95"/>
      <c r="BKY67" s="95"/>
      <c r="BKZ67" s="95"/>
      <c r="BLA67" s="95"/>
      <c r="BLB67" s="95"/>
      <c r="BLC67" s="95"/>
      <c r="BLD67" s="95"/>
      <c r="BLE67" s="95"/>
      <c r="BLF67" s="95"/>
      <c r="BLG67" s="95"/>
      <c r="BLH67" s="95"/>
      <c r="BLI67" s="95"/>
      <c r="BLJ67" s="95"/>
      <c r="BLK67" s="95"/>
      <c r="BLL67" s="95"/>
      <c r="BLM67" s="95"/>
      <c r="BLN67" s="95"/>
      <c r="BLO67" s="95"/>
      <c r="BLP67" s="95"/>
      <c r="BLQ67" s="95"/>
      <c r="BLR67" s="95"/>
      <c r="BLS67" s="95"/>
      <c r="BLT67" s="95"/>
      <c r="BLU67" s="95"/>
      <c r="BLV67" s="95"/>
      <c r="BLW67" s="95"/>
      <c r="BLX67" s="95"/>
      <c r="BLY67" s="95"/>
      <c r="BLZ67" s="95"/>
      <c r="BMA67" s="95"/>
      <c r="BMB67" s="95"/>
      <c r="BMC67" s="95"/>
      <c r="BMD67" s="95"/>
      <c r="BME67" s="95"/>
      <c r="BMF67" s="95"/>
      <c r="BMG67" s="95"/>
      <c r="BMH67" s="95"/>
      <c r="BMI67" s="95"/>
      <c r="BMJ67" s="95"/>
      <c r="BMK67" s="95"/>
      <c r="BML67" s="95"/>
      <c r="BMM67" s="95"/>
      <c r="BMN67" s="95"/>
      <c r="BMO67" s="95"/>
      <c r="BMP67" s="95"/>
      <c r="BMQ67" s="95"/>
      <c r="BMR67" s="95"/>
      <c r="BMS67" s="95"/>
      <c r="BMT67" s="95"/>
      <c r="BMU67" s="95"/>
      <c r="BMV67" s="95"/>
      <c r="BMW67" s="95"/>
      <c r="BMX67" s="95"/>
      <c r="BMY67" s="95"/>
      <c r="BMZ67" s="95"/>
      <c r="BNA67" s="95"/>
      <c r="BNB67" s="95"/>
      <c r="BNC67" s="95"/>
      <c r="BND67" s="95"/>
      <c r="BNE67" s="95"/>
      <c r="BNF67" s="95"/>
      <c r="BNG67" s="95"/>
      <c r="BNH67" s="95"/>
      <c r="BNI67" s="95"/>
      <c r="BNJ67" s="95"/>
      <c r="BNK67" s="95"/>
      <c r="BNL67" s="95"/>
      <c r="BNM67" s="95"/>
      <c r="BNN67" s="95"/>
      <c r="BNO67" s="95"/>
      <c r="BNP67" s="95"/>
      <c r="BNQ67" s="95"/>
      <c r="BNR67" s="95"/>
      <c r="BNS67" s="95"/>
      <c r="BNT67" s="95"/>
      <c r="BNU67" s="95"/>
      <c r="BNV67" s="95"/>
      <c r="BNW67" s="95"/>
      <c r="BNX67" s="95"/>
      <c r="BNY67" s="95"/>
      <c r="BNZ67" s="95"/>
      <c r="BOA67" s="95"/>
      <c r="BOB67" s="95"/>
      <c r="BOC67" s="95"/>
      <c r="BOD67" s="95"/>
      <c r="BOE67" s="95"/>
      <c r="BOF67" s="95"/>
      <c r="BOG67" s="95"/>
      <c r="BOH67" s="95"/>
      <c r="BOI67" s="95"/>
      <c r="BOJ67" s="95"/>
      <c r="BOK67" s="95"/>
      <c r="BOL67" s="95"/>
      <c r="BOM67" s="95"/>
      <c r="BON67" s="95"/>
      <c r="BOO67" s="95"/>
      <c r="BOP67" s="95"/>
      <c r="BOQ67" s="95"/>
      <c r="BOR67" s="95"/>
      <c r="BOS67" s="95"/>
      <c r="BOT67" s="95"/>
      <c r="BOU67" s="95"/>
      <c r="BOV67" s="95"/>
      <c r="BOW67" s="95"/>
      <c r="BOX67" s="95"/>
      <c r="BOY67" s="95"/>
      <c r="BOZ67" s="95"/>
      <c r="BPA67" s="95"/>
      <c r="BPB67" s="95"/>
      <c r="BPC67" s="95"/>
      <c r="BPD67" s="95"/>
      <c r="BPE67" s="95"/>
      <c r="BPF67" s="95"/>
      <c r="BPG67" s="95"/>
      <c r="BPH67" s="95"/>
      <c r="BPI67" s="95"/>
      <c r="BPJ67" s="95"/>
      <c r="BPK67" s="95"/>
      <c r="BPL67" s="95"/>
      <c r="BPM67" s="95"/>
      <c r="BPN67" s="95"/>
      <c r="BPO67" s="95"/>
      <c r="BPP67" s="95"/>
      <c r="BPQ67" s="95"/>
      <c r="BPR67" s="95"/>
      <c r="BPS67" s="95"/>
      <c r="BPT67" s="95"/>
      <c r="BPU67" s="95"/>
      <c r="BPV67" s="95"/>
      <c r="BPW67" s="95"/>
      <c r="BPX67" s="95"/>
      <c r="BPY67" s="95"/>
      <c r="BPZ67" s="95"/>
      <c r="BQA67" s="95"/>
      <c r="BQB67" s="95"/>
      <c r="BQC67" s="95"/>
      <c r="BQD67" s="95"/>
      <c r="BQE67" s="95"/>
      <c r="BQF67" s="95"/>
      <c r="BQG67" s="95"/>
      <c r="BQH67" s="95"/>
      <c r="BQI67" s="95"/>
      <c r="BQJ67" s="95"/>
      <c r="BQK67" s="95"/>
      <c r="BQL67" s="95"/>
      <c r="BQM67" s="95"/>
      <c r="BQN67" s="95"/>
      <c r="BQO67" s="95"/>
      <c r="BQP67" s="95"/>
      <c r="BQQ67" s="95"/>
      <c r="BQR67" s="95"/>
      <c r="BQS67" s="95"/>
      <c r="BQT67" s="95"/>
      <c r="BQU67" s="95"/>
      <c r="BQV67" s="95"/>
      <c r="BQW67" s="95"/>
      <c r="BQX67" s="95"/>
      <c r="BQY67" s="95"/>
      <c r="BQZ67" s="95"/>
      <c r="BRA67" s="95"/>
      <c r="BRB67" s="95"/>
      <c r="BRC67" s="95"/>
      <c r="BRD67" s="95"/>
      <c r="BRE67" s="95"/>
      <c r="BRF67" s="95"/>
      <c r="BRG67" s="95"/>
      <c r="BRH67" s="95"/>
      <c r="BRI67" s="95"/>
      <c r="BRJ67" s="95"/>
      <c r="BRK67" s="95"/>
      <c r="BRL67" s="95"/>
      <c r="BRM67" s="95"/>
      <c r="BRN67" s="95"/>
      <c r="BRO67" s="95"/>
      <c r="BRP67" s="95"/>
      <c r="BRQ67" s="95"/>
      <c r="BRR67" s="95"/>
      <c r="BRS67" s="95"/>
      <c r="BRT67" s="95"/>
      <c r="BRU67" s="95"/>
      <c r="BRV67" s="95"/>
      <c r="BRW67" s="95"/>
      <c r="BRX67" s="95"/>
      <c r="BRY67" s="95"/>
      <c r="BRZ67" s="95"/>
      <c r="BSA67" s="95"/>
      <c r="BSB67" s="95"/>
      <c r="BSC67" s="95"/>
      <c r="BSD67" s="95"/>
      <c r="BSE67" s="95"/>
      <c r="BSF67" s="95"/>
      <c r="BSG67" s="95"/>
      <c r="BSH67" s="95"/>
      <c r="BSI67" s="95"/>
      <c r="BSJ67" s="95"/>
      <c r="BSK67" s="95"/>
      <c r="BSL67" s="95"/>
      <c r="BSM67" s="95"/>
      <c r="BSN67" s="95"/>
      <c r="BSO67" s="95"/>
      <c r="BSP67" s="95"/>
      <c r="BSQ67" s="95"/>
      <c r="BSR67" s="95"/>
      <c r="BSS67" s="95"/>
      <c r="BST67" s="95"/>
      <c r="BSU67" s="95"/>
      <c r="BSV67" s="95"/>
      <c r="BSW67" s="95"/>
      <c r="BSX67" s="95"/>
      <c r="BSY67" s="95"/>
      <c r="BSZ67" s="95"/>
      <c r="BTA67" s="95"/>
      <c r="BTB67" s="95"/>
      <c r="BTC67" s="95"/>
      <c r="BTD67" s="95"/>
      <c r="BTE67" s="95"/>
      <c r="BTF67" s="95"/>
      <c r="BTG67" s="95"/>
      <c r="BTH67" s="95"/>
      <c r="BTI67" s="95"/>
      <c r="BTJ67" s="95"/>
      <c r="BTK67" s="95"/>
      <c r="BTL67" s="95"/>
      <c r="BTM67" s="95"/>
      <c r="BTN67" s="95"/>
      <c r="BTO67" s="95"/>
      <c r="BTP67" s="95"/>
      <c r="BTQ67" s="95"/>
      <c r="BTR67" s="95"/>
      <c r="BTS67" s="95"/>
      <c r="BTT67" s="95"/>
      <c r="BTU67" s="95"/>
      <c r="BTV67" s="95"/>
      <c r="BTW67" s="95"/>
      <c r="BTX67" s="95"/>
      <c r="BTY67" s="95"/>
      <c r="BTZ67" s="95"/>
      <c r="BUA67" s="95"/>
      <c r="BUB67" s="95"/>
      <c r="BUC67" s="95"/>
      <c r="BUD67" s="95"/>
      <c r="BUE67" s="95"/>
      <c r="BUF67" s="95"/>
      <c r="BUG67" s="95"/>
      <c r="BUH67" s="95"/>
      <c r="BUI67" s="95"/>
      <c r="BUJ67" s="95"/>
      <c r="BUK67" s="95"/>
      <c r="BUL67" s="95"/>
      <c r="BUM67" s="95"/>
      <c r="BUN67" s="95"/>
      <c r="BUO67" s="95"/>
      <c r="BUP67" s="95"/>
      <c r="BUQ67" s="95"/>
      <c r="BUR67" s="95"/>
      <c r="BUS67" s="95"/>
      <c r="BUT67" s="95"/>
      <c r="BUU67" s="95"/>
      <c r="BUV67" s="95"/>
      <c r="BUW67" s="95"/>
      <c r="BUX67" s="95"/>
      <c r="BUY67" s="95"/>
      <c r="BUZ67" s="95"/>
      <c r="BVA67" s="95"/>
      <c r="BVB67" s="95"/>
      <c r="BVC67" s="95"/>
      <c r="BVD67" s="95"/>
      <c r="BVE67" s="95"/>
      <c r="BVF67" s="95"/>
      <c r="BVG67" s="95"/>
      <c r="BVH67" s="95"/>
      <c r="BVI67" s="95"/>
      <c r="BVJ67" s="95"/>
      <c r="BVK67" s="95"/>
      <c r="BVL67" s="95"/>
      <c r="BVM67" s="95"/>
      <c r="BVN67" s="95"/>
      <c r="BVO67" s="95"/>
      <c r="BVP67" s="95"/>
      <c r="BVQ67" s="95"/>
      <c r="BVR67" s="95"/>
      <c r="BVS67" s="95"/>
      <c r="BVT67" s="95"/>
      <c r="BVU67" s="95"/>
      <c r="BVV67" s="95"/>
      <c r="BVW67" s="95"/>
      <c r="BVX67" s="95"/>
      <c r="BVY67" s="95"/>
      <c r="BVZ67" s="95"/>
      <c r="BWA67" s="95"/>
      <c r="BWB67" s="95"/>
      <c r="BWC67" s="95"/>
      <c r="BWD67" s="95"/>
      <c r="BWE67" s="95"/>
      <c r="BWF67" s="95"/>
      <c r="BWG67" s="95"/>
      <c r="BWH67" s="95"/>
      <c r="BWI67" s="95"/>
      <c r="BWJ67" s="95"/>
      <c r="BWK67" s="95"/>
      <c r="BWL67" s="95"/>
      <c r="BWM67" s="95"/>
      <c r="BWN67" s="95"/>
      <c r="BWO67" s="95"/>
      <c r="BWP67" s="95"/>
      <c r="BWQ67" s="95"/>
      <c r="BWR67" s="95"/>
      <c r="BWS67" s="95"/>
      <c r="BWT67" s="95"/>
      <c r="BWU67" s="95"/>
      <c r="BWV67" s="95"/>
      <c r="BWW67" s="95"/>
      <c r="BWX67" s="95"/>
      <c r="BWY67" s="95"/>
      <c r="BWZ67" s="95"/>
      <c r="BXA67" s="95"/>
      <c r="BXB67" s="95"/>
      <c r="BXC67" s="95"/>
      <c r="BXD67" s="95"/>
      <c r="BXE67" s="95"/>
      <c r="BXF67" s="95"/>
      <c r="BXG67" s="95"/>
      <c r="BXH67" s="95"/>
      <c r="BXI67" s="95"/>
      <c r="BXJ67" s="95"/>
      <c r="BXK67" s="95"/>
      <c r="BXL67" s="95"/>
      <c r="BXM67" s="95"/>
      <c r="BXN67" s="95"/>
      <c r="BXO67" s="95"/>
      <c r="BXP67" s="95"/>
      <c r="BXQ67" s="95"/>
      <c r="BXR67" s="95"/>
      <c r="BXS67" s="95"/>
      <c r="BXT67" s="95"/>
      <c r="BXU67" s="95"/>
      <c r="BXV67" s="95"/>
      <c r="BXW67" s="95"/>
      <c r="BXX67" s="95"/>
      <c r="BXY67" s="95"/>
      <c r="BXZ67" s="95"/>
      <c r="BYA67" s="95"/>
      <c r="BYB67" s="95"/>
      <c r="BYC67" s="95"/>
      <c r="BYD67" s="95"/>
      <c r="BYE67" s="95"/>
      <c r="BYF67" s="95"/>
      <c r="BYG67" s="95"/>
    </row>
    <row r="68" spans="1:2009" s="96" customFormat="1" ht="10.5" customHeight="1" x14ac:dyDescent="0.25">
      <c r="A68" s="122"/>
      <c r="B68" s="122"/>
      <c r="C68" s="191"/>
      <c r="D68" s="191"/>
      <c r="E68" s="191"/>
      <c r="F68" s="191"/>
      <c r="G68" s="738"/>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95"/>
      <c r="GB68" s="95"/>
      <c r="GC68" s="95"/>
      <c r="GD68" s="95"/>
      <c r="GE68" s="95"/>
      <c r="GF68" s="95"/>
      <c r="GG68" s="95"/>
      <c r="GH68" s="95"/>
      <c r="GI68" s="95"/>
      <c r="GJ68" s="95"/>
      <c r="GK68" s="95"/>
      <c r="GL68" s="95"/>
      <c r="GM68" s="95"/>
      <c r="GN68" s="95"/>
      <c r="GO68" s="95"/>
      <c r="GP68" s="95"/>
      <c r="GQ68" s="95"/>
      <c r="GR68" s="95"/>
      <c r="GS68" s="95"/>
      <c r="GT68" s="95"/>
      <c r="GU68" s="95"/>
      <c r="GV68" s="95"/>
      <c r="GW68" s="95"/>
      <c r="GX68" s="95"/>
      <c r="GY68" s="95"/>
      <c r="GZ68" s="95"/>
      <c r="HA68" s="95"/>
      <c r="HB68" s="95"/>
      <c r="HC68" s="95"/>
      <c r="HD68" s="95"/>
      <c r="HE68" s="95"/>
      <c r="HF68" s="95"/>
      <c r="HG68" s="95"/>
      <c r="HH68" s="95"/>
      <c r="HI68" s="95"/>
      <c r="HJ68" s="95"/>
      <c r="HK68" s="95"/>
      <c r="HL68" s="95"/>
      <c r="HM68" s="95"/>
      <c r="HN68" s="95"/>
      <c r="HO68" s="95"/>
      <c r="HP68" s="95"/>
      <c r="HQ68" s="95"/>
      <c r="HR68" s="95"/>
      <c r="HS68" s="95"/>
      <c r="HT68" s="95"/>
      <c r="HU68" s="95"/>
      <c r="HV68" s="95"/>
      <c r="HW68" s="95"/>
      <c r="HX68" s="95"/>
      <c r="HY68" s="95"/>
      <c r="HZ68" s="95"/>
      <c r="IA68" s="95"/>
      <c r="IB68" s="95"/>
      <c r="IC68" s="95"/>
      <c r="ID68" s="95"/>
      <c r="IE68" s="95"/>
      <c r="IF68" s="95"/>
      <c r="IG68" s="95"/>
      <c r="IH68" s="95"/>
      <c r="II68" s="95"/>
      <c r="IJ68" s="95"/>
      <c r="IK68" s="95"/>
      <c r="IL68" s="95"/>
      <c r="IM68" s="95"/>
      <c r="IN68" s="95"/>
      <c r="IO68" s="95"/>
      <c r="IP68" s="95"/>
      <c r="IQ68" s="95"/>
      <c r="IR68" s="95"/>
      <c r="IS68" s="95"/>
      <c r="IT68" s="95"/>
      <c r="IU68" s="95"/>
      <c r="IV68" s="95"/>
      <c r="IW68" s="95"/>
      <c r="IX68" s="95"/>
      <c r="IY68" s="95"/>
      <c r="IZ68" s="95"/>
      <c r="JA68" s="95"/>
      <c r="JB68" s="95"/>
      <c r="JC68" s="95"/>
      <c r="JD68" s="95"/>
      <c r="JE68" s="95"/>
      <c r="JF68" s="95"/>
      <c r="JG68" s="95"/>
      <c r="JH68" s="95"/>
      <c r="JI68" s="95"/>
      <c r="JJ68" s="95"/>
      <c r="JK68" s="95"/>
      <c r="JL68" s="95"/>
      <c r="JM68" s="95"/>
      <c r="JN68" s="95"/>
      <c r="JO68" s="95"/>
      <c r="JP68" s="95"/>
      <c r="JQ68" s="95"/>
      <c r="JR68" s="95"/>
      <c r="JS68" s="95"/>
      <c r="JT68" s="95"/>
      <c r="JU68" s="95"/>
      <c r="JV68" s="95"/>
      <c r="JW68" s="95"/>
      <c r="JX68" s="95"/>
      <c r="JY68" s="95"/>
      <c r="JZ68" s="95"/>
      <c r="KA68" s="95"/>
      <c r="KB68" s="95"/>
      <c r="KC68" s="95"/>
      <c r="KD68" s="95"/>
      <c r="KE68" s="95"/>
      <c r="KF68" s="95"/>
      <c r="KG68" s="95"/>
      <c r="KH68" s="95"/>
      <c r="KI68" s="95"/>
      <c r="KJ68" s="95"/>
      <c r="KK68" s="95"/>
      <c r="KL68" s="95"/>
      <c r="KM68" s="95"/>
      <c r="KN68" s="95"/>
      <c r="KO68" s="95"/>
      <c r="KP68" s="95"/>
      <c r="KQ68" s="95"/>
      <c r="KR68" s="95"/>
      <c r="KS68" s="95"/>
      <c r="KT68" s="95"/>
      <c r="KU68" s="95"/>
      <c r="KV68" s="95"/>
      <c r="KW68" s="95"/>
      <c r="KX68" s="95"/>
      <c r="KY68" s="95"/>
      <c r="KZ68" s="95"/>
      <c r="LA68" s="95"/>
      <c r="LB68" s="95"/>
      <c r="LC68" s="95"/>
      <c r="LD68" s="95"/>
      <c r="LE68" s="95"/>
      <c r="LF68" s="95"/>
      <c r="LG68" s="95"/>
      <c r="LH68" s="95"/>
      <c r="LI68" s="95"/>
      <c r="LJ68" s="95"/>
      <c r="LK68" s="95"/>
      <c r="LL68" s="95"/>
      <c r="LM68" s="95"/>
      <c r="LN68" s="95"/>
      <c r="LO68" s="95"/>
      <c r="LP68" s="95"/>
      <c r="LQ68" s="95"/>
      <c r="LR68" s="95"/>
      <c r="LS68" s="95"/>
      <c r="LT68" s="95"/>
      <c r="LU68" s="95"/>
      <c r="LV68" s="95"/>
      <c r="LW68" s="95"/>
      <c r="LX68" s="95"/>
      <c r="LY68" s="95"/>
      <c r="LZ68" s="95"/>
      <c r="MA68" s="95"/>
      <c r="MB68" s="95"/>
      <c r="MC68" s="95"/>
      <c r="MD68" s="95"/>
      <c r="ME68" s="95"/>
      <c r="MF68" s="95"/>
      <c r="MG68" s="95"/>
      <c r="MH68" s="95"/>
      <c r="MI68" s="95"/>
      <c r="MJ68" s="95"/>
      <c r="MK68" s="95"/>
      <c r="ML68" s="95"/>
      <c r="MM68" s="95"/>
      <c r="MN68" s="95"/>
      <c r="MO68" s="95"/>
      <c r="MP68" s="95"/>
      <c r="MQ68" s="95"/>
      <c r="MR68" s="95"/>
      <c r="MS68" s="95"/>
      <c r="MT68" s="95"/>
      <c r="MU68" s="95"/>
      <c r="MV68" s="95"/>
      <c r="MW68" s="95"/>
      <c r="MX68" s="95"/>
      <c r="MY68" s="95"/>
      <c r="MZ68" s="95"/>
      <c r="NA68" s="95"/>
      <c r="NB68" s="95"/>
      <c r="NC68" s="95"/>
      <c r="ND68" s="95"/>
      <c r="NE68" s="95"/>
      <c r="NF68" s="95"/>
      <c r="NG68" s="95"/>
      <c r="NH68" s="95"/>
      <c r="NI68" s="95"/>
      <c r="NJ68" s="95"/>
      <c r="NK68" s="95"/>
      <c r="NL68" s="95"/>
      <c r="NM68" s="95"/>
      <c r="NN68" s="95"/>
      <c r="NO68" s="95"/>
      <c r="NP68" s="95"/>
      <c r="NQ68" s="95"/>
      <c r="NR68" s="95"/>
      <c r="NS68" s="95"/>
      <c r="NT68" s="95"/>
      <c r="NU68" s="95"/>
      <c r="NV68" s="95"/>
      <c r="NW68" s="95"/>
      <c r="NX68" s="95"/>
      <c r="NY68" s="95"/>
      <c r="NZ68" s="95"/>
      <c r="OA68" s="95"/>
      <c r="OB68" s="95"/>
      <c r="OC68" s="95"/>
      <c r="OD68" s="95"/>
      <c r="OE68" s="95"/>
      <c r="OF68" s="95"/>
      <c r="OG68" s="95"/>
      <c r="OH68" s="95"/>
      <c r="OI68" s="95"/>
      <c r="OJ68" s="95"/>
      <c r="OK68" s="95"/>
      <c r="OL68" s="95"/>
      <c r="OM68" s="95"/>
      <c r="ON68" s="95"/>
      <c r="OO68" s="95"/>
      <c r="OP68" s="95"/>
      <c r="OQ68" s="95"/>
      <c r="OR68" s="95"/>
      <c r="OS68" s="95"/>
      <c r="OT68" s="95"/>
      <c r="OU68" s="95"/>
      <c r="OV68" s="95"/>
      <c r="OW68" s="95"/>
      <c r="OX68" s="95"/>
      <c r="OY68" s="95"/>
      <c r="OZ68" s="95"/>
      <c r="PA68" s="95"/>
      <c r="PB68" s="95"/>
      <c r="PC68" s="95"/>
      <c r="PD68" s="95"/>
      <c r="PE68" s="95"/>
      <c r="PF68" s="95"/>
      <c r="PG68" s="95"/>
      <c r="PH68" s="95"/>
      <c r="PI68" s="95"/>
      <c r="PJ68" s="95"/>
      <c r="PK68" s="95"/>
      <c r="PL68" s="95"/>
      <c r="PM68" s="95"/>
      <c r="PN68" s="95"/>
      <c r="PO68" s="95"/>
      <c r="PP68" s="95"/>
      <c r="PQ68" s="95"/>
      <c r="PR68" s="95"/>
      <c r="PS68" s="95"/>
      <c r="PT68" s="95"/>
      <c r="PU68" s="95"/>
      <c r="PV68" s="95"/>
      <c r="PW68" s="95"/>
      <c r="PX68" s="95"/>
      <c r="PY68" s="95"/>
      <c r="PZ68" s="95"/>
      <c r="QA68" s="95"/>
      <c r="QB68" s="95"/>
      <c r="QC68" s="95"/>
      <c r="QD68" s="95"/>
      <c r="QE68" s="95"/>
      <c r="QF68" s="95"/>
      <c r="QG68" s="95"/>
      <c r="QH68" s="95"/>
      <c r="QI68" s="95"/>
      <c r="QJ68" s="95"/>
      <c r="QK68" s="95"/>
      <c r="QL68" s="95"/>
      <c r="QM68" s="95"/>
      <c r="QN68" s="95"/>
      <c r="QO68" s="95"/>
      <c r="QP68" s="95"/>
      <c r="QQ68" s="95"/>
      <c r="QR68" s="95"/>
      <c r="QS68" s="95"/>
      <c r="QT68" s="95"/>
      <c r="QU68" s="95"/>
      <c r="QV68" s="95"/>
      <c r="QW68" s="95"/>
      <c r="QX68" s="95"/>
      <c r="QY68" s="95"/>
      <c r="QZ68" s="95"/>
      <c r="RA68" s="95"/>
      <c r="RB68" s="95"/>
      <c r="RC68" s="95"/>
      <c r="RD68" s="95"/>
      <c r="RE68" s="95"/>
      <c r="RF68" s="95"/>
      <c r="RG68" s="95"/>
      <c r="RH68" s="95"/>
      <c r="RI68" s="95"/>
      <c r="RJ68" s="95"/>
      <c r="RK68" s="95"/>
      <c r="RL68" s="95"/>
      <c r="RM68" s="95"/>
      <c r="RN68" s="95"/>
      <c r="RO68" s="95"/>
      <c r="RP68" s="95"/>
      <c r="RQ68" s="95"/>
      <c r="RR68" s="95"/>
      <c r="RS68" s="95"/>
      <c r="RT68" s="95"/>
      <c r="RU68" s="95"/>
      <c r="RV68" s="95"/>
      <c r="RW68" s="95"/>
      <c r="RX68" s="95"/>
      <c r="RY68" s="95"/>
      <c r="RZ68" s="95"/>
      <c r="SA68" s="95"/>
      <c r="SB68" s="95"/>
      <c r="SC68" s="95"/>
      <c r="SD68" s="95"/>
      <c r="SE68" s="95"/>
      <c r="SF68" s="95"/>
      <c r="SG68" s="95"/>
      <c r="SH68" s="95"/>
      <c r="SI68" s="95"/>
      <c r="SJ68" s="95"/>
      <c r="SK68" s="95"/>
      <c r="SL68" s="95"/>
      <c r="SM68" s="95"/>
      <c r="SN68" s="95"/>
      <c r="SO68" s="95"/>
      <c r="SP68" s="95"/>
      <c r="SQ68" s="95"/>
      <c r="SR68" s="95"/>
      <c r="SS68" s="95"/>
      <c r="ST68" s="95"/>
      <c r="SU68" s="95"/>
      <c r="SV68" s="95"/>
      <c r="SW68" s="95"/>
      <c r="SX68" s="95"/>
      <c r="SY68" s="95"/>
      <c r="SZ68" s="95"/>
      <c r="TA68" s="95"/>
      <c r="TB68" s="95"/>
      <c r="TC68" s="95"/>
      <c r="TD68" s="95"/>
      <c r="TE68" s="95"/>
      <c r="TF68" s="95"/>
      <c r="TG68" s="95"/>
      <c r="TH68" s="95"/>
      <c r="TI68" s="95"/>
      <c r="TJ68" s="95"/>
      <c r="TK68" s="95"/>
      <c r="TL68" s="95"/>
      <c r="TM68" s="95"/>
      <c r="TN68" s="95"/>
      <c r="TO68" s="95"/>
      <c r="TP68" s="95"/>
      <c r="TQ68" s="95"/>
      <c r="TR68" s="95"/>
      <c r="TS68" s="95"/>
      <c r="TT68" s="95"/>
      <c r="TU68" s="95"/>
      <c r="TV68" s="95"/>
      <c r="TW68" s="95"/>
      <c r="TX68" s="95"/>
      <c r="TY68" s="95"/>
      <c r="TZ68" s="95"/>
      <c r="UA68" s="95"/>
      <c r="UB68" s="95"/>
      <c r="UC68" s="95"/>
      <c r="UD68" s="95"/>
      <c r="UE68" s="95"/>
      <c r="UF68" s="95"/>
      <c r="UG68" s="95"/>
      <c r="UH68" s="95"/>
      <c r="UI68" s="95"/>
      <c r="UJ68" s="95"/>
      <c r="UK68" s="95"/>
      <c r="UL68" s="95"/>
      <c r="UM68" s="95"/>
      <c r="UN68" s="95"/>
      <c r="UO68" s="95"/>
      <c r="UP68" s="95"/>
      <c r="UQ68" s="95"/>
      <c r="UR68" s="95"/>
      <c r="US68" s="95"/>
      <c r="UT68" s="95"/>
      <c r="UU68" s="95"/>
      <c r="UV68" s="95"/>
      <c r="UW68" s="95"/>
      <c r="UX68" s="95"/>
      <c r="UY68" s="95"/>
      <c r="UZ68" s="95"/>
      <c r="VA68" s="95"/>
      <c r="VB68" s="95"/>
      <c r="VC68" s="95"/>
      <c r="VD68" s="95"/>
      <c r="VE68" s="95"/>
      <c r="VF68" s="95"/>
      <c r="VG68" s="95"/>
      <c r="VH68" s="95"/>
      <c r="VI68" s="95"/>
      <c r="VJ68" s="95"/>
      <c r="VK68" s="95"/>
      <c r="VL68" s="95"/>
      <c r="VM68" s="95"/>
      <c r="VN68" s="95"/>
      <c r="VO68" s="95"/>
      <c r="VP68" s="95"/>
      <c r="VQ68" s="95"/>
      <c r="VR68" s="95"/>
      <c r="VS68" s="95"/>
      <c r="VT68" s="95"/>
      <c r="VU68" s="95"/>
      <c r="VV68" s="95"/>
      <c r="VW68" s="95"/>
      <c r="VX68" s="95"/>
      <c r="VY68" s="95"/>
      <c r="VZ68" s="95"/>
      <c r="WA68" s="95"/>
      <c r="WB68" s="95"/>
      <c r="WC68" s="95"/>
      <c r="WD68" s="95"/>
      <c r="WE68" s="95"/>
      <c r="WF68" s="95"/>
      <c r="WG68" s="95"/>
      <c r="WH68" s="95"/>
      <c r="WI68" s="95"/>
      <c r="WJ68" s="95"/>
      <c r="WK68" s="95"/>
      <c r="WL68" s="95"/>
      <c r="WM68" s="95"/>
      <c r="WN68" s="95"/>
      <c r="WO68" s="95"/>
      <c r="WP68" s="95"/>
      <c r="WQ68" s="95"/>
      <c r="WR68" s="95"/>
      <c r="WS68" s="95"/>
      <c r="WT68" s="95"/>
      <c r="WU68" s="95"/>
      <c r="WV68" s="95"/>
      <c r="WW68" s="95"/>
      <c r="WX68" s="95"/>
      <c r="WY68" s="95"/>
      <c r="WZ68" s="95"/>
      <c r="XA68" s="95"/>
      <c r="XB68" s="95"/>
      <c r="XC68" s="95"/>
      <c r="XD68" s="95"/>
      <c r="XE68" s="95"/>
      <c r="XF68" s="95"/>
      <c r="XG68" s="95"/>
      <c r="XH68" s="95"/>
      <c r="XI68" s="95"/>
      <c r="XJ68" s="95"/>
      <c r="XK68" s="95"/>
      <c r="XL68" s="95"/>
      <c r="XM68" s="95"/>
      <c r="XN68" s="95"/>
      <c r="XO68" s="95"/>
      <c r="XP68" s="95"/>
      <c r="XQ68" s="95"/>
      <c r="XR68" s="95"/>
      <c r="XS68" s="95"/>
      <c r="XT68" s="95"/>
      <c r="XU68" s="95"/>
      <c r="XV68" s="95"/>
      <c r="XW68" s="95"/>
      <c r="XX68" s="95"/>
      <c r="XY68" s="95"/>
      <c r="XZ68" s="95"/>
      <c r="YA68" s="95"/>
      <c r="YB68" s="95"/>
      <c r="YC68" s="95"/>
      <c r="YD68" s="95"/>
      <c r="YE68" s="95"/>
      <c r="YF68" s="95"/>
      <c r="YG68" s="95"/>
      <c r="YH68" s="95"/>
      <c r="YI68" s="95"/>
      <c r="YJ68" s="95"/>
      <c r="YK68" s="95"/>
      <c r="YL68" s="95"/>
      <c r="YM68" s="95"/>
      <c r="YN68" s="95"/>
      <c r="YO68" s="95"/>
      <c r="YP68" s="95"/>
      <c r="YQ68" s="95"/>
      <c r="YR68" s="95"/>
      <c r="YS68" s="95"/>
      <c r="YT68" s="95"/>
      <c r="YU68" s="95"/>
      <c r="YV68" s="95"/>
      <c r="YW68" s="95"/>
      <c r="YX68" s="95"/>
      <c r="YY68" s="95"/>
      <c r="YZ68" s="95"/>
      <c r="ZA68" s="95"/>
      <c r="ZB68" s="95"/>
      <c r="ZC68" s="95"/>
      <c r="ZD68" s="95"/>
      <c r="ZE68" s="95"/>
      <c r="ZF68" s="95"/>
      <c r="ZG68" s="95"/>
      <c r="ZH68" s="95"/>
      <c r="ZI68" s="95"/>
      <c r="ZJ68" s="95"/>
      <c r="ZK68" s="95"/>
      <c r="ZL68" s="95"/>
      <c r="ZM68" s="95"/>
      <c r="ZN68" s="95"/>
      <c r="ZO68" s="95"/>
      <c r="ZP68" s="95"/>
      <c r="ZQ68" s="95"/>
      <c r="ZR68" s="95"/>
      <c r="ZS68" s="95"/>
      <c r="ZT68" s="95"/>
      <c r="ZU68" s="95"/>
      <c r="ZV68" s="95"/>
      <c r="ZW68" s="95"/>
      <c r="ZX68" s="95"/>
      <c r="ZY68" s="95"/>
      <c r="ZZ68" s="95"/>
      <c r="AAA68" s="95"/>
      <c r="AAB68" s="95"/>
      <c r="AAC68" s="95"/>
      <c r="AAD68" s="95"/>
      <c r="AAE68" s="95"/>
      <c r="AAF68" s="95"/>
      <c r="AAG68" s="95"/>
      <c r="AAH68" s="95"/>
      <c r="AAI68" s="95"/>
      <c r="AAJ68" s="95"/>
      <c r="AAK68" s="95"/>
      <c r="AAL68" s="95"/>
      <c r="AAM68" s="95"/>
      <c r="AAN68" s="95"/>
      <c r="AAO68" s="95"/>
      <c r="AAP68" s="95"/>
      <c r="AAQ68" s="95"/>
      <c r="AAR68" s="95"/>
      <c r="AAS68" s="95"/>
      <c r="AAT68" s="95"/>
      <c r="AAU68" s="95"/>
      <c r="AAV68" s="95"/>
      <c r="AAW68" s="95"/>
      <c r="AAX68" s="95"/>
      <c r="AAY68" s="95"/>
      <c r="AAZ68" s="95"/>
      <c r="ABA68" s="95"/>
      <c r="ABB68" s="95"/>
      <c r="ABC68" s="95"/>
      <c r="ABD68" s="95"/>
      <c r="ABE68" s="95"/>
      <c r="ABF68" s="95"/>
      <c r="ABG68" s="95"/>
      <c r="ABH68" s="95"/>
      <c r="ABI68" s="95"/>
      <c r="ABJ68" s="95"/>
      <c r="ABK68" s="95"/>
      <c r="ABL68" s="95"/>
      <c r="ABM68" s="95"/>
      <c r="ABN68" s="95"/>
      <c r="ABO68" s="95"/>
      <c r="ABP68" s="95"/>
      <c r="ABQ68" s="95"/>
      <c r="ABR68" s="95"/>
      <c r="ABS68" s="95"/>
      <c r="ABT68" s="95"/>
      <c r="ABU68" s="95"/>
      <c r="ABV68" s="95"/>
      <c r="ABW68" s="95"/>
      <c r="ABX68" s="95"/>
      <c r="ABY68" s="95"/>
      <c r="ABZ68" s="95"/>
      <c r="ACA68" s="95"/>
      <c r="ACB68" s="95"/>
      <c r="ACC68" s="95"/>
      <c r="ACD68" s="95"/>
      <c r="ACE68" s="95"/>
      <c r="ACF68" s="95"/>
      <c r="ACG68" s="95"/>
      <c r="ACH68" s="95"/>
      <c r="ACI68" s="95"/>
      <c r="ACJ68" s="95"/>
      <c r="ACK68" s="95"/>
      <c r="ACL68" s="95"/>
      <c r="ACM68" s="95"/>
      <c r="ACN68" s="95"/>
      <c r="ACO68" s="95"/>
      <c r="ACP68" s="95"/>
      <c r="ACQ68" s="95"/>
      <c r="ACR68" s="95"/>
      <c r="ACS68" s="95"/>
      <c r="ACT68" s="95"/>
      <c r="ACU68" s="95"/>
      <c r="ACV68" s="95"/>
      <c r="ACW68" s="95"/>
      <c r="ACX68" s="95"/>
      <c r="ACY68" s="95"/>
      <c r="ACZ68" s="95"/>
      <c r="ADA68" s="95"/>
      <c r="ADB68" s="95"/>
      <c r="ADC68" s="95"/>
      <c r="ADD68" s="95"/>
      <c r="ADE68" s="95"/>
      <c r="ADF68" s="95"/>
      <c r="ADG68" s="95"/>
      <c r="ADH68" s="95"/>
      <c r="ADI68" s="95"/>
      <c r="ADJ68" s="95"/>
      <c r="ADK68" s="95"/>
      <c r="ADL68" s="95"/>
      <c r="ADM68" s="95"/>
      <c r="ADN68" s="95"/>
      <c r="ADO68" s="95"/>
      <c r="ADP68" s="95"/>
      <c r="ADQ68" s="95"/>
      <c r="ADR68" s="95"/>
      <c r="ADS68" s="95"/>
      <c r="ADT68" s="95"/>
      <c r="ADU68" s="95"/>
      <c r="ADV68" s="95"/>
      <c r="ADW68" s="95"/>
      <c r="ADX68" s="95"/>
      <c r="ADY68" s="95"/>
      <c r="ADZ68" s="95"/>
      <c r="AEA68" s="95"/>
      <c r="AEB68" s="95"/>
      <c r="AEC68" s="95"/>
      <c r="AED68" s="95"/>
      <c r="AEE68" s="95"/>
      <c r="AEF68" s="95"/>
      <c r="AEG68" s="95"/>
      <c r="AEH68" s="95"/>
      <c r="AEI68" s="95"/>
      <c r="AEJ68" s="95"/>
      <c r="AEK68" s="95"/>
      <c r="AEL68" s="95"/>
      <c r="AEM68" s="95"/>
      <c r="AEN68" s="95"/>
      <c r="AEO68" s="95"/>
      <c r="AEP68" s="95"/>
      <c r="AEQ68" s="95"/>
      <c r="AER68" s="95"/>
      <c r="AES68" s="95"/>
      <c r="AET68" s="95"/>
      <c r="AEU68" s="95"/>
      <c r="AEV68" s="95"/>
      <c r="AEW68" s="95"/>
      <c r="AEX68" s="95"/>
      <c r="AEY68" s="95"/>
      <c r="AEZ68" s="95"/>
      <c r="AFA68" s="95"/>
      <c r="AFB68" s="95"/>
      <c r="AFC68" s="95"/>
      <c r="AFD68" s="95"/>
      <c r="AFE68" s="95"/>
      <c r="AFF68" s="95"/>
      <c r="AFG68" s="95"/>
      <c r="AFH68" s="95"/>
      <c r="AFI68" s="95"/>
      <c r="AFJ68" s="95"/>
      <c r="AFK68" s="95"/>
      <c r="AFL68" s="95"/>
      <c r="AFM68" s="95"/>
      <c r="AFN68" s="95"/>
      <c r="AFO68" s="95"/>
      <c r="AFP68" s="95"/>
      <c r="AFQ68" s="95"/>
      <c r="AFR68" s="95"/>
      <c r="AFS68" s="95"/>
      <c r="AFT68" s="95"/>
      <c r="AFU68" s="95"/>
      <c r="AFV68" s="95"/>
      <c r="AFW68" s="95"/>
      <c r="AFX68" s="95"/>
      <c r="AFY68" s="95"/>
      <c r="AFZ68" s="95"/>
      <c r="AGA68" s="95"/>
      <c r="AGB68" s="95"/>
      <c r="AGC68" s="95"/>
      <c r="AGD68" s="95"/>
      <c r="AGE68" s="95"/>
      <c r="AGF68" s="95"/>
      <c r="AGG68" s="95"/>
      <c r="AGH68" s="95"/>
      <c r="AGI68" s="95"/>
      <c r="AGJ68" s="95"/>
      <c r="AGK68" s="95"/>
      <c r="AGL68" s="95"/>
      <c r="AGM68" s="95"/>
      <c r="AGN68" s="95"/>
      <c r="AGO68" s="95"/>
      <c r="AGP68" s="95"/>
      <c r="AGQ68" s="95"/>
      <c r="AGR68" s="95"/>
      <c r="AGS68" s="95"/>
      <c r="AGT68" s="95"/>
      <c r="AGU68" s="95"/>
      <c r="AGV68" s="95"/>
      <c r="AGW68" s="95"/>
      <c r="AGX68" s="95"/>
      <c r="AGY68" s="95"/>
      <c r="AGZ68" s="95"/>
      <c r="AHA68" s="95"/>
      <c r="AHB68" s="95"/>
      <c r="AHC68" s="95"/>
      <c r="AHD68" s="95"/>
      <c r="AHE68" s="95"/>
      <c r="AHF68" s="95"/>
      <c r="AHG68" s="95"/>
      <c r="AHH68" s="95"/>
      <c r="AHI68" s="95"/>
      <c r="AHJ68" s="95"/>
      <c r="AHK68" s="95"/>
      <c r="AHL68" s="95"/>
      <c r="AHM68" s="95"/>
      <c r="AHN68" s="95"/>
      <c r="AHO68" s="95"/>
      <c r="AHP68" s="95"/>
      <c r="AHQ68" s="95"/>
      <c r="AHR68" s="95"/>
      <c r="AHS68" s="95"/>
      <c r="AHT68" s="95"/>
      <c r="AHU68" s="95"/>
      <c r="AHV68" s="95"/>
      <c r="AHW68" s="95"/>
      <c r="AHX68" s="95"/>
      <c r="AHY68" s="95"/>
      <c r="AHZ68" s="95"/>
      <c r="AIA68" s="95"/>
      <c r="AIB68" s="95"/>
      <c r="AIC68" s="95"/>
      <c r="AID68" s="95"/>
      <c r="AIE68" s="95"/>
      <c r="AIF68" s="95"/>
      <c r="AIG68" s="95"/>
      <c r="AIH68" s="95"/>
      <c r="AII68" s="95"/>
      <c r="AIJ68" s="95"/>
      <c r="AIK68" s="95"/>
      <c r="AIL68" s="95"/>
      <c r="AIM68" s="95"/>
      <c r="AIN68" s="95"/>
      <c r="AIO68" s="95"/>
      <c r="AIP68" s="95"/>
      <c r="AIQ68" s="95"/>
      <c r="AIR68" s="95"/>
      <c r="AIS68" s="95"/>
      <c r="AIT68" s="95"/>
      <c r="AIU68" s="95"/>
      <c r="AIV68" s="95"/>
      <c r="AIW68" s="95"/>
      <c r="AIX68" s="95"/>
      <c r="AIY68" s="95"/>
      <c r="AIZ68" s="95"/>
      <c r="AJA68" s="95"/>
      <c r="AJB68" s="95"/>
      <c r="AJC68" s="95"/>
      <c r="AJD68" s="95"/>
      <c r="AJE68" s="95"/>
      <c r="AJF68" s="95"/>
      <c r="AJG68" s="95"/>
      <c r="AJH68" s="95"/>
      <c r="AJI68" s="95"/>
      <c r="AJJ68" s="95"/>
      <c r="AJK68" s="95"/>
      <c r="AJL68" s="95"/>
      <c r="AJM68" s="95"/>
      <c r="AJN68" s="95"/>
      <c r="AJO68" s="95"/>
      <c r="AJP68" s="95"/>
      <c r="AJQ68" s="95"/>
      <c r="AJR68" s="95"/>
      <c r="AJS68" s="95"/>
      <c r="AJT68" s="95"/>
      <c r="AJU68" s="95"/>
      <c r="AJV68" s="95"/>
      <c r="AJW68" s="95"/>
      <c r="AJX68" s="95"/>
      <c r="AJY68" s="95"/>
      <c r="AJZ68" s="95"/>
      <c r="AKA68" s="95"/>
      <c r="AKB68" s="95"/>
      <c r="AKC68" s="95"/>
      <c r="AKD68" s="95"/>
      <c r="AKE68" s="95"/>
      <c r="AKF68" s="95"/>
      <c r="AKG68" s="95"/>
      <c r="AKH68" s="95"/>
      <c r="AKI68" s="95"/>
      <c r="AKJ68" s="95"/>
      <c r="AKK68" s="95"/>
      <c r="AKL68" s="95"/>
      <c r="AKM68" s="95"/>
      <c r="AKN68" s="95"/>
      <c r="AKO68" s="95"/>
      <c r="AKP68" s="95"/>
      <c r="AKQ68" s="95"/>
      <c r="AKR68" s="95"/>
      <c r="AKS68" s="95"/>
      <c r="AKT68" s="95"/>
      <c r="AKU68" s="95"/>
      <c r="AKV68" s="95"/>
      <c r="AKW68" s="95"/>
      <c r="AKX68" s="95"/>
      <c r="AKY68" s="95"/>
      <c r="AKZ68" s="95"/>
      <c r="ALA68" s="95"/>
      <c r="ALB68" s="95"/>
      <c r="ALC68" s="95"/>
      <c r="ALD68" s="95"/>
      <c r="ALE68" s="95"/>
      <c r="ALF68" s="95"/>
      <c r="ALG68" s="95"/>
      <c r="ALH68" s="95"/>
      <c r="ALI68" s="95"/>
      <c r="ALJ68" s="95"/>
      <c r="ALK68" s="95"/>
      <c r="ALL68" s="95"/>
      <c r="ALM68" s="95"/>
      <c r="ALN68" s="95"/>
      <c r="ALO68" s="95"/>
      <c r="ALP68" s="95"/>
      <c r="ALQ68" s="95"/>
      <c r="ALR68" s="95"/>
      <c r="ALS68" s="95"/>
      <c r="ALT68" s="95"/>
      <c r="ALU68" s="95"/>
      <c r="ALV68" s="95"/>
      <c r="ALW68" s="95"/>
      <c r="ALX68" s="95"/>
      <c r="ALY68" s="95"/>
      <c r="ALZ68" s="95"/>
      <c r="AMA68" s="95"/>
      <c r="AMB68" s="95"/>
      <c r="AMC68" s="95"/>
      <c r="AMD68" s="95"/>
      <c r="AME68" s="95"/>
      <c r="AMF68" s="95"/>
      <c r="AMG68" s="95"/>
      <c r="AMH68" s="95"/>
      <c r="AMI68" s="95"/>
      <c r="AMJ68" s="95"/>
      <c r="AMK68" s="95"/>
      <c r="AML68" s="95"/>
      <c r="AMM68" s="95"/>
      <c r="AMN68" s="95"/>
      <c r="AMO68" s="95"/>
      <c r="AMP68" s="95"/>
      <c r="AMQ68" s="95"/>
      <c r="AMR68" s="95"/>
      <c r="AMS68" s="95"/>
      <c r="AMT68" s="95"/>
      <c r="AMU68" s="95"/>
      <c r="AMV68" s="95"/>
      <c r="AMW68" s="95"/>
      <c r="AMX68" s="95"/>
      <c r="AMY68" s="95"/>
      <c r="AMZ68" s="95"/>
      <c r="ANA68" s="95"/>
      <c r="ANB68" s="95"/>
      <c r="ANC68" s="95"/>
      <c r="AND68" s="95"/>
      <c r="ANE68" s="95"/>
      <c r="ANF68" s="95"/>
      <c r="ANG68" s="95"/>
      <c r="ANH68" s="95"/>
      <c r="ANI68" s="95"/>
      <c r="ANJ68" s="95"/>
      <c r="ANK68" s="95"/>
      <c r="ANL68" s="95"/>
      <c r="ANM68" s="95"/>
      <c r="ANN68" s="95"/>
      <c r="ANO68" s="95"/>
      <c r="ANP68" s="95"/>
      <c r="ANQ68" s="95"/>
      <c r="ANR68" s="95"/>
      <c r="ANS68" s="95"/>
      <c r="ANT68" s="95"/>
      <c r="ANU68" s="95"/>
      <c r="ANV68" s="95"/>
      <c r="ANW68" s="95"/>
      <c r="ANX68" s="95"/>
      <c r="ANY68" s="95"/>
      <c r="ANZ68" s="95"/>
      <c r="AOA68" s="95"/>
      <c r="AOB68" s="95"/>
      <c r="AOC68" s="95"/>
      <c r="AOD68" s="95"/>
      <c r="AOE68" s="95"/>
      <c r="AOF68" s="95"/>
      <c r="AOG68" s="95"/>
      <c r="AOH68" s="95"/>
      <c r="AOI68" s="95"/>
      <c r="AOJ68" s="95"/>
      <c r="AOK68" s="95"/>
      <c r="AOL68" s="95"/>
      <c r="AOM68" s="95"/>
      <c r="AON68" s="95"/>
      <c r="AOO68" s="95"/>
      <c r="AOP68" s="95"/>
      <c r="AOQ68" s="95"/>
      <c r="AOR68" s="95"/>
      <c r="AOS68" s="95"/>
      <c r="AOT68" s="95"/>
      <c r="AOU68" s="95"/>
      <c r="AOV68" s="95"/>
      <c r="AOW68" s="95"/>
      <c r="AOX68" s="95"/>
      <c r="AOY68" s="95"/>
      <c r="AOZ68" s="95"/>
      <c r="APA68" s="95"/>
      <c r="APB68" s="95"/>
      <c r="APC68" s="95"/>
      <c r="APD68" s="95"/>
      <c r="APE68" s="95"/>
      <c r="APF68" s="95"/>
      <c r="APG68" s="95"/>
      <c r="APH68" s="95"/>
      <c r="API68" s="95"/>
      <c r="APJ68" s="95"/>
      <c r="APK68" s="95"/>
      <c r="APL68" s="95"/>
      <c r="APM68" s="95"/>
      <c r="APN68" s="95"/>
      <c r="APO68" s="95"/>
      <c r="APP68" s="95"/>
      <c r="APQ68" s="95"/>
      <c r="APR68" s="95"/>
      <c r="APS68" s="95"/>
      <c r="APT68" s="95"/>
      <c r="APU68" s="95"/>
      <c r="APV68" s="95"/>
      <c r="APW68" s="95"/>
      <c r="APX68" s="95"/>
      <c r="APY68" s="95"/>
      <c r="APZ68" s="95"/>
      <c r="AQA68" s="95"/>
      <c r="AQB68" s="95"/>
      <c r="AQC68" s="95"/>
      <c r="AQD68" s="95"/>
      <c r="AQE68" s="95"/>
      <c r="AQF68" s="95"/>
      <c r="AQG68" s="95"/>
      <c r="AQH68" s="95"/>
      <c r="AQI68" s="95"/>
      <c r="AQJ68" s="95"/>
      <c r="AQK68" s="95"/>
      <c r="AQL68" s="95"/>
      <c r="AQM68" s="95"/>
      <c r="AQN68" s="95"/>
      <c r="AQO68" s="95"/>
      <c r="AQP68" s="95"/>
      <c r="AQQ68" s="95"/>
      <c r="AQR68" s="95"/>
      <c r="AQS68" s="95"/>
      <c r="AQT68" s="95"/>
      <c r="AQU68" s="95"/>
      <c r="AQV68" s="95"/>
      <c r="AQW68" s="95"/>
      <c r="AQX68" s="95"/>
      <c r="AQY68" s="95"/>
      <c r="AQZ68" s="95"/>
      <c r="ARA68" s="95"/>
      <c r="ARB68" s="95"/>
      <c r="ARC68" s="95"/>
      <c r="ARD68" s="95"/>
      <c r="ARE68" s="95"/>
      <c r="ARF68" s="95"/>
      <c r="ARG68" s="95"/>
      <c r="ARH68" s="95"/>
      <c r="ARI68" s="95"/>
      <c r="ARJ68" s="95"/>
      <c r="ARK68" s="95"/>
      <c r="ARL68" s="95"/>
      <c r="ARM68" s="95"/>
      <c r="ARN68" s="95"/>
      <c r="ARO68" s="95"/>
      <c r="ARP68" s="95"/>
      <c r="ARQ68" s="95"/>
      <c r="ARR68" s="95"/>
      <c r="ARS68" s="95"/>
      <c r="ART68" s="95"/>
      <c r="ARU68" s="95"/>
      <c r="ARV68" s="95"/>
      <c r="ARW68" s="95"/>
      <c r="ARX68" s="95"/>
      <c r="ARY68" s="95"/>
      <c r="ARZ68" s="95"/>
      <c r="ASA68" s="95"/>
      <c r="ASB68" s="95"/>
      <c r="ASC68" s="95"/>
      <c r="ASD68" s="95"/>
      <c r="ASE68" s="95"/>
      <c r="ASF68" s="95"/>
      <c r="ASG68" s="95"/>
      <c r="ASH68" s="95"/>
      <c r="ASI68" s="95"/>
      <c r="ASJ68" s="95"/>
      <c r="ASK68" s="95"/>
      <c r="ASL68" s="95"/>
      <c r="ASM68" s="95"/>
      <c r="ASN68" s="95"/>
      <c r="ASO68" s="95"/>
      <c r="ASP68" s="95"/>
      <c r="ASQ68" s="95"/>
      <c r="ASR68" s="95"/>
      <c r="ASS68" s="95"/>
      <c r="AST68" s="95"/>
      <c r="ASU68" s="95"/>
      <c r="ASV68" s="95"/>
      <c r="ASW68" s="95"/>
      <c r="ASX68" s="95"/>
      <c r="ASY68" s="95"/>
      <c r="ASZ68" s="95"/>
      <c r="ATA68" s="95"/>
      <c r="ATB68" s="95"/>
      <c r="ATC68" s="95"/>
      <c r="ATD68" s="95"/>
      <c r="ATE68" s="95"/>
      <c r="ATF68" s="95"/>
      <c r="ATG68" s="95"/>
      <c r="ATH68" s="95"/>
      <c r="ATI68" s="95"/>
      <c r="ATJ68" s="95"/>
      <c r="ATK68" s="95"/>
      <c r="ATL68" s="95"/>
      <c r="ATM68" s="95"/>
      <c r="ATN68" s="95"/>
      <c r="ATO68" s="95"/>
      <c r="ATP68" s="95"/>
      <c r="ATQ68" s="95"/>
      <c r="ATR68" s="95"/>
      <c r="ATS68" s="95"/>
      <c r="ATT68" s="95"/>
      <c r="ATU68" s="95"/>
      <c r="ATV68" s="95"/>
      <c r="ATW68" s="95"/>
      <c r="ATX68" s="95"/>
      <c r="ATY68" s="95"/>
      <c r="ATZ68" s="95"/>
      <c r="AUA68" s="95"/>
      <c r="AUB68" s="95"/>
      <c r="AUC68" s="95"/>
      <c r="AUD68" s="95"/>
      <c r="AUE68" s="95"/>
      <c r="AUF68" s="95"/>
      <c r="AUG68" s="95"/>
      <c r="AUH68" s="95"/>
      <c r="AUI68" s="95"/>
      <c r="AUJ68" s="95"/>
      <c r="AUK68" s="95"/>
      <c r="AUL68" s="95"/>
      <c r="AUM68" s="95"/>
      <c r="AUN68" s="95"/>
      <c r="AUO68" s="95"/>
      <c r="AUP68" s="95"/>
      <c r="AUQ68" s="95"/>
      <c r="AUR68" s="95"/>
      <c r="AUS68" s="95"/>
      <c r="AUT68" s="95"/>
      <c r="AUU68" s="95"/>
      <c r="AUV68" s="95"/>
      <c r="AUW68" s="95"/>
      <c r="AUX68" s="95"/>
      <c r="AUY68" s="95"/>
      <c r="AUZ68" s="95"/>
      <c r="AVA68" s="95"/>
      <c r="AVB68" s="95"/>
      <c r="AVC68" s="95"/>
      <c r="AVD68" s="95"/>
      <c r="AVE68" s="95"/>
      <c r="AVF68" s="95"/>
      <c r="AVG68" s="95"/>
      <c r="AVH68" s="95"/>
      <c r="AVI68" s="95"/>
      <c r="AVJ68" s="95"/>
      <c r="AVK68" s="95"/>
      <c r="AVL68" s="95"/>
      <c r="AVM68" s="95"/>
      <c r="AVN68" s="95"/>
      <c r="AVO68" s="95"/>
      <c r="AVP68" s="95"/>
      <c r="AVQ68" s="95"/>
      <c r="AVR68" s="95"/>
      <c r="AVS68" s="95"/>
      <c r="AVT68" s="95"/>
      <c r="AVU68" s="95"/>
      <c r="AVV68" s="95"/>
      <c r="AVW68" s="95"/>
      <c r="AVX68" s="95"/>
      <c r="AVY68" s="95"/>
      <c r="AVZ68" s="95"/>
      <c r="AWA68" s="95"/>
      <c r="AWB68" s="95"/>
      <c r="AWC68" s="95"/>
      <c r="AWD68" s="95"/>
      <c r="AWE68" s="95"/>
      <c r="AWF68" s="95"/>
      <c r="AWG68" s="95"/>
      <c r="AWH68" s="95"/>
      <c r="AWI68" s="95"/>
      <c r="AWJ68" s="95"/>
      <c r="AWK68" s="95"/>
      <c r="AWL68" s="95"/>
      <c r="AWM68" s="95"/>
      <c r="AWN68" s="95"/>
      <c r="AWO68" s="95"/>
      <c r="AWP68" s="95"/>
      <c r="AWQ68" s="95"/>
      <c r="AWR68" s="95"/>
      <c r="AWS68" s="95"/>
      <c r="AWT68" s="95"/>
      <c r="AWU68" s="95"/>
      <c r="AWV68" s="95"/>
      <c r="AWW68" s="95"/>
      <c r="AWX68" s="95"/>
      <c r="AWY68" s="95"/>
      <c r="AWZ68" s="95"/>
      <c r="AXA68" s="95"/>
      <c r="AXB68" s="95"/>
      <c r="AXC68" s="95"/>
      <c r="AXD68" s="95"/>
      <c r="AXE68" s="95"/>
      <c r="AXF68" s="95"/>
      <c r="AXG68" s="95"/>
      <c r="AXH68" s="95"/>
      <c r="AXI68" s="95"/>
      <c r="AXJ68" s="95"/>
      <c r="AXK68" s="95"/>
      <c r="AXL68" s="95"/>
      <c r="AXM68" s="95"/>
      <c r="AXN68" s="95"/>
      <c r="AXO68" s="95"/>
      <c r="AXP68" s="95"/>
      <c r="AXQ68" s="95"/>
      <c r="AXR68" s="95"/>
      <c r="AXS68" s="95"/>
      <c r="AXT68" s="95"/>
      <c r="AXU68" s="95"/>
      <c r="AXV68" s="95"/>
      <c r="AXW68" s="95"/>
      <c r="AXX68" s="95"/>
      <c r="AXY68" s="95"/>
      <c r="AXZ68" s="95"/>
      <c r="AYA68" s="95"/>
      <c r="AYB68" s="95"/>
      <c r="AYC68" s="95"/>
      <c r="AYD68" s="95"/>
      <c r="AYE68" s="95"/>
      <c r="AYF68" s="95"/>
      <c r="AYG68" s="95"/>
      <c r="AYH68" s="95"/>
      <c r="AYI68" s="95"/>
      <c r="AYJ68" s="95"/>
      <c r="AYK68" s="95"/>
      <c r="AYL68" s="95"/>
      <c r="AYM68" s="95"/>
      <c r="AYN68" s="95"/>
      <c r="AYO68" s="95"/>
      <c r="AYP68" s="95"/>
      <c r="AYQ68" s="95"/>
      <c r="AYR68" s="95"/>
      <c r="AYS68" s="95"/>
      <c r="AYT68" s="95"/>
      <c r="AYU68" s="95"/>
      <c r="AYV68" s="95"/>
      <c r="AYW68" s="95"/>
      <c r="AYX68" s="95"/>
      <c r="AYY68" s="95"/>
      <c r="AYZ68" s="95"/>
      <c r="AZA68" s="95"/>
      <c r="AZB68" s="95"/>
      <c r="AZC68" s="95"/>
      <c r="AZD68" s="95"/>
      <c r="AZE68" s="95"/>
      <c r="AZF68" s="95"/>
      <c r="AZG68" s="95"/>
      <c r="AZH68" s="95"/>
      <c r="AZI68" s="95"/>
      <c r="AZJ68" s="95"/>
      <c r="AZK68" s="95"/>
      <c r="AZL68" s="95"/>
      <c r="AZM68" s="95"/>
      <c r="AZN68" s="95"/>
      <c r="AZO68" s="95"/>
      <c r="AZP68" s="95"/>
      <c r="AZQ68" s="95"/>
      <c r="AZR68" s="95"/>
      <c r="AZS68" s="95"/>
      <c r="AZT68" s="95"/>
      <c r="AZU68" s="95"/>
      <c r="AZV68" s="95"/>
      <c r="AZW68" s="95"/>
      <c r="AZX68" s="95"/>
      <c r="AZY68" s="95"/>
      <c r="AZZ68" s="95"/>
      <c r="BAA68" s="95"/>
      <c r="BAB68" s="95"/>
      <c r="BAC68" s="95"/>
      <c r="BAD68" s="95"/>
      <c r="BAE68" s="95"/>
      <c r="BAF68" s="95"/>
      <c r="BAG68" s="95"/>
      <c r="BAH68" s="95"/>
      <c r="BAI68" s="95"/>
      <c r="BAJ68" s="95"/>
      <c r="BAK68" s="95"/>
      <c r="BAL68" s="95"/>
      <c r="BAM68" s="95"/>
      <c r="BAN68" s="95"/>
      <c r="BAO68" s="95"/>
      <c r="BAP68" s="95"/>
      <c r="BAQ68" s="95"/>
      <c r="BAR68" s="95"/>
      <c r="BAS68" s="95"/>
      <c r="BAT68" s="95"/>
      <c r="BAU68" s="95"/>
      <c r="BAV68" s="95"/>
      <c r="BAW68" s="95"/>
      <c r="BAX68" s="95"/>
      <c r="BAY68" s="95"/>
      <c r="BAZ68" s="95"/>
      <c r="BBA68" s="95"/>
      <c r="BBB68" s="95"/>
      <c r="BBC68" s="95"/>
      <c r="BBD68" s="95"/>
      <c r="BBE68" s="95"/>
      <c r="BBF68" s="95"/>
      <c r="BBG68" s="95"/>
      <c r="BBH68" s="95"/>
      <c r="BBI68" s="95"/>
      <c r="BBJ68" s="95"/>
      <c r="BBK68" s="95"/>
      <c r="BBL68" s="95"/>
      <c r="BBM68" s="95"/>
      <c r="BBN68" s="95"/>
      <c r="BBO68" s="95"/>
      <c r="BBP68" s="95"/>
      <c r="BBQ68" s="95"/>
      <c r="BBR68" s="95"/>
      <c r="BBS68" s="95"/>
      <c r="BBT68" s="95"/>
      <c r="BBU68" s="95"/>
      <c r="BBV68" s="95"/>
      <c r="BBW68" s="95"/>
      <c r="BBX68" s="95"/>
      <c r="BBY68" s="95"/>
      <c r="BBZ68" s="95"/>
      <c r="BCA68" s="95"/>
      <c r="BCB68" s="95"/>
      <c r="BCC68" s="95"/>
      <c r="BCD68" s="95"/>
      <c r="BCE68" s="95"/>
      <c r="BCF68" s="95"/>
      <c r="BCG68" s="95"/>
      <c r="BCH68" s="95"/>
      <c r="BCI68" s="95"/>
      <c r="BCJ68" s="95"/>
      <c r="BCK68" s="95"/>
      <c r="BCL68" s="95"/>
      <c r="BCM68" s="95"/>
      <c r="BCN68" s="95"/>
      <c r="BCO68" s="95"/>
      <c r="BCP68" s="95"/>
      <c r="BCQ68" s="95"/>
      <c r="BCR68" s="95"/>
      <c r="BCS68" s="95"/>
      <c r="BCT68" s="95"/>
      <c r="BCU68" s="95"/>
      <c r="BCV68" s="95"/>
      <c r="BCW68" s="95"/>
      <c r="BCX68" s="95"/>
      <c r="BCY68" s="95"/>
      <c r="BCZ68" s="95"/>
      <c r="BDA68" s="95"/>
      <c r="BDB68" s="95"/>
      <c r="BDC68" s="95"/>
      <c r="BDD68" s="95"/>
      <c r="BDE68" s="95"/>
      <c r="BDF68" s="95"/>
      <c r="BDG68" s="95"/>
      <c r="BDH68" s="95"/>
      <c r="BDI68" s="95"/>
      <c r="BDJ68" s="95"/>
      <c r="BDK68" s="95"/>
      <c r="BDL68" s="95"/>
      <c r="BDM68" s="95"/>
      <c r="BDN68" s="95"/>
      <c r="BDO68" s="95"/>
      <c r="BDP68" s="95"/>
      <c r="BDQ68" s="95"/>
      <c r="BDR68" s="95"/>
      <c r="BDS68" s="95"/>
      <c r="BDT68" s="95"/>
      <c r="BDU68" s="95"/>
      <c r="BDV68" s="95"/>
      <c r="BDW68" s="95"/>
      <c r="BDX68" s="95"/>
      <c r="BDY68" s="95"/>
      <c r="BDZ68" s="95"/>
      <c r="BEA68" s="95"/>
      <c r="BEB68" s="95"/>
      <c r="BEC68" s="95"/>
      <c r="BED68" s="95"/>
      <c r="BEE68" s="95"/>
      <c r="BEF68" s="95"/>
      <c r="BEG68" s="95"/>
      <c r="BEH68" s="95"/>
      <c r="BEI68" s="95"/>
      <c r="BEJ68" s="95"/>
      <c r="BEK68" s="95"/>
      <c r="BEL68" s="95"/>
      <c r="BEM68" s="95"/>
      <c r="BEN68" s="95"/>
      <c r="BEO68" s="95"/>
      <c r="BEP68" s="95"/>
      <c r="BEQ68" s="95"/>
      <c r="BER68" s="95"/>
      <c r="BES68" s="95"/>
      <c r="BET68" s="95"/>
      <c r="BEU68" s="95"/>
      <c r="BEV68" s="95"/>
      <c r="BEW68" s="95"/>
      <c r="BEX68" s="95"/>
      <c r="BEY68" s="95"/>
      <c r="BEZ68" s="95"/>
      <c r="BFA68" s="95"/>
      <c r="BFB68" s="95"/>
      <c r="BFC68" s="95"/>
      <c r="BFD68" s="95"/>
      <c r="BFE68" s="95"/>
      <c r="BFF68" s="95"/>
      <c r="BFG68" s="95"/>
      <c r="BFH68" s="95"/>
      <c r="BFI68" s="95"/>
      <c r="BFJ68" s="95"/>
      <c r="BFK68" s="95"/>
      <c r="BFL68" s="95"/>
      <c r="BFM68" s="95"/>
      <c r="BFN68" s="95"/>
      <c r="BFO68" s="95"/>
      <c r="BFP68" s="95"/>
      <c r="BFQ68" s="95"/>
      <c r="BFR68" s="95"/>
      <c r="BFS68" s="95"/>
      <c r="BFT68" s="95"/>
      <c r="BFU68" s="95"/>
      <c r="BFV68" s="95"/>
      <c r="BFW68" s="95"/>
      <c r="BFX68" s="95"/>
      <c r="BFY68" s="95"/>
      <c r="BFZ68" s="95"/>
      <c r="BGA68" s="95"/>
      <c r="BGB68" s="95"/>
      <c r="BGC68" s="95"/>
      <c r="BGD68" s="95"/>
      <c r="BGE68" s="95"/>
      <c r="BGF68" s="95"/>
      <c r="BGG68" s="95"/>
      <c r="BGH68" s="95"/>
      <c r="BGI68" s="95"/>
      <c r="BGJ68" s="95"/>
      <c r="BGK68" s="95"/>
      <c r="BGL68" s="95"/>
      <c r="BGM68" s="95"/>
      <c r="BGN68" s="95"/>
      <c r="BGO68" s="95"/>
      <c r="BGP68" s="95"/>
      <c r="BGQ68" s="95"/>
      <c r="BGR68" s="95"/>
      <c r="BGS68" s="95"/>
      <c r="BGT68" s="95"/>
      <c r="BGU68" s="95"/>
      <c r="BGV68" s="95"/>
      <c r="BGW68" s="95"/>
      <c r="BGX68" s="95"/>
      <c r="BGY68" s="95"/>
      <c r="BGZ68" s="95"/>
      <c r="BHA68" s="95"/>
      <c r="BHB68" s="95"/>
      <c r="BHC68" s="95"/>
      <c r="BHD68" s="95"/>
      <c r="BHE68" s="95"/>
      <c r="BHF68" s="95"/>
      <c r="BHG68" s="95"/>
      <c r="BHH68" s="95"/>
      <c r="BHI68" s="95"/>
      <c r="BHJ68" s="95"/>
      <c r="BHK68" s="95"/>
      <c r="BHL68" s="95"/>
      <c r="BHM68" s="95"/>
      <c r="BHN68" s="95"/>
      <c r="BHO68" s="95"/>
      <c r="BHP68" s="95"/>
      <c r="BHQ68" s="95"/>
      <c r="BHR68" s="95"/>
      <c r="BHS68" s="95"/>
      <c r="BHT68" s="95"/>
      <c r="BHU68" s="95"/>
      <c r="BHV68" s="95"/>
      <c r="BHW68" s="95"/>
      <c r="BHX68" s="95"/>
      <c r="BHY68" s="95"/>
      <c r="BHZ68" s="95"/>
      <c r="BIA68" s="95"/>
      <c r="BIB68" s="95"/>
      <c r="BIC68" s="95"/>
      <c r="BID68" s="95"/>
      <c r="BIE68" s="95"/>
      <c r="BIF68" s="95"/>
      <c r="BIG68" s="95"/>
      <c r="BIH68" s="95"/>
      <c r="BII68" s="95"/>
      <c r="BIJ68" s="95"/>
      <c r="BIK68" s="95"/>
      <c r="BIL68" s="95"/>
      <c r="BIM68" s="95"/>
      <c r="BIN68" s="95"/>
      <c r="BIO68" s="95"/>
      <c r="BIP68" s="95"/>
      <c r="BIQ68" s="95"/>
      <c r="BIR68" s="95"/>
      <c r="BIS68" s="95"/>
      <c r="BIT68" s="95"/>
      <c r="BIU68" s="95"/>
      <c r="BIV68" s="95"/>
      <c r="BIW68" s="95"/>
      <c r="BIX68" s="95"/>
      <c r="BIY68" s="95"/>
      <c r="BIZ68" s="95"/>
      <c r="BJA68" s="95"/>
      <c r="BJB68" s="95"/>
      <c r="BJC68" s="95"/>
      <c r="BJD68" s="95"/>
      <c r="BJE68" s="95"/>
      <c r="BJF68" s="95"/>
      <c r="BJG68" s="95"/>
      <c r="BJH68" s="95"/>
      <c r="BJI68" s="95"/>
      <c r="BJJ68" s="95"/>
      <c r="BJK68" s="95"/>
      <c r="BJL68" s="95"/>
      <c r="BJM68" s="95"/>
      <c r="BJN68" s="95"/>
      <c r="BJO68" s="95"/>
      <c r="BJP68" s="95"/>
      <c r="BJQ68" s="95"/>
      <c r="BJR68" s="95"/>
      <c r="BJS68" s="95"/>
      <c r="BJT68" s="95"/>
      <c r="BJU68" s="95"/>
      <c r="BJV68" s="95"/>
      <c r="BJW68" s="95"/>
      <c r="BJX68" s="95"/>
      <c r="BJY68" s="95"/>
      <c r="BJZ68" s="95"/>
      <c r="BKA68" s="95"/>
      <c r="BKB68" s="95"/>
      <c r="BKC68" s="95"/>
      <c r="BKD68" s="95"/>
      <c r="BKE68" s="95"/>
      <c r="BKF68" s="95"/>
      <c r="BKG68" s="95"/>
      <c r="BKH68" s="95"/>
      <c r="BKI68" s="95"/>
      <c r="BKJ68" s="95"/>
      <c r="BKK68" s="95"/>
      <c r="BKL68" s="95"/>
      <c r="BKM68" s="95"/>
      <c r="BKN68" s="95"/>
      <c r="BKO68" s="95"/>
      <c r="BKP68" s="95"/>
      <c r="BKQ68" s="95"/>
      <c r="BKR68" s="95"/>
      <c r="BKS68" s="95"/>
      <c r="BKT68" s="95"/>
      <c r="BKU68" s="95"/>
      <c r="BKV68" s="95"/>
      <c r="BKW68" s="95"/>
      <c r="BKX68" s="95"/>
      <c r="BKY68" s="95"/>
      <c r="BKZ68" s="95"/>
      <c r="BLA68" s="95"/>
      <c r="BLB68" s="95"/>
      <c r="BLC68" s="95"/>
      <c r="BLD68" s="95"/>
      <c r="BLE68" s="95"/>
      <c r="BLF68" s="95"/>
      <c r="BLG68" s="95"/>
      <c r="BLH68" s="95"/>
      <c r="BLI68" s="95"/>
      <c r="BLJ68" s="95"/>
      <c r="BLK68" s="95"/>
      <c r="BLL68" s="95"/>
      <c r="BLM68" s="95"/>
      <c r="BLN68" s="95"/>
      <c r="BLO68" s="95"/>
      <c r="BLP68" s="95"/>
      <c r="BLQ68" s="95"/>
      <c r="BLR68" s="95"/>
      <c r="BLS68" s="95"/>
      <c r="BLT68" s="95"/>
      <c r="BLU68" s="95"/>
      <c r="BLV68" s="95"/>
      <c r="BLW68" s="95"/>
      <c r="BLX68" s="95"/>
      <c r="BLY68" s="95"/>
      <c r="BLZ68" s="95"/>
      <c r="BMA68" s="95"/>
      <c r="BMB68" s="95"/>
      <c r="BMC68" s="95"/>
      <c r="BMD68" s="95"/>
      <c r="BME68" s="95"/>
      <c r="BMF68" s="95"/>
      <c r="BMG68" s="95"/>
      <c r="BMH68" s="95"/>
      <c r="BMI68" s="95"/>
      <c r="BMJ68" s="95"/>
      <c r="BMK68" s="95"/>
      <c r="BML68" s="95"/>
      <c r="BMM68" s="95"/>
      <c r="BMN68" s="95"/>
      <c r="BMO68" s="95"/>
      <c r="BMP68" s="95"/>
      <c r="BMQ68" s="95"/>
      <c r="BMR68" s="95"/>
      <c r="BMS68" s="95"/>
      <c r="BMT68" s="95"/>
      <c r="BMU68" s="95"/>
      <c r="BMV68" s="95"/>
      <c r="BMW68" s="95"/>
      <c r="BMX68" s="95"/>
      <c r="BMY68" s="95"/>
      <c r="BMZ68" s="95"/>
      <c r="BNA68" s="95"/>
      <c r="BNB68" s="95"/>
      <c r="BNC68" s="95"/>
      <c r="BND68" s="95"/>
      <c r="BNE68" s="95"/>
      <c r="BNF68" s="95"/>
      <c r="BNG68" s="95"/>
      <c r="BNH68" s="95"/>
      <c r="BNI68" s="95"/>
      <c r="BNJ68" s="95"/>
      <c r="BNK68" s="95"/>
      <c r="BNL68" s="95"/>
      <c r="BNM68" s="95"/>
      <c r="BNN68" s="95"/>
      <c r="BNO68" s="95"/>
      <c r="BNP68" s="95"/>
      <c r="BNQ68" s="95"/>
      <c r="BNR68" s="95"/>
      <c r="BNS68" s="95"/>
      <c r="BNT68" s="95"/>
      <c r="BNU68" s="95"/>
      <c r="BNV68" s="95"/>
      <c r="BNW68" s="95"/>
      <c r="BNX68" s="95"/>
      <c r="BNY68" s="95"/>
      <c r="BNZ68" s="95"/>
      <c r="BOA68" s="95"/>
      <c r="BOB68" s="95"/>
      <c r="BOC68" s="95"/>
      <c r="BOD68" s="95"/>
      <c r="BOE68" s="95"/>
      <c r="BOF68" s="95"/>
      <c r="BOG68" s="95"/>
      <c r="BOH68" s="95"/>
      <c r="BOI68" s="95"/>
      <c r="BOJ68" s="95"/>
      <c r="BOK68" s="95"/>
      <c r="BOL68" s="95"/>
      <c r="BOM68" s="95"/>
      <c r="BON68" s="95"/>
      <c r="BOO68" s="95"/>
      <c r="BOP68" s="95"/>
      <c r="BOQ68" s="95"/>
      <c r="BOR68" s="95"/>
      <c r="BOS68" s="95"/>
      <c r="BOT68" s="95"/>
      <c r="BOU68" s="95"/>
      <c r="BOV68" s="95"/>
      <c r="BOW68" s="95"/>
      <c r="BOX68" s="95"/>
      <c r="BOY68" s="95"/>
      <c r="BOZ68" s="95"/>
      <c r="BPA68" s="95"/>
      <c r="BPB68" s="95"/>
      <c r="BPC68" s="95"/>
      <c r="BPD68" s="95"/>
      <c r="BPE68" s="95"/>
      <c r="BPF68" s="95"/>
      <c r="BPG68" s="95"/>
      <c r="BPH68" s="95"/>
      <c r="BPI68" s="95"/>
      <c r="BPJ68" s="95"/>
      <c r="BPK68" s="95"/>
      <c r="BPL68" s="95"/>
      <c r="BPM68" s="95"/>
      <c r="BPN68" s="95"/>
      <c r="BPO68" s="95"/>
      <c r="BPP68" s="95"/>
      <c r="BPQ68" s="95"/>
      <c r="BPR68" s="95"/>
      <c r="BPS68" s="95"/>
      <c r="BPT68" s="95"/>
      <c r="BPU68" s="95"/>
      <c r="BPV68" s="95"/>
      <c r="BPW68" s="95"/>
      <c r="BPX68" s="95"/>
      <c r="BPY68" s="95"/>
      <c r="BPZ68" s="95"/>
      <c r="BQA68" s="95"/>
      <c r="BQB68" s="95"/>
      <c r="BQC68" s="95"/>
      <c r="BQD68" s="95"/>
      <c r="BQE68" s="95"/>
      <c r="BQF68" s="95"/>
      <c r="BQG68" s="95"/>
      <c r="BQH68" s="95"/>
      <c r="BQI68" s="95"/>
      <c r="BQJ68" s="95"/>
      <c r="BQK68" s="95"/>
      <c r="BQL68" s="95"/>
      <c r="BQM68" s="95"/>
      <c r="BQN68" s="95"/>
      <c r="BQO68" s="95"/>
      <c r="BQP68" s="95"/>
      <c r="BQQ68" s="95"/>
      <c r="BQR68" s="95"/>
      <c r="BQS68" s="95"/>
      <c r="BQT68" s="95"/>
      <c r="BQU68" s="95"/>
      <c r="BQV68" s="95"/>
      <c r="BQW68" s="95"/>
      <c r="BQX68" s="95"/>
      <c r="BQY68" s="95"/>
      <c r="BQZ68" s="95"/>
      <c r="BRA68" s="95"/>
      <c r="BRB68" s="95"/>
      <c r="BRC68" s="95"/>
      <c r="BRD68" s="95"/>
      <c r="BRE68" s="95"/>
      <c r="BRF68" s="95"/>
      <c r="BRG68" s="95"/>
      <c r="BRH68" s="95"/>
      <c r="BRI68" s="95"/>
      <c r="BRJ68" s="95"/>
      <c r="BRK68" s="95"/>
      <c r="BRL68" s="95"/>
      <c r="BRM68" s="95"/>
      <c r="BRN68" s="95"/>
      <c r="BRO68" s="95"/>
      <c r="BRP68" s="95"/>
      <c r="BRQ68" s="95"/>
      <c r="BRR68" s="95"/>
      <c r="BRS68" s="95"/>
      <c r="BRT68" s="95"/>
      <c r="BRU68" s="95"/>
      <c r="BRV68" s="95"/>
      <c r="BRW68" s="95"/>
      <c r="BRX68" s="95"/>
      <c r="BRY68" s="95"/>
      <c r="BRZ68" s="95"/>
      <c r="BSA68" s="95"/>
      <c r="BSB68" s="95"/>
      <c r="BSC68" s="95"/>
      <c r="BSD68" s="95"/>
      <c r="BSE68" s="95"/>
      <c r="BSF68" s="95"/>
      <c r="BSG68" s="95"/>
      <c r="BSH68" s="95"/>
      <c r="BSI68" s="95"/>
      <c r="BSJ68" s="95"/>
      <c r="BSK68" s="95"/>
      <c r="BSL68" s="95"/>
      <c r="BSM68" s="95"/>
      <c r="BSN68" s="95"/>
      <c r="BSO68" s="95"/>
      <c r="BSP68" s="95"/>
      <c r="BSQ68" s="95"/>
      <c r="BSR68" s="95"/>
      <c r="BSS68" s="95"/>
      <c r="BST68" s="95"/>
      <c r="BSU68" s="95"/>
      <c r="BSV68" s="95"/>
      <c r="BSW68" s="95"/>
      <c r="BSX68" s="95"/>
      <c r="BSY68" s="95"/>
      <c r="BSZ68" s="95"/>
      <c r="BTA68" s="95"/>
      <c r="BTB68" s="95"/>
      <c r="BTC68" s="95"/>
      <c r="BTD68" s="95"/>
      <c r="BTE68" s="95"/>
      <c r="BTF68" s="95"/>
      <c r="BTG68" s="95"/>
      <c r="BTH68" s="95"/>
      <c r="BTI68" s="95"/>
      <c r="BTJ68" s="95"/>
      <c r="BTK68" s="95"/>
      <c r="BTL68" s="95"/>
      <c r="BTM68" s="95"/>
      <c r="BTN68" s="95"/>
      <c r="BTO68" s="95"/>
      <c r="BTP68" s="95"/>
      <c r="BTQ68" s="95"/>
      <c r="BTR68" s="95"/>
      <c r="BTS68" s="95"/>
      <c r="BTT68" s="95"/>
      <c r="BTU68" s="95"/>
      <c r="BTV68" s="95"/>
      <c r="BTW68" s="95"/>
      <c r="BTX68" s="95"/>
      <c r="BTY68" s="95"/>
      <c r="BTZ68" s="95"/>
      <c r="BUA68" s="95"/>
      <c r="BUB68" s="95"/>
      <c r="BUC68" s="95"/>
      <c r="BUD68" s="95"/>
      <c r="BUE68" s="95"/>
      <c r="BUF68" s="95"/>
      <c r="BUG68" s="95"/>
      <c r="BUH68" s="95"/>
      <c r="BUI68" s="95"/>
      <c r="BUJ68" s="95"/>
      <c r="BUK68" s="95"/>
      <c r="BUL68" s="95"/>
      <c r="BUM68" s="95"/>
      <c r="BUN68" s="95"/>
      <c r="BUO68" s="95"/>
      <c r="BUP68" s="95"/>
      <c r="BUQ68" s="95"/>
      <c r="BUR68" s="95"/>
      <c r="BUS68" s="95"/>
      <c r="BUT68" s="95"/>
      <c r="BUU68" s="95"/>
      <c r="BUV68" s="95"/>
      <c r="BUW68" s="95"/>
      <c r="BUX68" s="95"/>
      <c r="BUY68" s="95"/>
      <c r="BUZ68" s="95"/>
      <c r="BVA68" s="95"/>
      <c r="BVB68" s="95"/>
      <c r="BVC68" s="95"/>
      <c r="BVD68" s="95"/>
      <c r="BVE68" s="95"/>
      <c r="BVF68" s="95"/>
      <c r="BVG68" s="95"/>
      <c r="BVH68" s="95"/>
      <c r="BVI68" s="95"/>
      <c r="BVJ68" s="95"/>
      <c r="BVK68" s="95"/>
      <c r="BVL68" s="95"/>
      <c r="BVM68" s="95"/>
      <c r="BVN68" s="95"/>
      <c r="BVO68" s="95"/>
      <c r="BVP68" s="95"/>
      <c r="BVQ68" s="95"/>
      <c r="BVR68" s="95"/>
      <c r="BVS68" s="95"/>
      <c r="BVT68" s="95"/>
      <c r="BVU68" s="95"/>
      <c r="BVV68" s="95"/>
      <c r="BVW68" s="95"/>
      <c r="BVX68" s="95"/>
      <c r="BVY68" s="95"/>
      <c r="BVZ68" s="95"/>
      <c r="BWA68" s="95"/>
      <c r="BWB68" s="95"/>
      <c r="BWC68" s="95"/>
      <c r="BWD68" s="95"/>
      <c r="BWE68" s="95"/>
      <c r="BWF68" s="95"/>
      <c r="BWG68" s="95"/>
      <c r="BWH68" s="95"/>
      <c r="BWI68" s="95"/>
      <c r="BWJ68" s="95"/>
      <c r="BWK68" s="95"/>
      <c r="BWL68" s="95"/>
      <c r="BWM68" s="95"/>
      <c r="BWN68" s="95"/>
      <c r="BWO68" s="95"/>
      <c r="BWP68" s="95"/>
      <c r="BWQ68" s="95"/>
      <c r="BWR68" s="95"/>
      <c r="BWS68" s="95"/>
      <c r="BWT68" s="95"/>
      <c r="BWU68" s="95"/>
      <c r="BWV68" s="95"/>
      <c r="BWW68" s="95"/>
      <c r="BWX68" s="95"/>
      <c r="BWY68" s="95"/>
      <c r="BWZ68" s="95"/>
      <c r="BXA68" s="95"/>
      <c r="BXB68" s="95"/>
      <c r="BXC68" s="95"/>
      <c r="BXD68" s="95"/>
      <c r="BXE68" s="95"/>
      <c r="BXF68" s="95"/>
      <c r="BXG68" s="95"/>
      <c r="BXH68" s="95"/>
      <c r="BXI68" s="95"/>
      <c r="BXJ68" s="95"/>
      <c r="BXK68" s="95"/>
      <c r="BXL68" s="95"/>
      <c r="BXM68" s="95"/>
      <c r="BXN68" s="95"/>
      <c r="BXO68" s="95"/>
      <c r="BXP68" s="95"/>
      <c r="BXQ68" s="95"/>
      <c r="BXR68" s="95"/>
      <c r="BXS68" s="95"/>
      <c r="BXT68" s="95"/>
      <c r="BXU68" s="95"/>
      <c r="BXV68" s="95"/>
      <c r="BXW68" s="95"/>
      <c r="BXX68" s="95"/>
      <c r="BXY68" s="95"/>
      <c r="BXZ68" s="95"/>
      <c r="BYA68" s="95"/>
      <c r="BYB68" s="95"/>
      <c r="BYC68" s="95"/>
      <c r="BYD68" s="95"/>
      <c r="BYE68" s="95"/>
      <c r="BYF68" s="95"/>
      <c r="BYG68" s="95"/>
    </row>
    <row r="69" spans="1:2009" ht="15" customHeight="1" x14ac:dyDescent="0.25">
      <c r="A69" s="123"/>
      <c r="B69" s="325" t="s">
        <v>410</v>
      </c>
      <c r="C69" s="192"/>
      <c r="D69" s="192"/>
      <c r="E69" s="192"/>
      <c r="F69" s="192"/>
      <c r="G69" s="739"/>
    </row>
    <row r="70" spans="1:2009" ht="8.25" customHeight="1" x14ac:dyDescent="0.25">
      <c r="A70" s="123"/>
      <c r="B70" s="161"/>
      <c r="C70" s="656"/>
      <c r="D70" s="192"/>
      <c r="E70" s="192"/>
      <c r="F70" s="192"/>
      <c r="G70" s="739"/>
    </row>
    <row r="71" spans="1:2009" ht="14.25" customHeight="1" x14ac:dyDescent="0.25">
      <c r="A71" s="123"/>
      <c r="B71" s="585" t="s">
        <v>50</v>
      </c>
      <c r="C71" s="640">
        <f>3406.31+8747.37</f>
        <v>12153.68</v>
      </c>
      <c r="D71" s="192"/>
      <c r="E71" s="192"/>
      <c r="F71" s="192"/>
      <c r="G71" s="739"/>
    </row>
    <row r="72" spans="1:2009" ht="14.25" customHeight="1" x14ac:dyDescent="0.25">
      <c r="A72" s="123"/>
      <c r="B72" s="585" t="s">
        <v>413</v>
      </c>
      <c r="C72" s="640">
        <v>84179.18</v>
      </c>
      <c r="D72" s="192"/>
      <c r="E72" s="192"/>
      <c r="F72" s="192"/>
      <c r="G72" s="739"/>
    </row>
    <row r="73" spans="1:2009" ht="14.25" customHeight="1" x14ac:dyDescent="0.25">
      <c r="A73" s="123"/>
      <c r="B73" s="585" t="s">
        <v>415</v>
      </c>
      <c r="C73" s="640">
        <v>11865.88</v>
      </c>
      <c r="D73" s="192"/>
      <c r="E73" s="192"/>
      <c r="F73" s="192"/>
      <c r="G73" s="739"/>
    </row>
    <row r="74" spans="1:2009" ht="14.25" customHeight="1" x14ac:dyDescent="0.25">
      <c r="A74" s="123"/>
      <c r="B74" s="585" t="s">
        <v>412</v>
      </c>
      <c r="C74" s="640">
        <v>27718.12</v>
      </c>
      <c r="D74" s="192"/>
      <c r="E74" s="192"/>
      <c r="F74" s="192"/>
      <c r="G74" s="739"/>
    </row>
    <row r="75" spans="1:2009" ht="14.25" hidden="1" customHeight="1" x14ac:dyDescent="0.25">
      <c r="A75" s="123"/>
      <c r="B75" s="585" t="s">
        <v>377</v>
      </c>
      <c r="C75" s="640"/>
      <c r="D75" s="192"/>
      <c r="E75" s="192"/>
      <c r="F75" s="192"/>
      <c r="G75" s="739"/>
    </row>
    <row r="76" spans="1:2009" ht="14.25" hidden="1" customHeight="1" x14ac:dyDescent="0.25">
      <c r="A76" s="123"/>
      <c r="B76" s="585" t="s">
        <v>378</v>
      </c>
      <c r="C76" s="640"/>
      <c r="D76" s="192"/>
      <c r="E76" s="192"/>
      <c r="F76" s="192"/>
      <c r="G76" s="739"/>
    </row>
    <row r="77" spans="1:2009" ht="14.25" customHeight="1" x14ac:dyDescent="0.25">
      <c r="A77" s="123"/>
      <c r="B77" s="585" t="s">
        <v>428</v>
      </c>
      <c r="C77" s="640">
        <v>50000</v>
      </c>
      <c r="D77" s="192"/>
      <c r="E77" s="192"/>
      <c r="F77" s="192"/>
      <c r="G77" s="739"/>
    </row>
    <row r="78" spans="1:2009" ht="14.25" customHeight="1" x14ac:dyDescent="0.25">
      <c r="A78" s="123"/>
      <c r="B78" s="585" t="s">
        <v>414</v>
      </c>
      <c r="C78" s="640">
        <v>1101.3599999999999</v>
      </c>
      <c r="D78" s="192"/>
      <c r="E78" s="192"/>
      <c r="F78" s="192"/>
      <c r="G78" s="739"/>
    </row>
    <row r="79" spans="1:2009" ht="14.25" customHeight="1" x14ac:dyDescent="0.25">
      <c r="A79" s="123"/>
      <c r="B79" s="585" t="s">
        <v>411</v>
      </c>
      <c r="C79" s="640">
        <v>1696.42</v>
      </c>
      <c r="D79" s="192"/>
      <c r="E79" s="192"/>
      <c r="F79" s="192"/>
      <c r="G79" s="739"/>
    </row>
    <row r="80" spans="1:2009" ht="14.25" customHeight="1" x14ac:dyDescent="0.25">
      <c r="A80" s="123"/>
      <c r="B80" s="585" t="s">
        <v>408</v>
      </c>
      <c r="C80" s="640">
        <v>25500</v>
      </c>
      <c r="D80" s="192"/>
      <c r="E80" s="192"/>
      <c r="F80" s="192"/>
      <c r="G80" s="739"/>
    </row>
    <row r="81" spans="1:7" ht="14.25" hidden="1" customHeight="1" x14ac:dyDescent="0.25">
      <c r="A81" s="123"/>
      <c r="B81" s="585"/>
      <c r="C81" s="640"/>
      <c r="D81" s="192"/>
      <c r="E81" s="192"/>
      <c r="F81" s="192"/>
      <c r="G81" s="739"/>
    </row>
    <row r="82" spans="1:7" ht="14.25" hidden="1" customHeight="1" x14ac:dyDescent="0.25">
      <c r="A82" s="123"/>
      <c r="B82" s="585"/>
      <c r="C82" s="640"/>
      <c r="D82" s="192"/>
      <c r="E82" s="192"/>
      <c r="F82" s="192"/>
      <c r="G82" s="739"/>
    </row>
    <row r="83" spans="1:7" ht="14.25" hidden="1" customHeight="1" x14ac:dyDescent="0.25">
      <c r="A83" s="123"/>
      <c r="B83" s="585"/>
      <c r="C83" s="640"/>
      <c r="D83" s="192"/>
      <c r="E83" s="192"/>
      <c r="F83" s="192"/>
      <c r="G83" s="739"/>
    </row>
    <row r="84" spans="1:7" ht="15" x14ac:dyDescent="0.25">
      <c r="A84" s="416"/>
      <c r="B84" s="162" t="s">
        <v>419</v>
      </c>
      <c r="C84" s="369">
        <f>SUM(C70:C83)</f>
        <v>214214.63999999998</v>
      </c>
      <c r="D84" s="193"/>
      <c r="E84" s="193"/>
      <c r="F84" s="193"/>
    </row>
    <row r="85" spans="1:7" ht="5.25" customHeight="1" x14ac:dyDescent="0.2">
      <c r="C85" s="193"/>
      <c r="D85" s="193"/>
      <c r="E85" s="193"/>
      <c r="F85" s="193"/>
    </row>
    <row r="86" spans="1:7" ht="15.75" thickBot="1" x14ac:dyDescent="0.3">
      <c r="B86" s="162" t="s">
        <v>430</v>
      </c>
      <c r="C86" s="402">
        <f>G65-C84</f>
        <v>171672.77667000002</v>
      </c>
      <c r="D86" s="193"/>
      <c r="E86" s="193"/>
      <c r="F86" s="193"/>
    </row>
    <row r="87" spans="1:7" ht="12" customHeight="1" thickTop="1" x14ac:dyDescent="0.2">
      <c r="C87" s="193"/>
      <c r="D87" s="193"/>
      <c r="E87" s="193"/>
      <c r="F87" s="193"/>
    </row>
    <row r="88" spans="1:7" ht="15.75" x14ac:dyDescent="0.25">
      <c r="B88" s="325" t="s">
        <v>187</v>
      </c>
      <c r="C88" s="193"/>
      <c r="D88" s="193"/>
      <c r="E88" s="193"/>
      <c r="F88" s="193"/>
    </row>
    <row r="89" spans="1:7" ht="16.5" hidden="1" customHeight="1" x14ac:dyDescent="0.2">
      <c r="B89" s="586"/>
      <c r="C89" s="587"/>
      <c r="D89" s="193"/>
      <c r="E89" s="193"/>
      <c r="F89" s="193"/>
    </row>
    <row r="90" spans="1:7" ht="16.5" hidden="1" customHeight="1" x14ac:dyDescent="0.2">
      <c r="B90" s="586"/>
      <c r="C90" s="587"/>
      <c r="D90" s="193"/>
      <c r="E90" s="193"/>
      <c r="F90" s="193"/>
    </row>
    <row r="91" spans="1:7" ht="16.5" hidden="1" customHeight="1" x14ac:dyDescent="0.2">
      <c r="B91" s="586"/>
      <c r="C91" s="587"/>
      <c r="D91" s="193"/>
      <c r="E91" s="193"/>
      <c r="F91" s="193"/>
    </row>
    <row r="92" spans="1:7" ht="16.5" hidden="1" customHeight="1" x14ac:dyDescent="0.2">
      <c r="B92" s="586"/>
      <c r="C92" s="587"/>
      <c r="D92" s="193"/>
      <c r="E92" s="193"/>
      <c r="F92" s="193"/>
    </row>
    <row r="93" spans="1:7" ht="15" hidden="1" x14ac:dyDescent="0.2">
      <c r="B93" s="557"/>
      <c r="C93" s="193"/>
      <c r="D93" s="193"/>
      <c r="E93" s="193"/>
      <c r="F93" s="193"/>
    </row>
    <row r="94" spans="1:7" hidden="1" x14ac:dyDescent="0.2">
      <c r="B94" s="446"/>
      <c r="C94" s="193"/>
      <c r="D94" s="193"/>
      <c r="E94" s="193"/>
      <c r="F94" s="193"/>
    </row>
    <row r="95" spans="1:7" hidden="1" x14ac:dyDescent="0.2">
      <c r="B95" s="446"/>
      <c r="C95" s="193"/>
      <c r="D95" s="193"/>
      <c r="E95" s="193"/>
      <c r="F95" s="193"/>
    </row>
    <row r="96" spans="1:7" hidden="1" x14ac:dyDescent="0.2">
      <c r="B96" s="446"/>
      <c r="C96" s="193"/>
      <c r="D96" s="193"/>
      <c r="E96" s="193"/>
      <c r="F96" s="193"/>
    </row>
    <row r="97" spans="2:6" hidden="1" x14ac:dyDescent="0.2">
      <c r="B97" s="446"/>
      <c r="C97" s="193"/>
      <c r="D97" s="193"/>
      <c r="E97" s="193"/>
      <c r="F97" s="193"/>
    </row>
    <row r="98" spans="2:6" hidden="1" x14ac:dyDescent="0.2">
      <c r="B98" s="446"/>
      <c r="C98" s="193"/>
      <c r="D98" s="193"/>
      <c r="E98" s="193"/>
      <c r="F98" s="193"/>
    </row>
    <row r="99" spans="2:6" hidden="1" x14ac:dyDescent="0.2">
      <c r="B99" s="446"/>
      <c r="C99" s="374"/>
      <c r="D99" s="193"/>
      <c r="E99" s="193"/>
      <c r="F99" s="193"/>
    </row>
    <row r="100" spans="2:6" x14ac:dyDescent="0.2">
      <c r="B100" s="446" t="s">
        <v>407</v>
      </c>
      <c r="C100" s="374">
        <v>720</v>
      </c>
      <c r="D100" s="193"/>
      <c r="E100" s="193"/>
      <c r="F100" s="193"/>
    </row>
    <row r="101" spans="2:6" x14ac:dyDescent="0.2">
      <c r="B101" s="446" t="s">
        <v>416</v>
      </c>
      <c r="C101" s="374">
        <v>19000</v>
      </c>
      <c r="D101" s="193"/>
      <c r="E101" s="193"/>
      <c r="F101" s="193"/>
    </row>
    <row r="102" spans="2:6" x14ac:dyDescent="0.2">
      <c r="B102" s="446" t="s">
        <v>418</v>
      </c>
      <c r="C102" s="374">
        <v>2300</v>
      </c>
      <c r="D102" s="193"/>
      <c r="E102" s="193"/>
      <c r="F102" s="193"/>
    </row>
    <row r="103" spans="2:6" x14ac:dyDescent="0.2">
      <c r="B103" s="446"/>
      <c r="C103" s="374"/>
      <c r="D103" s="193"/>
      <c r="E103" s="193"/>
      <c r="F103" s="193"/>
    </row>
    <row r="104" spans="2:6" x14ac:dyDescent="0.2">
      <c r="B104" s="446"/>
      <c r="C104" s="374"/>
      <c r="D104" s="193"/>
      <c r="E104" s="193"/>
      <c r="F104" s="193"/>
    </row>
    <row r="105" spans="2:6" ht="16.5" customHeight="1" x14ac:dyDescent="0.25">
      <c r="B105" s="456" t="s">
        <v>310</v>
      </c>
      <c r="C105" s="374"/>
      <c r="D105" s="193"/>
      <c r="E105" s="193"/>
      <c r="F105" s="193"/>
    </row>
    <row r="106" spans="2:6" ht="16.5" customHeight="1" x14ac:dyDescent="0.25">
      <c r="B106" s="585" t="s">
        <v>417</v>
      </c>
      <c r="C106" s="587">
        <v>13760</v>
      </c>
      <c r="D106" s="193"/>
      <c r="E106" s="193"/>
      <c r="F106" s="193"/>
    </row>
    <row r="107" spans="2:6" ht="12" customHeight="1" x14ac:dyDescent="0.2">
      <c r="B107" s="287"/>
      <c r="C107" s="193"/>
      <c r="D107" s="193"/>
      <c r="E107" s="193"/>
      <c r="F107" s="193"/>
    </row>
    <row r="108" spans="2:6" ht="17.25" customHeight="1" thickBot="1" x14ac:dyDescent="0.25">
      <c r="C108" s="676">
        <f>SUM(C106:C107)</f>
        <v>13760</v>
      </c>
      <c r="D108" s="193"/>
      <c r="E108" s="193"/>
      <c r="F108" s="193"/>
    </row>
    <row r="109" spans="2:6" ht="12" customHeight="1" thickTop="1" x14ac:dyDescent="0.2">
      <c r="C109" s="193"/>
      <c r="D109" s="193"/>
      <c r="E109" s="193"/>
      <c r="F109" s="193"/>
    </row>
    <row r="110" spans="2:6" ht="12" customHeight="1" x14ac:dyDescent="0.2">
      <c r="C110" s="193"/>
      <c r="D110" s="193"/>
      <c r="E110" s="193"/>
      <c r="F110" s="193"/>
    </row>
    <row r="111" spans="2:6" ht="12" customHeight="1" x14ac:dyDescent="0.2">
      <c r="C111" s="193"/>
      <c r="D111" s="193"/>
      <c r="E111" s="193"/>
      <c r="F111" s="193"/>
    </row>
    <row r="112" spans="2:6" ht="12" customHeight="1" x14ac:dyDescent="0.2">
      <c r="C112" s="193"/>
      <c r="D112" s="193"/>
      <c r="E112" s="193"/>
      <c r="F112" s="193"/>
    </row>
    <row r="113" spans="3:6" ht="12" customHeight="1" x14ac:dyDescent="0.2">
      <c r="C113" s="193"/>
      <c r="D113" s="193"/>
      <c r="E113" s="193"/>
      <c r="F113" s="193"/>
    </row>
    <row r="114" spans="3:6" ht="12" customHeight="1" x14ac:dyDescent="0.2">
      <c r="C114" s="193"/>
      <c r="D114" s="193"/>
      <c r="E114" s="193"/>
      <c r="F114" s="193"/>
    </row>
    <row r="115" spans="3:6" ht="12" customHeight="1" x14ac:dyDescent="0.2">
      <c r="C115" s="193"/>
      <c r="D115" s="193"/>
      <c r="E115" s="193"/>
      <c r="F115" s="193"/>
    </row>
    <row r="116" spans="3:6" ht="12" customHeight="1" x14ac:dyDescent="0.2">
      <c r="C116" s="193"/>
      <c r="D116" s="193"/>
      <c r="E116" s="193"/>
      <c r="F116" s="193"/>
    </row>
    <row r="117" spans="3:6" ht="12" customHeight="1" x14ac:dyDescent="0.2">
      <c r="C117" s="193"/>
      <c r="D117" s="193"/>
      <c r="E117" s="193"/>
      <c r="F117" s="193"/>
    </row>
    <row r="118" spans="3:6" ht="12" customHeight="1" x14ac:dyDescent="0.2">
      <c r="C118" s="193"/>
      <c r="D118" s="193"/>
      <c r="E118" s="193"/>
      <c r="F118" s="193"/>
    </row>
    <row r="119" spans="3:6" ht="12" customHeight="1" x14ac:dyDescent="0.2">
      <c r="C119" s="193"/>
      <c r="D119" s="193"/>
      <c r="E119" s="193"/>
      <c r="F119" s="193"/>
    </row>
    <row r="120" spans="3:6" ht="12" customHeight="1" x14ac:dyDescent="0.2">
      <c r="C120" s="193"/>
      <c r="D120" s="193"/>
      <c r="E120" s="193"/>
      <c r="F120" s="193"/>
    </row>
    <row r="121" spans="3:6" ht="12" customHeight="1" x14ac:dyDescent="0.2">
      <c r="C121" s="193"/>
      <c r="D121" s="193"/>
      <c r="E121" s="193"/>
      <c r="F121" s="193"/>
    </row>
    <row r="122" spans="3:6" ht="12" customHeight="1" x14ac:dyDescent="0.2">
      <c r="C122" s="193"/>
      <c r="D122" s="193"/>
      <c r="E122" s="193"/>
      <c r="F122" s="193"/>
    </row>
    <row r="123" spans="3:6" ht="12" customHeight="1" x14ac:dyDescent="0.2">
      <c r="C123" s="193"/>
      <c r="D123" s="193"/>
      <c r="E123" s="193"/>
      <c r="F123" s="193"/>
    </row>
    <row r="124" spans="3:6" ht="12" customHeight="1" x14ac:dyDescent="0.2">
      <c r="C124" s="193"/>
      <c r="D124" s="193"/>
      <c r="E124" s="193"/>
      <c r="F124" s="193"/>
    </row>
    <row r="125" spans="3:6" ht="12" customHeight="1" x14ac:dyDescent="0.2">
      <c r="C125" s="193"/>
      <c r="D125" s="193"/>
      <c r="E125" s="193"/>
      <c r="F125" s="193"/>
    </row>
    <row r="126" spans="3:6" ht="12" customHeight="1" x14ac:dyDescent="0.2">
      <c r="C126" s="193"/>
      <c r="D126" s="193"/>
      <c r="E126" s="193"/>
      <c r="F126" s="193"/>
    </row>
    <row r="127" spans="3:6" ht="12" customHeight="1" x14ac:dyDescent="0.2">
      <c r="C127" s="193"/>
      <c r="D127" s="193"/>
      <c r="E127" s="193"/>
      <c r="F127" s="193"/>
    </row>
    <row r="128" spans="3:6" ht="12" customHeight="1" x14ac:dyDescent="0.2">
      <c r="C128" s="193"/>
      <c r="D128" s="193"/>
      <c r="E128" s="193"/>
      <c r="F128" s="193"/>
    </row>
    <row r="129" spans="3:6" ht="12" customHeight="1" x14ac:dyDescent="0.2">
      <c r="C129" s="193"/>
      <c r="D129" s="193"/>
      <c r="E129" s="193"/>
      <c r="F129" s="193"/>
    </row>
    <row r="130" spans="3:6" ht="12" customHeight="1" x14ac:dyDescent="0.2">
      <c r="C130" s="193"/>
      <c r="D130" s="193"/>
      <c r="E130" s="193"/>
      <c r="F130" s="193"/>
    </row>
    <row r="131" spans="3:6" ht="12" customHeight="1" x14ac:dyDescent="0.2">
      <c r="C131" s="193"/>
      <c r="D131" s="193"/>
      <c r="E131" s="193"/>
      <c r="F131" s="193"/>
    </row>
    <row r="132" spans="3:6" ht="12" customHeight="1" x14ac:dyDescent="0.2">
      <c r="C132" s="193"/>
      <c r="D132" s="193"/>
      <c r="E132" s="193"/>
      <c r="F132" s="193"/>
    </row>
    <row r="133" spans="3:6" ht="12" customHeight="1" x14ac:dyDescent="0.2">
      <c r="C133" s="193"/>
      <c r="D133" s="193"/>
      <c r="E133" s="193"/>
      <c r="F133" s="193"/>
    </row>
    <row r="134" spans="3:6" ht="12" customHeight="1" x14ac:dyDescent="0.2">
      <c r="C134" s="193"/>
      <c r="D134" s="193"/>
      <c r="E134" s="193"/>
      <c r="F134" s="193"/>
    </row>
    <row r="135" spans="3:6" ht="12" customHeight="1" x14ac:dyDescent="0.2">
      <c r="C135" s="193"/>
      <c r="D135" s="193"/>
      <c r="E135" s="193"/>
      <c r="F135" s="193"/>
    </row>
    <row r="136" spans="3:6" ht="12" customHeight="1" x14ac:dyDescent="0.2">
      <c r="C136" s="193"/>
      <c r="D136" s="193"/>
      <c r="E136" s="193"/>
      <c r="F136" s="193"/>
    </row>
    <row r="137" spans="3:6" ht="12" customHeight="1" x14ac:dyDescent="0.2">
      <c r="C137" s="193"/>
      <c r="D137" s="193"/>
      <c r="E137" s="193"/>
      <c r="F137" s="193"/>
    </row>
    <row r="138" spans="3:6" ht="12" customHeight="1" x14ac:dyDescent="0.2">
      <c r="C138" s="193"/>
      <c r="D138" s="193"/>
      <c r="E138" s="193"/>
      <c r="F138" s="193"/>
    </row>
    <row r="139" spans="3:6" ht="12" customHeight="1" x14ac:dyDescent="0.2">
      <c r="C139" s="193"/>
      <c r="D139" s="193"/>
      <c r="E139" s="193"/>
      <c r="F139" s="193"/>
    </row>
    <row r="140" spans="3:6" ht="12" customHeight="1" x14ac:dyDescent="0.2">
      <c r="C140" s="193"/>
      <c r="D140" s="193"/>
      <c r="E140" s="193"/>
      <c r="F140" s="193"/>
    </row>
    <row r="141" spans="3:6" ht="12" customHeight="1" x14ac:dyDescent="0.2">
      <c r="C141" s="193"/>
      <c r="D141" s="193"/>
      <c r="E141" s="193"/>
      <c r="F141" s="193"/>
    </row>
    <row r="142" spans="3:6" ht="12" customHeight="1" x14ac:dyDescent="0.2">
      <c r="C142" s="193"/>
      <c r="D142" s="193"/>
      <c r="E142" s="193"/>
      <c r="F142" s="193"/>
    </row>
    <row r="143" spans="3:6" ht="12" customHeight="1" x14ac:dyDescent="0.2">
      <c r="C143" s="193"/>
      <c r="D143" s="193"/>
      <c r="E143" s="193"/>
      <c r="F143" s="193"/>
    </row>
    <row r="144" spans="3:6" ht="12" customHeight="1" x14ac:dyDescent="0.2">
      <c r="C144" s="193"/>
      <c r="D144" s="193"/>
      <c r="E144" s="193"/>
      <c r="F144" s="193"/>
    </row>
    <row r="145" spans="3:6" ht="12" customHeight="1" x14ac:dyDescent="0.2">
      <c r="C145" s="193"/>
      <c r="D145" s="193"/>
      <c r="E145" s="193"/>
      <c r="F145" s="193"/>
    </row>
    <row r="146" spans="3:6" ht="12" customHeight="1" x14ac:dyDescent="0.2">
      <c r="C146" s="193"/>
      <c r="D146" s="193"/>
      <c r="E146" s="193"/>
      <c r="F146" s="193"/>
    </row>
    <row r="147" spans="3:6" ht="12" customHeight="1" x14ac:dyDescent="0.2">
      <c r="C147" s="193"/>
      <c r="D147" s="193"/>
      <c r="E147" s="193"/>
      <c r="F147" s="193"/>
    </row>
    <row r="148" spans="3:6" ht="12" customHeight="1" x14ac:dyDescent="0.2">
      <c r="C148" s="193"/>
      <c r="D148" s="193"/>
      <c r="E148" s="193"/>
      <c r="F148" s="193"/>
    </row>
    <row r="149" spans="3:6" ht="12" customHeight="1" x14ac:dyDescent="0.2">
      <c r="C149" s="193"/>
      <c r="D149" s="193"/>
      <c r="E149" s="193"/>
      <c r="F149" s="193"/>
    </row>
    <row r="150" spans="3:6" ht="12" customHeight="1" x14ac:dyDescent="0.2">
      <c r="C150" s="193"/>
      <c r="D150" s="193"/>
      <c r="E150" s="193"/>
      <c r="F150" s="193"/>
    </row>
    <row r="151" spans="3:6" ht="12" customHeight="1" x14ac:dyDescent="0.2">
      <c r="C151" s="193"/>
      <c r="D151" s="193"/>
      <c r="E151" s="193"/>
      <c r="F151" s="193"/>
    </row>
    <row r="152" spans="3:6" ht="12" customHeight="1" x14ac:dyDescent="0.2">
      <c r="C152" s="193"/>
      <c r="D152" s="193"/>
      <c r="E152" s="193"/>
      <c r="F152" s="193"/>
    </row>
    <row r="153" spans="3:6" ht="12" customHeight="1" x14ac:dyDescent="0.2">
      <c r="C153" s="193"/>
      <c r="D153" s="193"/>
      <c r="E153" s="193"/>
      <c r="F153" s="193"/>
    </row>
    <row r="154" spans="3:6" ht="12" customHeight="1" x14ac:dyDescent="0.2">
      <c r="C154" s="193"/>
      <c r="D154" s="193"/>
      <c r="E154" s="193"/>
      <c r="F154" s="193"/>
    </row>
    <row r="155" spans="3:6" ht="12" customHeight="1" x14ac:dyDescent="0.2">
      <c r="C155" s="193"/>
      <c r="D155" s="193"/>
      <c r="E155" s="193"/>
      <c r="F155" s="193"/>
    </row>
    <row r="156" spans="3:6" ht="12" customHeight="1" x14ac:dyDescent="0.2">
      <c r="C156" s="193"/>
      <c r="D156" s="193"/>
      <c r="E156" s="193"/>
      <c r="F156" s="193"/>
    </row>
    <row r="157" spans="3:6" ht="12" customHeight="1" x14ac:dyDescent="0.2">
      <c r="C157" s="193"/>
      <c r="D157" s="193"/>
      <c r="E157" s="193"/>
      <c r="F157" s="193"/>
    </row>
    <row r="158" spans="3:6" ht="12" customHeight="1" x14ac:dyDescent="0.2">
      <c r="C158" s="193"/>
      <c r="D158" s="193"/>
      <c r="E158" s="193"/>
      <c r="F158" s="193"/>
    </row>
    <row r="159" spans="3:6" ht="12" customHeight="1" x14ac:dyDescent="0.2">
      <c r="C159" s="193"/>
      <c r="D159" s="193"/>
      <c r="E159" s="193"/>
      <c r="F159" s="193"/>
    </row>
    <row r="160" spans="3:6" ht="12" customHeight="1" x14ac:dyDescent="0.2">
      <c r="C160" s="193"/>
      <c r="D160" s="193"/>
      <c r="E160" s="193"/>
      <c r="F160" s="193"/>
    </row>
    <row r="161" spans="2:6" ht="12" customHeight="1" x14ac:dyDescent="0.2">
      <c r="C161" s="193"/>
      <c r="D161" s="193"/>
      <c r="E161" s="193"/>
      <c r="F161" s="193"/>
    </row>
    <row r="162" spans="2:6" ht="12" customHeight="1" x14ac:dyDescent="0.2">
      <c r="C162" s="193"/>
      <c r="D162" s="193"/>
      <c r="E162" s="193"/>
      <c r="F162" s="193"/>
    </row>
    <row r="163" spans="2:6" ht="12" customHeight="1" x14ac:dyDescent="0.2">
      <c r="C163" s="193"/>
      <c r="D163" s="193"/>
      <c r="E163" s="193"/>
      <c r="F163" s="193"/>
    </row>
    <row r="164" spans="2:6" ht="12" customHeight="1" x14ac:dyDescent="0.2">
      <c r="C164" s="193"/>
      <c r="D164" s="193"/>
      <c r="E164" s="193"/>
      <c r="F164" s="193"/>
    </row>
    <row r="165" spans="2:6" ht="12" customHeight="1" x14ac:dyDescent="0.2">
      <c r="C165" s="193"/>
      <c r="D165" s="193"/>
      <c r="E165" s="193"/>
      <c r="F165" s="193"/>
    </row>
    <row r="166" spans="2:6" ht="12" customHeight="1" x14ac:dyDescent="0.2">
      <c r="C166" s="193"/>
      <c r="D166" s="193"/>
      <c r="E166" s="193"/>
      <c r="F166" s="193"/>
    </row>
    <row r="167" spans="2:6" ht="12" customHeight="1" x14ac:dyDescent="0.2">
      <c r="C167" s="193"/>
      <c r="D167" s="193"/>
      <c r="E167" s="193"/>
      <c r="F167" s="193"/>
    </row>
    <row r="168" spans="2:6" ht="12" customHeight="1" x14ac:dyDescent="0.2">
      <c r="C168" s="193"/>
      <c r="D168" s="193"/>
      <c r="E168" s="193"/>
      <c r="F168" s="193"/>
    </row>
    <row r="169" spans="2:6" ht="12" customHeight="1" x14ac:dyDescent="0.2">
      <c r="C169" s="193"/>
      <c r="D169" s="193"/>
      <c r="E169" s="193"/>
      <c r="F169" s="193"/>
    </row>
    <row r="170" spans="2:6" ht="12" customHeight="1" x14ac:dyDescent="0.2">
      <c r="C170" s="193"/>
      <c r="D170" s="193"/>
      <c r="E170" s="193"/>
      <c r="F170" s="193"/>
    </row>
    <row r="171" spans="2:6" ht="14.25" customHeight="1" x14ac:dyDescent="0.2"/>
    <row r="172" spans="2:6" ht="15.75" hidden="1" x14ac:dyDescent="0.25">
      <c r="B172" s="368"/>
      <c r="C172" s="230"/>
    </row>
    <row r="173" spans="2:6" ht="15" hidden="1" x14ac:dyDescent="0.25">
      <c r="B173" s="326"/>
      <c r="C173" s="370"/>
    </row>
    <row r="174" spans="2:6" ht="15" hidden="1" x14ac:dyDescent="0.25">
      <c r="B174" s="326"/>
      <c r="C174" s="374"/>
    </row>
    <row r="175" spans="2:6" ht="15" hidden="1" x14ac:dyDescent="0.25">
      <c r="B175" s="326"/>
      <c r="C175" s="193"/>
    </row>
    <row r="176" spans="2:6" hidden="1" x14ac:dyDescent="0.2">
      <c r="B176" s="287"/>
    </row>
    <row r="177" spans="2:14" hidden="1" x14ac:dyDescent="0.2">
      <c r="B177" s="287"/>
    </row>
    <row r="178" spans="2:14" hidden="1" x14ac:dyDescent="0.2">
      <c r="B178" s="287"/>
    </row>
    <row r="179" spans="2:14" hidden="1" x14ac:dyDescent="0.2"/>
    <row r="180" spans="2:14" hidden="1" x14ac:dyDescent="0.2"/>
    <row r="181" spans="2:14" hidden="1" x14ac:dyDescent="0.2">
      <c r="C181" s="323">
        <v>41698</v>
      </c>
      <c r="D181" s="323">
        <v>41609</v>
      </c>
      <c r="E181" s="323">
        <v>41548</v>
      </c>
      <c r="F181" s="323">
        <v>41487</v>
      </c>
      <c r="G181" s="702">
        <v>41426</v>
      </c>
      <c r="H181" s="323">
        <v>41365</v>
      </c>
      <c r="I181" s="323">
        <v>41306</v>
      </c>
      <c r="J181" s="323">
        <v>41274</v>
      </c>
      <c r="K181" s="323">
        <v>41213</v>
      </c>
      <c r="L181" s="323">
        <v>41152</v>
      </c>
      <c r="M181" s="324">
        <v>41090</v>
      </c>
      <c r="N181" s="323">
        <v>41029</v>
      </c>
    </row>
    <row r="182" spans="2:14" hidden="1" x14ac:dyDescent="0.2">
      <c r="B182" s="58" t="s">
        <v>139</v>
      </c>
      <c r="C182" s="230">
        <f>C65</f>
        <v>157697.14666666667</v>
      </c>
      <c r="D182" s="230">
        <f>105452.64+311868.06-305987</f>
        <v>111333.70000000001</v>
      </c>
      <c r="E182" s="230">
        <v>85798.300000000017</v>
      </c>
      <c r="F182" s="193">
        <f>53253.08+18642.89</f>
        <v>71895.97</v>
      </c>
      <c r="G182" s="702">
        <v>126315</v>
      </c>
      <c r="H182" s="193">
        <v>69404</v>
      </c>
      <c r="I182" s="193">
        <v>75744</v>
      </c>
      <c r="J182" s="193">
        <v>119840.47</v>
      </c>
      <c r="K182" s="193">
        <v>120024</v>
      </c>
      <c r="L182" s="193">
        <v>109142</v>
      </c>
      <c r="M182" s="322">
        <v>142216.66</v>
      </c>
      <c r="N182" s="193">
        <v>104785.62</v>
      </c>
    </row>
    <row r="183" spans="2:14" hidden="1" x14ac:dyDescent="0.2">
      <c r="B183" s="58" t="s">
        <v>140</v>
      </c>
      <c r="C183" s="230">
        <f>D65</f>
        <v>133469.66999999998</v>
      </c>
      <c r="D183" s="230">
        <f>74767.18-13600.56</f>
        <v>61166.619999999995</v>
      </c>
      <c r="E183" s="230">
        <v>86248.31</v>
      </c>
      <c r="F183" s="193">
        <v>43187.16</v>
      </c>
      <c r="G183" s="702">
        <v>60049</v>
      </c>
      <c r="H183" s="193">
        <v>101941</v>
      </c>
      <c r="I183" s="193">
        <v>43152</v>
      </c>
      <c r="J183" s="193">
        <v>58938.2</v>
      </c>
      <c r="K183" s="193">
        <v>85767</v>
      </c>
      <c r="L183" s="193">
        <v>119436</v>
      </c>
      <c r="M183" s="322">
        <v>73223.850000000006</v>
      </c>
      <c r="N183" s="193">
        <v>86907.23</v>
      </c>
    </row>
    <row r="184" spans="2:14" hidden="1" x14ac:dyDescent="0.2">
      <c r="B184" s="58" t="s">
        <v>141</v>
      </c>
      <c r="C184" s="230">
        <f>E65</f>
        <v>94720.599999999991</v>
      </c>
      <c r="D184" s="230">
        <f>66720.93-13675.33</f>
        <v>53045.599999999991</v>
      </c>
      <c r="E184" s="230">
        <v>32950.589999999997</v>
      </c>
      <c r="F184" s="193">
        <v>65970.55</v>
      </c>
      <c r="G184" s="702">
        <v>18719</v>
      </c>
      <c r="H184" s="193">
        <v>3668</v>
      </c>
      <c r="I184" s="193">
        <v>50430</v>
      </c>
      <c r="J184" s="193">
        <v>88408.17</v>
      </c>
      <c r="K184" s="193">
        <v>26680</v>
      </c>
      <c r="L184" s="193">
        <v>51922</v>
      </c>
      <c r="M184" s="322">
        <v>77261.37</v>
      </c>
      <c r="N184" s="193">
        <v>11021.67</v>
      </c>
    </row>
    <row r="185" spans="2:14" hidden="1" x14ac:dyDescent="0.2">
      <c r="B185" s="58" t="s">
        <v>142</v>
      </c>
      <c r="C185" s="230">
        <f>F65</f>
        <v>0</v>
      </c>
      <c r="D185" s="230">
        <v>86322.43</v>
      </c>
      <c r="E185" s="230">
        <v>66109.450000000012</v>
      </c>
      <c r="F185" s="193">
        <v>56011.13</v>
      </c>
      <c r="G185" s="702">
        <v>1250</v>
      </c>
      <c r="H185" s="193">
        <v>0</v>
      </c>
      <c r="I185" s="193">
        <v>9959</v>
      </c>
      <c r="J185" s="193">
        <v>18374.45</v>
      </c>
      <c r="K185" s="193">
        <v>22103</v>
      </c>
      <c r="L185" s="193">
        <v>71168</v>
      </c>
      <c r="M185" s="322">
        <v>55167.87</v>
      </c>
      <c r="N185" s="193"/>
    </row>
    <row r="186" spans="2:14" hidden="1" x14ac:dyDescent="0.2">
      <c r="C186" s="230">
        <f>SUM(C182:C185)</f>
        <v>385887.41666666663</v>
      </c>
      <c r="D186" s="230">
        <f>SUM(D182:D185)</f>
        <v>311868.34999999998</v>
      </c>
      <c r="E186" s="230">
        <v>271106.65000000002</v>
      </c>
      <c r="F186" s="193">
        <f>SUM(F182:F185)</f>
        <v>237064.81</v>
      </c>
      <c r="G186" s="702">
        <f t="shared" ref="G186:N186" si="4">SUM(G182:G185)</f>
        <v>206333</v>
      </c>
      <c r="H186" s="193">
        <f t="shared" si="4"/>
        <v>175013</v>
      </c>
      <c r="I186" s="193">
        <f t="shared" si="4"/>
        <v>179285</v>
      </c>
      <c r="J186" s="193">
        <f t="shared" si="4"/>
        <v>285561.28999999998</v>
      </c>
      <c r="K186" s="193">
        <f t="shared" si="4"/>
        <v>254574</v>
      </c>
      <c r="L186" s="193">
        <f t="shared" si="4"/>
        <v>351668</v>
      </c>
      <c r="M186" s="193">
        <f t="shared" si="4"/>
        <v>347869.75</v>
      </c>
      <c r="N186" s="193">
        <f t="shared" si="4"/>
        <v>202714.52</v>
      </c>
    </row>
    <row r="187" spans="2:14" hidden="1" x14ac:dyDescent="0.2">
      <c r="D187" s="193"/>
      <c r="E187" s="193"/>
      <c r="F187" s="193"/>
      <c r="H187" s="193"/>
      <c r="I187" s="193"/>
      <c r="J187" s="193"/>
      <c r="K187" s="193"/>
      <c r="L187" s="322"/>
    </row>
    <row r="188" spans="2:14" hidden="1" x14ac:dyDescent="0.2">
      <c r="C188" s="193"/>
      <c r="D188" s="193"/>
      <c r="E188" s="193"/>
      <c r="F188" s="193"/>
      <c r="H188" s="322"/>
      <c r="I188" s="322"/>
      <c r="J188" s="322"/>
      <c r="K188" s="322"/>
    </row>
    <row r="189" spans="2:14" hidden="1" x14ac:dyDescent="0.2">
      <c r="C189" s="193"/>
      <c r="D189" s="193"/>
      <c r="E189" s="193"/>
      <c r="F189" s="193"/>
      <c r="H189" s="322"/>
      <c r="I189" s="322"/>
      <c r="J189" s="322"/>
      <c r="K189" s="322"/>
    </row>
    <row r="190" spans="2:14" hidden="1" x14ac:dyDescent="0.2"/>
    <row r="191" spans="2:14" hidden="1" x14ac:dyDescent="0.2"/>
    <row r="192" spans="2:14"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sheetData>
  <sortState ref="A82:J85">
    <sortCondition ref="A82:A85"/>
  </sortState>
  <mergeCells count="2">
    <mergeCell ref="A5:B5"/>
    <mergeCell ref="A55:B55"/>
  </mergeCells>
  <pageMargins left="0.45" right="0.25" top="1.25" bottom="0" header="0.3" footer="0.3"/>
  <pageSetup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5"/>
  <sheetViews>
    <sheetView zoomScale="75" zoomScaleNormal="75" workbookViewId="0"/>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1.5" style="18" customWidth="1"/>
    <col min="8" max="8" width="23.875" style="18" customWidth="1"/>
    <col min="9" max="9" width="1.25" style="18" customWidth="1"/>
    <col min="10" max="10" width="24.37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101</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181</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customHeight="1" x14ac:dyDescent="0.4">
      <c r="A3" s="59"/>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9" t="s">
        <v>53</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7.75" thickTop="1" thickBot="1" x14ac:dyDescent="0.25">
      <c r="A6" s="65" t="s">
        <v>54</v>
      </c>
      <c r="B6" s="65"/>
      <c r="C6" s="65"/>
      <c r="D6" s="65"/>
      <c r="E6" s="65"/>
      <c r="F6" s="65"/>
      <c r="G6" s="244"/>
      <c r="H6" s="244"/>
      <c r="I6" s="244" t="s">
        <v>55</v>
      </c>
      <c r="J6" s="244"/>
      <c r="K6" s="244"/>
      <c r="L6" s="244"/>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row>
    <row r="8" spans="1:128" s="73" customFormat="1" ht="21" thickBot="1" x14ac:dyDescent="0.35">
      <c r="A8" s="70"/>
      <c r="B8" s="154" t="s">
        <v>56</v>
      </c>
      <c r="C8" s="154"/>
      <c r="D8" s="154"/>
      <c r="E8" s="154"/>
      <c r="F8" s="154"/>
      <c r="G8" s="338"/>
      <c r="H8" s="289">
        <v>43524</v>
      </c>
      <c r="I8" s="289"/>
      <c r="J8" s="289">
        <v>43465</v>
      </c>
      <c r="K8" s="72"/>
      <c r="L8" s="289">
        <f>H8-365</f>
        <v>43159</v>
      </c>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6.75" customHeight="1" x14ac:dyDescent="0.2">
      <c r="A9" s="74"/>
      <c r="B9" s="74"/>
      <c r="C9" s="74"/>
      <c r="D9" s="74"/>
      <c r="E9" s="74"/>
      <c r="F9" s="74"/>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74" t="s">
        <v>57</v>
      </c>
      <c r="D10" s="74"/>
      <c r="E10" s="74"/>
      <c r="F10" s="74"/>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8" customFormat="1" ht="20.25" hidden="1" x14ac:dyDescent="0.2">
      <c r="A11" s="76"/>
      <c r="B11" s="76"/>
      <c r="C11" s="76"/>
      <c r="D11" s="76" t="s">
        <v>83</v>
      </c>
      <c r="E11" s="76"/>
      <c r="F11" s="76"/>
      <c r="G11" s="268"/>
      <c r="H11" s="268" t="s">
        <v>107</v>
      </c>
      <c r="I11" s="268"/>
      <c r="J11" s="268" t="s">
        <v>107</v>
      </c>
      <c r="K11" s="77"/>
      <c r="L11" s="268" t="s">
        <v>107</v>
      </c>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row>
    <row r="12" spans="1:128" s="78" customFormat="1" ht="20.25" hidden="1" x14ac:dyDescent="0.2">
      <c r="A12" s="76"/>
      <c r="B12" s="76"/>
      <c r="C12" s="76"/>
      <c r="D12" s="76" t="s">
        <v>84</v>
      </c>
      <c r="E12" s="76"/>
      <c r="F12" s="76"/>
      <c r="G12" s="268"/>
      <c r="H12" s="268" t="s">
        <v>107</v>
      </c>
      <c r="I12" s="268"/>
      <c r="J12" s="268" t="s">
        <v>107</v>
      </c>
      <c r="K12" s="77"/>
      <c r="L12" s="268" t="s">
        <v>107</v>
      </c>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row>
    <row r="13" spans="1:128" s="78" customFormat="1" ht="20.25" x14ac:dyDescent="0.2">
      <c r="A13" s="76"/>
      <c r="B13" s="76"/>
      <c r="C13" s="76"/>
      <c r="D13" s="76" t="s">
        <v>192</v>
      </c>
      <c r="E13" s="76"/>
      <c r="F13" s="76"/>
      <c r="G13" s="248"/>
      <c r="H13" s="248">
        <v>224635.26</v>
      </c>
      <c r="I13" s="248"/>
      <c r="J13" s="248">
        <v>274101.40000000002</v>
      </c>
      <c r="K13" s="77"/>
      <c r="L13" s="248">
        <v>335911.5</v>
      </c>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row>
    <row r="14" spans="1:128" s="78" customFormat="1" ht="20.25" x14ac:dyDescent="0.2">
      <c r="A14" s="76"/>
      <c r="B14" s="76"/>
      <c r="C14" s="76"/>
      <c r="D14" s="76" t="s">
        <v>193</v>
      </c>
      <c r="E14" s="76"/>
      <c r="F14" s="76"/>
      <c r="G14" s="237"/>
      <c r="H14" s="237">
        <v>199.98</v>
      </c>
      <c r="I14" s="237"/>
      <c r="J14" s="237">
        <v>199.98</v>
      </c>
      <c r="K14" s="77"/>
      <c r="L14" s="237">
        <v>1727.01</v>
      </c>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row>
    <row r="15" spans="1:128" s="78" customFormat="1" ht="20.25" x14ac:dyDescent="0.2">
      <c r="A15" s="76"/>
      <c r="B15" s="76"/>
      <c r="C15" s="79"/>
      <c r="D15" s="79" t="s">
        <v>85</v>
      </c>
      <c r="E15" s="79"/>
      <c r="F15" s="79"/>
      <c r="G15" s="235"/>
      <c r="H15" s="238">
        <v>200</v>
      </c>
      <c r="I15" s="235"/>
      <c r="J15" s="238">
        <v>200</v>
      </c>
      <c r="K15" s="77"/>
      <c r="L15" s="238">
        <v>200</v>
      </c>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row>
    <row r="16" spans="1:128" s="75" customFormat="1" ht="20.25" x14ac:dyDescent="0.2">
      <c r="A16" s="74"/>
      <c r="B16" s="74"/>
      <c r="C16" s="74" t="s">
        <v>58</v>
      </c>
      <c r="D16" s="74"/>
      <c r="E16" s="74"/>
      <c r="F16" s="74"/>
      <c r="G16" s="239"/>
      <c r="H16" s="239">
        <f>ROUND(SUM(H10:H15),5)</f>
        <v>225035.24</v>
      </c>
      <c r="I16" s="239"/>
      <c r="J16" s="239">
        <f>ROUND(SUM(J10:J15),5)</f>
        <v>274501.38</v>
      </c>
      <c r="K16" s="69"/>
      <c r="L16" s="239">
        <f>ROUND(SUM(L10:L15),5)</f>
        <v>337838.51</v>
      </c>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14.25" customHeight="1" x14ac:dyDescent="0.2">
      <c r="A17" s="74"/>
      <c r="B17" s="74"/>
      <c r="C17" s="74"/>
      <c r="D17" s="74"/>
      <c r="E17" s="74"/>
      <c r="F17" s="74"/>
      <c r="G17" s="237"/>
      <c r="H17" s="237"/>
      <c r="I17" s="237"/>
      <c r="J17" s="237"/>
      <c r="K17" s="69"/>
      <c r="L17" s="237"/>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74" t="s">
        <v>60</v>
      </c>
      <c r="D18" s="74"/>
      <c r="E18" s="74"/>
      <c r="F18" s="74"/>
      <c r="G18" s="237"/>
      <c r="H18" s="237"/>
      <c r="I18" s="237"/>
      <c r="J18" s="237"/>
      <c r="K18" s="69"/>
      <c r="L18" s="237"/>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8" customFormat="1" ht="20.25" x14ac:dyDescent="0.2">
      <c r="A19" s="76"/>
      <c r="B19" s="76"/>
      <c r="C19" s="80"/>
      <c r="D19" s="80" t="s">
        <v>158</v>
      </c>
      <c r="E19" s="80"/>
      <c r="F19" s="80"/>
      <c r="G19" s="288"/>
      <c r="H19" s="288">
        <f>'Feb''19 AR Aging '!G65</f>
        <v>385887.41667000001</v>
      </c>
      <c r="I19" s="288"/>
      <c r="J19" s="288">
        <v>245292.72</v>
      </c>
      <c r="K19" s="251"/>
      <c r="L19" s="288">
        <v>287550</v>
      </c>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row>
    <row r="20" spans="1:61" s="78" customFormat="1" ht="20.25" x14ac:dyDescent="0.2">
      <c r="A20" s="408"/>
      <c r="B20" s="410"/>
      <c r="C20" s="80"/>
      <c r="D20" s="80" t="s">
        <v>172</v>
      </c>
      <c r="E20" s="80"/>
      <c r="F20" s="80"/>
      <c r="G20" s="288"/>
      <c r="H20" s="235">
        <v>2518.0300000000002</v>
      </c>
      <c r="I20" s="288"/>
      <c r="J20" s="288"/>
      <c r="K20" s="251"/>
      <c r="L20" s="288">
        <v>52</v>
      </c>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row>
    <row r="21" spans="1:61" s="78" customFormat="1" ht="20.25" x14ac:dyDescent="0.2">
      <c r="A21" s="76"/>
      <c r="B21" s="410"/>
      <c r="C21" s="76"/>
      <c r="D21" s="76" t="s">
        <v>235</v>
      </c>
      <c r="E21" s="76"/>
      <c r="F21" s="76"/>
      <c r="G21" s="237"/>
      <c r="H21" s="237">
        <v>170486.28</v>
      </c>
      <c r="I21" s="237"/>
      <c r="J21" s="237">
        <v>159621.23000000001</v>
      </c>
      <c r="K21" s="251"/>
      <c r="L21" s="237">
        <v>164746.72</v>
      </c>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row>
    <row r="22" spans="1:61" s="78" customFormat="1" ht="20.25" x14ac:dyDescent="0.2">
      <c r="A22" s="76"/>
      <c r="B22" s="410"/>
      <c r="C22" s="79"/>
      <c r="D22" s="79" t="s">
        <v>86</v>
      </c>
      <c r="E22" s="79"/>
      <c r="F22" s="79"/>
      <c r="G22" s="235"/>
      <c r="H22" s="238">
        <f>5343.44+1858.56</f>
        <v>7202</v>
      </c>
      <c r="I22" s="235"/>
      <c r="J22" s="417">
        <f>3160.78+1098.06</f>
        <v>4258.84</v>
      </c>
      <c r="K22" s="251"/>
      <c r="L22" s="238">
        <f>6668.92+1136.06</f>
        <v>7804.98</v>
      </c>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row>
    <row r="23" spans="1:61" s="75" customFormat="1" ht="20.25" x14ac:dyDescent="0.2">
      <c r="A23" s="74"/>
      <c r="B23" s="68"/>
      <c r="C23" s="68" t="s">
        <v>61</v>
      </c>
      <c r="D23" s="68"/>
      <c r="E23" s="68"/>
      <c r="F23" s="68"/>
      <c r="G23" s="240"/>
      <c r="H23" s="240">
        <f>SUM(H19:H22)</f>
        <v>566093.72667</v>
      </c>
      <c r="I23" s="240"/>
      <c r="J23" s="240">
        <f>SUM(J19:J22)</f>
        <v>409172.79000000004</v>
      </c>
      <c r="K23" s="269"/>
      <c r="L23" s="240">
        <f>SUM(L19:L22)</f>
        <v>460153.69999999995</v>
      </c>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0.25" x14ac:dyDescent="0.2">
      <c r="A24" s="74"/>
      <c r="B24" s="68"/>
      <c r="C24" s="68"/>
      <c r="D24" s="68"/>
      <c r="E24" s="68"/>
      <c r="F24" s="68"/>
      <c r="G24" s="235"/>
      <c r="H24" s="235"/>
      <c r="I24" s="235"/>
      <c r="J24" s="235"/>
      <c r="K24" s="69"/>
      <c r="L24" s="235"/>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1" thickBot="1" x14ac:dyDescent="0.25">
      <c r="A25" s="74"/>
      <c r="B25" s="81" t="s">
        <v>62</v>
      </c>
      <c r="C25" s="81"/>
      <c r="D25" s="81"/>
      <c r="E25" s="81"/>
      <c r="F25" s="81"/>
      <c r="G25" s="240"/>
      <c r="H25" s="241">
        <f>H16+H23</f>
        <v>791128.96666999999</v>
      </c>
      <c r="I25" s="240"/>
      <c r="J25" s="241">
        <f>J16+J23</f>
        <v>683674.17</v>
      </c>
      <c r="K25" s="69"/>
      <c r="L25" s="241">
        <f>L16+L23</f>
        <v>797992.21</v>
      </c>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1" thickTop="1" x14ac:dyDescent="0.2">
      <c r="A26" s="74"/>
      <c r="B26" s="74"/>
      <c r="C26" s="74"/>
      <c r="D26" s="74"/>
      <c r="E26" s="74"/>
      <c r="F26" s="74"/>
      <c r="G26" s="240"/>
      <c r="H26" s="239"/>
      <c r="I26" s="240"/>
      <c r="J26" s="239"/>
      <c r="K26" s="69"/>
      <c r="L26" s="23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3" customFormat="1" ht="20.25" x14ac:dyDescent="0.3">
      <c r="A27" s="70"/>
      <c r="B27" s="71" t="s">
        <v>63</v>
      </c>
      <c r="C27" s="71"/>
      <c r="D27" s="71"/>
      <c r="E27" s="71"/>
      <c r="F27" s="71"/>
      <c r="G27" s="274"/>
      <c r="H27" s="242"/>
      <c r="I27" s="274"/>
      <c r="J27" s="242"/>
      <c r="K27" s="72"/>
      <c r="L27" s="24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row>
    <row r="28" spans="1:61" s="78" customFormat="1" ht="20.25" hidden="1" x14ac:dyDescent="0.2">
      <c r="A28" s="76"/>
      <c r="B28" s="410"/>
      <c r="C28" s="76"/>
      <c r="D28" s="76" t="s">
        <v>87</v>
      </c>
      <c r="E28" s="76"/>
      <c r="F28" s="76"/>
      <c r="G28" s="235"/>
      <c r="H28" s="237">
        <v>221731.4</v>
      </c>
      <c r="I28" s="235"/>
      <c r="J28" s="237">
        <v>192474.47</v>
      </c>
      <c r="K28" s="251"/>
      <c r="L28" s="237">
        <v>192474.47</v>
      </c>
      <c r="M28" s="77"/>
      <c r="N28" s="77"/>
      <c r="O28" s="77"/>
      <c r="P28" s="251"/>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row>
    <row r="29" spans="1:61" s="78" customFormat="1" ht="20.25" hidden="1" x14ac:dyDescent="0.2">
      <c r="A29" s="76"/>
      <c r="B29" s="410"/>
      <c r="C29" s="76"/>
      <c r="D29" s="76" t="s">
        <v>88</v>
      </c>
      <c r="E29" s="76"/>
      <c r="F29" s="76"/>
      <c r="G29" s="235"/>
      <c r="H29" s="237">
        <v>49562</v>
      </c>
      <c r="I29" s="235"/>
      <c r="J29" s="237">
        <v>49562</v>
      </c>
      <c r="K29" s="251"/>
      <c r="L29" s="237">
        <v>49562</v>
      </c>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row>
    <row r="30" spans="1:61" s="78" customFormat="1" ht="20.25" hidden="1" x14ac:dyDescent="0.2">
      <c r="A30" s="76"/>
      <c r="B30" s="410"/>
      <c r="C30" s="76"/>
      <c r="D30" s="76" t="s">
        <v>89</v>
      </c>
      <c r="E30" s="76"/>
      <c r="F30" s="76"/>
      <c r="G30" s="235"/>
      <c r="H30" s="237">
        <v>207734.77</v>
      </c>
      <c r="I30" s="235"/>
      <c r="J30" s="237">
        <v>162848.99</v>
      </c>
      <c r="K30" s="251"/>
      <c r="L30" s="237">
        <v>158464.06</v>
      </c>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row>
    <row r="31" spans="1:61" s="78" customFormat="1" ht="20.25" hidden="1" x14ac:dyDescent="0.2">
      <c r="A31" s="76"/>
      <c r="B31" s="80"/>
      <c r="C31" s="80"/>
      <c r="D31" s="80" t="s">
        <v>90</v>
      </c>
      <c r="E31" s="80"/>
      <c r="F31" s="80"/>
      <c r="G31" s="235"/>
      <c r="H31" s="235">
        <v>-324036.03999999998</v>
      </c>
      <c r="I31" s="235"/>
      <c r="J31" s="235">
        <v>-285865.03999999998</v>
      </c>
      <c r="K31" s="251"/>
      <c r="L31" s="235">
        <f>-279077.04</f>
        <v>-279077.03999999998</v>
      </c>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row>
    <row r="32" spans="1:61" s="75" customFormat="1" ht="20.25" x14ac:dyDescent="0.2">
      <c r="A32" s="74"/>
      <c r="B32" s="81" t="s">
        <v>396</v>
      </c>
      <c r="C32" s="81"/>
      <c r="D32" s="81"/>
      <c r="E32" s="81"/>
      <c r="F32" s="81"/>
      <c r="G32" s="240"/>
      <c r="H32" s="243">
        <v>149521.75</v>
      </c>
      <c r="I32" s="240"/>
      <c r="J32" s="243">
        <v>155171.13</v>
      </c>
      <c r="K32" s="69"/>
      <c r="L32" s="243">
        <v>113234.42</v>
      </c>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row>
    <row r="33" spans="1:61" s="75" customFormat="1" ht="7.5" customHeight="1" x14ac:dyDescent="0.2">
      <c r="A33" s="74"/>
      <c r="B33" s="74"/>
      <c r="C33" s="74"/>
      <c r="D33" s="74"/>
      <c r="E33" s="74"/>
      <c r="F33" s="74"/>
      <c r="G33" s="240"/>
      <c r="H33" s="239"/>
      <c r="I33" s="240"/>
      <c r="J33" s="239"/>
      <c r="K33" s="69"/>
      <c r="L33" s="23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row>
    <row r="34" spans="1:61" s="75" customFormat="1" ht="12.75" customHeight="1" thickBot="1" x14ac:dyDescent="0.25">
      <c r="A34" s="74"/>
      <c r="B34" s="74"/>
      <c r="C34" s="74"/>
      <c r="D34" s="74"/>
      <c r="E34" s="74"/>
      <c r="F34" s="74"/>
      <c r="G34" s="235"/>
      <c r="H34" s="235"/>
      <c r="I34" s="235"/>
      <c r="J34" s="235"/>
      <c r="K34" s="69"/>
      <c r="L34" s="235"/>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row>
    <row r="35" spans="1:61" s="84" customFormat="1" ht="27.75" thickTop="1" thickBot="1" x14ac:dyDescent="0.25">
      <c r="A35" s="82" t="s">
        <v>64</v>
      </c>
      <c r="B35" s="82"/>
      <c r="C35" s="82"/>
      <c r="D35" s="82"/>
      <c r="E35" s="82"/>
      <c r="F35" s="82"/>
      <c r="G35" s="276"/>
      <c r="H35" s="249">
        <f>H25+H32</f>
        <v>940650.71666999999</v>
      </c>
      <c r="I35" s="276"/>
      <c r="J35" s="249">
        <f>J25+J32</f>
        <v>838845.3</v>
      </c>
      <c r="K35" s="83"/>
      <c r="L35" s="249">
        <f>L25+L32</f>
        <v>911226.63</v>
      </c>
      <c r="M35" s="83"/>
      <c r="N35" s="83"/>
      <c r="O35" s="83"/>
      <c r="P35" s="696"/>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row>
    <row r="36" spans="1:61" s="86" customFormat="1" ht="33" customHeight="1" thickTop="1" thickBot="1" x14ac:dyDescent="0.25">
      <c r="A36" s="74"/>
      <c r="B36" s="74"/>
      <c r="C36" s="74"/>
      <c r="D36" s="74"/>
      <c r="E36" s="74"/>
      <c r="F36" s="74"/>
      <c r="G36" s="340"/>
      <c r="H36" s="240"/>
      <c r="I36" s="240"/>
      <c r="J36" s="240"/>
      <c r="K36" s="85"/>
      <c r="L36" s="240"/>
      <c r="M36" s="85"/>
      <c r="N36" s="85"/>
      <c r="O36" s="85"/>
      <c r="P36" s="421"/>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row>
    <row r="37" spans="1:61" s="67" customFormat="1" ht="27.75" thickTop="1" thickBot="1" x14ac:dyDescent="0.25">
      <c r="A37" s="65" t="s">
        <v>65</v>
      </c>
      <c r="B37" s="65"/>
      <c r="C37" s="65"/>
      <c r="D37" s="65"/>
      <c r="E37" s="65"/>
      <c r="F37" s="65"/>
      <c r="G37" s="339"/>
      <c r="H37" s="244"/>
      <c r="I37" s="244"/>
      <c r="J37" s="244"/>
      <c r="K37" s="66"/>
      <c r="L37" s="244"/>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row>
    <row r="38" spans="1:61" s="75" customFormat="1" ht="12.75" customHeight="1" thickTop="1" x14ac:dyDescent="0.2">
      <c r="A38" s="74"/>
      <c r="B38" s="74"/>
      <c r="C38" s="74"/>
      <c r="D38" s="74"/>
      <c r="E38" s="74"/>
      <c r="F38" s="74"/>
      <c r="G38" s="237"/>
      <c r="H38" s="237"/>
      <c r="I38" s="235"/>
      <c r="J38" s="237"/>
      <c r="K38" s="69"/>
      <c r="L38" s="237"/>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row>
    <row r="39" spans="1:61" s="75" customFormat="1" ht="24" thickBot="1" x14ac:dyDescent="0.25">
      <c r="A39" s="74"/>
      <c r="B39" s="87" t="s">
        <v>66</v>
      </c>
      <c r="C39" s="88"/>
      <c r="D39" s="88"/>
      <c r="E39" s="88"/>
      <c r="F39" s="88"/>
      <c r="G39" s="245"/>
      <c r="H39" s="245"/>
      <c r="I39" s="245"/>
      <c r="J39" s="245"/>
      <c r="K39" s="69"/>
      <c r="L39" s="245"/>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row>
    <row r="40" spans="1:61" s="75" customFormat="1" ht="9" customHeight="1" x14ac:dyDescent="0.2">
      <c r="A40" s="74"/>
      <c r="B40" s="74"/>
      <c r="C40" s="74"/>
      <c r="D40" s="74"/>
      <c r="E40" s="74"/>
      <c r="F40" s="74"/>
      <c r="G40" s="235"/>
      <c r="H40" s="237"/>
      <c r="I40" s="235"/>
      <c r="J40" s="237"/>
      <c r="K40" s="69"/>
      <c r="L40" s="237"/>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row>
    <row r="41" spans="1:61" s="73" customFormat="1" ht="21" thickBot="1" x14ac:dyDescent="0.35">
      <c r="A41" s="70"/>
      <c r="B41" s="154" t="s">
        <v>67</v>
      </c>
      <c r="C41" s="155"/>
      <c r="D41" s="154"/>
      <c r="E41" s="154"/>
      <c r="F41" s="154"/>
      <c r="G41" s="274"/>
      <c r="H41" s="236"/>
      <c r="I41" s="274"/>
      <c r="J41" s="236"/>
      <c r="K41" s="72"/>
      <c r="L41" s="236"/>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row>
    <row r="42" spans="1:61" s="78" customFormat="1" ht="20.25" x14ac:dyDescent="0.2">
      <c r="A42" s="76"/>
      <c r="B42" s="76"/>
      <c r="C42" s="76"/>
      <c r="D42" s="76" t="s">
        <v>159</v>
      </c>
      <c r="F42" s="76"/>
      <c r="G42" s="250"/>
      <c r="H42" s="250">
        <v>42623.3</v>
      </c>
      <c r="I42" s="250"/>
      <c r="J42" s="250">
        <f>43238.03</f>
        <v>43238.03</v>
      </c>
      <c r="K42" s="398"/>
      <c r="L42" s="250">
        <f>33817.14+3061.36+566.49+2817.23</f>
        <v>40262.22</v>
      </c>
      <c r="M42" s="77"/>
      <c r="N42" s="398"/>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row>
    <row r="43" spans="1:61" s="78" customFormat="1" ht="20.25" x14ac:dyDescent="0.2">
      <c r="A43" s="76"/>
      <c r="B43" s="76"/>
      <c r="C43" s="76"/>
      <c r="D43" s="76" t="s">
        <v>103</v>
      </c>
      <c r="F43" s="76"/>
      <c r="G43" s="235"/>
      <c r="H43" s="235">
        <v>270.14999999999998</v>
      </c>
      <c r="I43" s="235"/>
      <c r="J43" s="235">
        <v>139.85</v>
      </c>
      <c r="K43" s="77"/>
      <c r="L43" s="235">
        <v>2085.15</v>
      </c>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row>
    <row r="44" spans="1:61" s="78" customFormat="1" ht="20.25" x14ac:dyDescent="0.2">
      <c r="A44" s="76"/>
      <c r="B44" s="76"/>
      <c r="C44" s="76"/>
      <c r="D44" s="80" t="s">
        <v>91</v>
      </c>
      <c r="F44" s="76"/>
      <c r="G44" s="235"/>
      <c r="H44" s="237">
        <f>4220.35+3000</f>
        <v>7220.35</v>
      </c>
      <c r="I44" s="237"/>
      <c r="J44" s="237">
        <v>21393</v>
      </c>
      <c r="K44" s="77"/>
      <c r="L44" s="237">
        <v>22029</v>
      </c>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row>
    <row r="45" spans="1:61" s="78" customFormat="1" ht="20.25" hidden="1" x14ac:dyDescent="0.2">
      <c r="A45" s="76"/>
      <c r="B45" s="76"/>
      <c r="C45" s="76"/>
      <c r="D45" s="80" t="s">
        <v>167</v>
      </c>
      <c r="F45" s="76"/>
      <c r="G45" s="235"/>
      <c r="H45" s="237">
        <v>0</v>
      </c>
      <c r="I45" s="237"/>
      <c r="J45" s="237">
        <v>0</v>
      </c>
      <c r="K45" s="77"/>
      <c r="L45" s="237">
        <v>0</v>
      </c>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row>
    <row r="46" spans="1:61" s="78" customFormat="1" ht="20.25" x14ac:dyDescent="0.2">
      <c r="A46" s="76"/>
      <c r="B46" s="76"/>
      <c r="C46" s="76"/>
      <c r="D46" s="79" t="s">
        <v>102</v>
      </c>
      <c r="E46" s="153"/>
      <c r="F46" s="79"/>
      <c r="G46" s="235"/>
      <c r="H46" s="237">
        <f>'Feb''19 Revenues &amp; Expenses'!L39</f>
        <v>89183.31</v>
      </c>
      <c r="I46" s="337"/>
      <c r="J46" s="237">
        <v>45765.85</v>
      </c>
      <c r="K46" s="251"/>
      <c r="L46" s="237">
        <v>67363.72</v>
      </c>
      <c r="M46" s="77"/>
      <c r="N46" s="77"/>
      <c r="O46" s="77"/>
      <c r="P46" s="251"/>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row>
    <row r="47" spans="1:61" s="78" customFormat="1" ht="20.25" x14ac:dyDescent="0.2">
      <c r="A47" s="76"/>
      <c r="B47" s="76"/>
      <c r="C47" s="81" t="s">
        <v>78</v>
      </c>
      <c r="D47" s="76"/>
      <c r="F47" s="76"/>
      <c r="G47" s="235"/>
      <c r="H47" s="246">
        <f>SUM(H42:H46)</f>
        <v>139297.10999999999</v>
      </c>
      <c r="I47" s="337"/>
      <c r="J47" s="246">
        <f>SUM(J42:J46)</f>
        <v>110536.73</v>
      </c>
      <c r="K47" s="77"/>
      <c r="L47" s="246">
        <f>SUM(L42:L46)</f>
        <v>131740.09</v>
      </c>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row>
    <row r="48" spans="1:61" s="78" customFormat="1" ht="9.75" customHeight="1" x14ac:dyDescent="0.2">
      <c r="A48" s="76"/>
      <c r="B48" s="76"/>
      <c r="C48" s="76"/>
      <c r="D48" s="76"/>
      <c r="E48" s="76"/>
      <c r="F48" s="76"/>
      <c r="G48" s="235"/>
      <c r="H48" s="237"/>
      <c r="I48" s="337"/>
      <c r="J48" s="237"/>
      <c r="K48" s="77"/>
      <c r="L48" s="23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row>
    <row r="49" spans="1:61" s="78" customFormat="1" ht="20.25" x14ac:dyDescent="0.2">
      <c r="A49" s="76"/>
      <c r="B49" s="76"/>
      <c r="C49" s="89" t="s">
        <v>80</v>
      </c>
      <c r="D49" s="89"/>
      <c r="E49" s="153"/>
      <c r="F49" s="153"/>
      <c r="G49" s="235"/>
      <c r="H49" s="238"/>
      <c r="I49" s="337"/>
      <c r="J49" s="238"/>
      <c r="K49" s="77"/>
      <c r="L49" s="238"/>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row>
    <row r="50" spans="1:61" s="78" customFormat="1" ht="20.25" x14ac:dyDescent="0.2">
      <c r="A50" s="76"/>
      <c r="B50" s="76"/>
      <c r="C50" s="76"/>
      <c r="D50" s="76" t="s">
        <v>94</v>
      </c>
      <c r="E50" s="76"/>
      <c r="F50" s="76"/>
      <c r="G50" s="235"/>
      <c r="H50" s="235">
        <f>32683.32+3146.1-H52-H53</f>
        <v>34235.1</v>
      </c>
      <c r="I50" s="337"/>
      <c r="J50" s="235">
        <f>21018.38+1995.43-J52-J53</f>
        <v>21333.690000000002</v>
      </c>
      <c r="K50" s="77"/>
      <c r="L50" s="235">
        <f>28954.27+4996.86-L52-L53</f>
        <v>32091.68</v>
      </c>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row>
    <row r="51" spans="1:61" s="78" customFormat="1" ht="20.25" x14ac:dyDescent="0.2">
      <c r="A51" s="76"/>
      <c r="B51" s="76"/>
      <c r="C51" s="76"/>
      <c r="D51" s="76" t="s">
        <v>95</v>
      </c>
      <c r="E51" s="76"/>
      <c r="F51" s="76"/>
      <c r="G51" s="235"/>
      <c r="H51" s="235">
        <v>26090.73</v>
      </c>
      <c r="I51" s="337"/>
      <c r="J51" s="235">
        <v>19121.490000000002</v>
      </c>
      <c r="K51" s="77"/>
      <c r="L51" s="235">
        <v>29355.42</v>
      </c>
      <c r="M51" s="77"/>
      <c r="N51" s="77"/>
      <c r="O51" s="77"/>
      <c r="P51" s="77"/>
      <c r="Q51" s="251"/>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row>
    <row r="52" spans="1:61" s="78" customFormat="1" ht="20.25" x14ac:dyDescent="0.2">
      <c r="A52" s="76"/>
      <c r="B52" s="76"/>
      <c r="C52" s="76"/>
      <c r="D52" s="76" t="s">
        <v>96</v>
      </c>
      <c r="E52" s="76"/>
      <c r="F52" s="76"/>
      <c r="G52" s="235"/>
      <c r="H52" s="237">
        <v>1527.8</v>
      </c>
      <c r="I52" s="337"/>
      <c r="J52" s="237">
        <v>1527.8</v>
      </c>
      <c r="K52" s="77"/>
      <c r="L52" s="237">
        <v>1646.85</v>
      </c>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61" s="78" customFormat="1" ht="20.25" x14ac:dyDescent="0.2">
      <c r="A53" s="76"/>
      <c r="B53" s="76"/>
      <c r="C53" s="76"/>
      <c r="D53" s="76" t="s">
        <v>97</v>
      </c>
      <c r="E53" s="76"/>
      <c r="F53" s="76"/>
      <c r="G53" s="235"/>
      <c r="H53" s="238">
        <v>66.52</v>
      </c>
      <c r="I53" s="337"/>
      <c r="J53" s="238">
        <v>152.32</v>
      </c>
      <c r="K53" s="77"/>
      <c r="L53" s="238">
        <v>212.6</v>
      </c>
      <c r="M53" s="77"/>
      <c r="N53" s="77"/>
      <c r="O53" s="77"/>
      <c r="P53" s="77"/>
      <c r="Q53" s="251"/>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row>
    <row r="54" spans="1:61" s="78" customFormat="1" ht="20.25" x14ac:dyDescent="0.2">
      <c r="A54" s="76"/>
      <c r="B54" s="76"/>
      <c r="C54" s="68" t="s">
        <v>79</v>
      </c>
      <c r="D54" s="76"/>
      <c r="F54" s="80"/>
      <c r="G54" s="235"/>
      <c r="H54" s="235">
        <f>ROUND(SUM(H49:H53),5)</f>
        <v>61920.15</v>
      </c>
      <c r="I54" s="337"/>
      <c r="J54" s="235">
        <f>ROUND(SUM(J49:J53),5)</f>
        <v>42135.3</v>
      </c>
      <c r="K54" s="77"/>
      <c r="L54" s="235">
        <f>ROUND(SUM(L49:L53),5)</f>
        <v>63306.55</v>
      </c>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row>
    <row r="55" spans="1:61" s="78" customFormat="1" ht="7.5" customHeight="1" x14ac:dyDescent="0.2">
      <c r="A55" s="76"/>
      <c r="B55" s="76"/>
      <c r="C55" s="79"/>
      <c r="D55" s="79"/>
      <c r="E55" s="79"/>
      <c r="F55" s="79"/>
      <c r="G55" s="235"/>
      <c r="H55" s="238"/>
      <c r="I55" s="337"/>
      <c r="J55" s="238"/>
      <c r="K55" s="77"/>
      <c r="L55" s="238"/>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row>
    <row r="56" spans="1:61" s="75" customFormat="1" ht="20.25" x14ac:dyDescent="0.2">
      <c r="A56" s="74"/>
      <c r="B56" s="74"/>
      <c r="C56" s="74" t="s">
        <v>81</v>
      </c>
      <c r="D56" s="74"/>
      <c r="E56" s="74"/>
      <c r="F56" s="74"/>
      <c r="G56" s="240"/>
      <c r="H56" s="239">
        <f>H47+H54</f>
        <v>201217.25999999998</v>
      </c>
      <c r="I56" s="403"/>
      <c r="J56" s="239">
        <f>J47+J54</f>
        <v>152672.03</v>
      </c>
      <c r="K56" s="269"/>
      <c r="L56" s="239">
        <f>L47+L54</f>
        <v>195046.64</v>
      </c>
      <c r="M56" s="69"/>
      <c r="N56" s="358"/>
      <c r="O56" s="69"/>
      <c r="P56" s="358"/>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row>
    <row r="57" spans="1:61" s="75" customFormat="1" ht="18.75" customHeight="1" x14ac:dyDescent="0.2">
      <c r="A57" s="74"/>
      <c r="B57" s="74"/>
      <c r="C57" s="74"/>
      <c r="D57" s="74"/>
      <c r="E57" s="74"/>
      <c r="F57" s="74"/>
      <c r="G57" s="240"/>
      <c r="H57" s="239"/>
      <c r="I57" s="403"/>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row>
    <row r="58" spans="1:61" s="75" customFormat="1" ht="24" thickBot="1" x14ac:dyDescent="0.25">
      <c r="A58" s="74"/>
      <c r="B58" s="87" t="s">
        <v>68</v>
      </c>
      <c r="C58" s="88"/>
      <c r="D58" s="88"/>
      <c r="E58" s="88"/>
      <c r="F58" s="88"/>
      <c r="G58" s="235"/>
      <c r="H58" s="245"/>
      <c r="I58" s="337"/>
      <c r="J58" s="245"/>
      <c r="K58" s="69"/>
      <c r="L58" s="245"/>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row>
    <row r="59" spans="1:61" s="78" customFormat="1" ht="20.25" x14ac:dyDescent="0.2">
      <c r="A59" s="76"/>
      <c r="B59" s="76"/>
      <c r="D59" s="76" t="s">
        <v>431</v>
      </c>
      <c r="E59" s="76"/>
      <c r="F59" s="76"/>
      <c r="G59" s="235"/>
      <c r="H59" s="237">
        <f>J59+J61</f>
        <v>654189.64</v>
      </c>
      <c r="I59" s="337"/>
      <c r="J59" s="237">
        <f>686173.27-J61-J60</f>
        <v>630809.30000000005</v>
      </c>
      <c r="K59" s="251"/>
      <c r="L59" s="237">
        <f>J59</f>
        <v>630809.30000000005</v>
      </c>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row>
    <row r="60" spans="1:61" s="78" customFormat="1" ht="20.25" x14ac:dyDescent="0.2">
      <c r="A60" s="76"/>
      <c r="B60" s="76"/>
      <c r="D60" s="76" t="s">
        <v>432</v>
      </c>
      <c r="E60" s="76"/>
      <c r="F60" s="76"/>
      <c r="G60" s="235"/>
      <c r="H60" s="237">
        <f>'Feb''19 Revenues &amp; Expenses'!L58</f>
        <v>87288.223333333328</v>
      </c>
      <c r="I60" s="337"/>
      <c r="J60" s="237">
        <v>31983.63</v>
      </c>
      <c r="K60" s="251"/>
      <c r="L60" s="237">
        <v>94165.37</v>
      </c>
      <c r="M60" s="77"/>
      <c r="N60" s="77"/>
      <c r="O60" s="251"/>
      <c r="P60" s="251"/>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1:61" s="75" customFormat="1" ht="21" thickBot="1" x14ac:dyDescent="0.25">
      <c r="A61" s="74"/>
      <c r="B61" s="74"/>
      <c r="D61" s="76" t="s">
        <v>137</v>
      </c>
      <c r="E61" s="74"/>
      <c r="F61" s="88"/>
      <c r="G61" s="337"/>
      <c r="H61" s="245">
        <f>'Feb''19 State of Activities'!G58</f>
        <v>-2044.4199999999837</v>
      </c>
      <c r="I61" s="337"/>
      <c r="J61" s="245">
        <v>23380.34</v>
      </c>
      <c r="K61" s="69"/>
      <c r="L61" s="245">
        <v>-8794.68</v>
      </c>
      <c r="M61" s="69"/>
      <c r="N61" s="69"/>
      <c r="O61" s="69"/>
      <c r="P61" s="407"/>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row>
    <row r="62" spans="1:61" s="75" customFormat="1" ht="23.25" x14ac:dyDescent="0.2">
      <c r="A62" s="74"/>
      <c r="B62" s="90" t="s">
        <v>69</v>
      </c>
      <c r="C62" s="91"/>
      <c r="D62" s="91"/>
      <c r="E62" s="91"/>
      <c r="F62" s="68"/>
      <c r="G62" s="403"/>
      <c r="H62" s="240">
        <f>ROUND(SUM(H58:H61),5)</f>
        <v>739433.44333000004</v>
      </c>
      <c r="I62" s="403"/>
      <c r="J62" s="240">
        <f>ROUND(SUM(J58:J61),5)</f>
        <v>686173.27</v>
      </c>
      <c r="K62" s="69"/>
      <c r="L62" s="240">
        <f>ROUND(SUM(L58:L61),5)</f>
        <v>716179.99</v>
      </c>
      <c r="M62" s="69"/>
      <c r="N62" s="69"/>
      <c r="O62" s="69"/>
      <c r="P62" s="407"/>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row>
    <row r="63" spans="1:61" s="75" customFormat="1" ht="12.75" customHeight="1" x14ac:dyDescent="0.2">
      <c r="A63" s="74"/>
      <c r="B63" s="74"/>
      <c r="C63" s="74"/>
      <c r="D63" s="74"/>
      <c r="E63" s="74"/>
      <c r="F63" s="74"/>
      <c r="G63" s="337"/>
      <c r="H63" s="238"/>
      <c r="I63" s="337"/>
      <c r="J63" s="238"/>
      <c r="K63" s="69"/>
      <c r="L63" s="238"/>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row>
    <row r="64" spans="1:61" s="92" customFormat="1" ht="27" thickBot="1" x14ac:dyDescent="0.25">
      <c r="A64" s="82" t="s">
        <v>70</v>
      </c>
      <c r="B64" s="82"/>
      <c r="C64" s="82"/>
      <c r="D64" s="82"/>
      <c r="E64" s="82"/>
      <c r="F64" s="82"/>
      <c r="G64" s="404"/>
      <c r="H64" s="371">
        <f>SUM(H56+H62)</f>
        <v>940650.70333000005</v>
      </c>
      <c r="I64" s="404"/>
      <c r="J64" s="371">
        <f>SUM(J56+J62)</f>
        <v>838845.3</v>
      </c>
      <c r="K64" s="83"/>
      <c r="L64" s="371">
        <f>SUM(L56+L62)</f>
        <v>911226.63</v>
      </c>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row>
    <row r="65" spans="3:12" ht="15" thickTop="1" x14ac:dyDescent="0.2">
      <c r="D65" s="359"/>
      <c r="G65" s="1"/>
      <c r="I65" s="1"/>
    </row>
    <row r="66" spans="3:12" hidden="1" x14ac:dyDescent="0.2">
      <c r="G66" s="405"/>
      <c r="H66" s="254"/>
      <c r="I66" s="254"/>
      <c r="J66" s="254"/>
      <c r="L66" s="254"/>
    </row>
    <row r="67" spans="3:12" ht="14.25" customHeight="1" x14ac:dyDescent="0.2">
      <c r="C67" s="803" t="s">
        <v>215</v>
      </c>
      <c r="D67" s="803"/>
      <c r="E67" s="803"/>
      <c r="F67" s="803"/>
      <c r="G67" s="1"/>
      <c r="H67" s="458">
        <f>(H19+H16)/H56</f>
        <v>3.0361344581970751</v>
      </c>
      <c r="J67" s="458">
        <f>(J19+J16)/J56</f>
        <v>3.4046452385548287</v>
      </c>
      <c r="K67" s="269"/>
      <c r="L67" s="458">
        <f>(L19+L16)/L56</f>
        <v>3.2063536700760391</v>
      </c>
    </row>
    <row r="70" spans="3:12" x14ac:dyDescent="0.2">
      <c r="G70" s="279"/>
      <c r="H70" s="254">
        <f>H64-H35</f>
        <v>-1.3339999946765602E-2</v>
      </c>
      <c r="I70" s="279"/>
      <c r="J70" s="254">
        <f>J64-J35</f>
        <v>0</v>
      </c>
      <c r="L70" s="254">
        <f>L64-L35</f>
        <v>0</v>
      </c>
    </row>
    <row r="71" spans="3:12" x14ac:dyDescent="0.2">
      <c r="L71" s="657"/>
    </row>
    <row r="75" spans="3:12" x14ac:dyDescent="0.2">
      <c r="H75" s="279"/>
    </row>
  </sheetData>
  <mergeCells count="1">
    <mergeCell ref="C67:F67"/>
  </mergeCells>
  <pageMargins left="0.7" right="0.45" top="0.25" bottom="0" header="0.3" footer="0"/>
  <pageSetup scale="71"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3"/>
  <sheetViews>
    <sheetView zoomScale="75" zoomScaleNormal="75" workbookViewId="0"/>
  </sheetViews>
  <sheetFormatPr defaultRowHeight="18" x14ac:dyDescent="0.25"/>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47" customWidth="1"/>
    <col min="8" max="8" width="23.125" style="18" customWidth="1"/>
    <col min="9" max="9" width="1.625" style="18" customWidth="1"/>
    <col min="10" max="10" width="23" style="18" customWidth="1"/>
    <col min="11" max="11" width="1.875" style="384" customWidth="1"/>
    <col min="12" max="12" width="17.25" style="18" customWidth="1"/>
    <col min="13" max="13" width="10" style="18" customWidth="1"/>
    <col min="14" max="14" width="80.75" style="566" customWidth="1"/>
    <col min="15"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9" t="s">
        <v>101</v>
      </c>
      <c r="B1" s="60"/>
      <c r="C1" s="61"/>
      <c r="D1" s="61"/>
      <c r="E1" s="61"/>
      <c r="F1" s="60"/>
      <c r="G1" s="233"/>
      <c r="H1" s="60"/>
      <c r="I1" s="60"/>
      <c r="J1" s="60"/>
      <c r="K1" s="376"/>
      <c r="L1" s="60"/>
      <c r="M1" s="60"/>
      <c r="N1" s="558"/>
      <c r="O1" s="60"/>
      <c r="P1" s="60"/>
      <c r="Q1" s="60"/>
      <c r="R1" s="60"/>
      <c r="S1" s="60"/>
      <c r="T1" s="60"/>
      <c r="U1" s="60"/>
      <c r="V1" s="60"/>
      <c r="W1" s="60"/>
      <c r="X1" s="60"/>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9" t="s">
        <v>440</v>
      </c>
      <c r="B2" s="60"/>
      <c r="C2" s="61"/>
      <c r="D2" s="61"/>
      <c r="E2" s="61"/>
      <c r="F2" s="60"/>
      <c r="G2" s="233"/>
      <c r="H2" s="60"/>
      <c r="I2" s="60"/>
      <c r="J2" s="233"/>
      <c r="K2" s="376"/>
      <c r="L2" s="60"/>
      <c r="M2" s="60"/>
      <c r="N2" s="558"/>
      <c r="O2" s="60"/>
      <c r="P2" s="60"/>
      <c r="Q2" s="60"/>
      <c r="R2" s="60"/>
      <c r="S2" s="60"/>
      <c r="T2" s="60"/>
      <c r="U2" s="60"/>
      <c r="V2" s="60"/>
      <c r="W2" s="60"/>
      <c r="X2" s="60"/>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9" t="s">
        <v>438</v>
      </c>
      <c r="B3" s="60"/>
      <c r="C3" s="61"/>
      <c r="D3" s="61"/>
      <c r="E3" s="61"/>
      <c r="F3" s="60"/>
      <c r="G3" s="233"/>
      <c r="H3" s="60"/>
      <c r="I3" s="60"/>
      <c r="J3" s="60"/>
      <c r="K3" s="376"/>
      <c r="L3" s="60"/>
      <c r="M3" s="60"/>
      <c r="N3" s="558"/>
      <c r="O3" s="60"/>
      <c r="P3" s="60"/>
      <c r="Q3" s="60"/>
      <c r="R3" s="60"/>
      <c r="S3" s="60"/>
      <c r="T3" s="60"/>
      <c r="U3" s="60"/>
      <c r="V3" s="60"/>
      <c r="W3" s="60"/>
      <c r="X3" s="60"/>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9" t="s">
        <v>439</v>
      </c>
      <c r="B4" s="60"/>
      <c r="C4" s="61"/>
      <c r="D4" s="61"/>
      <c r="E4" s="61"/>
      <c r="F4" s="60"/>
      <c r="G4" s="233"/>
      <c r="H4" s="60"/>
      <c r="I4" s="60"/>
      <c r="J4" s="60"/>
      <c r="K4" s="376"/>
      <c r="L4" s="60"/>
      <c r="M4" s="60"/>
      <c r="N4" s="558"/>
      <c r="O4" s="60"/>
      <c r="P4" s="60"/>
      <c r="Q4" s="60"/>
      <c r="R4" s="60"/>
      <c r="S4" s="60"/>
      <c r="T4" s="60"/>
      <c r="U4" s="60"/>
      <c r="V4" s="60"/>
      <c r="W4" s="60"/>
      <c r="X4" s="60"/>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4" customFormat="1" ht="5.25" customHeight="1" thickBot="1" x14ac:dyDescent="0.25">
      <c r="A5" s="62"/>
      <c r="B5" s="62"/>
      <c r="C5" s="62"/>
      <c r="D5" s="62"/>
      <c r="E5" s="62"/>
      <c r="F5" s="62"/>
      <c r="G5" s="234"/>
      <c r="H5" s="63"/>
      <c r="I5" s="63"/>
      <c r="J5" s="63"/>
      <c r="K5" s="377"/>
      <c r="L5" s="63"/>
      <c r="M5" s="63"/>
      <c r="N5" s="559"/>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113" s="67" customFormat="1" ht="24.75" customHeight="1" thickTop="1" thickBot="1" x14ac:dyDescent="0.25">
      <c r="A6" s="65" t="s">
        <v>116</v>
      </c>
      <c r="B6" s="65"/>
      <c r="C6" s="65"/>
      <c r="D6" s="65"/>
      <c r="E6" s="65"/>
      <c r="F6" s="65"/>
      <c r="G6" s="805" t="s">
        <v>55</v>
      </c>
      <c r="H6" s="805"/>
      <c r="I6" s="805"/>
      <c r="J6" s="805"/>
      <c r="K6" s="378"/>
      <c r="L6" s="435" t="s">
        <v>196</v>
      </c>
      <c r="M6" s="432" t="s">
        <v>209</v>
      </c>
      <c r="N6" s="671" t="s">
        <v>195</v>
      </c>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row>
    <row r="7" spans="1:113" s="69" customFormat="1" ht="8.25" customHeight="1" thickTop="1" x14ac:dyDescent="0.2">
      <c r="A7" s="68"/>
      <c r="B7" s="68"/>
      <c r="C7" s="68"/>
      <c r="D7" s="68"/>
      <c r="E7" s="68"/>
      <c r="F7" s="68"/>
      <c r="G7" s="235"/>
      <c r="K7" s="379"/>
      <c r="N7" s="560"/>
    </row>
    <row r="8" spans="1:113" s="73" customFormat="1" ht="21" thickBot="1" x14ac:dyDescent="0.35">
      <c r="A8" s="70"/>
      <c r="B8" s="154" t="s">
        <v>108</v>
      </c>
      <c r="C8" s="154"/>
      <c r="D8" s="154"/>
      <c r="E8" s="154"/>
      <c r="F8" s="154"/>
      <c r="G8" s="289">
        <f>'Feb''19 Financial Position'!H8</f>
        <v>43524</v>
      </c>
      <c r="H8" s="289">
        <v>43465</v>
      </c>
      <c r="I8" s="338"/>
      <c r="J8" s="289">
        <f>G8-365</f>
        <v>43159</v>
      </c>
      <c r="K8" s="380"/>
      <c r="L8" s="804" t="s">
        <v>443</v>
      </c>
      <c r="M8" s="804"/>
      <c r="N8" s="561"/>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row>
    <row r="9" spans="1:113" s="75" customFormat="1" ht="20.25" x14ac:dyDescent="0.2">
      <c r="A9" s="74"/>
      <c r="B9" s="74"/>
      <c r="C9" s="76" t="s">
        <v>109</v>
      </c>
      <c r="D9" s="76"/>
      <c r="E9" s="76"/>
      <c r="F9" s="74"/>
      <c r="G9" s="270">
        <v>150178.28</v>
      </c>
      <c r="H9" s="270">
        <v>942891.49</v>
      </c>
      <c r="I9" s="341"/>
      <c r="J9" s="270">
        <v>176667.42</v>
      </c>
      <c r="K9" s="379"/>
      <c r="L9" s="397">
        <f t="shared" ref="L9:L27" si="0">G9-J9</f>
        <v>-26489.140000000014</v>
      </c>
      <c r="M9" s="459">
        <f>L9/J9</f>
        <v>-0.14993788894409626</v>
      </c>
      <c r="N9" s="560" t="s">
        <v>445</v>
      </c>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row>
    <row r="10" spans="1:113" s="75" customFormat="1" ht="20.25" x14ac:dyDescent="0.2">
      <c r="A10" s="74"/>
      <c r="B10" s="74"/>
      <c r="C10" s="76" t="s">
        <v>186</v>
      </c>
      <c r="D10" s="76"/>
      <c r="E10" s="76"/>
      <c r="F10" s="74"/>
      <c r="G10" s="271"/>
      <c r="H10" s="271">
        <v>4698.29</v>
      </c>
      <c r="I10" s="337"/>
      <c r="J10" s="271">
        <v>2771.82</v>
      </c>
      <c r="K10" s="379"/>
      <c r="L10" s="282">
        <f t="shared" si="0"/>
        <v>-2771.82</v>
      </c>
      <c r="M10" s="459">
        <f>L10/J10</f>
        <v>-1</v>
      </c>
      <c r="N10" s="560" t="s">
        <v>444</v>
      </c>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row>
    <row r="11" spans="1:113" s="75" customFormat="1" ht="20.25" x14ac:dyDescent="0.2">
      <c r="A11" s="74"/>
      <c r="B11" s="411"/>
      <c r="C11" s="76" t="s">
        <v>160</v>
      </c>
      <c r="D11" s="76"/>
      <c r="E11" s="76"/>
      <c r="F11" s="74"/>
      <c r="G11" s="271">
        <v>24680.78</v>
      </c>
      <c r="H11" s="271">
        <v>153461.26</v>
      </c>
      <c r="I11" s="337"/>
      <c r="J11" s="271">
        <v>18880.13</v>
      </c>
      <c r="K11" s="379"/>
      <c r="L11" s="282">
        <f t="shared" si="0"/>
        <v>5800.6499999999978</v>
      </c>
      <c r="M11" s="459">
        <f>L11/J11</f>
        <v>0.30723570229654124</v>
      </c>
      <c r="N11" s="560"/>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row>
    <row r="12" spans="1:113" s="75" customFormat="1" ht="20.25" x14ac:dyDescent="0.2">
      <c r="A12" s="74"/>
      <c r="B12" s="411"/>
      <c r="C12" s="76" t="s">
        <v>194</v>
      </c>
      <c r="D12" s="76"/>
      <c r="E12" s="76"/>
      <c r="F12" s="74"/>
      <c r="G12" s="271">
        <v>6058.93</v>
      </c>
      <c r="H12" s="271">
        <v>44022.26</v>
      </c>
      <c r="I12" s="337"/>
      <c r="J12" s="271">
        <v>6065.18</v>
      </c>
      <c r="K12" s="379"/>
      <c r="L12" s="282">
        <f t="shared" si="0"/>
        <v>-6.25</v>
      </c>
      <c r="M12" s="459">
        <f>L12/J12</f>
        <v>-1.030472302553263E-3</v>
      </c>
      <c r="N12" s="560"/>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row>
    <row r="13" spans="1:113" s="75" customFormat="1" ht="20.25" x14ac:dyDescent="0.2">
      <c r="A13" s="74"/>
      <c r="B13" s="411"/>
      <c r="C13" s="76" t="s">
        <v>110</v>
      </c>
      <c r="D13" s="76"/>
      <c r="E13" s="76"/>
      <c r="F13" s="74"/>
      <c r="G13" s="271"/>
      <c r="H13" s="271"/>
      <c r="I13" s="337"/>
      <c r="J13" s="271"/>
      <c r="K13" s="379"/>
      <c r="L13" s="282">
        <f t="shared" si="0"/>
        <v>0</v>
      </c>
      <c r="M13" s="459"/>
      <c r="N13" s="560"/>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row>
    <row r="14" spans="1:113" s="75" customFormat="1" ht="20.25" x14ac:dyDescent="0.2">
      <c r="A14" s="74"/>
      <c r="B14" s="411"/>
      <c r="C14" s="78"/>
      <c r="D14" s="76" t="s">
        <v>149</v>
      </c>
      <c r="E14" s="76"/>
      <c r="F14" s="74"/>
      <c r="G14" s="271">
        <v>33376.33</v>
      </c>
      <c r="H14" s="271">
        <v>163055.43</v>
      </c>
      <c r="I14" s="337"/>
      <c r="J14" s="271">
        <v>26174.639999999999</v>
      </c>
      <c r="K14" s="379"/>
      <c r="L14" s="282">
        <f t="shared" si="0"/>
        <v>7201.6900000000023</v>
      </c>
      <c r="M14" s="459">
        <f>L14/J14</f>
        <v>0.27513998282306851</v>
      </c>
      <c r="N14" s="560"/>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row>
    <row r="15" spans="1:113" s="75" customFormat="1" ht="20.25" x14ac:dyDescent="0.2">
      <c r="A15" s="74"/>
      <c r="B15" s="411"/>
      <c r="C15" s="78"/>
      <c r="D15" s="76" t="s">
        <v>170</v>
      </c>
      <c r="E15" s="76"/>
      <c r="F15" s="74"/>
      <c r="G15" s="271">
        <v>2166.66</v>
      </c>
      <c r="H15" s="271">
        <v>13000</v>
      </c>
      <c r="I15" s="337"/>
      <c r="J15" s="271">
        <v>2792.5</v>
      </c>
      <c r="K15" s="379"/>
      <c r="L15" s="282">
        <f t="shared" si="0"/>
        <v>-625.84000000000015</v>
      </c>
      <c r="M15" s="459">
        <f>L15/J15</f>
        <v>-0.22411459265890785</v>
      </c>
      <c r="N15" s="560"/>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row>
    <row r="16" spans="1:113" s="75" customFormat="1" ht="20.25" x14ac:dyDescent="0.2">
      <c r="A16" s="74"/>
      <c r="B16" s="411"/>
      <c r="C16" s="440" t="s">
        <v>288</v>
      </c>
      <c r="D16" s="515"/>
      <c r="E16" s="515"/>
      <c r="F16" s="515"/>
      <c r="G16" s="271"/>
      <c r="H16" s="271">
        <f>12556+7711</f>
        <v>20267</v>
      </c>
      <c r="I16" s="337"/>
      <c r="J16" s="271"/>
      <c r="K16" s="379"/>
      <c r="L16" s="282">
        <f t="shared" si="0"/>
        <v>0</v>
      </c>
      <c r="M16" s="459"/>
      <c r="N16" s="560"/>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row>
    <row r="17" spans="1:46" s="75" customFormat="1" ht="20.25" x14ac:dyDescent="0.2">
      <c r="A17" s="74"/>
      <c r="B17" s="411"/>
      <c r="C17" s="76" t="s">
        <v>111</v>
      </c>
      <c r="D17" s="76"/>
      <c r="E17" s="76"/>
      <c r="F17" s="74"/>
      <c r="G17" s="271">
        <f>'Feb''19 Revenues &amp; Expenses'!J49</f>
        <v>1290</v>
      </c>
      <c r="H17" s="271">
        <v>12796</v>
      </c>
      <c r="I17" s="337"/>
      <c r="J17" s="271">
        <v>1725</v>
      </c>
      <c r="K17" s="379"/>
      <c r="L17" s="282">
        <f t="shared" si="0"/>
        <v>-435</v>
      </c>
      <c r="M17" s="459">
        <f t="shared" ref="M17:M23" si="1">L17/J17</f>
        <v>-0.25217391304347825</v>
      </c>
      <c r="N17" s="560"/>
      <c r="O17" s="69"/>
      <c r="P17" s="69"/>
      <c r="Q17" s="2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row>
    <row r="18" spans="1:46" s="75" customFormat="1" ht="20.25" x14ac:dyDescent="0.2">
      <c r="A18" s="74"/>
      <c r="B18" s="411"/>
      <c r="C18" s="408" t="s">
        <v>173</v>
      </c>
      <c r="D18" s="408"/>
      <c r="E18" s="408"/>
      <c r="F18" s="74"/>
      <c r="G18" s="271"/>
      <c r="H18" s="271">
        <v>446.1</v>
      </c>
      <c r="I18" s="337"/>
      <c r="J18" s="271">
        <v>250</v>
      </c>
      <c r="K18" s="379"/>
      <c r="L18" s="282">
        <f t="shared" si="0"/>
        <v>-250</v>
      </c>
      <c r="M18" s="459">
        <f t="shared" si="1"/>
        <v>-1</v>
      </c>
      <c r="N18" s="562"/>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row>
    <row r="19" spans="1:46" s="75" customFormat="1" ht="20.25" x14ac:dyDescent="0.2">
      <c r="A19" s="74"/>
      <c r="B19" s="411"/>
      <c r="C19" s="76" t="s">
        <v>118</v>
      </c>
      <c r="D19" s="76"/>
      <c r="E19" s="76"/>
      <c r="F19" s="74"/>
      <c r="G19" s="271">
        <v>227.63</v>
      </c>
      <c r="H19" s="271">
        <v>963.93</v>
      </c>
      <c r="I19" s="337"/>
      <c r="J19" s="271">
        <v>182.51</v>
      </c>
      <c r="K19" s="379"/>
      <c r="L19" s="282">
        <f t="shared" si="0"/>
        <v>45.120000000000005</v>
      </c>
      <c r="M19" s="459">
        <f t="shared" si="1"/>
        <v>0.24721933044764674</v>
      </c>
      <c r="N19" s="560"/>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row>
    <row r="20" spans="1:46" s="75" customFormat="1" ht="20.25" x14ac:dyDescent="0.2">
      <c r="A20" s="74"/>
      <c r="B20" s="411"/>
      <c r="C20" s="408" t="s">
        <v>263</v>
      </c>
      <c r="D20" s="408"/>
      <c r="E20" s="408"/>
      <c r="F20" s="74"/>
      <c r="G20" s="271">
        <v>699.44</v>
      </c>
      <c r="H20" s="271">
        <v>5181.0200000000004</v>
      </c>
      <c r="I20" s="337"/>
      <c r="J20" s="271">
        <v>500.12</v>
      </c>
      <c r="K20" s="379"/>
      <c r="L20" s="282">
        <f t="shared" si="0"/>
        <v>199.32000000000005</v>
      </c>
      <c r="M20" s="459">
        <f t="shared" si="1"/>
        <v>0.39854434935615463</v>
      </c>
      <c r="N20" s="560"/>
      <c r="O20" s="69"/>
      <c r="P20" s="69"/>
      <c r="Q20" s="2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row>
    <row r="21" spans="1:46" s="75" customFormat="1" ht="20.25" x14ac:dyDescent="0.2">
      <c r="A21" s="74"/>
      <c r="B21" s="411"/>
      <c r="C21" s="76" t="s">
        <v>341</v>
      </c>
      <c r="D21" s="76"/>
      <c r="E21" s="76"/>
      <c r="F21" s="74"/>
      <c r="G21" s="271">
        <v>10165.61</v>
      </c>
      <c r="H21" s="271">
        <v>-10497.66</v>
      </c>
      <c r="I21" s="337"/>
      <c r="J21" s="271">
        <v>-691.27</v>
      </c>
      <c r="K21" s="379"/>
      <c r="L21" s="282">
        <f t="shared" si="0"/>
        <v>10856.880000000001</v>
      </c>
      <c r="M21" s="459">
        <f t="shared" si="1"/>
        <v>-15.705701100872309</v>
      </c>
      <c r="N21" s="560" t="s">
        <v>446</v>
      </c>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row>
    <row r="22" spans="1:46" s="75" customFormat="1" ht="20.25" x14ac:dyDescent="0.2">
      <c r="A22" s="74"/>
      <c r="B22" s="411"/>
      <c r="C22" s="76" t="s">
        <v>264</v>
      </c>
      <c r="D22" s="76"/>
      <c r="E22" s="76"/>
      <c r="F22" s="74"/>
      <c r="G22" s="271">
        <v>8729.73</v>
      </c>
      <c r="H22" s="271">
        <v>63217.86</v>
      </c>
      <c r="I22" s="337"/>
      <c r="J22" s="271">
        <v>7032.95</v>
      </c>
      <c r="K22" s="379"/>
      <c r="L22" s="282">
        <f t="shared" si="0"/>
        <v>1696.7799999999997</v>
      </c>
      <c r="M22" s="459">
        <f t="shared" si="1"/>
        <v>0.2412614905551724</v>
      </c>
      <c r="N22" s="560"/>
      <c r="O22" s="69"/>
      <c r="P22" s="69"/>
      <c r="Q22" s="2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row>
    <row r="23" spans="1:46" s="75" customFormat="1" ht="20.25" x14ac:dyDescent="0.2">
      <c r="A23" s="74"/>
      <c r="B23" s="411"/>
      <c r="C23" s="76" t="s">
        <v>155</v>
      </c>
      <c r="D23" s="76"/>
      <c r="E23" s="76"/>
      <c r="F23" s="74"/>
      <c r="G23" s="271">
        <v>90</v>
      </c>
      <c r="H23" s="271">
        <f>25028.83-H16</f>
        <v>4761.8300000000017</v>
      </c>
      <c r="I23" s="337"/>
      <c r="J23" s="271">
        <v>53.7</v>
      </c>
      <c r="K23" s="379"/>
      <c r="L23" s="282">
        <f t="shared" si="0"/>
        <v>36.299999999999997</v>
      </c>
      <c r="M23" s="459">
        <f t="shared" si="1"/>
        <v>0.67597765363128481</v>
      </c>
      <c r="N23" s="699"/>
      <c r="O23" s="69"/>
      <c r="P23" s="69"/>
      <c r="Q23" s="2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row>
    <row r="24" spans="1:46" s="75" customFormat="1" ht="20.25" x14ac:dyDescent="0.2">
      <c r="A24" s="74"/>
      <c r="B24" s="411"/>
      <c r="C24" s="76" t="s">
        <v>374</v>
      </c>
      <c r="D24" s="76"/>
      <c r="E24" s="76"/>
      <c r="F24" s="74"/>
      <c r="G24" s="271">
        <v>2300</v>
      </c>
      <c r="H24" s="271"/>
      <c r="I24" s="337"/>
      <c r="J24" s="271"/>
      <c r="K24" s="379"/>
      <c r="L24" s="282">
        <f t="shared" si="0"/>
        <v>2300</v>
      </c>
      <c r="M24" s="459">
        <v>1</v>
      </c>
      <c r="N24" s="560" t="s">
        <v>447</v>
      </c>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row>
    <row r="25" spans="1:46" s="75" customFormat="1" ht="21" thickBot="1" x14ac:dyDescent="0.25">
      <c r="A25" s="74"/>
      <c r="B25" s="411"/>
      <c r="C25" s="76" t="s">
        <v>117</v>
      </c>
      <c r="D25" s="76"/>
      <c r="E25" s="76"/>
      <c r="F25" s="74"/>
      <c r="G25" s="272">
        <v>7762.5</v>
      </c>
      <c r="H25" s="272">
        <v>46575</v>
      </c>
      <c r="I25" s="337"/>
      <c r="J25" s="272">
        <f>G25</f>
        <v>7762.5</v>
      </c>
      <c r="K25" s="379"/>
      <c r="L25" s="396">
        <f t="shared" si="0"/>
        <v>0</v>
      </c>
      <c r="M25" s="487">
        <f>L25/J25</f>
        <v>0</v>
      </c>
      <c r="N25" s="560"/>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row>
    <row r="26" spans="1:46" s="75" customFormat="1" ht="20.25" x14ac:dyDescent="0.2">
      <c r="A26" s="74"/>
      <c r="B26" s="411"/>
      <c r="C26" s="76"/>
      <c r="D26" s="74" t="s">
        <v>113</v>
      </c>
      <c r="E26" s="76"/>
      <c r="F26" s="74"/>
      <c r="G26" s="237">
        <f>SUM(G9:G25)</f>
        <v>247725.89000000004</v>
      </c>
      <c r="H26" s="237">
        <f>SUM(H9:H25)</f>
        <v>1464839.8100000003</v>
      </c>
      <c r="I26" s="235"/>
      <c r="J26" s="237">
        <f>SUM(J9:J25)</f>
        <v>250167.20000000004</v>
      </c>
      <c r="K26" s="379"/>
      <c r="L26" s="237">
        <f t="shared" si="0"/>
        <v>-2441.3099999999977</v>
      </c>
      <c r="M26" s="459">
        <f>L26/J26</f>
        <v>-9.758713372496463E-3</v>
      </c>
      <c r="N26" s="560"/>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row>
    <row r="27" spans="1:46" s="75" customFormat="1" ht="21" thickBot="1" x14ac:dyDescent="0.25">
      <c r="A27" s="74"/>
      <c r="B27" s="411"/>
      <c r="C27" s="74" t="s">
        <v>114</v>
      </c>
      <c r="D27" s="76"/>
      <c r="E27" s="76"/>
      <c r="F27" s="74"/>
      <c r="G27" s="245">
        <v>14695.4</v>
      </c>
      <c r="H27" s="245">
        <v>91220.14</v>
      </c>
      <c r="I27" s="235"/>
      <c r="J27" s="245">
        <v>13873.4</v>
      </c>
      <c r="K27" s="379"/>
      <c r="L27" s="245">
        <f t="shared" si="0"/>
        <v>822</v>
      </c>
      <c r="M27" s="487">
        <f>L27/J27</f>
        <v>5.9250075684403249E-2</v>
      </c>
      <c r="N27" s="562"/>
      <c r="O27" s="69"/>
      <c r="P27" s="69"/>
      <c r="Q27" s="358"/>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row>
    <row r="28" spans="1:46" s="75" customFormat="1" ht="20.25" x14ac:dyDescent="0.2">
      <c r="A28" s="74"/>
      <c r="B28" s="411"/>
      <c r="C28" s="76"/>
      <c r="D28" s="74" t="s">
        <v>115</v>
      </c>
      <c r="E28" s="76"/>
      <c r="F28" s="74"/>
      <c r="G28" s="237">
        <f>SUM(G26:G27)</f>
        <v>262421.29000000004</v>
      </c>
      <c r="H28" s="237">
        <f>SUM(H26:H27)</f>
        <v>1556059.9500000002</v>
      </c>
      <c r="I28" s="235"/>
      <c r="J28" s="237">
        <f>SUM(J26:J27)</f>
        <v>264040.60000000003</v>
      </c>
      <c r="K28" s="269"/>
      <c r="L28" s="237">
        <f>SUM(L26:L27)</f>
        <v>-1619.3099999999977</v>
      </c>
      <c r="M28" s="459">
        <f>L28/J28</f>
        <v>-6.1328068486437215E-3</v>
      </c>
      <c r="N28" s="562"/>
      <c r="O28" s="269"/>
      <c r="P28" s="69"/>
      <c r="Q28" s="358"/>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row>
    <row r="29" spans="1:46" s="75" customFormat="1" ht="6" customHeight="1" x14ac:dyDescent="0.2">
      <c r="A29" s="74"/>
      <c r="B29" s="411"/>
      <c r="C29" s="76"/>
      <c r="D29" s="74"/>
      <c r="E29" s="76"/>
      <c r="F29" s="74"/>
      <c r="G29" s="237"/>
      <c r="H29" s="237"/>
      <c r="I29" s="235"/>
      <c r="J29" s="237"/>
      <c r="K29" s="379"/>
      <c r="L29" s="422"/>
      <c r="M29" s="544"/>
      <c r="N29" s="560"/>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row>
    <row r="30" spans="1:46" s="75" customFormat="1" ht="21" thickBot="1" x14ac:dyDescent="0.25">
      <c r="A30" s="74"/>
      <c r="B30" s="412" t="s">
        <v>119</v>
      </c>
      <c r="C30" s="88"/>
      <c r="D30" s="88"/>
      <c r="E30" s="88"/>
      <c r="F30" s="88"/>
      <c r="G30" s="245"/>
      <c r="H30" s="245"/>
      <c r="I30" s="69"/>
      <c r="J30" s="358"/>
      <c r="K30" s="379"/>
      <c r="L30" s="422"/>
      <c r="M30" s="544"/>
      <c r="N30" s="562"/>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row>
    <row r="31" spans="1:46" s="69" customFormat="1" ht="20.25" x14ac:dyDescent="0.2">
      <c r="A31" s="68"/>
      <c r="B31" s="413"/>
      <c r="C31" s="80" t="s">
        <v>120</v>
      </c>
      <c r="D31" s="80"/>
      <c r="E31" s="80"/>
      <c r="F31" s="80"/>
      <c r="G31" s="235">
        <v>146688.69</v>
      </c>
      <c r="H31" s="235">
        <v>891243.26</v>
      </c>
      <c r="I31" s="282"/>
      <c r="J31" s="418">
        <v>148886</v>
      </c>
      <c r="K31" s="379"/>
      <c r="L31" s="282">
        <f t="shared" ref="L31:L54" si="2">G31-J31</f>
        <v>-2197.3099999999977</v>
      </c>
      <c r="M31" s="459">
        <f t="shared" ref="M31:M42" si="3">L31/J31</f>
        <v>-1.4758338594629432E-2</v>
      </c>
      <c r="N31" s="562"/>
    </row>
    <row r="32" spans="1:46" s="69" customFormat="1" ht="20.25" x14ac:dyDescent="0.2">
      <c r="A32" s="68"/>
      <c r="B32" s="413"/>
      <c r="C32" s="80" t="s">
        <v>121</v>
      </c>
      <c r="D32" s="80"/>
      <c r="E32" s="80"/>
      <c r="F32" s="80"/>
      <c r="G32" s="235">
        <v>36038.339999999997</v>
      </c>
      <c r="H32" s="235">
        <v>166570.20000000001</v>
      </c>
      <c r="I32" s="282"/>
      <c r="J32" s="418">
        <v>31732.14</v>
      </c>
      <c r="K32" s="379"/>
      <c r="L32" s="282">
        <f t="shared" si="2"/>
        <v>4306.1999999999971</v>
      </c>
      <c r="M32" s="459">
        <f t="shared" si="3"/>
        <v>0.13570468301223923</v>
      </c>
      <c r="N32" s="562" t="s">
        <v>448</v>
      </c>
    </row>
    <row r="33" spans="1:16" s="69" customFormat="1" ht="20.25" x14ac:dyDescent="0.2">
      <c r="A33" s="68"/>
      <c r="B33" s="413"/>
      <c r="C33" s="80" t="s">
        <v>122</v>
      </c>
      <c r="D33" s="80"/>
      <c r="E33" s="80"/>
      <c r="F33" s="80"/>
      <c r="G33" s="235">
        <f>8062.5-G25</f>
        <v>300</v>
      </c>
      <c r="H33" s="235">
        <f>48375-H25</f>
        <v>1800</v>
      </c>
      <c r="I33" s="282"/>
      <c r="J33" s="282">
        <f>8062.5-J34</f>
        <v>300</v>
      </c>
      <c r="K33" s="379"/>
      <c r="L33" s="282">
        <f t="shared" si="2"/>
        <v>0</v>
      </c>
      <c r="M33" s="459">
        <f t="shared" si="3"/>
        <v>0</v>
      </c>
      <c r="N33" s="560"/>
    </row>
    <row r="34" spans="1:16" s="69" customFormat="1" ht="20.25" x14ac:dyDescent="0.2">
      <c r="A34" s="68"/>
      <c r="B34" s="413"/>
      <c r="C34" s="80" t="s">
        <v>112</v>
      </c>
      <c r="D34" s="80"/>
      <c r="E34" s="80"/>
      <c r="F34" s="80"/>
      <c r="G34" s="235">
        <f>G25</f>
        <v>7762.5</v>
      </c>
      <c r="H34" s="235">
        <f>H25</f>
        <v>46575</v>
      </c>
      <c r="I34" s="282"/>
      <c r="J34" s="282">
        <f>J25</f>
        <v>7762.5</v>
      </c>
      <c r="K34" s="379"/>
      <c r="L34" s="282">
        <f t="shared" si="2"/>
        <v>0</v>
      </c>
      <c r="M34" s="459">
        <f t="shared" si="3"/>
        <v>0</v>
      </c>
      <c r="N34" s="560"/>
    </row>
    <row r="35" spans="1:16" s="69" customFormat="1" ht="20.25" x14ac:dyDescent="0.2">
      <c r="A35" s="68"/>
      <c r="B35" s="413"/>
      <c r="C35" s="80" t="s">
        <v>123</v>
      </c>
      <c r="D35" s="80"/>
      <c r="E35" s="80"/>
      <c r="F35" s="80"/>
      <c r="G35" s="235">
        <v>2753.9</v>
      </c>
      <c r="H35" s="235">
        <v>15894.29</v>
      </c>
      <c r="I35" s="282"/>
      <c r="J35" s="282">
        <v>2733.56</v>
      </c>
      <c r="K35" s="379"/>
      <c r="L35" s="282">
        <f t="shared" si="2"/>
        <v>20.340000000000146</v>
      </c>
      <c r="M35" s="459">
        <f t="shared" si="3"/>
        <v>7.4408463688377599E-3</v>
      </c>
      <c r="N35" s="560"/>
    </row>
    <row r="36" spans="1:16" s="69" customFormat="1" ht="20.25" x14ac:dyDescent="0.2">
      <c r="A36" s="68"/>
      <c r="B36" s="413"/>
      <c r="C36" s="80" t="s">
        <v>124</v>
      </c>
      <c r="D36" s="80"/>
      <c r="E36" s="80"/>
      <c r="F36" s="80"/>
      <c r="G36" s="235">
        <v>490.38</v>
      </c>
      <c r="H36" s="235">
        <v>2345.11</v>
      </c>
      <c r="I36" s="282"/>
      <c r="J36" s="282">
        <v>454.94</v>
      </c>
      <c r="K36" s="379"/>
      <c r="L36" s="282">
        <f t="shared" si="2"/>
        <v>35.44</v>
      </c>
      <c r="M36" s="459">
        <f t="shared" si="3"/>
        <v>7.7900382468017754E-2</v>
      </c>
      <c r="N36" s="560"/>
    </row>
    <row r="37" spans="1:16" s="69" customFormat="1" ht="20.25" x14ac:dyDescent="0.2">
      <c r="A37" s="68"/>
      <c r="B37" s="413"/>
      <c r="C37" s="80" t="s">
        <v>125</v>
      </c>
      <c r="D37" s="80"/>
      <c r="E37" s="80"/>
      <c r="F37" s="80"/>
      <c r="G37" s="235">
        <v>616.37</v>
      </c>
      <c r="H37" s="235">
        <v>4227.7299999999996</v>
      </c>
      <c r="I37" s="282"/>
      <c r="J37" s="282">
        <v>766.26</v>
      </c>
      <c r="K37" s="379"/>
      <c r="L37" s="282">
        <f t="shared" si="2"/>
        <v>-149.88999999999999</v>
      </c>
      <c r="M37" s="459">
        <f t="shared" si="3"/>
        <v>-0.19561245530237778</v>
      </c>
      <c r="N37" s="560"/>
    </row>
    <row r="38" spans="1:16" s="69" customFormat="1" ht="20.25" x14ac:dyDescent="0.2">
      <c r="A38" s="68"/>
      <c r="B38" s="413"/>
      <c r="C38" s="80" t="s">
        <v>126</v>
      </c>
      <c r="D38" s="80"/>
      <c r="E38" s="80"/>
      <c r="F38" s="80"/>
      <c r="G38" s="235">
        <v>510.95</v>
      </c>
      <c r="H38" s="235">
        <v>9338.58</v>
      </c>
      <c r="I38" s="282"/>
      <c r="J38" s="282">
        <v>396</v>
      </c>
      <c r="K38" s="379"/>
      <c r="L38" s="282">
        <f t="shared" si="2"/>
        <v>114.94999999999999</v>
      </c>
      <c r="M38" s="459">
        <f t="shared" si="3"/>
        <v>0.29027777777777775</v>
      </c>
      <c r="N38" s="560"/>
    </row>
    <row r="39" spans="1:16" s="69" customFormat="1" ht="20.25" x14ac:dyDescent="0.2">
      <c r="A39" s="68"/>
      <c r="B39" s="413"/>
      <c r="C39" s="80" t="s">
        <v>127</v>
      </c>
      <c r="D39" s="80"/>
      <c r="E39" s="80"/>
      <c r="F39" s="80"/>
      <c r="G39" s="235">
        <f>5288.28+1392.32</f>
        <v>6680.5999999999995</v>
      </c>
      <c r="H39" s="235">
        <f>24380.78+15438.57</f>
        <v>39819.35</v>
      </c>
      <c r="I39" s="282"/>
      <c r="J39" s="282">
        <f>2873.64+1722.37</f>
        <v>4596.01</v>
      </c>
      <c r="K39" s="379"/>
      <c r="L39" s="282">
        <f t="shared" si="2"/>
        <v>2084.5899999999992</v>
      </c>
      <c r="M39" s="459">
        <f t="shared" si="3"/>
        <v>0.45356515760409555</v>
      </c>
      <c r="N39" s="560"/>
    </row>
    <row r="40" spans="1:16" s="69" customFormat="1" ht="20.25" x14ac:dyDescent="0.2">
      <c r="A40" s="68"/>
      <c r="B40" s="413"/>
      <c r="C40" s="80" t="s">
        <v>128</v>
      </c>
      <c r="D40" s="80"/>
      <c r="E40" s="80"/>
      <c r="F40" s="80"/>
      <c r="G40" s="235">
        <v>820.44</v>
      </c>
      <c r="H40" s="235">
        <v>4148.79</v>
      </c>
      <c r="I40" s="282"/>
      <c r="J40" s="282">
        <v>501.8</v>
      </c>
      <c r="K40" s="379"/>
      <c r="L40" s="282">
        <f t="shared" si="2"/>
        <v>318.64000000000004</v>
      </c>
      <c r="M40" s="459">
        <f t="shared" si="3"/>
        <v>0.63499402152251905</v>
      </c>
      <c r="N40" s="560"/>
    </row>
    <row r="41" spans="1:16" s="69" customFormat="1" ht="20.25" x14ac:dyDescent="0.2">
      <c r="A41" s="68"/>
      <c r="B41" s="413"/>
      <c r="C41" s="80" t="s">
        <v>129</v>
      </c>
      <c r="D41" s="80"/>
      <c r="E41" s="80"/>
      <c r="F41" s="80"/>
      <c r="G41" s="235">
        <v>414</v>
      </c>
      <c r="H41" s="235">
        <v>1685</v>
      </c>
      <c r="I41" s="282"/>
      <c r="J41" s="282">
        <v>962.5</v>
      </c>
      <c r="K41" s="379"/>
      <c r="L41" s="282">
        <f t="shared" si="2"/>
        <v>-548.5</v>
      </c>
      <c r="M41" s="459">
        <f t="shared" si="3"/>
        <v>-0.56987012987012986</v>
      </c>
      <c r="N41" s="560"/>
    </row>
    <row r="42" spans="1:16" s="69" customFormat="1" ht="20.25" x14ac:dyDescent="0.2">
      <c r="A42" s="68"/>
      <c r="B42" s="413"/>
      <c r="C42" s="80" t="s">
        <v>179</v>
      </c>
      <c r="D42" s="80"/>
      <c r="E42" s="80"/>
      <c r="F42" s="80"/>
      <c r="G42" s="235">
        <v>5200</v>
      </c>
      <c r="H42" s="235">
        <v>14944</v>
      </c>
      <c r="I42" s="282"/>
      <c r="J42" s="282">
        <v>5904.5</v>
      </c>
      <c r="K42" s="379"/>
      <c r="L42" s="282">
        <f t="shared" si="2"/>
        <v>-704.5</v>
      </c>
      <c r="M42" s="459">
        <f t="shared" si="3"/>
        <v>-0.11931577610297231</v>
      </c>
      <c r="N42" s="560"/>
    </row>
    <row r="43" spans="1:16" s="69" customFormat="1" ht="20.25" x14ac:dyDescent="0.2">
      <c r="A43" s="68"/>
      <c r="B43" s="413"/>
      <c r="C43" s="806" t="s">
        <v>384</v>
      </c>
      <c r="D43" s="806"/>
      <c r="E43" s="806"/>
      <c r="F43" s="806"/>
      <c r="G43" s="235">
        <v>201</v>
      </c>
      <c r="H43" s="235">
        <v>1100</v>
      </c>
      <c r="I43" s="282"/>
      <c r="J43" s="282">
        <v>0</v>
      </c>
      <c r="K43" s="379"/>
      <c r="L43" s="282">
        <f t="shared" si="2"/>
        <v>201</v>
      </c>
      <c r="M43" s="459">
        <v>1</v>
      </c>
      <c r="N43" s="560" t="s">
        <v>449</v>
      </c>
    </row>
    <row r="44" spans="1:16" s="77" customFormat="1" ht="20.25" x14ac:dyDescent="0.2">
      <c r="A44" s="80"/>
      <c r="B44" s="409"/>
      <c r="C44" s="80" t="s">
        <v>130</v>
      </c>
      <c r="D44" s="80"/>
      <c r="E44" s="80"/>
      <c r="F44" s="80"/>
      <c r="G44" s="337">
        <f>709.98+3000</f>
        <v>3709.98</v>
      </c>
      <c r="H44" s="337">
        <v>14050.28</v>
      </c>
      <c r="I44" s="419"/>
      <c r="J44" s="419">
        <v>4275.33</v>
      </c>
      <c r="K44" s="381"/>
      <c r="L44" s="282">
        <f t="shared" si="2"/>
        <v>-565.34999999999991</v>
      </c>
      <c r="M44" s="459">
        <f>L44/J44</f>
        <v>-0.13223540638968218</v>
      </c>
      <c r="N44" s="560"/>
    </row>
    <row r="45" spans="1:16" s="77" customFormat="1" ht="20.25" x14ac:dyDescent="0.2">
      <c r="A45" s="80"/>
      <c r="B45" s="409"/>
      <c r="C45" s="80" t="s">
        <v>131</v>
      </c>
      <c r="D45" s="80"/>
      <c r="E45" s="80"/>
      <c r="F45" s="80"/>
      <c r="G45" s="235">
        <v>2078.31</v>
      </c>
      <c r="H45" s="235">
        <v>14224.05</v>
      </c>
      <c r="I45" s="235"/>
      <c r="J45" s="337">
        <v>2340.75</v>
      </c>
      <c r="K45" s="381"/>
      <c r="L45" s="282">
        <f t="shared" si="2"/>
        <v>-262.44000000000005</v>
      </c>
      <c r="M45" s="459">
        <f>L45/J45</f>
        <v>-0.11211791092598529</v>
      </c>
      <c r="N45" s="560"/>
    </row>
    <row r="46" spans="1:16" s="77" customFormat="1" ht="20.25" x14ac:dyDescent="0.2">
      <c r="A46" s="80"/>
      <c r="B46" s="409"/>
      <c r="C46" s="80" t="s">
        <v>138</v>
      </c>
      <c r="D46" s="80"/>
      <c r="E46" s="80"/>
      <c r="F46" s="80"/>
      <c r="G46" s="235">
        <v>0</v>
      </c>
      <c r="H46" s="235">
        <f>2769+495.99</f>
        <v>3264.99</v>
      </c>
      <c r="I46" s="235"/>
      <c r="J46" s="337">
        <v>0</v>
      </c>
      <c r="K46" s="381"/>
      <c r="L46" s="282">
        <f t="shared" si="2"/>
        <v>0</v>
      </c>
      <c r="M46" s="459"/>
      <c r="N46" s="563"/>
      <c r="P46" s="251"/>
    </row>
    <row r="47" spans="1:16" s="77" customFormat="1" ht="20.25" x14ac:dyDescent="0.2">
      <c r="A47" s="80"/>
      <c r="B47" s="409"/>
      <c r="C47" s="80" t="s">
        <v>132</v>
      </c>
      <c r="D47" s="80"/>
      <c r="E47" s="80"/>
      <c r="F47" s="80"/>
      <c r="G47" s="337">
        <f>350+400</f>
        <v>750</v>
      </c>
      <c r="H47" s="337">
        <f>2210+14879.75</f>
        <v>17089.75</v>
      </c>
      <c r="I47" s="235"/>
      <c r="J47" s="235">
        <f>500+3350.96</f>
        <v>3850.96</v>
      </c>
      <c r="K47" s="381"/>
      <c r="L47" s="282">
        <f t="shared" si="2"/>
        <v>-3100.96</v>
      </c>
      <c r="M47" s="459">
        <f t="shared" ref="M47:M53" si="4">L47/J47</f>
        <v>-0.80524336788748785</v>
      </c>
      <c r="N47" s="560" t="s">
        <v>450</v>
      </c>
      <c r="P47" s="251"/>
    </row>
    <row r="48" spans="1:16" s="69" customFormat="1" ht="20.25" x14ac:dyDescent="0.2">
      <c r="A48" s="68"/>
      <c r="B48" s="413"/>
      <c r="C48" s="80" t="s">
        <v>216</v>
      </c>
      <c r="D48" s="80"/>
      <c r="E48" s="80"/>
      <c r="F48" s="80"/>
      <c r="G48" s="235">
        <v>1984.11</v>
      </c>
      <c r="H48" s="235">
        <v>15509.31</v>
      </c>
      <c r="I48" s="235"/>
      <c r="J48" s="235">
        <v>3450.54</v>
      </c>
      <c r="K48" s="379"/>
      <c r="L48" s="282">
        <f t="shared" si="2"/>
        <v>-1466.43</v>
      </c>
      <c r="M48" s="459">
        <f t="shared" si="4"/>
        <v>-0.4249856544193083</v>
      </c>
      <c r="N48" s="560"/>
    </row>
    <row r="49" spans="1:18" s="77" customFormat="1" ht="20.25" x14ac:dyDescent="0.2">
      <c r="A49" s="80"/>
      <c r="B49" s="409"/>
      <c r="C49" s="80" t="s">
        <v>133</v>
      </c>
      <c r="D49" s="80"/>
      <c r="E49" s="80"/>
      <c r="F49" s="80"/>
      <c r="G49" s="337">
        <v>5649.38</v>
      </c>
      <c r="H49" s="337">
        <v>37992</v>
      </c>
      <c r="I49" s="235"/>
      <c r="J49" s="235">
        <v>5786</v>
      </c>
      <c r="K49" s="381"/>
      <c r="L49" s="282">
        <f t="shared" si="2"/>
        <v>-136.61999999999989</v>
      </c>
      <c r="M49" s="459">
        <f t="shared" si="4"/>
        <v>-2.361216730038021E-2</v>
      </c>
      <c r="N49" s="560"/>
    </row>
    <row r="50" spans="1:18" s="77" customFormat="1" ht="20.25" x14ac:dyDescent="0.2">
      <c r="A50" s="80"/>
      <c r="B50" s="409"/>
      <c r="C50" s="80" t="s">
        <v>134</v>
      </c>
      <c r="D50" s="80"/>
      <c r="E50" s="80"/>
      <c r="F50" s="80"/>
      <c r="G50" s="337">
        <f>669+14000</f>
        <v>14669</v>
      </c>
      <c r="H50" s="337">
        <f>19870+4075+6282.5</f>
        <v>30227.5</v>
      </c>
      <c r="I50" s="235"/>
      <c r="J50" s="235">
        <f>666+822.5</f>
        <v>1488.5</v>
      </c>
      <c r="K50" s="381"/>
      <c r="L50" s="282">
        <f t="shared" si="2"/>
        <v>13180.5</v>
      </c>
      <c r="M50" s="459">
        <f t="shared" si="4"/>
        <v>8.854887470607995</v>
      </c>
      <c r="N50" s="560" t="s">
        <v>451</v>
      </c>
    </row>
    <row r="51" spans="1:18" s="77" customFormat="1" ht="20.25" x14ac:dyDescent="0.2">
      <c r="A51" s="80"/>
      <c r="B51" s="409"/>
      <c r="C51" s="80" t="s">
        <v>180</v>
      </c>
      <c r="D51" s="80"/>
      <c r="E51" s="80"/>
      <c r="F51" s="80"/>
      <c r="G51" s="235">
        <v>0</v>
      </c>
      <c r="H51" s="235">
        <v>15857.57</v>
      </c>
      <c r="I51" s="235"/>
      <c r="J51" s="235">
        <v>5589.05</v>
      </c>
      <c r="K51" s="381"/>
      <c r="L51" s="282">
        <f t="shared" si="2"/>
        <v>-5589.05</v>
      </c>
      <c r="M51" s="459">
        <f t="shared" si="4"/>
        <v>-1</v>
      </c>
      <c r="N51" s="560" t="s">
        <v>444</v>
      </c>
    </row>
    <row r="52" spans="1:18" s="77" customFormat="1" ht="20.25" x14ac:dyDescent="0.2">
      <c r="A52" s="80"/>
      <c r="B52" s="409"/>
      <c r="C52" s="80" t="s">
        <v>178</v>
      </c>
      <c r="D52" s="80"/>
      <c r="E52" s="80"/>
      <c r="F52" s="80"/>
      <c r="G52" s="235">
        <v>9603.4599999999991</v>
      </c>
      <c r="H52" s="235">
        <v>55522.01</v>
      </c>
      <c r="I52" s="235"/>
      <c r="J52" s="235">
        <v>7087.11</v>
      </c>
      <c r="K52" s="381"/>
      <c r="L52" s="282">
        <f t="shared" si="2"/>
        <v>2516.3499999999995</v>
      </c>
      <c r="M52" s="459">
        <f t="shared" si="4"/>
        <v>0.35506010207263605</v>
      </c>
      <c r="N52" s="560" t="s">
        <v>453</v>
      </c>
    </row>
    <row r="53" spans="1:18" s="77" customFormat="1" ht="20.25" x14ac:dyDescent="0.2">
      <c r="A53" s="80"/>
      <c r="B53" s="409"/>
      <c r="C53" s="80" t="s">
        <v>135</v>
      </c>
      <c r="D53" s="80"/>
      <c r="E53" s="80"/>
      <c r="F53" s="80"/>
      <c r="G53" s="235">
        <f>16150+1394.3</f>
        <v>17544.3</v>
      </c>
      <c r="H53" s="235">
        <f>1929.47+127221.37</f>
        <v>129150.84</v>
      </c>
      <c r="I53" s="235"/>
      <c r="J53" s="235">
        <f>33970.83+0</f>
        <v>33970.83</v>
      </c>
      <c r="K53" s="381"/>
      <c r="L53" s="282">
        <f t="shared" si="2"/>
        <v>-16426.530000000002</v>
      </c>
      <c r="M53" s="459">
        <f t="shared" si="4"/>
        <v>-0.48354809111228669</v>
      </c>
      <c r="N53" s="560" t="s">
        <v>452</v>
      </c>
    </row>
    <row r="54" spans="1:18" s="77" customFormat="1" ht="21" thickBot="1" x14ac:dyDescent="0.25">
      <c r="A54" s="80"/>
      <c r="B54" s="409"/>
      <c r="C54" s="80" t="s">
        <v>352</v>
      </c>
      <c r="D54" s="80"/>
      <c r="E54" s="80"/>
      <c r="F54" s="80"/>
      <c r="G54" s="245"/>
      <c r="H54" s="245">
        <v>100</v>
      </c>
      <c r="I54" s="235"/>
      <c r="J54" s="245"/>
      <c r="K54" s="754"/>
      <c r="L54" s="396">
        <f t="shared" si="2"/>
        <v>0</v>
      </c>
      <c r="M54" s="487"/>
      <c r="N54" s="560"/>
    </row>
    <row r="55" spans="1:18" s="77" customFormat="1" ht="21" hidden="1" thickBot="1" x14ac:dyDescent="0.25">
      <c r="A55" s="80"/>
      <c r="B55" s="409"/>
      <c r="C55" s="80"/>
      <c r="D55" s="80"/>
      <c r="E55" s="80"/>
      <c r="F55" s="80"/>
      <c r="G55" s="245"/>
      <c r="H55" s="245"/>
      <c r="I55" s="235"/>
      <c r="J55" s="245"/>
      <c r="K55" s="381"/>
      <c r="L55" s="396"/>
      <c r="M55" s="487"/>
      <c r="N55" s="560"/>
    </row>
    <row r="56" spans="1:18" s="69" customFormat="1" ht="20.25" x14ac:dyDescent="0.2">
      <c r="A56" s="68"/>
      <c r="B56" s="413"/>
      <c r="C56" s="68"/>
      <c r="D56" s="74" t="s">
        <v>136</v>
      </c>
      <c r="E56" s="68"/>
      <c r="F56" s="68"/>
      <c r="G56" s="240">
        <f>SUM(G31:G54)</f>
        <v>264465.71000000002</v>
      </c>
      <c r="H56" s="240">
        <f>SUM(H31:H54)</f>
        <v>1532679.6100000006</v>
      </c>
      <c r="I56" s="235"/>
      <c r="J56" s="240">
        <f>SUM(J31:J54)</f>
        <v>272835.27999999997</v>
      </c>
      <c r="K56" s="379"/>
      <c r="L56" s="237">
        <f>SUM(L31:L54)</f>
        <v>-8369.5700000000033</v>
      </c>
      <c r="M56" s="459">
        <f>L56/J56</f>
        <v>-3.0676274710513995E-2</v>
      </c>
      <c r="N56" s="564"/>
    </row>
    <row r="57" spans="1:18" s="69" customFormat="1" ht="10.5" customHeight="1" thickBot="1" x14ac:dyDescent="0.25">
      <c r="A57" s="68"/>
      <c r="B57" s="413"/>
      <c r="C57" s="68"/>
      <c r="D57" s="74"/>
      <c r="E57" s="68"/>
      <c r="F57" s="68"/>
      <c r="G57" s="245"/>
      <c r="H57" s="245"/>
      <c r="I57" s="235"/>
      <c r="J57" s="245"/>
      <c r="K57" s="379"/>
      <c r="L57" s="424"/>
      <c r="M57" s="545"/>
      <c r="N57" s="564"/>
    </row>
    <row r="58" spans="1:18" s="69" customFormat="1" ht="21" thickBot="1" x14ac:dyDescent="0.25">
      <c r="A58" s="68"/>
      <c r="B58" s="413"/>
      <c r="C58" s="68"/>
      <c r="D58" s="68" t="s">
        <v>137</v>
      </c>
      <c r="E58" s="68"/>
      <c r="F58" s="68"/>
      <c r="G58" s="245">
        <f>G28-G56</f>
        <v>-2044.4199999999837</v>
      </c>
      <c r="H58" s="245">
        <f>H28-H56</f>
        <v>23380.339999999618</v>
      </c>
      <c r="I58" s="235"/>
      <c r="J58" s="245">
        <f>J28-J56</f>
        <v>-8794.6799999999348</v>
      </c>
      <c r="K58" s="379"/>
      <c r="L58" s="245">
        <f>L28-L56</f>
        <v>6750.2600000000057</v>
      </c>
      <c r="M58" s="539">
        <f>L58/J58</f>
        <v>-0.76753901222103083</v>
      </c>
      <c r="N58" s="564"/>
    </row>
    <row r="59" spans="1:18" s="69" customFormat="1" ht="11.25" customHeight="1" x14ac:dyDescent="0.2">
      <c r="A59" s="68"/>
      <c r="B59" s="413"/>
      <c r="C59" s="68"/>
      <c r="D59" s="68"/>
      <c r="E59" s="68"/>
      <c r="F59" s="68"/>
      <c r="G59" s="235"/>
      <c r="H59" s="235"/>
      <c r="I59" s="235"/>
      <c r="J59" s="235"/>
      <c r="K59" s="379"/>
      <c r="L59" s="422"/>
      <c r="M59" s="544"/>
      <c r="N59" s="560"/>
    </row>
    <row r="60" spans="1:18" s="77" customFormat="1" ht="21" thickBot="1" x14ac:dyDescent="0.25">
      <c r="A60" s="80"/>
      <c r="B60" s="412" t="s">
        <v>442</v>
      </c>
      <c r="C60" s="88"/>
      <c r="D60" s="88"/>
      <c r="E60" s="88"/>
      <c r="F60" s="88"/>
      <c r="G60" s="753"/>
      <c r="H60" s="245"/>
      <c r="I60" s="235"/>
      <c r="J60" s="235"/>
      <c r="K60" s="381"/>
      <c r="L60" s="422"/>
      <c r="M60" s="544"/>
      <c r="N60" s="560"/>
    </row>
    <row r="61" spans="1:18" s="77" customFormat="1" ht="20.25" x14ac:dyDescent="0.2">
      <c r="A61" s="80"/>
      <c r="B61" s="413"/>
      <c r="C61" s="68"/>
      <c r="D61" s="68" t="s">
        <v>151</v>
      </c>
      <c r="E61" s="68"/>
      <c r="F61" s="68"/>
      <c r="G61" s="235"/>
      <c r="H61" s="235"/>
      <c r="I61" s="235"/>
      <c r="J61" s="235"/>
      <c r="K61" s="381"/>
      <c r="L61" s="422"/>
      <c r="M61" s="544"/>
      <c r="N61" s="560"/>
    </row>
    <row r="62" spans="1:18" s="77" customFormat="1" ht="20.25" x14ac:dyDescent="0.2">
      <c r="A62" s="80"/>
      <c r="B62" s="413"/>
      <c r="C62" s="68"/>
      <c r="D62" s="68"/>
      <c r="E62" s="80" t="s">
        <v>152</v>
      </c>
      <c r="F62" s="68"/>
      <c r="G62" s="235">
        <v>51000</v>
      </c>
      <c r="H62" s="235">
        <v>50000</v>
      </c>
      <c r="I62" s="235"/>
      <c r="J62" s="235">
        <v>50000</v>
      </c>
      <c r="K62" s="381"/>
      <c r="L62" s="282">
        <f>G62-J62</f>
        <v>1000</v>
      </c>
      <c r="M62" s="459">
        <f>L62/J62</f>
        <v>0.02</v>
      </c>
      <c r="N62" s="560"/>
      <c r="R62" s="251"/>
    </row>
    <row r="63" spans="1:18" s="77" customFormat="1" ht="20.25" x14ac:dyDescent="0.2">
      <c r="A63" s="80"/>
      <c r="B63" s="413"/>
      <c r="C63" s="68"/>
      <c r="D63" s="68"/>
      <c r="E63" s="80" t="s">
        <v>182</v>
      </c>
      <c r="F63" s="68"/>
      <c r="G63" s="235">
        <v>19000</v>
      </c>
      <c r="H63" s="235">
        <v>19000</v>
      </c>
      <c r="I63" s="235"/>
      <c r="J63" s="235">
        <f>G63</f>
        <v>19000</v>
      </c>
      <c r="K63" s="381"/>
      <c r="L63" s="282">
        <f>G63-J63</f>
        <v>0</v>
      </c>
      <c r="M63" s="459">
        <f>L63/J63</f>
        <v>0</v>
      </c>
      <c r="N63" s="560"/>
    </row>
    <row r="64" spans="1:18" s="77" customFormat="1" ht="20.25" x14ac:dyDescent="0.2">
      <c r="A64" s="80"/>
      <c r="B64" s="413"/>
      <c r="C64" s="68"/>
      <c r="D64" s="68"/>
      <c r="E64" s="80" t="s">
        <v>150</v>
      </c>
      <c r="F64" s="68"/>
      <c r="G64" s="238">
        <f>'Feb''19 Revenues &amp; Expenses'!H51+'Feb''19 Revenues &amp; Expenses'!H52+'Feb''19 Revenues &amp; Expenses'!H50</f>
        <v>0</v>
      </c>
      <c r="H64" s="238">
        <f>84365-H62-H63</f>
        <v>15365</v>
      </c>
      <c r="I64" s="238"/>
      <c r="J64" s="238">
        <v>200</v>
      </c>
      <c r="K64" s="681"/>
      <c r="L64" s="682">
        <f>G64-J64</f>
        <v>-200</v>
      </c>
      <c r="M64" s="542">
        <f>L64/J64</f>
        <v>-1</v>
      </c>
      <c r="N64" s="560"/>
    </row>
    <row r="65" spans="1:14" s="77" customFormat="1" ht="21" thickBot="1" x14ac:dyDescent="0.25">
      <c r="A65" s="80"/>
      <c r="B65" s="413"/>
      <c r="C65" s="68"/>
      <c r="D65" s="68" t="s">
        <v>114</v>
      </c>
      <c r="E65" s="68"/>
      <c r="F65" s="68"/>
      <c r="G65" s="245">
        <f>-G27</f>
        <v>-14695.4</v>
      </c>
      <c r="H65" s="245">
        <f>-H27</f>
        <v>-91220.14</v>
      </c>
      <c r="I65" s="235"/>
      <c r="J65" s="245">
        <f>-J27</f>
        <v>-13873.4</v>
      </c>
      <c r="K65" s="381"/>
      <c r="L65" s="396">
        <f>G65-J65</f>
        <v>-822</v>
      </c>
      <c r="M65" s="487">
        <f>L65/J65</f>
        <v>5.9250075684403249E-2</v>
      </c>
      <c r="N65" s="560"/>
    </row>
    <row r="66" spans="1:14" s="77" customFormat="1" ht="21" thickBot="1" x14ac:dyDescent="0.25">
      <c r="A66" s="80"/>
      <c r="B66" s="413"/>
      <c r="C66" s="68"/>
      <c r="D66" s="68"/>
      <c r="E66" s="68" t="s">
        <v>441</v>
      </c>
      <c r="F66" s="68"/>
      <c r="G66" s="245">
        <f>SUM(G61:G65)</f>
        <v>55304.6</v>
      </c>
      <c r="H66" s="245">
        <f>SUM(H61:H65)</f>
        <v>-6855.1399999999994</v>
      </c>
      <c r="I66" s="235"/>
      <c r="J66" s="245">
        <f>SUM(J61:J65)</f>
        <v>55326.6</v>
      </c>
      <c r="K66" s="381"/>
      <c r="L66" s="245">
        <f>SUM(L62:L65)</f>
        <v>-22</v>
      </c>
      <c r="M66" s="487">
        <f>L66/J66</f>
        <v>-3.9763874881160237E-4</v>
      </c>
      <c r="N66" s="560"/>
    </row>
    <row r="67" spans="1:14" s="69" customFormat="1" ht="7.5" customHeight="1" x14ac:dyDescent="0.2">
      <c r="A67" s="68"/>
      <c r="B67" s="413"/>
      <c r="C67" s="68"/>
      <c r="D67" s="68"/>
      <c r="E67" s="68"/>
      <c r="F67" s="68"/>
      <c r="G67" s="280"/>
      <c r="H67" s="280"/>
      <c r="I67" s="280"/>
      <c r="J67" s="280"/>
      <c r="K67" s="379"/>
      <c r="L67" s="422"/>
      <c r="M67" s="422"/>
      <c r="N67" s="560"/>
    </row>
    <row r="68" spans="1:14" s="69" customFormat="1" ht="20.25" x14ac:dyDescent="0.2">
      <c r="A68" s="68"/>
      <c r="B68" s="413"/>
      <c r="C68" s="68"/>
      <c r="D68" s="68"/>
      <c r="E68" s="68" t="s">
        <v>93</v>
      </c>
      <c r="F68" s="68"/>
      <c r="G68" s="240">
        <f>G58+G66</f>
        <v>53260.180000000015</v>
      </c>
      <c r="H68" s="240">
        <f>H58+H66</f>
        <v>16525.199999999619</v>
      </c>
      <c r="I68" s="240"/>
      <c r="J68" s="240">
        <f>J58+J66</f>
        <v>46531.920000000064</v>
      </c>
      <c r="K68" s="379"/>
      <c r="L68" s="240">
        <f>L58+L66</f>
        <v>6728.2600000000057</v>
      </c>
      <c r="M68" s="240"/>
      <c r="N68" s="560"/>
    </row>
    <row r="69" spans="1:14" s="69" customFormat="1" ht="8.25" customHeight="1" x14ac:dyDescent="0.2">
      <c r="A69" s="68"/>
      <c r="B69" s="413"/>
      <c r="C69" s="68"/>
      <c r="D69" s="68"/>
      <c r="E69" s="68"/>
      <c r="F69" s="68"/>
      <c r="G69" s="235"/>
      <c r="H69" s="235"/>
      <c r="I69" s="235"/>
      <c r="J69" s="235"/>
      <c r="K69" s="379"/>
      <c r="L69" s="422"/>
      <c r="M69" s="422"/>
      <c r="N69" s="560"/>
    </row>
    <row r="70" spans="1:14" s="83" customFormat="1" ht="26.25" x14ac:dyDescent="0.2">
      <c r="A70" s="275"/>
      <c r="B70" s="414"/>
      <c r="C70" s="68"/>
      <c r="D70" s="68" t="s">
        <v>154</v>
      </c>
      <c r="E70" s="68"/>
      <c r="F70" s="68"/>
      <c r="G70" s="240">
        <f>H71</f>
        <v>686173.26999999955</v>
      </c>
      <c r="H70" s="240">
        <v>669648.06999999995</v>
      </c>
      <c r="I70" s="240"/>
      <c r="J70" s="240">
        <f>H70</f>
        <v>669648.06999999995</v>
      </c>
      <c r="K70" s="382"/>
      <c r="L70" s="423"/>
      <c r="M70" s="423"/>
      <c r="N70" s="565"/>
    </row>
    <row r="71" spans="1:14" s="85" customFormat="1" ht="21" thickBot="1" x14ac:dyDescent="0.25">
      <c r="A71" s="68"/>
      <c r="B71" s="413"/>
      <c r="C71" s="68"/>
      <c r="E71" s="68" t="s">
        <v>153</v>
      </c>
      <c r="F71" s="68"/>
      <c r="G71" s="336">
        <f>G68+G70</f>
        <v>739433.4499999996</v>
      </c>
      <c r="H71" s="336">
        <f>H68+H70</f>
        <v>686173.26999999955</v>
      </c>
      <c r="I71" s="280"/>
      <c r="J71" s="336">
        <f>J68+J70</f>
        <v>716179.99</v>
      </c>
      <c r="K71" s="383"/>
      <c r="L71" s="280"/>
      <c r="M71" s="423"/>
      <c r="N71" s="565"/>
    </row>
    <row r="72" spans="1:14" s="66" customFormat="1" ht="6.75" customHeight="1" thickTop="1" x14ac:dyDescent="0.2">
      <c r="A72" s="275"/>
      <c r="B72" s="414"/>
      <c r="C72" s="68"/>
      <c r="D72" s="275"/>
      <c r="E72" s="275"/>
      <c r="F72" s="275"/>
      <c r="G72" s="277"/>
      <c r="H72" s="235"/>
      <c r="I72" s="235"/>
      <c r="J72" s="235"/>
      <c r="K72" s="378"/>
      <c r="L72" s="422"/>
      <c r="M72" s="422"/>
      <c r="N72" s="560"/>
    </row>
    <row r="73" spans="1:14" s="69" customFormat="1" ht="16.5" customHeight="1" x14ac:dyDescent="0.2">
      <c r="A73" s="68"/>
      <c r="B73" s="413"/>
      <c r="D73" s="359"/>
      <c r="E73" s="68"/>
      <c r="G73" s="235"/>
      <c r="H73" s="235"/>
      <c r="I73" s="235"/>
      <c r="J73" s="235"/>
      <c r="K73" s="379"/>
      <c r="L73" s="422"/>
      <c r="M73" s="422"/>
      <c r="N73" s="560"/>
    </row>
    <row r="74" spans="1:14" s="69" customFormat="1" ht="23.25" x14ac:dyDescent="0.2">
      <c r="A74" s="68"/>
      <c r="B74" s="415"/>
      <c r="C74" s="68"/>
      <c r="D74" s="68"/>
      <c r="E74" s="68"/>
      <c r="F74" s="68"/>
      <c r="G74" s="235"/>
      <c r="H74" s="235"/>
      <c r="I74" s="235"/>
      <c r="J74" s="235"/>
      <c r="K74" s="379"/>
      <c r="L74" s="422"/>
      <c r="M74" s="422"/>
      <c r="N74" s="560"/>
    </row>
    <row r="75" spans="1:14" s="69" customFormat="1" ht="20.25" x14ac:dyDescent="0.2">
      <c r="A75" s="68"/>
      <c r="B75" s="413"/>
      <c r="C75" s="68"/>
      <c r="D75" s="68"/>
      <c r="E75" s="68"/>
      <c r="F75" s="68"/>
      <c r="G75" s="235"/>
      <c r="H75" s="235"/>
      <c r="I75" s="235"/>
      <c r="J75" s="235"/>
      <c r="K75" s="379"/>
      <c r="L75" s="422"/>
      <c r="M75" s="422"/>
      <c r="N75" s="560"/>
    </row>
    <row r="76" spans="1:14" s="77" customFormat="1" ht="20.25" x14ac:dyDescent="0.2">
      <c r="A76" s="80"/>
      <c r="B76" s="409"/>
      <c r="C76" s="80"/>
      <c r="D76" s="80"/>
      <c r="F76" s="80"/>
      <c r="G76" s="250"/>
      <c r="H76" s="235"/>
      <c r="I76" s="235"/>
      <c r="J76" s="235"/>
      <c r="K76" s="381"/>
      <c r="L76" s="422"/>
      <c r="M76" s="422"/>
      <c r="N76" s="560"/>
    </row>
    <row r="77" spans="1:14" s="77" customFormat="1" ht="20.25" x14ac:dyDescent="0.2">
      <c r="A77" s="80"/>
      <c r="B77" s="409"/>
      <c r="C77" s="80"/>
      <c r="D77" s="80"/>
      <c r="F77" s="80"/>
      <c r="G77" s="235"/>
      <c r="H77" s="235"/>
      <c r="I77" s="235"/>
      <c r="J77" s="235"/>
      <c r="K77" s="381"/>
      <c r="L77" s="422"/>
      <c r="M77" s="422"/>
      <c r="N77" s="560"/>
    </row>
    <row r="78" spans="1:14" s="77" customFormat="1" ht="20.25" x14ac:dyDescent="0.2">
      <c r="A78" s="80"/>
      <c r="B78" s="409"/>
      <c r="C78" s="80"/>
      <c r="D78" s="80"/>
      <c r="F78" s="80"/>
      <c r="G78" s="235"/>
      <c r="H78" s="235"/>
      <c r="I78" s="235"/>
      <c r="J78" s="235"/>
      <c r="K78" s="381"/>
      <c r="L78" s="422"/>
      <c r="M78" s="422"/>
      <c r="N78" s="560"/>
    </row>
    <row r="79" spans="1:14" s="77" customFormat="1" ht="20.25" x14ac:dyDescent="0.2">
      <c r="A79" s="80"/>
      <c r="B79" s="80"/>
      <c r="C79" s="80"/>
      <c r="D79" s="80"/>
      <c r="F79" s="80"/>
      <c r="G79" s="235"/>
      <c r="H79" s="235"/>
      <c r="I79" s="235"/>
      <c r="J79" s="235"/>
      <c r="K79" s="381"/>
      <c r="L79" s="422"/>
      <c r="M79" s="422"/>
      <c r="N79" s="560"/>
    </row>
    <row r="80" spans="1:14" s="77" customFormat="1" ht="20.25" x14ac:dyDescent="0.2">
      <c r="A80" s="80"/>
      <c r="B80" s="80"/>
      <c r="C80" s="80"/>
      <c r="D80" s="80"/>
      <c r="F80" s="80"/>
      <c r="G80" s="235"/>
      <c r="H80" s="235"/>
      <c r="I80" s="235"/>
      <c r="J80" s="235"/>
      <c r="K80" s="381"/>
      <c r="L80" s="422"/>
      <c r="M80" s="422"/>
      <c r="N80" s="560"/>
    </row>
    <row r="81" spans="1:14" s="77" customFormat="1" ht="20.25" x14ac:dyDescent="0.2">
      <c r="A81" s="80"/>
      <c r="B81" s="80"/>
      <c r="C81" s="80"/>
      <c r="D81" s="80"/>
      <c r="F81" s="80"/>
      <c r="G81" s="235"/>
      <c r="H81" s="235"/>
      <c r="I81" s="235"/>
      <c r="J81" s="235"/>
      <c r="K81" s="381"/>
      <c r="L81" s="422"/>
      <c r="M81" s="422"/>
      <c r="N81" s="560"/>
    </row>
    <row r="82" spans="1:14" s="77" customFormat="1" ht="20.25" x14ac:dyDescent="0.2">
      <c r="A82" s="80"/>
      <c r="B82" s="80"/>
      <c r="C82" s="68"/>
      <c r="D82" s="80"/>
      <c r="F82" s="80"/>
      <c r="G82" s="235"/>
      <c r="H82" s="235"/>
      <c r="I82" s="235"/>
      <c r="J82" s="235"/>
      <c r="K82" s="381"/>
      <c r="L82" s="422"/>
      <c r="M82" s="422"/>
      <c r="N82" s="560"/>
    </row>
    <row r="83" spans="1:14" s="77" customFormat="1" ht="20.25" x14ac:dyDescent="0.2">
      <c r="A83" s="80"/>
      <c r="B83" s="80"/>
      <c r="C83" s="80"/>
      <c r="D83" s="80"/>
      <c r="E83" s="80"/>
      <c r="F83" s="80"/>
      <c r="G83" s="235"/>
      <c r="H83" s="235"/>
      <c r="I83" s="235"/>
      <c r="J83" s="235"/>
      <c r="K83" s="381"/>
      <c r="L83" s="422"/>
      <c r="M83" s="422"/>
      <c r="N83" s="560"/>
    </row>
    <row r="84" spans="1:14" s="77" customFormat="1" ht="20.25" x14ac:dyDescent="0.2">
      <c r="A84" s="80"/>
      <c r="B84" s="80"/>
      <c r="C84" s="68"/>
      <c r="D84" s="68"/>
      <c r="G84" s="235"/>
      <c r="H84" s="235"/>
      <c r="I84" s="235"/>
      <c r="J84" s="235"/>
      <c r="K84" s="381"/>
      <c r="L84" s="422"/>
      <c r="M84" s="422"/>
      <c r="N84" s="560"/>
    </row>
    <row r="85" spans="1:14" s="77" customFormat="1" ht="20.25" x14ac:dyDescent="0.2">
      <c r="A85" s="80"/>
      <c r="B85" s="80"/>
      <c r="C85" s="80"/>
      <c r="D85" s="80"/>
      <c r="E85" s="80"/>
      <c r="F85" s="80"/>
      <c r="G85" s="235"/>
      <c r="H85" s="235"/>
      <c r="I85" s="235"/>
      <c r="J85" s="235"/>
      <c r="K85" s="381"/>
      <c r="L85" s="422"/>
      <c r="M85" s="422"/>
      <c r="N85" s="560"/>
    </row>
    <row r="86" spans="1:14" s="77" customFormat="1" ht="20.25" x14ac:dyDescent="0.2">
      <c r="A86" s="80"/>
      <c r="B86" s="80"/>
      <c r="C86" s="80"/>
      <c r="D86" s="80"/>
      <c r="E86" s="80"/>
      <c r="F86" s="80"/>
      <c r="G86" s="235"/>
      <c r="H86" s="235"/>
      <c r="I86" s="235"/>
      <c r="J86" s="235"/>
      <c r="K86" s="381"/>
      <c r="L86" s="422"/>
      <c r="M86" s="422"/>
      <c r="N86" s="560"/>
    </row>
    <row r="87" spans="1:14" s="77" customFormat="1" ht="20.25" x14ac:dyDescent="0.2">
      <c r="A87" s="80"/>
      <c r="B87" s="80"/>
      <c r="C87" s="80"/>
      <c r="D87" s="80"/>
      <c r="E87" s="80"/>
      <c r="F87" s="80"/>
      <c r="G87" s="235"/>
      <c r="H87" s="235"/>
      <c r="I87" s="235"/>
      <c r="J87" s="235"/>
      <c r="K87" s="381"/>
      <c r="L87" s="422"/>
      <c r="M87" s="422"/>
      <c r="N87" s="560"/>
    </row>
    <row r="88" spans="1:14" s="77" customFormat="1" ht="20.25" x14ac:dyDescent="0.2">
      <c r="A88" s="80"/>
      <c r="B88" s="80"/>
      <c r="C88" s="80"/>
      <c r="D88" s="80"/>
      <c r="E88" s="80"/>
      <c r="F88" s="80"/>
      <c r="G88" s="235"/>
      <c r="H88" s="235"/>
      <c r="I88" s="235"/>
      <c r="J88" s="235"/>
      <c r="K88" s="381"/>
      <c r="L88" s="422"/>
      <c r="M88" s="422"/>
      <c r="N88" s="560"/>
    </row>
    <row r="89" spans="1:14" s="77" customFormat="1" ht="20.25" x14ac:dyDescent="0.2">
      <c r="A89" s="80"/>
      <c r="B89" s="80"/>
      <c r="C89" s="68"/>
      <c r="D89" s="80"/>
      <c r="F89" s="80"/>
      <c r="G89" s="235"/>
      <c r="H89" s="235"/>
      <c r="I89" s="235"/>
      <c r="J89" s="235"/>
      <c r="K89" s="381"/>
      <c r="L89" s="422"/>
      <c r="M89" s="422"/>
      <c r="N89" s="560"/>
    </row>
    <row r="90" spans="1:14" s="77" customFormat="1" ht="20.25" x14ac:dyDescent="0.2">
      <c r="A90" s="80"/>
      <c r="B90" s="80"/>
      <c r="C90" s="80"/>
      <c r="D90" s="80"/>
      <c r="E90" s="80"/>
      <c r="F90" s="80"/>
      <c r="G90" s="235"/>
      <c r="H90" s="235"/>
      <c r="I90" s="235"/>
      <c r="J90" s="235"/>
      <c r="K90" s="381"/>
      <c r="L90" s="422"/>
      <c r="M90" s="422"/>
      <c r="N90" s="560"/>
    </row>
    <row r="91" spans="1:14" s="69" customFormat="1" ht="20.25" x14ac:dyDescent="0.2">
      <c r="A91" s="68"/>
      <c r="B91" s="68"/>
      <c r="C91" s="68"/>
      <c r="D91" s="68"/>
      <c r="E91" s="68"/>
      <c r="F91" s="68"/>
      <c r="G91" s="240"/>
      <c r="H91" s="240"/>
      <c r="I91" s="240"/>
      <c r="J91" s="240"/>
      <c r="K91" s="379"/>
      <c r="N91" s="560"/>
    </row>
    <row r="92" spans="1:14" s="69" customFormat="1" ht="20.25" x14ac:dyDescent="0.2">
      <c r="A92" s="68"/>
      <c r="B92" s="68"/>
      <c r="C92" s="68"/>
      <c r="D92" s="68"/>
      <c r="E92" s="68"/>
      <c r="F92" s="68"/>
      <c r="G92" s="240"/>
      <c r="H92" s="240"/>
      <c r="I92" s="240"/>
      <c r="J92" s="240"/>
      <c r="K92" s="379"/>
      <c r="N92" s="560"/>
    </row>
    <row r="93" spans="1:14" s="69" customFormat="1" ht="23.25" x14ac:dyDescent="0.2">
      <c r="A93" s="68"/>
      <c r="B93" s="278"/>
      <c r="C93" s="68"/>
      <c r="D93" s="68"/>
      <c r="E93" s="68"/>
      <c r="F93" s="68"/>
      <c r="G93" s="235"/>
      <c r="H93" s="235"/>
      <c r="I93" s="235"/>
      <c r="J93" s="235"/>
      <c r="K93" s="379"/>
      <c r="N93" s="560"/>
    </row>
    <row r="94" spans="1:14" s="77" customFormat="1" ht="20.25" x14ac:dyDescent="0.2">
      <c r="A94" s="80"/>
      <c r="B94" s="80"/>
      <c r="D94" s="80"/>
      <c r="E94" s="80"/>
      <c r="F94" s="80"/>
      <c r="G94" s="235"/>
      <c r="H94" s="235"/>
      <c r="I94" s="235"/>
      <c r="J94" s="235"/>
      <c r="K94" s="381"/>
      <c r="N94" s="560"/>
    </row>
    <row r="95" spans="1:14" s="77" customFormat="1" ht="20.25" x14ac:dyDescent="0.2">
      <c r="A95" s="80"/>
      <c r="B95" s="80"/>
      <c r="D95" s="80"/>
      <c r="E95" s="80"/>
      <c r="F95" s="80"/>
      <c r="G95" s="235"/>
      <c r="H95" s="235"/>
      <c r="I95" s="235"/>
      <c r="J95" s="235"/>
      <c r="K95" s="381"/>
      <c r="N95" s="560"/>
    </row>
    <row r="96" spans="1:14" s="69" customFormat="1" ht="20.25" x14ac:dyDescent="0.2">
      <c r="A96" s="68"/>
      <c r="B96" s="68"/>
      <c r="D96" s="80"/>
      <c r="E96" s="68"/>
      <c r="F96" s="68"/>
      <c r="G96" s="235"/>
      <c r="H96" s="235"/>
      <c r="I96" s="235"/>
      <c r="J96" s="235"/>
      <c r="K96" s="379"/>
      <c r="N96" s="560"/>
    </row>
    <row r="97" spans="1:14" s="69" customFormat="1" ht="23.25" x14ac:dyDescent="0.2">
      <c r="A97" s="68"/>
      <c r="B97" s="278"/>
      <c r="C97" s="68"/>
      <c r="D97" s="68"/>
      <c r="E97" s="68"/>
      <c r="F97" s="68"/>
      <c r="G97" s="240"/>
      <c r="H97" s="240"/>
      <c r="I97" s="240"/>
      <c r="J97" s="240"/>
      <c r="K97" s="379"/>
      <c r="N97" s="560"/>
    </row>
    <row r="98" spans="1:14" s="69" customFormat="1" ht="20.25" x14ac:dyDescent="0.2">
      <c r="A98" s="68"/>
      <c r="B98" s="68"/>
      <c r="C98" s="68"/>
      <c r="D98" s="68"/>
      <c r="E98" s="68"/>
      <c r="F98" s="68"/>
      <c r="G98" s="235"/>
      <c r="H98" s="235"/>
      <c r="I98" s="235"/>
      <c r="J98" s="235"/>
      <c r="K98" s="379"/>
      <c r="N98" s="560"/>
    </row>
    <row r="99" spans="1:14" s="83" customFormat="1" ht="26.25" x14ac:dyDescent="0.2">
      <c r="A99" s="275"/>
      <c r="B99" s="275"/>
      <c r="C99" s="275"/>
      <c r="D99" s="275"/>
      <c r="E99" s="275"/>
      <c r="F99" s="275"/>
      <c r="G99" s="276"/>
      <c r="H99" s="240"/>
      <c r="I99" s="240"/>
      <c r="J99" s="240"/>
      <c r="K99" s="382"/>
      <c r="N99" s="565"/>
    </row>
    <row r="100" spans="1:14" s="18" customFormat="1" ht="20.25" x14ac:dyDescent="0.3">
      <c r="A100" s="123"/>
      <c r="B100" s="123"/>
      <c r="C100" s="123"/>
      <c r="D100" s="123"/>
      <c r="E100" s="123"/>
      <c r="F100" s="123"/>
      <c r="G100" s="279"/>
      <c r="H100" s="284"/>
      <c r="I100" s="284"/>
      <c r="J100" s="284"/>
      <c r="K100" s="384"/>
      <c r="N100" s="566"/>
    </row>
    <row r="101" spans="1:14" ht="20.25" x14ac:dyDescent="0.3">
      <c r="H101" s="284"/>
      <c r="I101" s="284"/>
      <c r="J101" s="284"/>
    </row>
    <row r="102" spans="1:14" ht="20.25" x14ac:dyDescent="0.3">
      <c r="H102" s="284"/>
      <c r="I102" s="284"/>
      <c r="J102" s="284"/>
    </row>
    <row r="103" spans="1:14" ht="20.25" x14ac:dyDescent="0.3">
      <c r="H103" s="281"/>
      <c r="I103" s="281"/>
      <c r="J103" s="281"/>
    </row>
  </sheetData>
  <mergeCells count="3">
    <mergeCell ref="L8:M8"/>
    <mergeCell ref="G6:J6"/>
    <mergeCell ref="C43:F43"/>
  </mergeCells>
  <pageMargins left="0.9" right="0.15" top="0.25" bottom="0.25" header="0.3" footer="0.3"/>
  <pageSetup scale="44"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9"/>
  <sheetViews>
    <sheetView zoomScale="75" zoomScaleNormal="75" workbookViewId="0"/>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47"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101</v>
      </c>
      <c r="B1" s="60"/>
      <c r="C1" s="61"/>
      <c r="D1" s="61"/>
      <c r="E1" s="61"/>
      <c r="F1" s="60"/>
      <c r="G1" s="233"/>
      <c r="H1" s="60"/>
      <c r="I1" s="60"/>
      <c r="J1" s="60"/>
      <c r="K1" s="60"/>
      <c r="L1" s="486"/>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236</v>
      </c>
      <c r="B2" s="60"/>
      <c r="C2" s="61"/>
      <c r="D2" s="61"/>
      <c r="E2" s="61"/>
      <c r="F2" s="60"/>
      <c r="G2" s="233"/>
      <c r="H2" s="60"/>
      <c r="I2" s="60"/>
      <c r="J2" s="60"/>
      <c r="K2" s="60"/>
      <c r="L2" s="486"/>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9" t="str">
        <f>'Feb''19 State of Activities'!A3</f>
        <v>Two Months Ended February 28, 2019 and 2018</v>
      </c>
      <c r="B3" s="60"/>
      <c r="C3" s="61"/>
      <c r="D3" s="61"/>
      <c r="E3" s="61"/>
      <c r="F3" s="60"/>
      <c r="G3" s="233"/>
      <c r="H3" s="60"/>
      <c r="I3" s="60"/>
      <c r="J3" s="60"/>
      <c r="K3" s="60"/>
      <c r="L3" s="486"/>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9" t="str">
        <f>'Feb''19 State of Activities'!A4</f>
        <v>For the Year Ended December 31, 2018</v>
      </c>
      <c r="B4" s="60"/>
      <c r="C4" s="61"/>
      <c r="D4" s="61"/>
      <c r="E4" s="61"/>
      <c r="F4" s="60"/>
      <c r="G4" s="233"/>
      <c r="H4" s="60"/>
      <c r="I4" s="60"/>
      <c r="J4" s="60"/>
      <c r="K4" s="60"/>
      <c r="L4" s="486"/>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234"/>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4.75" customHeight="1" thickTop="1" thickBot="1" x14ac:dyDescent="0.25">
      <c r="A6" s="65" t="s">
        <v>116</v>
      </c>
      <c r="B6" s="65"/>
      <c r="C6" s="65"/>
      <c r="D6" s="65"/>
      <c r="E6" s="65"/>
      <c r="F6" s="65"/>
      <c r="G6" s="537"/>
      <c r="H6" s="244" t="s">
        <v>55</v>
      </c>
      <c r="I6" s="244"/>
      <c r="J6" s="805" t="s">
        <v>55</v>
      </c>
      <c r="K6" s="805"/>
      <c r="L6" s="805"/>
      <c r="M6" s="805"/>
      <c r="N6" s="66"/>
      <c r="O6" s="435" t="s">
        <v>196</v>
      </c>
      <c r="P6" s="432" t="s">
        <v>209</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c r="G7" s="235"/>
    </row>
    <row r="8" spans="1:128" s="73" customFormat="1" ht="21" thickBot="1" x14ac:dyDescent="0.35">
      <c r="A8" s="70"/>
      <c r="B8" s="154" t="s">
        <v>108</v>
      </c>
      <c r="C8" s="154"/>
      <c r="D8" s="154"/>
      <c r="E8" s="154"/>
      <c r="F8" s="154"/>
      <c r="G8" s="289">
        <v>41090</v>
      </c>
      <c r="H8" s="289">
        <v>41274</v>
      </c>
      <c r="I8" s="338"/>
      <c r="J8" s="289">
        <f>'Feb''19 State of Activities'!G8</f>
        <v>43524</v>
      </c>
      <c r="K8" s="489">
        <f>'Feb''19 State of Activities'!H8</f>
        <v>43465</v>
      </c>
      <c r="L8" s="338"/>
      <c r="M8" s="289">
        <f>'Feb''19 State of Activities'!J8</f>
        <v>43159</v>
      </c>
      <c r="N8" s="72"/>
      <c r="O8" s="804" t="s">
        <v>456</v>
      </c>
      <c r="P8" s="804"/>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20.25" x14ac:dyDescent="0.2">
      <c r="A9" s="74"/>
      <c r="B9" s="74"/>
      <c r="C9" s="440" t="s">
        <v>160</v>
      </c>
      <c r="D9" s="440"/>
      <c r="E9" s="440"/>
      <c r="F9" s="74"/>
      <c r="G9" s="271">
        <v>127719</v>
      </c>
      <c r="H9" s="271">
        <v>67566.5</v>
      </c>
      <c r="I9" s="337"/>
      <c r="J9" s="341">
        <f>'Feb''19 State of Activities'!G11</f>
        <v>24680.78</v>
      </c>
      <c r="K9" s="341">
        <f>'Feb''19 State of Activities'!H11</f>
        <v>153461.26</v>
      </c>
      <c r="L9" s="341"/>
      <c r="M9" s="341">
        <f>'Feb''19 State of Activities'!J11</f>
        <v>18880.13</v>
      </c>
      <c r="N9" s="69"/>
      <c r="O9" s="397">
        <f>J9-M9</f>
        <v>5800.6499999999978</v>
      </c>
      <c r="P9" s="433">
        <f>O9/M9</f>
        <v>0.30723570229654124</v>
      </c>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807" t="s">
        <v>357</v>
      </c>
      <c r="D10" s="807"/>
      <c r="E10" s="807"/>
      <c r="F10" s="807"/>
      <c r="G10" s="271"/>
      <c r="H10" s="271"/>
      <c r="I10" s="337"/>
      <c r="J10" s="755"/>
      <c r="K10" s="341">
        <v>3122.52</v>
      </c>
      <c r="L10" s="341"/>
      <c r="M10" s="341"/>
      <c r="N10" s="69"/>
      <c r="O10" s="540">
        <f>J10-M10</f>
        <v>0</v>
      </c>
      <c r="P10" s="45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5" customFormat="1" ht="20.25" x14ac:dyDescent="0.2">
      <c r="A11" s="74"/>
      <c r="B11" s="74"/>
      <c r="C11" s="440" t="s">
        <v>237</v>
      </c>
      <c r="D11" s="440"/>
      <c r="E11" s="440"/>
      <c r="F11" s="74"/>
      <c r="G11" s="270">
        <v>875436</v>
      </c>
      <c r="H11" s="270">
        <v>372424.1</v>
      </c>
      <c r="I11" s="341"/>
      <c r="J11" s="337"/>
      <c r="K11" s="337">
        <f>10471.96+(5268.48+3381.01)*1.14</f>
        <v>20332.378599999996</v>
      </c>
      <c r="L11" s="341"/>
      <c r="M11" s="337">
        <v>1874.16</v>
      </c>
      <c r="N11" s="69"/>
      <c r="O11" s="540">
        <f>J11-M11</f>
        <v>-1874.16</v>
      </c>
      <c r="P11" s="459">
        <f>O11/M11</f>
        <v>-1</v>
      </c>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row>
    <row r="12" spans="1:128" s="75" customFormat="1" ht="20.25" x14ac:dyDescent="0.2">
      <c r="A12" s="74"/>
      <c r="B12" s="74"/>
      <c r="C12" s="440" t="s">
        <v>110</v>
      </c>
      <c r="D12" s="440"/>
      <c r="E12" s="440"/>
      <c r="F12" s="74"/>
      <c r="G12" s="271"/>
      <c r="H12" s="271"/>
      <c r="I12" s="337"/>
      <c r="J12" s="337"/>
      <c r="K12" s="337"/>
      <c r="L12" s="337"/>
      <c r="M12" s="337"/>
      <c r="N12" s="69"/>
      <c r="O12" s="540"/>
      <c r="P12" s="445"/>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row>
    <row r="13" spans="1:128" s="75" customFormat="1" ht="20.25" x14ac:dyDescent="0.2">
      <c r="A13" s="74"/>
      <c r="B13" s="74"/>
      <c r="C13" s="78"/>
      <c r="D13" s="440" t="s">
        <v>238</v>
      </c>
      <c r="E13" s="440"/>
      <c r="F13" s="74"/>
      <c r="G13" s="271">
        <v>94235.25</v>
      </c>
      <c r="H13" s="271">
        <v>37190.379999999997</v>
      </c>
      <c r="I13" s="337"/>
      <c r="J13" s="337">
        <f>3708.33*2</f>
        <v>7416.66</v>
      </c>
      <c r="K13" s="337">
        <f>3541.67*12</f>
        <v>42500.04</v>
      </c>
      <c r="L13" s="337"/>
      <c r="M13" s="337">
        <f>3541.67*2</f>
        <v>7083.34</v>
      </c>
      <c r="N13" s="69"/>
      <c r="O13" s="540">
        <f>J13-M13</f>
        <v>333.31999999999971</v>
      </c>
      <c r="P13" s="459">
        <f>O13/M13</f>
        <v>4.7056896887626418E-2</v>
      </c>
      <c r="Q13" s="69"/>
      <c r="R13" s="493"/>
      <c r="S13" s="494"/>
      <c r="T13" s="493"/>
      <c r="U13" s="493"/>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row>
    <row r="14" spans="1:128" s="75" customFormat="1" ht="20.25" x14ac:dyDescent="0.2">
      <c r="A14" s="74"/>
      <c r="B14" s="74"/>
      <c r="C14" s="78"/>
      <c r="D14" s="440" t="s">
        <v>170</v>
      </c>
      <c r="E14" s="440"/>
      <c r="F14" s="74"/>
      <c r="G14" s="271"/>
      <c r="H14" s="271"/>
      <c r="I14" s="337"/>
      <c r="J14" s="337">
        <f>'Feb''19 State of Activities'!G15</f>
        <v>2166.66</v>
      </c>
      <c r="K14" s="337">
        <f>750*12</f>
        <v>9000</v>
      </c>
      <c r="L14" s="337"/>
      <c r="M14" s="337">
        <f>750*2</f>
        <v>1500</v>
      </c>
      <c r="N14" s="69"/>
      <c r="O14" s="540">
        <f>J14-M14</f>
        <v>666.65999999999985</v>
      </c>
      <c r="P14" s="459">
        <f>O14/M14</f>
        <v>0.44443999999999989</v>
      </c>
      <c r="Q14" s="69"/>
      <c r="R14" s="69"/>
      <c r="S14" s="406"/>
      <c r="T14" s="495"/>
      <c r="U14" s="37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128" s="75" customFormat="1" ht="20.25" x14ac:dyDescent="0.2">
      <c r="A15" s="74"/>
      <c r="B15" s="74"/>
      <c r="C15" s="440" t="s">
        <v>111</v>
      </c>
      <c r="D15" s="440"/>
      <c r="E15" s="440"/>
      <c r="F15" s="74"/>
      <c r="G15" s="271">
        <v>0</v>
      </c>
      <c r="H15" s="271">
        <v>3517</v>
      </c>
      <c r="I15" s="337"/>
      <c r="J15" s="337">
        <f>'Feb''19 State of Activities'!G17</f>
        <v>1290</v>
      </c>
      <c r="K15" s="337">
        <f>'Feb''19 State of Activities'!H17</f>
        <v>12796</v>
      </c>
      <c r="L15" s="337"/>
      <c r="M15" s="337">
        <f>'Feb''19 State of Activities'!J17</f>
        <v>1725</v>
      </c>
      <c r="N15" s="69"/>
      <c r="O15" s="540">
        <f>J15-M15</f>
        <v>-435</v>
      </c>
      <c r="P15" s="459">
        <f>O15/M15</f>
        <v>-0.25217391304347825</v>
      </c>
      <c r="Q15" s="69"/>
      <c r="R15" s="69"/>
      <c r="S15" s="406"/>
      <c r="T15" s="495"/>
      <c r="U15" s="37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row>
    <row r="16" spans="1:128" s="75" customFormat="1" ht="20.25" x14ac:dyDescent="0.2">
      <c r="A16" s="74"/>
      <c r="B16" s="74"/>
      <c r="C16" s="440" t="s">
        <v>239</v>
      </c>
      <c r="D16" s="440"/>
      <c r="E16" s="440"/>
      <c r="F16" s="74"/>
      <c r="G16" s="271">
        <v>31459</v>
      </c>
      <c r="H16" s="271">
        <v>13920.35</v>
      </c>
      <c r="I16" s="337"/>
      <c r="J16" s="337">
        <f>'Feb''19 Revenues &amp; Expenses'!H32</f>
        <v>4189.03</v>
      </c>
      <c r="K16" s="337">
        <v>25000</v>
      </c>
      <c r="L16" s="337"/>
      <c r="M16" s="337">
        <v>4155.21</v>
      </c>
      <c r="N16" s="69"/>
      <c r="O16" s="540">
        <f>J16-M16</f>
        <v>33.819999999999709</v>
      </c>
      <c r="P16" s="459">
        <f>O16/M16</f>
        <v>8.1391794879199144E-3</v>
      </c>
      <c r="Q16" s="69"/>
      <c r="R16" s="69"/>
      <c r="S16" s="406"/>
      <c r="T16" s="495"/>
      <c r="U16" s="37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20.25" x14ac:dyDescent="0.2">
      <c r="A17" s="74"/>
      <c r="B17" s="74"/>
      <c r="C17" s="440" t="s">
        <v>454</v>
      </c>
      <c r="D17" s="440"/>
      <c r="E17" s="440"/>
      <c r="F17" s="74"/>
      <c r="G17" s="271"/>
      <c r="H17" s="271"/>
      <c r="I17" s="337"/>
      <c r="J17" s="337">
        <v>90</v>
      </c>
      <c r="K17" s="337"/>
      <c r="L17" s="337"/>
      <c r="M17" s="337"/>
      <c r="N17" s="69"/>
      <c r="O17" s="540"/>
      <c r="P17" s="459"/>
      <c r="Q17" s="69"/>
      <c r="R17" s="69"/>
      <c r="S17" s="406"/>
      <c r="T17" s="495"/>
      <c r="U17" s="37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440" t="s">
        <v>256</v>
      </c>
      <c r="D18" s="440"/>
      <c r="E18" s="440"/>
      <c r="F18" s="74"/>
      <c r="G18" s="271">
        <v>1125</v>
      </c>
      <c r="H18" s="271">
        <v>6050</v>
      </c>
      <c r="I18" s="337"/>
      <c r="J18" s="337">
        <f>'Feb''19 State of Activities'!G24</f>
        <v>2300</v>
      </c>
      <c r="K18" s="337">
        <f>'Feb''19 State of Activities'!H24</f>
        <v>0</v>
      </c>
      <c r="L18" s="337"/>
      <c r="M18" s="337">
        <f>'Feb''19 State of Activities'!J24</f>
        <v>0</v>
      </c>
      <c r="N18" s="69"/>
      <c r="O18" s="540">
        <f>J18-M18</f>
        <v>2300</v>
      </c>
      <c r="P18" s="45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5" customFormat="1" ht="20.25" x14ac:dyDescent="0.2">
      <c r="A19" s="74"/>
      <c r="B19" s="74"/>
      <c r="C19" s="807" t="s">
        <v>455</v>
      </c>
      <c r="D19" s="807"/>
      <c r="E19" s="807"/>
      <c r="F19" s="807"/>
      <c r="G19" s="271"/>
      <c r="H19" s="271"/>
      <c r="I19" s="337"/>
      <c r="J19" s="337"/>
      <c r="K19" s="337">
        <v>659.25</v>
      </c>
      <c r="L19" s="337"/>
      <c r="M19" s="337"/>
      <c r="N19" s="69"/>
      <c r="O19" s="540"/>
      <c r="P19" s="45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row>
    <row r="20" spans="1:61" s="75" customFormat="1" ht="21" thickBot="1" x14ac:dyDescent="0.25">
      <c r="A20" s="74"/>
      <c r="B20" s="74"/>
      <c r="C20" s="440" t="s">
        <v>240</v>
      </c>
      <c r="D20" s="440"/>
      <c r="E20" s="440"/>
      <c r="F20" s="74"/>
      <c r="G20" s="272">
        <v>31250</v>
      </c>
      <c r="H20" s="272">
        <v>15624.98</v>
      </c>
      <c r="I20" s="337"/>
      <c r="J20" s="272">
        <f>'Feb''19 State of Activities'!G25*0.2</f>
        <v>1552.5</v>
      </c>
      <c r="K20" s="272">
        <f>'Feb''19 State of Activities'!H25*0.2</f>
        <v>9315</v>
      </c>
      <c r="L20" s="337"/>
      <c r="M20" s="272">
        <f>'Feb''19 State of Activities'!J25*0.2</f>
        <v>1552.5</v>
      </c>
      <c r="N20" s="69"/>
      <c r="O20" s="541">
        <f>J20-M20</f>
        <v>0</v>
      </c>
      <c r="P20" s="434">
        <v>0</v>
      </c>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row>
    <row r="21" spans="1:61" s="75" customFormat="1" ht="20.25" x14ac:dyDescent="0.2">
      <c r="A21" s="74"/>
      <c r="B21" s="74"/>
      <c r="C21" s="440"/>
      <c r="D21" s="74" t="s">
        <v>113</v>
      </c>
      <c r="E21" s="440"/>
      <c r="F21" s="74"/>
      <c r="G21" s="237">
        <v>1161224.25</v>
      </c>
      <c r="H21" s="237">
        <v>516293.30999999994</v>
      </c>
      <c r="I21" s="235"/>
      <c r="J21" s="271">
        <f>SUM(J9:J20)</f>
        <v>43685.63</v>
      </c>
      <c r="K21" s="271">
        <f>SUM(K9:K20)</f>
        <v>276186.4486</v>
      </c>
      <c r="L21" s="337"/>
      <c r="M21" s="271">
        <f>SUM(M9:M20)</f>
        <v>36770.340000000004</v>
      </c>
      <c r="N21" s="69"/>
      <c r="O21" s="282">
        <f>SUM(O9:O20)</f>
        <v>6825.2899999999972</v>
      </c>
      <c r="P21" s="459">
        <f>O21/M21</f>
        <v>0.18561944219172291</v>
      </c>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row>
    <row r="22" spans="1:61" s="75" customFormat="1" ht="21" thickBot="1" x14ac:dyDescent="0.25">
      <c r="A22" s="74"/>
      <c r="B22" s="74"/>
      <c r="C22" s="74" t="s">
        <v>241</v>
      </c>
      <c r="D22" s="440"/>
      <c r="E22" s="440"/>
      <c r="F22" s="74"/>
      <c r="G22" s="245">
        <v>150176</v>
      </c>
      <c r="H22" s="245">
        <v>47700.27</v>
      </c>
      <c r="I22" s="235"/>
      <c r="J22" s="337">
        <f>19000/12*2</f>
        <v>3166.6666666666665</v>
      </c>
      <c r="K22" s="337">
        <v>19000</v>
      </c>
      <c r="L22" s="337"/>
      <c r="M22" s="337">
        <f>19000/12*2</f>
        <v>3166.6666666666665</v>
      </c>
      <c r="N22" s="69"/>
      <c r="O22" s="540">
        <f>J22-M22</f>
        <v>0</v>
      </c>
      <c r="P22" s="433">
        <f>O22/M22</f>
        <v>0</v>
      </c>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row>
    <row r="23" spans="1:61" s="75" customFormat="1" ht="21" thickBot="1" x14ac:dyDescent="0.25">
      <c r="A23" s="74"/>
      <c r="B23" s="74"/>
      <c r="C23" s="74" t="s">
        <v>242</v>
      </c>
      <c r="D23" s="440"/>
      <c r="E23" s="440"/>
      <c r="F23" s="74"/>
      <c r="G23" s="235"/>
      <c r="H23" s="235"/>
      <c r="I23" s="235"/>
      <c r="J23" s="272">
        <v>7060.76</v>
      </c>
      <c r="K23" s="272">
        <v>37641.19</v>
      </c>
      <c r="L23" s="337"/>
      <c r="M23" s="272">
        <v>5719.97</v>
      </c>
      <c r="N23" s="69"/>
      <c r="O23" s="396">
        <f>J23-M23</f>
        <v>1340.79</v>
      </c>
      <c r="P23" s="487">
        <f>O23/M23</f>
        <v>0.23440507555109552</v>
      </c>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0.25" x14ac:dyDescent="0.2">
      <c r="A24" s="74"/>
      <c r="B24" s="74"/>
      <c r="C24" s="440"/>
      <c r="D24" s="74" t="s">
        <v>115</v>
      </c>
      <c r="E24" s="440"/>
      <c r="F24" s="74"/>
      <c r="G24" s="237">
        <v>1311400.25</v>
      </c>
      <c r="H24" s="237">
        <v>563993.57999999996</v>
      </c>
      <c r="I24" s="235"/>
      <c r="J24" s="271">
        <f>SUM(J21:J23)</f>
        <v>53913.056666666664</v>
      </c>
      <c r="K24" s="271">
        <f>SUM(K21:K23)</f>
        <v>332827.63860000001</v>
      </c>
      <c r="L24" s="337"/>
      <c r="M24" s="271">
        <f>SUM(M21:M23)</f>
        <v>45656.976666666669</v>
      </c>
      <c r="N24" s="69"/>
      <c r="O24" s="282">
        <f>J24-M24</f>
        <v>8256.0799999999945</v>
      </c>
      <c r="P24" s="459">
        <f>O24/M24</f>
        <v>0.18082844294041064</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0.25" x14ac:dyDescent="0.2">
      <c r="A25" s="74"/>
      <c r="B25" s="74"/>
      <c r="C25" s="440"/>
      <c r="D25" s="74"/>
      <c r="E25" s="440"/>
      <c r="F25" s="74"/>
      <c r="G25" s="237"/>
      <c r="H25" s="237"/>
      <c r="I25" s="235"/>
      <c r="J25" s="337"/>
      <c r="K25" s="337"/>
      <c r="L25" s="337"/>
      <c r="M25" s="337"/>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1" thickBot="1" x14ac:dyDescent="0.25">
      <c r="A26" s="74"/>
      <c r="B26" s="88" t="s">
        <v>119</v>
      </c>
      <c r="C26" s="88"/>
      <c r="D26" s="88"/>
      <c r="E26" s="88"/>
      <c r="F26" s="88"/>
      <c r="G26" s="245"/>
      <c r="H26" s="69"/>
      <c r="I26" s="69"/>
      <c r="J26" s="337"/>
      <c r="K26" s="386"/>
      <c r="L26" s="386"/>
      <c r="M26" s="386"/>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69" customFormat="1" ht="20.25" x14ac:dyDescent="0.2">
      <c r="A27" s="68"/>
      <c r="B27" s="68"/>
      <c r="C27" s="80" t="s">
        <v>243</v>
      </c>
      <c r="D27" s="80"/>
      <c r="E27" s="80"/>
      <c r="F27" s="80"/>
      <c r="G27" s="235">
        <v>733747.79999999993</v>
      </c>
      <c r="H27" s="282">
        <v>361976</v>
      </c>
      <c r="I27" s="282"/>
      <c r="J27" s="337"/>
      <c r="K27" s="418"/>
      <c r="L27" s="418"/>
      <c r="M27" s="418"/>
    </row>
    <row r="28" spans="1:61" s="69" customFormat="1" ht="20.25" x14ac:dyDescent="0.2">
      <c r="A28" s="68"/>
      <c r="B28" s="68"/>
      <c r="C28" s="80"/>
      <c r="D28" s="806" t="s">
        <v>244</v>
      </c>
      <c r="E28" s="806"/>
      <c r="F28" s="806"/>
      <c r="G28" s="235"/>
      <c r="H28" s="282"/>
      <c r="I28" s="282"/>
      <c r="J28" s="337">
        <v>25414.91</v>
      </c>
      <c r="K28" s="337">
        <v>146508.01999999999</v>
      </c>
      <c r="L28" s="418"/>
      <c r="M28" s="418">
        <v>20441.13</v>
      </c>
      <c r="O28" s="282">
        <f t="shared" ref="O28:O48" si="0">J28-M28</f>
        <v>4973.7799999999988</v>
      </c>
      <c r="P28" s="459">
        <f>O28/M28</f>
        <v>0.24332216467484913</v>
      </c>
    </row>
    <row r="29" spans="1:61" s="69" customFormat="1" ht="20.25" x14ac:dyDescent="0.2">
      <c r="A29" s="68"/>
      <c r="B29" s="68"/>
      <c r="C29" s="80"/>
      <c r="D29" s="806" t="s">
        <v>245</v>
      </c>
      <c r="E29" s="806"/>
      <c r="F29" s="806"/>
      <c r="G29" s="235"/>
      <c r="H29" s="282"/>
      <c r="I29" s="282"/>
      <c r="J29" s="337">
        <f>6226.21+3973.92+102.08</f>
        <v>10302.210000000001</v>
      </c>
      <c r="K29" s="337">
        <f>35778.69+23251.49+605.09+292.95</f>
        <v>59928.22</v>
      </c>
      <c r="L29" s="418"/>
      <c r="M29" s="418">
        <f>5712.36+3914.16+115.4+48.12</f>
        <v>9790.0400000000009</v>
      </c>
      <c r="O29" s="282">
        <f t="shared" si="0"/>
        <v>512.17000000000007</v>
      </c>
      <c r="P29" s="459">
        <f>O29/M29</f>
        <v>5.2315414441616179E-2</v>
      </c>
      <c r="R29" s="269"/>
    </row>
    <row r="30" spans="1:61" s="69" customFormat="1" ht="20.25" x14ac:dyDescent="0.2">
      <c r="A30" s="68"/>
      <c r="B30" s="68"/>
      <c r="C30" s="80"/>
      <c r="D30" s="806" t="s">
        <v>121</v>
      </c>
      <c r="E30" s="806"/>
      <c r="F30" s="806"/>
      <c r="G30" s="235"/>
      <c r="H30" s="282"/>
      <c r="I30" s="282"/>
      <c r="J30" s="337">
        <f>(J28+J29)*0.19</f>
        <v>6786.2528000000002</v>
      </c>
      <c r="K30" s="337">
        <f>(K28+K29)*0.192</f>
        <v>39635.75808</v>
      </c>
      <c r="L30" s="418"/>
      <c r="M30" s="337">
        <f>(M28+M29)*0.19</f>
        <v>5743.9223000000002</v>
      </c>
      <c r="O30" s="282">
        <f t="shared" si="0"/>
        <v>1042.3305</v>
      </c>
      <c r="P30" s="459">
        <f>O30/M30</f>
        <v>0.18146667826617363</v>
      </c>
    </row>
    <row r="31" spans="1:61" s="69" customFormat="1" ht="20.25" x14ac:dyDescent="0.2">
      <c r="A31" s="68"/>
      <c r="B31" s="68"/>
      <c r="C31" s="80" t="s">
        <v>314</v>
      </c>
      <c r="D31" s="80"/>
      <c r="E31" s="80"/>
      <c r="F31" s="80"/>
      <c r="G31" s="235">
        <v>44745.18</v>
      </c>
      <c r="H31" s="235">
        <v>20974.21</v>
      </c>
      <c r="I31" s="235"/>
      <c r="J31" s="337"/>
      <c r="K31" s="641"/>
      <c r="L31" s="337"/>
      <c r="M31" s="337"/>
      <c r="O31" s="282">
        <f t="shared" si="0"/>
        <v>0</v>
      </c>
      <c r="P31" s="459"/>
    </row>
    <row r="32" spans="1:61" s="69" customFormat="1" ht="20.25" x14ac:dyDescent="0.2">
      <c r="A32" s="68"/>
      <c r="B32" s="68"/>
      <c r="C32" s="80"/>
      <c r="D32" s="806" t="s">
        <v>246</v>
      </c>
      <c r="E32" s="806"/>
      <c r="F32" s="806"/>
      <c r="G32" s="235"/>
      <c r="H32" s="235"/>
      <c r="I32" s="235"/>
      <c r="J32" s="337">
        <v>3479.91</v>
      </c>
      <c r="K32" s="337">
        <v>27183.82</v>
      </c>
      <c r="L32" s="337"/>
      <c r="M32" s="337">
        <v>3581.69</v>
      </c>
      <c r="O32" s="282">
        <f t="shared" si="0"/>
        <v>-101.7800000000002</v>
      </c>
      <c r="P32" s="459">
        <f t="shared" ref="P32:P38" si="1">O32/M32</f>
        <v>-2.8416752985322626E-2</v>
      </c>
    </row>
    <row r="33" spans="1:16" s="69" customFormat="1" ht="20.25" x14ac:dyDescent="0.2">
      <c r="A33" s="68"/>
      <c r="B33" s="68"/>
      <c r="C33" s="80"/>
      <c r="D33" s="806" t="s">
        <v>247</v>
      </c>
      <c r="E33" s="806"/>
      <c r="F33" s="806"/>
      <c r="G33" s="235"/>
      <c r="H33" s="235"/>
      <c r="I33" s="235"/>
      <c r="J33" s="337">
        <v>2853.83</v>
      </c>
      <c r="K33" s="337">
        <v>15510.83</v>
      </c>
      <c r="L33" s="337"/>
      <c r="M33" s="337">
        <v>2306.33</v>
      </c>
      <c r="O33" s="282">
        <f t="shared" si="0"/>
        <v>547.5</v>
      </c>
      <c r="P33" s="459">
        <f t="shared" si="1"/>
        <v>0.23739013931224068</v>
      </c>
    </row>
    <row r="34" spans="1:16" s="69" customFormat="1" ht="20.25" x14ac:dyDescent="0.2">
      <c r="A34" s="68"/>
      <c r="B34" s="68"/>
      <c r="C34" s="80"/>
      <c r="D34" s="806" t="s">
        <v>343</v>
      </c>
      <c r="E34" s="806"/>
      <c r="F34" s="806"/>
      <c r="G34" s="235"/>
      <c r="H34" s="235"/>
      <c r="I34" s="235"/>
      <c r="J34" s="337">
        <v>3191.72</v>
      </c>
      <c r="K34" s="337">
        <v>12450.36</v>
      </c>
      <c r="L34" s="337"/>
      <c r="M34" s="337">
        <v>1134.0899999999999</v>
      </c>
      <c r="O34" s="282">
        <f t="shared" si="0"/>
        <v>2057.63</v>
      </c>
      <c r="P34" s="459">
        <f t="shared" si="1"/>
        <v>1.8143445405567462</v>
      </c>
    </row>
    <row r="35" spans="1:16" s="69" customFormat="1" ht="20.25" x14ac:dyDescent="0.2">
      <c r="A35" s="68"/>
      <c r="B35" s="68"/>
      <c r="C35" s="80"/>
      <c r="D35" s="806" t="s">
        <v>248</v>
      </c>
      <c r="E35" s="806"/>
      <c r="F35" s="806"/>
      <c r="G35" s="235"/>
      <c r="H35" s="235"/>
      <c r="I35" s="235"/>
      <c r="J35" s="337">
        <v>78</v>
      </c>
      <c r="K35" s="337">
        <v>377</v>
      </c>
      <c r="L35" s="337"/>
      <c r="M35" s="337">
        <v>65</v>
      </c>
      <c r="O35" s="282">
        <f t="shared" si="0"/>
        <v>13</v>
      </c>
      <c r="P35" s="459">
        <f t="shared" si="1"/>
        <v>0.2</v>
      </c>
    </row>
    <row r="36" spans="1:16" s="69" customFormat="1" ht="20.25" x14ac:dyDescent="0.2">
      <c r="A36" s="68"/>
      <c r="B36" s="68"/>
      <c r="C36" s="80" t="s">
        <v>249</v>
      </c>
      <c r="D36" s="80"/>
      <c r="E36" s="80"/>
      <c r="F36" s="80"/>
      <c r="G36" s="235">
        <v>27200</v>
      </c>
      <c r="H36" s="235">
        <v>11327</v>
      </c>
      <c r="I36" s="235"/>
      <c r="J36" s="337">
        <f>265.16+3530.12</f>
        <v>3795.2799999999997</v>
      </c>
      <c r="K36" s="337">
        <v>25080</v>
      </c>
      <c r="L36" s="337"/>
      <c r="M36" s="337">
        <f>278+3468</f>
        <v>3746</v>
      </c>
      <c r="O36" s="282">
        <f t="shared" si="0"/>
        <v>49.279999999999745</v>
      </c>
      <c r="P36" s="459">
        <f t="shared" si="1"/>
        <v>1.3155365723438266E-2</v>
      </c>
    </row>
    <row r="37" spans="1:16" s="69" customFormat="1" ht="20.25" x14ac:dyDescent="0.2">
      <c r="A37" s="68"/>
      <c r="B37" s="68"/>
      <c r="C37" s="80" t="s">
        <v>112</v>
      </c>
      <c r="D37" s="80"/>
      <c r="E37" s="80"/>
      <c r="F37" s="80"/>
      <c r="G37" s="235">
        <v>150176</v>
      </c>
      <c r="H37" s="282">
        <v>47700.27</v>
      </c>
      <c r="I37" s="282"/>
      <c r="J37" s="337">
        <f>J20</f>
        <v>1552.5</v>
      </c>
      <c r="K37" s="337">
        <f>K20</f>
        <v>9315</v>
      </c>
      <c r="L37" s="418"/>
      <c r="M37" s="418">
        <f>M20</f>
        <v>1552.5</v>
      </c>
      <c r="O37" s="282">
        <f t="shared" si="0"/>
        <v>0</v>
      </c>
      <c r="P37" s="459">
        <f t="shared" si="1"/>
        <v>0</v>
      </c>
    </row>
    <row r="38" spans="1:16" s="69" customFormat="1" ht="20.25" x14ac:dyDescent="0.2">
      <c r="A38" s="68"/>
      <c r="B38" s="68"/>
      <c r="C38" s="80" t="s">
        <v>362</v>
      </c>
      <c r="D38" s="80"/>
      <c r="E38" s="80"/>
      <c r="F38" s="80"/>
      <c r="G38" s="235"/>
      <c r="H38" s="282"/>
      <c r="I38" s="282"/>
      <c r="J38" s="337">
        <v>669</v>
      </c>
      <c r="K38" s="337">
        <v>4075</v>
      </c>
      <c r="L38" s="418"/>
      <c r="M38" s="418">
        <v>666</v>
      </c>
      <c r="O38" s="282">
        <f t="shared" si="0"/>
        <v>3</v>
      </c>
      <c r="P38" s="459">
        <f t="shared" si="1"/>
        <v>4.5045045045045045E-3</v>
      </c>
    </row>
    <row r="39" spans="1:16" s="69" customFormat="1" ht="20.25" x14ac:dyDescent="0.2">
      <c r="A39" s="68"/>
      <c r="B39" s="68"/>
      <c r="C39" s="80" t="s">
        <v>250</v>
      </c>
      <c r="D39" s="80"/>
      <c r="E39" s="80"/>
      <c r="F39" s="80"/>
      <c r="G39" s="235"/>
      <c r="H39" s="282"/>
      <c r="I39" s="282"/>
      <c r="J39" s="337">
        <f>210+58</f>
        <v>268</v>
      </c>
      <c r="K39" s="337">
        <v>1496.32</v>
      </c>
      <c r="L39" s="418"/>
      <c r="M39" s="418">
        <v>0</v>
      </c>
      <c r="O39" s="282">
        <f t="shared" si="0"/>
        <v>268</v>
      </c>
      <c r="P39" s="459"/>
    </row>
    <row r="40" spans="1:16" s="69" customFormat="1" ht="20.25" x14ac:dyDescent="0.2">
      <c r="A40" s="68"/>
      <c r="B40" s="68"/>
      <c r="C40" s="80" t="s">
        <v>123</v>
      </c>
      <c r="D40" s="80"/>
      <c r="E40" s="80"/>
      <c r="F40" s="80"/>
      <c r="G40" s="235">
        <v>10993.12</v>
      </c>
      <c r="H40" s="282">
        <v>4904.57</v>
      </c>
      <c r="I40" s="282"/>
      <c r="J40" s="337">
        <f>8.7+583.35</f>
        <v>592.05000000000007</v>
      </c>
      <c r="K40" s="337">
        <v>3429.9</v>
      </c>
      <c r="L40" s="418"/>
      <c r="M40" s="337">
        <f>8.94+579.96</f>
        <v>588.90000000000009</v>
      </c>
      <c r="O40" s="282">
        <f t="shared" si="0"/>
        <v>3.1499999999999773</v>
      </c>
      <c r="P40" s="459">
        <f>O40/M40</f>
        <v>5.3489556800814684E-3</v>
      </c>
    </row>
    <row r="41" spans="1:16" s="69" customFormat="1" ht="20.25" x14ac:dyDescent="0.2">
      <c r="A41" s="68"/>
      <c r="B41" s="68"/>
      <c r="C41" s="80" t="s">
        <v>251</v>
      </c>
      <c r="D41" s="80"/>
      <c r="E41" s="80"/>
      <c r="F41" s="80"/>
      <c r="G41" s="235">
        <v>10250.949999999999</v>
      </c>
      <c r="H41" s="282">
        <v>3982.99</v>
      </c>
      <c r="I41" s="282"/>
      <c r="J41" s="337">
        <f>4.4+34.1+7.24+69.29</f>
        <v>115.03</v>
      </c>
      <c r="K41" s="337">
        <f>56.6+402.81</f>
        <v>459.41</v>
      </c>
      <c r="L41" s="418"/>
      <c r="M41" s="337">
        <f>5.04+24.86</f>
        <v>29.9</v>
      </c>
      <c r="O41" s="282">
        <f t="shared" si="0"/>
        <v>85.13</v>
      </c>
      <c r="P41" s="459">
        <f>O41/M41</f>
        <v>2.8471571906354516</v>
      </c>
    </row>
    <row r="42" spans="1:16" s="69" customFormat="1" ht="20.25" x14ac:dyDescent="0.2">
      <c r="A42" s="68"/>
      <c r="B42" s="68"/>
      <c r="C42" s="80" t="s">
        <v>130</v>
      </c>
      <c r="D42" s="80"/>
      <c r="E42" s="80"/>
      <c r="F42" s="80"/>
      <c r="G42" s="235">
        <v>4412.53</v>
      </c>
      <c r="H42" s="283">
        <v>5667</v>
      </c>
      <c r="I42" s="283"/>
      <c r="J42" s="337">
        <f>M42*1.12</f>
        <v>295.51200000000006</v>
      </c>
      <c r="K42" s="337">
        <v>1040.8800000000001</v>
      </c>
      <c r="L42" s="419"/>
      <c r="M42" s="419">
        <f>96.51+167.34</f>
        <v>263.85000000000002</v>
      </c>
      <c r="O42" s="282">
        <f t="shared" si="0"/>
        <v>31.662000000000035</v>
      </c>
      <c r="P42" s="459">
        <f>O42/M42</f>
        <v>0.12000000000000012</v>
      </c>
    </row>
    <row r="43" spans="1:16" s="69" customFormat="1" ht="20.25" x14ac:dyDescent="0.2">
      <c r="A43" s="68"/>
      <c r="B43" s="68"/>
      <c r="C43" s="80" t="s">
        <v>128</v>
      </c>
      <c r="D43" s="80"/>
      <c r="E43" s="80"/>
      <c r="F43" s="80"/>
      <c r="G43" s="235">
        <v>7901</v>
      </c>
      <c r="H43" s="282">
        <v>4149.6000000000004</v>
      </c>
      <c r="I43" s="282"/>
      <c r="J43" s="337">
        <f>74.68</f>
        <v>74.680000000000007</v>
      </c>
      <c r="K43" s="337">
        <v>436.35</v>
      </c>
      <c r="L43" s="418"/>
      <c r="M43" s="418">
        <v>57.34</v>
      </c>
      <c r="O43" s="282">
        <f t="shared" si="0"/>
        <v>17.340000000000003</v>
      </c>
      <c r="P43" s="459">
        <f>O43/M43</f>
        <v>0.30240669689570987</v>
      </c>
    </row>
    <row r="44" spans="1:16" s="69" customFormat="1" ht="20.25" hidden="1" x14ac:dyDescent="0.2">
      <c r="A44" s="68"/>
      <c r="B44" s="68"/>
      <c r="C44" s="80" t="s">
        <v>252</v>
      </c>
      <c r="D44" s="80"/>
      <c r="E44" s="80"/>
      <c r="F44" s="80"/>
      <c r="G44" s="235"/>
      <c r="H44" s="282"/>
      <c r="I44" s="282"/>
      <c r="J44" s="337"/>
      <c r="K44" s="337"/>
      <c r="L44" s="418"/>
      <c r="M44" s="418">
        <v>0</v>
      </c>
      <c r="O44" s="282">
        <f t="shared" si="0"/>
        <v>0</v>
      </c>
      <c r="P44" s="459"/>
    </row>
    <row r="45" spans="1:16" s="77" customFormat="1" ht="20.25" x14ac:dyDescent="0.2">
      <c r="A45" s="80"/>
      <c r="B45" s="80"/>
      <c r="C45" s="80" t="s">
        <v>124</v>
      </c>
      <c r="D45" s="80"/>
      <c r="E45" s="80"/>
      <c r="F45" s="80"/>
      <c r="G45" s="235">
        <v>5428.37</v>
      </c>
      <c r="H45" s="282">
        <v>2024.52</v>
      </c>
      <c r="I45" s="282"/>
      <c r="J45" s="337">
        <v>135.05000000000001</v>
      </c>
      <c r="K45" s="337">
        <v>205.44</v>
      </c>
      <c r="L45" s="418"/>
      <c r="M45" s="418">
        <v>116.63</v>
      </c>
      <c r="O45" s="282">
        <f t="shared" si="0"/>
        <v>18.420000000000016</v>
      </c>
      <c r="P45" s="459">
        <f>O45/M45</f>
        <v>0.15793535111034912</v>
      </c>
    </row>
    <row r="46" spans="1:16" s="77" customFormat="1" ht="20.25" x14ac:dyDescent="0.2">
      <c r="A46" s="80"/>
      <c r="B46" s="80"/>
      <c r="C46" s="80" t="s">
        <v>253</v>
      </c>
      <c r="D46" s="80"/>
      <c r="E46" s="80"/>
      <c r="F46" s="80"/>
      <c r="G46" s="235">
        <v>83462.91</v>
      </c>
      <c r="H46" s="235">
        <v>18995.71</v>
      </c>
      <c r="I46" s="235"/>
      <c r="J46" s="417">
        <v>20</v>
      </c>
      <c r="K46" s="417">
        <f>201.52+30+216.21+94.56</f>
        <v>542.29</v>
      </c>
      <c r="L46" s="337"/>
      <c r="M46" s="337">
        <f>22+55.86</f>
        <v>77.86</v>
      </c>
      <c r="O46" s="543">
        <f t="shared" si="0"/>
        <v>-57.86</v>
      </c>
      <c r="P46" s="542"/>
    </row>
    <row r="47" spans="1:16" s="69" customFormat="1" ht="21" thickBot="1" x14ac:dyDescent="0.25">
      <c r="A47" s="68"/>
      <c r="B47" s="68"/>
      <c r="C47" s="68"/>
      <c r="D47" s="74" t="s">
        <v>136</v>
      </c>
      <c r="E47" s="68"/>
      <c r="F47" s="68"/>
      <c r="G47" s="245">
        <v>1078317.8599999999</v>
      </c>
      <c r="H47" s="245">
        <v>481701.87000000005</v>
      </c>
      <c r="I47" s="235"/>
      <c r="J47" s="490">
        <f>SUM(J28:J46)</f>
        <v>59623.93480000001</v>
      </c>
      <c r="K47" s="490">
        <f>SUM(K28:K46)</f>
        <v>347674.59807999997</v>
      </c>
      <c r="L47" s="337"/>
      <c r="M47" s="490">
        <f>SUM(M28:M46)</f>
        <v>50161.1823</v>
      </c>
      <c r="O47" s="490">
        <f t="shared" si="0"/>
        <v>9462.7525000000096</v>
      </c>
      <c r="P47" s="487">
        <f>O47/M47</f>
        <v>0.1886469191137867</v>
      </c>
    </row>
    <row r="48" spans="1:16" s="69" customFormat="1" ht="21" thickBot="1" x14ac:dyDescent="0.25">
      <c r="A48" s="68"/>
      <c r="B48" s="68"/>
      <c r="C48" s="68"/>
      <c r="D48" s="68" t="s">
        <v>137</v>
      </c>
      <c r="E48" s="68"/>
      <c r="F48" s="68"/>
      <c r="G48" s="245">
        <v>233082.39000000013</v>
      </c>
      <c r="H48" s="245">
        <v>82291.709999999905</v>
      </c>
      <c r="I48" s="235"/>
      <c r="J48" s="491">
        <f>J24-J47</f>
        <v>-5710.8781333333463</v>
      </c>
      <c r="K48" s="491">
        <f>K24-K47</f>
        <v>-14846.959479999961</v>
      </c>
      <c r="L48" s="337"/>
      <c r="M48" s="491">
        <f>M24-M47</f>
        <v>-4504.2056333333312</v>
      </c>
      <c r="O48" s="396">
        <f t="shared" si="0"/>
        <v>-1206.6725000000151</v>
      </c>
      <c r="P48" s="487">
        <f>O48/M48</f>
        <v>0.26789906994255475</v>
      </c>
    </row>
    <row r="49" spans="1:16" s="69" customFormat="1" ht="20.25" x14ac:dyDescent="0.2">
      <c r="A49" s="68"/>
      <c r="B49" s="68"/>
      <c r="C49" s="68"/>
      <c r="D49" s="68"/>
      <c r="E49" s="68"/>
      <c r="F49" s="68"/>
      <c r="G49" s="235"/>
      <c r="H49" s="235"/>
      <c r="I49" s="235"/>
      <c r="J49" s="337"/>
      <c r="K49" s="337"/>
      <c r="L49" s="337"/>
      <c r="M49" s="337"/>
    </row>
    <row r="50" spans="1:16" s="66" customFormat="1" ht="26.25" x14ac:dyDescent="0.2">
      <c r="A50" s="275"/>
      <c r="B50" s="275"/>
      <c r="C50" s="80" t="s">
        <v>295</v>
      </c>
      <c r="E50" s="80"/>
      <c r="F50" s="80"/>
      <c r="G50" s="277"/>
      <c r="H50" s="235"/>
      <c r="I50" s="235"/>
      <c r="J50" s="337"/>
      <c r="K50" s="337">
        <v>-44886</v>
      </c>
      <c r="L50" s="337"/>
      <c r="M50" s="337"/>
      <c r="O50" s="282">
        <f>J50-M50</f>
        <v>0</v>
      </c>
      <c r="P50" s="433"/>
    </row>
    <row r="51" spans="1:16" s="69" customFormat="1" ht="20.25" x14ac:dyDescent="0.2">
      <c r="A51" s="68"/>
      <c r="B51" s="68"/>
      <c r="C51" s="80" t="s">
        <v>254</v>
      </c>
      <c r="E51" s="68"/>
      <c r="G51" s="235"/>
      <c r="H51" s="235"/>
      <c r="I51" s="235"/>
      <c r="J51" s="337">
        <f>J36</f>
        <v>3795.2799999999997</v>
      </c>
      <c r="K51" s="337">
        <f>K36</f>
        <v>25080</v>
      </c>
      <c r="L51" s="337"/>
      <c r="M51" s="337">
        <f>M36</f>
        <v>3746</v>
      </c>
      <c r="O51" s="282">
        <f>J51-M51</f>
        <v>49.279999999999745</v>
      </c>
      <c r="P51" s="433">
        <v>3.5414486921529216E-2</v>
      </c>
    </row>
    <row r="52" spans="1:16" s="69" customFormat="1" ht="24" thickBot="1" x14ac:dyDescent="0.25">
      <c r="A52" s="68"/>
      <c r="B52" s="415"/>
      <c r="C52" s="68"/>
      <c r="D52" s="808" t="s">
        <v>255</v>
      </c>
      <c r="E52" s="808"/>
      <c r="F52" s="808"/>
      <c r="G52" s="235"/>
      <c r="H52" s="235"/>
      <c r="I52" s="235"/>
      <c r="J52" s="492">
        <f>J48+J50+J51</f>
        <v>-1915.5981333333466</v>
      </c>
      <c r="K52" s="492">
        <f>K48+K50+K51</f>
        <v>-34652.959479999961</v>
      </c>
      <c r="L52" s="341"/>
      <c r="M52" s="492">
        <f>M48+M50+M51</f>
        <v>-758.20563333333121</v>
      </c>
      <c r="N52" s="406"/>
      <c r="O52" s="488">
        <f>J52-M52</f>
        <v>-1157.3925000000154</v>
      </c>
      <c r="P52" s="532">
        <v>2.1062768618503362E-2</v>
      </c>
    </row>
    <row r="53" spans="1:16" s="69" customFormat="1" ht="42" customHeight="1" thickTop="1" x14ac:dyDescent="0.2">
      <c r="A53" s="68"/>
      <c r="B53" s="68"/>
      <c r="C53" s="68"/>
      <c r="D53" s="68"/>
      <c r="E53" s="68"/>
      <c r="F53" s="68"/>
      <c r="G53" s="235"/>
      <c r="H53" s="235"/>
      <c r="I53" s="235"/>
      <c r="J53" s="337"/>
      <c r="K53" s="337"/>
      <c r="L53" s="337"/>
      <c r="M53" s="337"/>
    </row>
    <row r="54" spans="1:16" s="77" customFormat="1" ht="20.25" x14ac:dyDescent="0.2">
      <c r="A54" s="80"/>
      <c r="B54" s="80"/>
      <c r="C54" s="80"/>
      <c r="D54" s="80"/>
      <c r="F54" s="80" t="s">
        <v>353</v>
      </c>
      <c r="G54" s="250"/>
      <c r="H54" s="235"/>
      <c r="I54" s="235"/>
      <c r="J54" s="337">
        <v>35072</v>
      </c>
      <c r="K54" s="337">
        <v>225930</v>
      </c>
      <c r="L54" s="337"/>
      <c r="M54" s="337">
        <v>30095</v>
      </c>
      <c r="O54" s="251"/>
    </row>
    <row r="55" spans="1:16" s="77" customFormat="1" ht="21" thickBot="1" x14ac:dyDescent="0.25">
      <c r="A55" s="80"/>
      <c r="B55" s="80"/>
      <c r="C55" s="80"/>
      <c r="D55" s="80"/>
      <c r="F55" s="80" t="s">
        <v>364</v>
      </c>
      <c r="G55" s="235"/>
      <c r="H55" s="235"/>
      <c r="I55" s="235"/>
      <c r="J55" s="672">
        <f>(J47-J36-J37)/J54</f>
        <v>1.5475637203467156</v>
      </c>
      <c r="K55" s="672">
        <f>(K47-K36-K37)/K54</f>
        <v>1.3866223966715352</v>
      </c>
      <c r="L55" s="673"/>
      <c r="M55" s="672">
        <f>(M47-M36-M37)/M54</f>
        <v>1.4907021864097025</v>
      </c>
    </row>
    <row r="56" spans="1:16" s="77" customFormat="1" ht="20.25" x14ac:dyDescent="0.2">
      <c r="A56" s="80"/>
      <c r="B56" s="80"/>
      <c r="C56" s="80"/>
      <c r="D56" s="80"/>
      <c r="F56" s="80"/>
      <c r="G56" s="235"/>
      <c r="H56" s="235"/>
      <c r="I56" s="235"/>
      <c r="J56" s="337"/>
      <c r="K56" s="337"/>
      <c r="L56" s="337"/>
      <c r="M56" s="337"/>
    </row>
    <row r="57" spans="1:16" s="77" customFormat="1" ht="20.25" x14ac:dyDescent="0.2">
      <c r="A57" s="80"/>
      <c r="B57" s="80"/>
      <c r="C57" s="80"/>
      <c r="D57" s="80"/>
      <c r="F57" s="80" t="s">
        <v>354</v>
      </c>
      <c r="G57" s="235"/>
      <c r="H57" s="235"/>
      <c r="I57" s="235"/>
      <c r="J57" s="337">
        <v>2563</v>
      </c>
      <c r="K57" s="337">
        <v>15755</v>
      </c>
      <c r="L57" s="337"/>
      <c r="M57" s="337">
        <v>2228</v>
      </c>
      <c r="P57" s="251"/>
    </row>
    <row r="58" spans="1:16" s="77" customFormat="1" ht="21" thickBot="1" x14ac:dyDescent="0.25">
      <c r="A58" s="80"/>
      <c r="B58" s="80"/>
      <c r="C58" s="80"/>
      <c r="D58" s="80"/>
      <c r="F58" s="80" t="s">
        <v>363</v>
      </c>
      <c r="G58" s="235"/>
      <c r="H58" s="235"/>
      <c r="I58" s="235"/>
      <c r="J58" s="672">
        <f>(J47-J36-J37)/J57</f>
        <v>21.176806398751467</v>
      </c>
      <c r="K58" s="672">
        <f>(K47-K36-K37)/K57</f>
        <v>19.884455606474134</v>
      </c>
      <c r="L58" s="337"/>
      <c r="M58" s="672">
        <f>(M47-M36-M37)/M57</f>
        <v>20.13585381508079</v>
      </c>
    </row>
    <row r="59" spans="1:16" s="77" customFormat="1" ht="20.25" x14ac:dyDescent="0.2">
      <c r="A59" s="80"/>
      <c r="B59" s="80"/>
      <c r="C59" s="80"/>
      <c r="D59" s="80"/>
      <c r="F59" s="80"/>
      <c r="G59" s="235"/>
      <c r="H59" s="235"/>
      <c r="I59" s="235"/>
      <c r="J59" s="337"/>
      <c r="K59" s="337"/>
      <c r="L59" s="337"/>
      <c r="M59" s="337"/>
    </row>
    <row r="60" spans="1:16" s="77" customFormat="1" ht="20.25" x14ac:dyDescent="0.2">
      <c r="A60" s="80"/>
      <c r="B60" s="80"/>
      <c r="C60" s="68"/>
      <c r="D60" s="80"/>
      <c r="F60" s="80" t="s">
        <v>355</v>
      </c>
      <c r="G60" s="235"/>
      <c r="H60" s="235"/>
      <c r="I60" s="235"/>
      <c r="J60" s="337">
        <v>1149</v>
      </c>
      <c r="K60" s="337">
        <v>7063</v>
      </c>
      <c r="L60" s="337"/>
      <c r="M60" s="337">
        <v>948</v>
      </c>
    </row>
    <row r="61" spans="1:16" s="77" customFormat="1" ht="21" thickBot="1" x14ac:dyDescent="0.25">
      <c r="A61" s="80"/>
      <c r="B61" s="80"/>
      <c r="C61" s="80"/>
      <c r="D61" s="80"/>
      <c r="E61" s="80"/>
      <c r="F61" s="80" t="s">
        <v>356</v>
      </c>
      <c r="G61" s="235"/>
      <c r="H61" s="235"/>
      <c r="I61" s="235"/>
      <c r="J61" s="672">
        <f>J9/J60</f>
        <v>21.480226283724978</v>
      </c>
      <c r="K61" s="672">
        <f>K9/K60</f>
        <v>21.727489735239985</v>
      </c>
      <c r="L61" s="337"/>
      <c r="M61" s="672">
        <f>M9/M60</f>
        <v>19.91574894514768</v>
      </c>
    </row>
    <row r="62" spans="1:16" s="77" customFormat="1" ht="20.25" x14ac:dyDescent="0.2">
      <c r="A62" s="80"/>
      <c r="B62" s="80"/>
      <c r="C62" s="68"/>
      <c r="D62" s="68"/>
      <c r="G62" s="235"/>
      <c r="H62" s="235"/>
      <c r="I62" s="235"/>
      <c r="J62" s="337"/>
      <c r="K62" s="337"/>
      <c r="L62" s="337"/>
      <c r="M62" s="337"/>
    </row>
    <row r="63" spans="1:16" s="77" customFormat="1" ht="20.25" x14ac:dyDescent="0.2">
      <c r="A63" s="80"/>
      <c r="B63" s="80"/>
      <c r="C63" s="80"/>
      <c r="D63" s="80"/>
      <c r="E63" s="80"/>
      <c r="F63" s="80"/>
      <c r="G63" s="235"/>
      <c r="H63" s="235"/>
      <c r="I63" s="235"/>
      <c r="J63" s="235"/>
      <c r="K63" s="235"/>
      <c r="L63" s="235"/>
      <c r="M63" s="235"/>
    </row>
    <row r="64" spans="1:16" s="77" customFormat="1" ht="20.25" x14ac:dyDescent="0.2">
      <c r="A64" s="80"/>
      <c r="B64" s="80"/>
      <c r="C64" s="80"/>
      <c r="D64" s="80"/>
      <c r="E64" s="80"/>
      <c r="F64" s="80"/>
      <c r="G64" s="235"/>
      <c r="H64" s="235"/>
      <c r="I64" s="235"/>
      <c r="J64" s="235"/>
      <c r="K64" s="235"/>
      <c r="L64" s="235"/>
      <c r="M64" s="235"/>
    </row>
    <row r="65" spans="1:13" s="77" customFormat="1" ht="20.25" x14ac:dyDescent="0.2">
      <c r="A65" s="80"/>
      <c r="B65" s="80"/>
      <c r="C65" s="68"/>
      <c r="D65" s="80"/>
      <c r="F65" s="80"/>
      <c r="G65" s="235"/>
      <c r="H65" s="235"/>
      <c r="I65" s="235"/>
      <c r="J65" s="235"/>
      <c r="K65" s="235"/>
      <c r="L65" s="235"/>
      <c r="M65" s="235"/>
    </row>
    <row r="66" spans="1:13" s="77" customFormat="1" ht="20.25" x14ac:dyDescent="0.2">
      <c r="A66" s="80"/>
      <c r="B66" s="80"/>
      <c r="C66" s="80"/>
      <c r="D66" s="80"/>
      <c r="E66" s="80"/>
      <c r="F66" s="80"/>
      <c r="G66" s="235"/>
      <c r="H66" s="235"/>
      <c r="I66" s="235"/>
      <c r="J66" s="235"/>
      <c r="K66" s="235"/>
      <c r="L66" s="235"/>
      <c r="M66" s="235"/>
    </row>
    <row r="67" spans="1:13" s="69" customFormat="1" ht="20.25" x14ac:dyDescent="0.2">
      <c r="A67" s="68"/>
      <c r="B67" s="68"/>
      <c r="C67" s="68"/>
      <c r="D67" s="68"/>
      <c r="E67" s="68"/>
      <c r="F67" s="68"/>
      <c r="G67" s="240"/>
      <c r="H67" s="240"/>
      <c r="I67" s="240"/>
      <c r="J67" s="240"/>
      <c r="K67" s="240"/>
      <c r="L67" s="240"/>
      <c r="M67" s="240"/>
    </row>
    <row r="68" spans="1:13" s="69" customFormat="1" ht="20.25" x14ac:dyDescent="0.2">
      <c r="A68" s="68"/>
      <c r="B68" s="68"/>
      <c r="C68" s="68"/>
      <c r="D68" s="68"/>
      <c r="E68" s="68"/>
      <c r="F68" s="68"/>
      <c r="G68" s="240"/>
      <c r="H68" s="240"/>
      <c r="I68" s="240"/>
      <c r="J68" s="240"/>
      <c r="K68" s="240"/>
      <c r="L68" s="240"/>
      <c r="M68" s="240"/>
    </row>
    <row r="69" spans="1:13" s="69" customFormat="1" ht="23.25" x14ac:dyDescent="0.2">
      <c r="A69" s="68"/>
      <c r="B69" s="278"/>
      <c r="C69" s="68"/>
      <c r="D69" s="68"/>
      <c r="E69" s="68"/>
      <c r="F69" s="68"/>
      <c r="G69" s="235"/>
      <c r="H69" s="235"/>
      <c r="I69" s="235"/>
      <c r="J69" s="235"/>
      <c r="K69" s="235"/>
      <c r="L69" s="235"/>
      <c r="M69" s="235"/>
    </row>
    <row r="70" spans="1:13" s="77" customFormat="1" ht="20.25" x14ac:dyDescent="0.2">
      <c r="A70" s="80"/>
      <c r="B70" s="80"/>
      <c r="D70" s="80"/>
      <c r="E70" s="80"/>
      <c r="F70" s="80"/>
      <c r="G70" s="235"/>
      <c r="H70" s="235"/>
      <c r="I70" s="235"/>
      <c r="J70" s="235"/>
      <c r="K70" s="235"/>
      <c r="L70" s="235"/>
      <c r="M70" s="235"/>
    </row>
    <row r="71" spans="1:13" s="77" customFormat="1" ht="20.25" x14ac:dyDescent="0.2">
      <c r="A71" s="80"/>
      <c r="B71" s="80"/>
      <c r="D71" s="80"/>
      <c r="E71" s="80"/>
      <c r="F71" s="80"/>
      <c r="G71" s="235"/>
      <c r="H71" s="235"/>
      <c r="I71" s="235"/>
      <c r="J71" s="235"/>
      <c r="K71" s="235"/>
      <c r="L71" s="235"/>
      <c r="M71" s="235"/>
    </row>
    <row r="72" spans="1:13" s="69" customFormat="1" ht="20.25" x14ac:dyDescent="0.2">
      <c r="A72" s="68"/>
      <c r="B72" s="68"/>
      <c r="D72" s="80"/>
      <c r="E72" s="68"/>
      <c r="F72" s="68"/>
      <c r="G72" s="235"/>
      <c r="H72" s="235"/>
      <c r="I72" s="235"/>
      <c r="J72" s="235"/>
      <c r="K72" s="235"/>
      <c r="L72" s="235"/>
      <c r="M72" s="235"/>
    </row>
    <row r="73" spans="1:13" s="69" customFormat="1" ht="23.25" x14ac:dyDescent="0.2">
      <c r="A73" s="68"/>
      <c r="B73" s="278"/>
      <c r="C73" s="68"/>
      <c r="D73" s="68"/>
      <c r="E73" s="68"/>
      <c r="F73" s="68"/>
      <c r="G73" s="240"/>
      <c r="H73" s="240"/>
      <c r="I73" s="240"/>
      <c r="J73" s="240"/>
      <c r="K73" s="240"/>
      <c r="L73" s="240"/>
      <c r="M73" s="240"/>
    </row>
    <row r="74" spans="1:13" s="69" customFormat="1" ht="20.25" x14ac:dyDescent="0.2">
      <c r="A74" s="68"/>
      <c r="B74" s="68"/>
      <c r="C74" s="68"/>
      <c r="D74" s="68"/>
      <c r="E74" s="68"/>
      <c r="F74" s="68"/>
      <c r="G74" s="235"/>
      <c r="H74" s="235"/>
      <c r="I74" s="235"/>
      <c r="J74" s="235"/>
      <c r="K74" s="235"/>
      <c r="L74" s="235"/>
      <c r="M74" s="235"/>
    </row>
    <row r="75" spans="1:13" s="83" customFormat="1" ht="26.25" x14ac:dyDescent="0.2">
      <c r="A75" s="275"/>
      <c r="B75" s="275"/>
      <c r="C75" s="275"/>
      <c r="D75" s="275"/>
      <c r="E75" s="275"/>
      <c r="F75" s="275"/>
      <c r="G75" s="276"/>
      <c r="H75" s="240"/>
      <c r="I75" s="240"/>
      <c r="J75" s="240"/>
      <c r="K75" s="240"/>
      <c r="L75" s="240"/>
      <c r="M75" s="240"/>
    </row>
    <row r="76" spans="1:13" s="18" customFormat="1" ht="20.25" x14ac:dyDescent="0.3">
      <c r="A76" s="123"/>
      <c r="B76" s="123"/>
      <c r="C76" s="123"/>
      <c r="D76" s="123"/>
      <c r="E76" s="123"/>
      <c r="F76" s="123"/>
      <c r="G76" s="279"/>
      <c r="H76" s="284"/>
      <c r="I76" s="284"/>
      <c r="J76" s="284"/>
      <c r="K76" s="284"/>
      <c r="L76" s="284"/>
      <c r="M76" s="284"/>
    </row>
    <row r="77" spans="1:13" ht="20.25" x14ac:dyDescent="0.3">
      <c r="H77" s="284"/>
      <c r="I77" s="284"/>
      <c r="J77" s="284"/>
      <c r="K77" s="284"/>
      <c r="L77" s="284"/>
      <c r="M77" s="284"/>
    </row>
    <row r="78" spans="1:13" ht="20.25" x14ac:dyDescent="0.3">
      <c r="H78" s="284"/>
      <c r="I78" s="284"/>
      <c r="J78" s="284"/>
      <c r="K78" s="284"/>
      <c r="L78" s="284"/>
      <c r="M78" s="284"/>
    </row>
    <row r="79" spans="1:13" ht="20.25" x14ac:dyDescent="0.3">
      <c r="H79" s="281"/>
      <c r="I79" s="281"/>
      <c r="J79" s="281"/>
      <c r="K79" s="281"/>
      <c r="L79" s="281"/>
      <c r="M79" s="281"/>
    </row>
  </sheetData>
  <mergeCells count="12">
    <mergeCell ref="D52:F52"/>
    <mergeCell ref="O8:P8"/>
    <mergeCell ref="D28:F28"/>
    <mergeCell ref="D29:F29"/>
    <mergeCell ref="D30:F30"/>
    <mergeCell ref="D32:F32"/>
    <mergeCell ref="J6:M6"/>
    <mergeCell ref="D33:F33"/>
    <mergeCell ref="D34:F34"/>
    <mergeCell ref="D35:F35"/>
    <mergeCell ref="C10:F10"/>
    <mergeCell ref="C19:F19"/>
  </mergeCells>
  <pageMargins left="0.2" right="0" top="0.5" bottom="0.5" header="0.3" footer="0.3"/>
  <pageSetup scale="62"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9" t="s">
        <v>101</v>
      </c>
      <c r="B1" s="60"/>
      <c r="C1" s="61"/>
      <c r="D1" s="61"/>
      <c r="E1" s="61"/>
      <c r="F1" s="60"/>
      <c r="G1" s="233"/>
    </row>
    <row r="2" spans="1:9" ht="26.25" x14ac:dyDescent="0.4">
      <c r="A2" s="59" t="s">
        <v>293</v>
      </c>
      <c r="B2" s="60"/>
      <c r="C2" s="61"/>
      <c r="D2" s="61"/>
      <c r="E2" s="61"/>
      <c r="F2" s="60"/>
      <c r="G2" s="233"/>
    </row>
    <row r="3" spans="1:9" ht="26.25" x14ac:dyDescent="0.4">
      <c r="A3" s="59" t="s">
        <v>369</v>
      </c>
      <c r="B3" s="60"/>
      <c r="C3" s="61"/>
      <c r="D3" s="61"/>
      <c r="E3" s="61"/>
      <c r="F3" s="60"/>
      <c r="G3" s="233"/>
    </row>
    <row r="4" spans="1:9" ht="21" thickBot="1" x14ac:dyDescent="0.25">
      <c r="A4" s="62"/>
      <c r="B4" s="62"/>
      <c r="C4" s="62"/>
      <c r="D4" s="62"/>
      <c r="E4" s="62"/>
      <c r="F4" s="62"/>
      <c r="G4" s="234"/>
    </row>
    <row r="5" spans="1:9" ht="27.75" thickTop="1" thickBot="1" x14ac:dyDescent="0.25">
      <c r="A5" s="65"/>
      <c r="B5" s="65"/>
      <c r="C5" s="65"/>
      <c r="D5" s="65"/>
      <c r="E5" s="65"/>
      <c r="F5" s="65"/>
      <c r="G5" s="674" t="s">
        <v>55</v>
      </c>
    </row>
    <row r="6" spans="1:9" ht="21" thickTop="1" x14ac:dyDescent="0.2">
      <c r="A6" s="68"/>
      <c r="B6" s="68"/>
      <c r="C6" s="68"/>
      <c r="D6" s="68"/>
      <c r="E6" s="68"/>
      <c r="F6" s="68"/>
      <c r="G6" s="235"/>
    </row>
    <row r="7" spans="1:9" ht="21" thickBot="1" x14ac:dyDescent="0.35">
      <c r="A7" s="70"/>
      <c r="B7" s="154" t="s">
        <v>108</v>
      </c>
      <c r="C7" s="154"/>
      <c r="D7" s="154"/>
      <c r="E7" s="154"/>
      <c r="F7" s="154"/>
      <c r="G7" s="289"/>
    </row>
    <row r="8" spans="1:9" ht="20.25" x14ac:dyDescent="0.2">
      <c r="A8" s="74"/>
      <c r="B8" s="74"/>
      <c r="C8" s="440" t="s">
        <v>109</v>
      </c>
      <c r="D8" s="440"/>
      <c r="E8" s="440"/>
      <c r="F8" s="74"/>
      <c r="G8" s="270">
        <v>791718</v>
      </c>
    </row>
    <row r="9" spans="1:9" ht="20.25" x14ac:dyDescent="0.2">
      <c r="A9" s="74"/>
      <c r="B9" s="74"/>
      <c r="C9" s="440" t="s">
        <v>370</v>
      </c>
      <c r="D9" s="440"/>
      <c r="E9" s="440"/>
      <c r="F9" s="74"/>
      <c r="G9" s="271">
        <v>25000</v>
      </c>
    </row>
    <row r="10" spans="1:9" ht="20.25" x14ac:dyDescent="0.2">
      <c r="A10" s="74"/>
      <c r="B10" s="411"/>
      <c r="C10" s="440" t="s">
        <v>160</v>
      </c>
      <c r="D10" s="440"/>
      <c r="E10" s="440"/>
      <c r="F10" s="74"/>
      <c r="G10" s="271">
        <v>147000</v>
      </c>
    </row>
    <row r="11" spans="1:9" ht="20.25" x14ac:dyDescent="0.2">
      <c r="A11" s="74"/>
      <c r="B11" s="411"/>
      <c r="C11" s="440" t="s">
        <v>194</v>
      </c>
      <c r="D11" s="440"/>
      <c r="E11" s="440"/>
      <c r="F11" s="74"/>
      <c r="G11" s="271">
        <v>43322</v>
      </c>
      <c r="I11" s="247"/>
    </row>
    <row r="12" spans="1:9" ht="20.25" x14ac:dyDescent="0.2">
      <c r="A12" s="74"/>
      <c r="B12" s="411"/>
      <c r="C12" s="440" t="s">
        <v>110</v>
      </c>
      <c r="D12" s="440"/>
      <c r="E12" s="440"/>
      <c r="F12" s="74"/>
      <c r="G12" s="271"/>
    </row>
    <row r="13" spans="1:9" ht="20.25" x14ac:dyDescent="0.2">
      <c r="A13" s="74"/>
      <c r="B13" s="411"/>
      <c r="C13" s="78"/>
      <c r="D13" s="440" t="s">
        <v>149</v>
      </c>
      <c r="E13" s="440"/>
      <c r="F13" s="74"/>
      <c r="G13" s="271">
        <f>43500+158022</f>
        <v>201522</v>
      </c>
    </row>
    <row r="14" spans="1:9" ht="20.25" x14ac:dyDescent="0.2">
      <c r="A14" s="74"/>
      <c r="B14" s="411"/>
      <c r="C14" s="78"/>
      <c r="D14" s="440" t="s">
        <v>170</v>
      </c>
      <c r="E14" s="440"/>
      <c r="F14" s="74"/>
      <c r="G14" s="271">
        <v>13000</v>
      </c>
    </row>
    <row r="15" spans="1:9" ht="20.25" x14ac:dyDescent="0.2">
      <c r="A15" s="74"/>
      <c r="B15" s="411"/>
      <c r="C15" s="440" t="s">
        <v>111</v>
      </c>
      <c r="D15" s="440"/>
      <c r="E15" s="440"/>
      <c r="F15" s="74"/>
      <c r="G15" s="271">
        <v>12500</v>
      </c>
    </row>
    <row r="16" spans="1:9" ht="20.25" x14ac:dyDescent="0.2">
      <c r="A16" s="74"/>
      <c r="B16" s="411"/>
      <c r="C16" s="440" t="s">
        <v>118</v>
      </c>
      <c r="D16" s="440"/>
      <c r="E16" s="440"/>
      <c r="F16" s="74"/>
      <c r="G16" s="271">
        <v>1200</v>
      </c>
    </row>
    <row r="17" spans="1:9" ht="20.25" x14ac:dyDescent="0.2">
      <c r="A17" s="74"/>
      <c r="B17" s="411"/>
      <c r="C17" s="440" t="s">
        <v>263</v>
      </c>
      <c r="D17" s="440"/>
      <c r="E17" s="440"/>
      <c r="F17" s="74"/>
      <c r="G17" s="271">
        <v>4200</v>
      </c>
    </row>
    <row r="18" spans="1:9" ht="20.25" x14ac:dyDescent="0.2">
      <c r="A18" s="74"/>
      <c r="B18" s="411"/>
      <c r="C18" s="440" t="s">
        <v>372</v>
      </c>
      <c r="D18" s="440"/>
      <c r="E18" s="440"/>
      <c r="F18" s="74"/>
      <c r="G18" s="271">
        <v>1500</v>
      </c>
    </row>
    <row r="19" spans="1:9" ht="20.25" x14ac:dyDescent="0.2">
      <c r="A19" s="74"/>
      <c r="B19" s="411"/>
      <c r="C19" s="440" t="s">
        <v>264</v>
      </c>
      <c r="D19" s="440"/>
      <c r="E19" s="440"/>
      <c r="F19" s="74"/>
      <c r="G19" s="271"/>
    </row>
    <row r="20" spans="1:9" ht="20.25" x14ac:dyDescent="0.2">
      <c r="A20" s="74"/>
      <c r="B20" s="411"/>
      <c r="C20" s="440"/>
      <c r="D20" s="440" t="s">
        <v>12</v>
      </c>
      <c r="E20" s="440"/>
      <c r="F20" s="74"/>
      <c r="G20" s="271">
        <f>73338-45000</f>
        <v>28338</v>
      </c>
    </row>
    <row r="21" spans="1:9" ht="20.25" x14ac:dyDescent="0.2">
      <c r="A21" s="74"/>
      <c r="B21" s="411"/>
      <c r="C21" s="440"/>
      <c r="D21" s="440" t="s">
        <v>18</v>
      </c>
      <c r="E21" s="440"/>
      <c r="F21" s="74"/>
      <c r="G21" s="271">
        <v>45000</v>
      </c>
    </row>
    <row r="22" spans="1:9" ht="20.25" x14ac:dyDescent="0.2">
      <c r="A22" s="74"/>
      <c r="B22" s="411"/>
      <c r="C22" s="440" t="s">
        <v>374</v>
      </c>
      <c r="D22" s="440"/>
      <c r="E22" s="440"/>
      <c r="F22" s="74"/>
      <c r="G22" s="271">
        <v>2500</v>
      </c>
    </row>
    <row r="23" spans="1:9" ht="20.25" x14ac:dyDescent="0.2">
      <c r="A23" s="74"/>
      <c r="B23" s="411"/>
      <c r="C23" s="440" t="s">
        <v>117</v>
      </c>
      <c r="D23" s="440"/>
      <c r="E23" s="440"/>
      <c r="F23" s="74"/>
      <c r="G23" s="337">
        <v>46575</v>
      </c>
    </row>
    <row r="24" spans="1:9" ht="20.25" x14ac:dyDescent="0.2">
      <c r="A24" s="74"/>
      <c r="B24" s="411"/>
      <c r="C24" s="440" t="s">
        <v>375</v>
      </c>
      <c r="D24" s="440"/>
      <c r="E24" s="440"/>
      <c r="F24" s="74"/>
      <c r="G24" s="337">
        <v>1531</v>
      </c>
    </row>
    <row r="25" spans="1:9" ht="20.25" x14ac:dyDescent="0.2">
      <c r="A25" s="74"/>
      <c r="B25" s="411"/>
      <c r="C25" s="440" t="s">
        <v>110</v>
      </c>
      <c r="D25" s="440"/>
      <c r="E25" s="440"/>
      <c r="F25" s="74"/>
      <c r="G25" s="337">
        <v>19000</v>
      </c>
    </row>
    <row r="26" spans="1:9" ht="20.25" x14ac:dyDescent="0.2">
      <c r="A26" s="74"/>
      <c r="B26" s="411"/>
      <c r="C26" s="440" t="s">
        <v>371</v>
      </c>
      <c r="D26" s="440"/>
      <c r="E26" s="440"/>
      <c r="F26" s="74"/>
      <c r="G26" s="337">
        <v>51000</v>
      </c>
    </row>
    <row r="27" spans="1:9" ht="20.25" x14ac:dyDescent="0.2">
      <c r="A27" s="74"/>
      <c r="B27" s="411"/>
      <c r="C27" s="440" t="s">
        <v>373</v>
      </c>
      <c r="D27" s="440"/>
      <c r="E27" s="440"/>
      <c r="F27" s="74"/>
      <c r="G27" s="337">
        <v>20655</v>
      </c>
    </row>
    <row r="28" spans="1:9" ht="20.25" x14ac:dyDescent="0.2">
      <c r="A28" s="74"/>
      <c r="B28" s="411"/>
      <c r="C28" s="440"/>
      <c r="D28" s="74" t="s">
        <v>113</v>
      </c>
      <c r="E28" s="440"/>
      <c r="F28" s="74"/>
      <c r="G28" s="246">
        <f>SUM(G8:G27)</f>
        <v>1455561</v>
      </c>
      <c r="I28" s="247"/>
    </row>
    <row r="29" spans="1:9" ht="20.25" x14ac:dyDescent="0.2">
      <c r="A29" s="74"/>
      <c r="B29" s="411"/>
      <c r="C29" s="440"/>
      <c r="D29" s="74"/>
      <c r="E29" s="440"/>
      <c r="F29" s="74"/>
      <c r="G29" s="237"/>
    </row>
    <row r="30" spans="1:9" ht="21" thickBot="1" x14ac:dyDescent="0.25">
      <c r="A30" s="74"/>
      <c r="B30" s="412" t="s">
        <v>119</v>
      </c>
      <c r="C30" s="88"/>
      <c r="D30" s="88"/>
      <c r="E30" s="88"/>
      <c r="F30" s="88"/>
      <c r="G30" s="245"/>
    </row>
    <row r="31" spans="1:9" ht="20.25" x14ac:dyDescent="0.2">
      <c r="A31" s="68"/>
      <c r="B31" s="413"/>
      <c r="C31" s="80" t="s">
        <v>120</v>
      </c>
      <c r="D31" s="80"/>
      <c r="E31" s="80"/>
      <c r="F31" s="80"/>
      <c r="G31" s="235">
        <v>889720</v>
      </c>
    </row>
    <row r="32" spans="1:9" ht="20.25" x14ac:dyDescent="0.2">
      <c r="A32" s="68"/>
      <c r="B32" s="413"/>
      <c r="C32" s="80" t="s">
        <v>121</v>
      </c>
      <c r="D32" s="80"/>
      <c r="E32" s="80"/>
      <c r="F32" s="80"/>
      <c r="G32" s="235">
        <v>192602</v>
      </c>
    </row>
    <row r="33" spans="1:7" ht="20.25" x14ac:dyDescent="0.2">
      <c r="A33" s="68"/>
      <c r="B33" s="413"/>
      <c r="C33" s="80" t="s">
        <v>122</v>
      </c>
      <c r="D33" s="80"/>
      <c r="E33" s="80"/>
      <c r="F33" s="80"/>
      <c r="G33" s="235">
        <v>3600</v>
      </c>
    </row>
    <row r="34" spans="1:7" ht="20.25" x14ac:dyDescent="0.2">
      <c r="A34" s="68"/>
      <c r="B34" s="413"/>
      <c r="C34" s="80" t="s">
        <v>112</v>
      </c>
      <c r="D34" s="80"/>
      <c r="E34" s="80"/>
      <c r="F34" s="80"/>
      <c r="G34" s="235">
        <f>G23</f>
        <v>46575</v>
      </c>
    </row>
    <row r="35" spans="1:7" ht="20.25" x14ac:dyDescent="0.2">
      <c r="A35" s="68"/>
      <c r="B35" s="413"/>
      <c r="C35" s="80" t="s">
        <v>123</v>
      </c>
      <c r="D35" s="80"/>
      <c r="E35" s="80"/>
      <c r="F35" s="80"/>
      <c r="G35" s="235">
        <v>17595</v>
      </c>
    </row>
    <row r="36" spans="1:7" ht="20.25" x14ac:dyDescent="0.2">
      <c r="A36" s="68"/>
      <c r="B36" s="413"/>
      <c r="C36" s="80" t="s">
        <v>124</v>
      </c>
      <c r="D36" s="80"/>
      <c r="E36" s="80"/>
      <c r="F36" s="80"/>
      <c r="G36" s="235">
        <v>2821</v>
      </c>
    </row>
    <row r="37" spans="1:7" ht="20.25" x14ac:dyDescent="0.2">
      <c r="A37" s="68"/>
      <c r="B37" s="413"/>
      <c r="C37" s="80" t="s">
        <v>125</v>
      </c>
      <c r="D37" s="80"/>
      <c r="E37" s="80"/>
      <c r="F37" s="80"/>
      <c r="G37" s="235">
        <v>5032</v>
      </c>
    </row>
    <row r="38" spans="1:7" ht="20.25" x14ac:dyDescent="0.2">
      <c r="A38" s="68"/>
      <c r="B38" s="413"/>
      <c r="C38" s="80" t="s">
        <v>126</v>
      </c>
      <c r="D38" s="80"/>
      <c r="E38" s="80"/>
      <c r="F38" s="80"/>
      <c r="G38" s="235">
        <v>12216</v>
      </c>
    </row>
    <row r="39" spans="1:7" ht="20.25" x14ac:dyDescent="0.2">
      <c r="A39" s="68"/>
      <c r="B39" s="413"/>
      <c r="C39" s="80" t="s">
        <v>127</v>
      </c>
      <c r="D39" s="80"/>
      <c r="E39" s="80"/>
      <c r="F39" s="80"/>
      <c r="G39" s="235">
        <v>39500</v>
      </c>
    </row>
    <row r="40" spans="1:7" ht="20.25" x14ac:dyDescent="0.2">
      <c r="A40" s="68"/>
      <c r="B40" s="413"/>
      <c r="C40" s="80" t="s">
        <v>128</v>
      </c>
      <c r="D40" s="80"/>
      <c r="E40" s="80"/>
      <c r="F40" s="80"/>
      <c r="G40" s="235">
        <v>4840</v>
      </c>
    </row>
    <row r="41" spans="1:7" ht="20.25" x14ac:dyDescent="0.2">
      <c r="A41" s="68"/>
      <c r="B41" s="413"/>
      <c r="C41" s="80" t="s">
        <v>129</v>
      </c>
      <c r="D41" s="80"/>
      <c r="E41" s="80"/>
      <c r="F41" s="80"/>
      <c r="G41" s="235">
        <v>1735</v>
      </c>
    </row>
    <row r="42" spans="1:7" ht="20.25" x14ac:dyDescent="0.2">
      <c r="A42" s="68"/>
      <c r="B42" s="413"/>
      <c r="C42" s="80" t="s">
        <v>179</v>
      </c>
      <c r="D42" s="80"/>
      <c r="E42" s="80"/>
      <c r="F42" s="80"/>
      <c r="G42" s="235">
        <v>12125</v>
      </c>
    </row>
    <row r="43" spans="1:7" ht="20.25" x14ac:dyDescent="0.2">
      <c r="A43" s="80"/>
      <c r="B43" s="409"/>
      <c r="C43" s="80" t="s">
        <v>130</v>
      </c>
      <c r="D43" s="80"/>
      <c r="E43" s="80"/>
      <c r="F43" s="80"/>
      <c r="G43" s="337">
        <v>12252</v>
      </c>
    </row>
    <row r="44" spans="1:7" ht="20.25" x14ac:dyDescent="0.2">
      <c r="A44" s="80"/>
      <c r="B44" s="409"/>
      <c r="C44" s="80" t="s">
        <v>131</v>
      </c>
      <c r="D44" s="80"/>
      <c r="E44" s="80"/>
      <c r="F44" s="80"/>
      <c r="G44" s="235">
        <v>13564</v>
      </c>
    </row>
    <row r="45" spans="1:7" ht="20.25" x14ac:dyDescent="0.2">
      <c r="A45" s="80"/>
      <c r="B45" s="409"/>
      <c r="C45" s="80" t="s">
        <v>138</v>
      </c>
      <c r="D45" s="80"/>
      <c r="E45" s="80"/>
      <c r="F45" s="80"/>
      <c r="G45" s="235">
        <v>875</v>
      </c>
    </row>
    <row r="46" spans="1:7" ht="20.25" x14ac:dyDescent="0.2">
      <c r="A46" s="80"/>
      <c r="B46" s="409"/>
      <c r="C46" s="80" t="s">
        <v>132</v>
      </c>
      <c r="D46" s="80"/>
      <c r="E46" s="80"/>
      <c r="F46" s="80"/>
      <c r="G46" s="337">
        <f>10039+1500</f>
        <v>11539</v>
      </c>
    </row>
    <row r="47" spans="1:7" ht="20.25" x14ac:dyDescent="0.2">
      <c r="A47" s="68"/>
      <c r="B47" s="413"/>
      <c r="C47" s="80" t="s">
        <v>216</v>
      </c>
      <c r="D47" s="80"/>
      <c r="E47" s="80"/>
      <c r="F47" s="80"/>
      <c r="G47" s="235">
        <f>12623+2660</f>
        <v>15283</v>
      </c>
    </row>
    <row r="48" spans="1:7" ht="20.25" x14ac:dyDescent="0.2">
      <c r="A48" s="80"/>
      <c r="B48" s="409"/>
      <c r="C48" s="80" t="s">
        <v>133</v>
      </c>
      <c r="D48" s="80"/>
      <c r="E48" s="80"/>
      <c r="F48" s="80"/>
      <c r="G48" s="337">
        <v>39977</v>
      </c>
    </row>
    <row r="49" spans="1:7" ht="20.25" x14ac:dyDescent="0.2">
      <c r="A49" s="80"/>
      <c r="B49" s="409"/>
      <c r="C49" s="80" t="s">
        <v>134</v>
      </c>
      <c r="D49" s="80"/>
      <c r="E49" s="80"/>
      <c r="F49" s="80"/>
      <c r="G49" s="337">
        <v>19556</v>
      </c>
    </row>
    <row r="50" spans="1:7" ht="20.25" x14ac:dyDescent="0.2">
      <c r="A50" s="80"/>
      <c r="B50" s="409"/>
      <c r="C50" s="80" t="s">
        <v>178</v>
      </c>
      <c r="D50" s="80"/>
      <c r="E50" s="80"/>
      <c r="F50" s="80"/>
      <c r="G50" s="235">
        <v>56100</v>
      </c>
    </row>
    <row r="51" spans="1:7" ht="20.25" x14ac:dyDescent="0.2">
      <c r="A51" s="80"/>
      <c r="B51" s="409"/>
      <c r="C51" s="80" t="s">
        <v>135</v>
      </c>
      <c r="D51" s="80"/>
      <c r="E51" s="80"/>
      <c r="F51" s="80"/>
      <c r="G51" s="235">
        <f>750+86095</f>
        <v>86845</v>
      </c>
    </row>
    <row r="52" spans="1:7" ht="21" thickBot="1" x14ac:dyDescent="0.25">
      <c r="A52" s="80"/>
      <c r="B52" s="409"/>
      <c r="C52" s="80"/>
      <c r="D52" s="80"/>
      <c r="E52" s="80"/>
      <c r="F52" s="80"/>
      <c r="G52" s="245"/>
    </row>
    <row r="53" spans="1:7" ht="20.25" x14ac:dyDescent="0.2">
      <c r="A53" s="68"/>
      <c r="B53" s="413"/>
      <c r="C53" s="68"/>
      <c r="D53" s="74" t="s">
        <v>136</v>
      </c>
      <c r="E53" s="68"/>
      <c r="F53" s="68"/>
      <c r="G53" s="240">
        <f>SUM(G31:G51)</f>
        <v>1484352</v>
      </c>
    </row>
    <row r="54" spans="1:7" ht="21" thickBot="1" x14ac:dyDescent="0.25">
      <c r="A54" s="68"/>
      <c r="B54" s="413"/>
      <c r="C54" s="68"/>
      <c r="D54" s="74"/>
      <c r="E54" s="68"/>
      <c r="F54" s="68"/>
      <c r="G54" s="245"/>
    </row>
    <row r="55" spans="1:7" ht="21" thickBot="1" x14ac:dyDescent="0.25">
      <c r="A55" s="68"/>
      <c r="B55" s="413"/>
      <c r="C55" s="68"/>
      <c r="D55" s="68" t="s">
        <v>137</v>
      </c>
      <c r="E55" s="68"/>
      <c r="F55" s="68"/>
      <c r="G55" s="245">
        <f>G28-G53</f>
        <v>-28791</v>
      </c>
    </row>
    <row r="56" spans="1:7" ht="20.25" x14ac:dyDescent="0.2">
      <c r="A56" s="68"/>
      <c r="B56" s="413"/>
      <c r="C56" s="68"/>
      <c r="D56" s="68"/>
      <c r="E56" s="68"/>
      <c r="F56" s="68"/>
      <c r="G56" s="235"/>
    </row>
  </sheetData>
  <pageMargins left="1.2" right="0" top="0.5" bottom="0.5" header="0.3" footer="0.3"/>
  <pageSetup scale="6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7" customWidth="1"/>
    <col min="2" max="2" width="15.25" style="57" hidden="1" customWidth="1"/>
    <col min="3" max="3" width="15.125" style="593" hidden="1" customWidth="1"/>
    <col min="4" max="7" width="15" customWidth="1"/>
    <col min="8" max="8" width="14.625" customWidth="1"/>
  </cols>
  <sheetData>
    <row r="1" spans="1:130" ht="21" x14ac:dyDescent="0.35">
      <c r="A1" s="633" t="s">
        <v>101</v>
      </c>
      <c r="B1" s="60"/>
      <c r="C1" s="61"/>
      <c r="D1" s="61"/>
      <c r="E1" s="61"/>
      <c r="F1" s="60"/>
      <c r="G1" s="233"/>
      <c r="H1" s="60"/>
      <c r="I1" s="60"/>
      <c r="J1" s="60"/>
      <c r="K1" s="60"/>
      <c r="L1" s="486"/>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633" t="s">
        <v>337</v>
      </c>
      <c r="B2" s="60"/>
      <c r="C2" s="61"/>
      <c r="D2" s="61"/>
      <c r="E2" s="61"/>
      <c r="F2" s="60"/>
      <c r="G2" s="233"/>
      <c r="H2" s="60"/>
      <c r="I2" s="60"/>
      <c r="J2" s="60"/>
      <c r="K2" s="60"/>
      <c r="L2" s="486"/>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633" t="str">
        <f>'Feb''19 State of Activities'!A3</f>
        <v>Two Months Ended February 28, 2019 and 2018</v>
      </c>
      <c r="B3" s="60"/>
      <c r="C3" s="61"/>
      <c r="D3" s="61"/>
      <c r="E3" s="61"/>
      <c r="F3" s="60"/>
      <c r="G3" s="233"/>
      <c r="H3" s="60"/>
      <c r="I3" s="60"/>
      <c r="J3" s="60"/>
      <c r="K3" s="60"/>
      <c r="L3" s="486"/>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809" t="s">
        <v>317</v>
      </c>
      <c r="B5" s="810"/>
      <c r="C5" s="810"/>
      <c r="D5" s="810"/>
      <c r="E5" s="810"/>
      <c r="F5" s="810"/>
      <c r="G5" s="810"/>
      <c r="H5" s="811"/>
    </row>
    <row r="6" spans="1:130" ht="7.5" customHeight="1" thickBot="1" x14ac:dyDescent="0.25">
      <c r="E6" s="594"/>
      <c r="F6" s="594"/>
      <c r="G6" s="594"/>
    </row>
    <row r="7" spans="1:130" ht="15.75" x14ac:dyDescent="0.25">
      <c r="A7" s="595" t="s">
        <v>318</v>
      </c>
      <c r="B7" s="596" t="s">
        <v>319</v>
      </c>
      <c r="C7" s="596" t="s">
        <v>320</v>
      </c>
      <c r="D7" s="596" t="s">
        <v>321</v>
      </c>
      <c r="E7" s="596" t="s">
        <v>322</v>
      </c>
      <c r="F7" s="596" t="s">
        <v>323</v>
      </c>
      <c r="G7" s="596" t="s">
        <v>324</v>
      </c>
      <c r="H7" s="595" t="s">
        <v>325</v>
      </c>
    </row>
    <row r="8" spans="1:130" ht="16.5" thickBot="1" x14ac:dyDescent="0.3">
      <c r="A8" s="597"/>
      <c r="B8" s="598" t="s">
        <v>326</v>
      </c>
      <c r="C8" s="598" t="s">
        <v>326</v>
      </c>
      <c r="D8" s="598" t="s">
        <v>326</v>
      </c>
      <c r="E8" s="598" t="s">
        <v>326</v>
      </c>
      <c r="F8" s="598" t="s">
        <v>326</v>
      </c>
      <c r="G8" s="598" t="s">
        <v>326</v>
      </c>
      <c r="H8" s="599" t="s">
        <v>327</v>
      </c>
    </row>
    <row r="9" spans="1:130" x14ac:dyDescent="0.2">
      <c r="A9" s="600">
        <v>42741</v>
      </c>
      <c r="B9" s="601">
        <v>1059.72</v>
      </c>
      <c r="C9" s="602">
        <f>6123.86-3246.88</f>
        <v>2876.9799999999996</v>
      </c>
      <c r="D9" s="601">
        <f>160.4+1401.46</f>
        <v>1561.8600000000001</v>
      </c>
      <c r="E9" s="601">
        <f>2007.36+883.16</f>
        <v>2890.52</v>
      </c>
      <c r="F9" s="601">
        <v>4174.08</v>
      </c>
      <c r="G9" s="601">
        <v>3187.95</v>
      </c>
      <c r="H9" s="601">
        <f>G9-F9</f>
        <v>-986.13000000000011</v>
      </c>
    </row>
    <row r="10" spans="1:130" x14ac:dyDescent="0.2">
      <c r="A10" s="603">
        <v>42748</v>
      </c>
      <c r="B10" s="604">
        <v>1351.72</v>
      </c>
      <c r="C10" s="605">
        <f>7232.22-3246.88</f>
        <v>3985.34</v>
      </c>
      <c r="D10" s="604">
        <v>3927.82</v>
      </c>
      <c r="E10" s="604">
        <v>3364.16</v>
      </c>
      <c r="F10" s="601">
        <v>4643.2299999999996</v>
      </c>
      <c r="G10" s="601">
        <v>3858.57</v>
      </c>
      <c r="H10" s="601">
        <f t="shared" ref="H10:H21" si="0">G10-F10</f>
        <v>-784.6599999999994</v>
      </c>
    </row>
    <row r="11" spans="1:130" x14ac:dyDescent="0.2">
      <c r="A11" s="603">
        <v>42755</v>
      </c>
      <c r="B11" s="604">
        <v>1237.58</v>
      </c>
      <c r="C11" s="606">
        <f>5493.18-2496.78</f>
        <v>2996.4</v>
      </c>
      <c r="D11" s="604">
        <v>3463.28</v>
      </c>
      <c r="E11" s="604">
        <v>3723.22</v>
      </c>
      <c r="F11" s="601">
        <v>3257.98</v>
      </c>
      <c r="G11" s="601">
        <v>2816.13</v>
      </c>
      <c r="H11" s="601">
        <f t="shared" si="0"/>
        <v>-441.84999999999991</v>
      </c>
    </row>
    <row r="12" spans="1:130" x14ac:dyDescent="0.2">
      <c r="A12" s="603">
        <v>42762</v>
      </c>
      <c r="B12" s="604">
        <v>1829.66</v>
      </c>
      <c r="C12" s="606">
        <f>6125.18-2535</f>
        <v>3590.1800000000003</v>
      </c>
      <c r="D12" s="604">
        <v>2947.54</v>
      </c>
      <c r="E12" s="604">
        <v>3026.63</v>
      </c>
      <c r="F12" s="601">
        <v>3503.82</v>
      </c>
      <c r="G12" s="601">
        <v>2957.14</v>
      </c>
      <c r="H12" s="601">
        <f t="shared" si="0"/>
        <v>-546.68000000000029</v>
      </c>
    </row>
    <row r="13" spans="1:130" x14ac:dyDescent="0.2">
      <c r="A13" s="603">
        <v>42769</v>
      </c>
      <c r="B13" s="604">
        <v>2363.12</v>
      </c>
      <c r="C13" s="606">
        <f>-3488.68+8424.94</f>
        <v>4936.26</v>
      </c>
      <c r="D13" s="604">
        <v>3434.46</v>
      </c>
      <c r="E13" s="604">
        <v>2986.58</v>
      </c>
      <c r="F13" s="601">
        <v>4063.43</v>
      </c>
      <c r="G13" s="601">
        <v>3878.62</v>
      </c>
      <c r="H13" s="601">
        <f t="shared" si="0"/>
        <v>-184.80999999999995</v>
      </c>
    </row>
    <row r="14" spans="1:130" x14ac:dyDescent="0.2">
      <c r="A14" s="603">
        <v>42776</v>
      </c>
      <c r="B14" s="604">
        <v>1902.16</v>
      </c>
      <c r="C14" s="606">
        <f>-2931.5+7254.06</f>
        <v>4322.5600000000004</v>
      </c>
      <c r="D14" s="604">
        <v>2818.82</v>
      </c>
      <c r="E14" s="604">
        <f>2800.67</f>
        <v>2800.67</v>
      </c>
      <c r="F14" s="601">
        <v>4002.46</v>
      </c>
      <c r="G14" s="601">
        <v>2987.96</v>
      </c>
      <c r="H14" s="601">
        <f t="shared" si="0"/>
        <v>-1014.5</v>
      </c>
    </row>
    <row r="15" spans="1:130" x14ac:dyDescent="0.2">
      <c r="A15" s="603">
        <v>42783</v>
      </c>
      <c r="B15" s="604">
        <v>2134.56</v>
      </c>
      <c r="C15" s="606">
        <f>-3653.28+8329.5-700</f>
        <v>3976.2199999999993</v>
      </c>
      <c r="D15" s="604">
        <v>2157.96</v>
      </c>
      <c r="E15" s="604">
        <v>2584.04</v>
      </c>
      <c r="F15" s="601">
        <v>2886.61</v>
      </c>
      <c r="G15" s="601">
        <v>3373.08</v>
      </c>
      <c r="H15" s="601">
        <f t="shared" si="0"/>
        <v>486.4699999999998</v>
      </c>
    </row>
    <row r="16" spans="1:130" x14ac:dyDescent="0.2">
      <c r="A16" s="603">
        <v>42790</v>
      </c>
      <c r="B16" s="604">
        <v>1676.08</v>
      </c>
      <c r="C16" s="606">
        <f>-2869.88+6693.6</f>
        <v>3823.7200000000003</v>
      </c>
      <c r="D16" s="604">
        <v>3063.52</v>
      </c>
      <c r="E16" s="604">
        <v>3161.19</v>
      </c>
      <c r="F16" s="601">
        <v>3994.7</v>
      </c>
      <c r="G16" s="601">
        <v>3335.8</v>
      </c>
      <c r="H16" s="601">
        <f t="shared" si="0"/>
        <v>-658.89999999999964</v>
      </c>
    </row>
    <row r="17" spans="1:8" x14ac:dyDescent="0.2">
      <c r="A17" s="603">
        <v>42797</v>
      </c>
      <c r="B17" s="604">
        <v>1418.9</v>
      </c>
      <c r="C17" s="606">
        <f>-3427.32+8141.08</f>
        <v>4713.76</v>
      </c>
      <c r="D17" s="604">
        <v>4534.3</v>
      </c>
      <c r="E17" s="604">
        <v>3860.23</v>
      </c>
      <c r="F17" s="601">
        <v>4172.5600000000004</v>
      </c>
      <c r="G17" s="601">
        <v>2335.96</v>
      </c>
      <c r="H17" s="601">
        <f t="shared" si="0"/>
        <v>-1836.6000000000004</v>
      </c>
    </row>
    <row r="18" spans="1:8" x14ac:dyDescent="0.2">
      <c r="A18" s="603">
        <v>42804</v>
      </c>
      <c r="B18" s="604">
        <v>1013.74</v>
      </c>
      <c r="C18" s="606">
        <f>-2919.8+6449.26</f>
        <v>3529.46</v>
      </c>
      <c r="D18" s="604">
        <v>3673.88</v>
      </c>
      <c r="E18" s="604">
        <v>4004</v>
      </c>
      <c r="F18" s="601">
        <v>3762.8</v>
      </c>
      <c r="G18" s="601">
        <v>1711.94</v>
      </c>
      <c r="H18" s="601">
        <f t="shared" si="0"/>
        <v>-2050.86</v>
      </c>
    </row>
    <row r="19" spans="1:8" x14ac:dyDescent="0.2">
      <c r="A19" s="603">
        <v>42811</v>
      </c>
      <c r="B19" s="607">
        <v>3629.96</v>
      </c>
      <c r="C19" s="606">
        <f>-3708.38+7621.78</f>
        <v>3913.3999999999996</v>
      </c>
      <c r="D19" s="604">
        <v>4030.4</v>
      </c>
      <c r="E19" s="604">
        <v>3222.03</v>
      </c>
      <c r="F19" s="601">
        <v>4340.3</v>
      </c>
      <c r="G19" s="601">
        <v>942.16</v>
      </c>
      <c r="H19" s="601">
        <f t="shared" si="0"/>
        <v>-3398.1400000000003</v>
      </c>
    </row>
    <row r="20" spans="1:8" x14ac:dyDescent="0.2">
      <c r="A20" s="603">
        <v>42818</v>
      </c>
      <c r="B20" s="607">
        <v>3364</v>
      </c>
      <c r="C20" s="606">
        <f>-3726.84+7846.28</f>
        <v>4119.4399999999996</v>
      </c>
      <c r="D20" s="604">
        <v>3975.2</v>
      </c>
      <c r="E20" s="604">
        <v>3684.17</v>
      </c>
      <c r="F20" s="601">
        <v>3849.95</v>
      </c>
      <c r="G20" s="601">
        <v>1706.08</v>
      </c>
      <c r="H20" s="601">
        <f t="shared" si="0"/>
        <v>-2143.87</v>
      </c>
    </row>
    <row r="21" spans="1:8" ht="15" thickBot="1" x14ac:dyDescent="0.25">
      <c r="A21" s="603">
        <v>42825</v>
      </c>
      <c r="B21" s="607">
        <v>3587</v>
      </c>
      <c r="C21" s="606">
        <f>-3329.82+7562.9</f>
        <v>4233.08</v>
      </c>
      <c r="D21" s="604">
        <v>4280.8</v>
      </c>
      <c r="E21" s="607">
        <v>4118.96</v>
      </c>
      <c r="F21" s="608">
        <v>4082.74</v>
      </c>
      <c r="G21" s="608">
        <v>2002.52</v>
      </c>
      <c r="H21" s="601">
        <f t="shared" si="0"/>
        <v>-2080.2199999999998</v>
      </c>
    </row>
    <row r="22" spans="1:8" ht="16.5" thickBot="1" x14ac:dyDescent="0.25">
      <c r="A22" s="609" t="s">
        <v>328</v>
      </c>
      <c r="B22" s="610">
        <f t="shared" ref="B22:H22" si="1">SUM(B9:B21)</f>
        <v>26568.2</v>
      </c>
      <c r="C22" s="610">
        <f t="shared" si="1"/>
        <v>51016.80000000001</v>
      </c>
      <c r="D22" s="610">
        <f t="shared" si="1"/>
        <v>43869.84</v>
      </c>
      <c r="E22" s="610">
        <f t="shared" si="1"/>
        <v>43426.399999999994</v>
      </c>
      <c r="F22" s="610">
        <f t="shared" si="1"/>
        <v>50734.659999999996</v>
      </c>
      <c r="G22" s="610">
        <f t="shared" si="1"/>
        <v>35093.909999999989</v>
      </c>
      <c r="H22" s="610">
        <f t="shared" si="1"/>
        <v>-15640.749999999998</v>
      </c>
    </row>
    <row r="23" spans="1:8" x14ac:dyDescent="0.2">
      <c r="A23" s="611">
        <v>42832</v>
      </c>
      <c r="B23" s="604">
        <v>3525.02</v>
      </c>
      <c r="C23" s="601">
        <v>4517.8999999999996</v>
      </c>
      <c r="D23" s="601">
        <v>4162.12</v>
      </c>
      <c r="E23" s="601">
        <v>4043.7</v>
      </c>
      <c r="F23" s="601">
        <v>3768.69</v>
      </c>
      <c r="G23" s="601">
        <v>2018.44</v>
      </c>
      <c r="H23" s="601">
        <f>G23-F23</f>
        <v>-1750.25</v>
      </c>
    </row>
    <row r="24" spans="1:8" x14ac:dyDescent="0.2">
      <c r="A24" s="611">
        <v>42839</v>
      </c>
      <c r="B24" s="604">
        <v>3842.84</v>
      </c>
      <c r="C24" s="601">
        <v>4554.42</v>
      </c>
      <c r="D24" s="604">
        <v>4616</v>
      </c>
      <c r="E24" s="604">
        <v>4136.18</v>
      </c>
      <c r="F24" s="601">
        <v>4345.16</v>
      </c>
      <c r="G24" s="601">
        <v>5284.52</v>
      </c>
      <c r="H24" s="601">
        <f t="shared" ref="H24:H63" si="2">G24-F24</f>
        <v>939.36000000000058</v>
      </c>
    </row>
    <row r="25" spans="1:8" x14ac:dyDescent="0.2">
      <c r="A25" s="611">
        <v>42846</v>
      </c>
      <c r="B25" s="604">
        <v>5337.82</v>
      </c>
      <c r="C25" s="604">
        <v>4041.14</v>
      </c>
      <c r="D25" s="604">
        <v>3729.1</v>
      </c>
      <c r="E25" s="604">
        <v>4132.83</v>
      </c>
      <c r="F25" s="601">
        <v>4267.46</v>
      </c>
      <c r="G25" s="601">
        <v>4715.9799999999996</v>
      </c>
      <c r="H25" s="601">
        <f t="shared" si="2"/>
        <v>448.51999999999953</v>
      </c>
    </row>
    <row r="26" spans="1:8" x14ac:dyDescent="0.2">
      <c r="A26" s="611">
        <v>42853</v>
      </c>
      <c r="B26" s="604">
        <v>4973.68</v>
      </c>
      <c r="C26" s="604">
        <v>4321.8599999999997</v>
      </c>
      <c r="D26" s="604">
        <v>3706.08</v>
      </c>
      <c r="E26" s="604">
        <v>4536.74</v>
      </c>
      <c r="F26" s="601">
        <v>3953.61</v>
      </c>
      <c r="G26" s="601">
        <v>4499.7</v>
      </c>
      <c r="H26" s="601">
        <f t="shared" si="2"/>
        <v>546.08999999999969</v>
      </c>
    </row>
    <row r="27" spans="1:8" x14ac:dyDescent="0.2">
      <c r="A27" s="611">
        <v>42860</v>
      </c>
      <c r="B27" s="604">
        <v>3187.22</v>
      </c>
      <c r="C27" s="604">
        <v>4732.8999999999996</v>
      </c>
      <c r="D27" s="604">
        <v>3421.72</v>
      </c>
      <c r="E27" s="604">
        <f>3478.64+72+758.56</f>
        <v>4309.2</v>
      </c>
      <c r="F27" s="601">
        <v>4192.32</v>
      </c>
      <c r="G27" s="601">
        <v>4204.16</v>
      </c>
      <c r="H27" s="601">
        <f t="shared" si="2"/>
        <v>11.840000000000146</v>
      </c>
    </row>
    <row r="28" spans="1:8" x14ac:dyDescent="0.2">
      <c r="A28" s="611">
        <v>42867</v>
      </c>
      <c r="B28" s="604">
        <v>2237.2399999999998</v>
      </c>
      <c r="C28" s="604">
        <v>4138.8999999999996</v>
      </c>
      <c r="D28" s="604">
        <v>3907.94</v>
      </c>
      <c r="E28" s="604">
        <f>4050.94+212.76</f>
        <v>4263.7</v>
      </c>
      <c r="F28" s="601">
        <v>4361.47</v>
      </c>
      <c r="G28" s="601">
        <v>4571.82</v>
      </c>
      <c r="H28" s="601">
        <f t="shared" si="2"/>
        <v>210.34999999999945</v>
      </c>
    </row>
    <row r="29" spans="1:8" x14ac:dyDescent="0.2">
      <c r="A29" s="611">
        <v>42874</v>
      </c>
      <c r="B29" s="604">
        <v>3446.22</v>
      </c>
      <c r="C29" s="604">
        <v>5447.82</v>
      </c>
      <c r="D29" s="604">
        <f>3359.74+70.28</f>
        <v>3430.02</v>
      </c>
      <c r="E29" s="604">
        <v>3958.56</v>
      </c>
      <c r="F29" s="601">
        <v>3957.78</v>
      </c>
      <c r="G29" s="601">
        <v>4089.18</v>
      </c>
      <c r="H29" s="601">
        <f t="shared" si="2"/>
        <v>131.39999999999964</v>
      </c>
    </row>
    <row r="30" spans="1:8" x14ac:dyDescent="0.2">
      <c r="A30" s="611">
        <v>42881</v>
      </c>
      <c r="B30" s="604">
        <v>3507.94</v>
      </c>
      <c r="C30" s="604">
        <v>4315.03</v>
      </c>
      <c r="D30" s="604">
        <v>3880.8</v>
      </c>
      <c r="E30" s="604">
        <v>4314.9799999999996</v>
      </c>
      <c r="F30" s="601">
        <v>3634.01</v>
      </c>
      <c r="G30" s="601">
        <v>3993.63</v>
      </c>
      <c r="H30" s="601">
        <f t="shared" si="2"/>
        <v>359.61999999999989</v>
      </c>
    </row>
    <row r="31" spans="1:8" x14ac:dyDescent="0.2">
      <c r="A31" s="611">
        <v>42888</v>
      </c>
      <c r="B31" s="604">
        <v>3609.72</v>
      </c>
      <c r="C31" s="604">
        <v>3053.8</v>
      </c>
      <c r="D31" s="604">
        <v>2686.82</v>
      </c>
      <c r="E31" s="604">
        <v>2987.04</v>
      </c>
      <c r="F31" s="601">
        <v>2684.24</v>
      </c>
      <c r="G31" s="601">
        <v>2384.3200000000002</v>
      </c>
      <c r="H31" s="601">
        <f t="shared" si="2"/>
        <v>-299.91999999999962</v>
      </c>
    </row>
    <row r="32" spans="1:8" x14ac:dyDescent="0.2">
      <c r="A32" s="611">
        <v>42895</v>
      </c>
      <c r="B32" s="604">
        <v>2033.76</v>
      </c>
      <c r="C32" s="604">
        <v>4194.8599999999997</v>
      </c>
      <c r="D32" s="604">
        <v>3006.14</v>
      </c>
      <c r="E32" s="604">
        <v>3675.8</v>
      </c>
      <c r="F32" s="601">
        <v>3674.42</v>
      </c>
      <c r="G32" s="601">
        <v>3297.66</v>
      </c>
      <c r="H32" s="601">
        <f t="shared" si="2"/>
        <v>-376.76000000000022</v>
      </c>
    </row>
    <row r="33" spans="1:8" x14ac:dyDescent="0.2">
      <c r="A33" s="611">
        <v>42902</v>
      </c>
      <c r="B33" s="604">
        <v>2786.98</v>
      </c>
      <c r="C33" s="604">
        <v>3980.08</v>
      </c>
      <c r="D33" s="604">
        <v>3579.53</v>
      </c>
      <c r="E33" s="604">
        <v>4147.8999999999996</v>
      </c>
      <c r="F33" s="601">
        <v>4182.5200000000004</v>
      </c>
      <c r="G33" s="601">
        <v>3252.16</v>
      </c>
      <c r="H33" s="601">
        <f t="shared" si="2"/>
        <v>-930.36000000000058</v>
      </c>
    </row>
    <row r="34" spans="1:8" x14ac:dyDescent="0.2">
      <c r="A34" s="611">
        <v>42909</v>
      </c>
      <c r="B34" s="607">
        <v>2436.9</v>
      </c>
      <c r="C34" s="604">
        <v>4001.26</v>
      </c>
      <c r="D34" s="604">
        <v>3401.21</v>
      </c>
      <c r="E34" s="604">
        <v>3774.82</v>
      </c>
      <c r="F34" s="601">
        <v>3596.56</v>
      </c>
      <c r="G34" s="601">
        <v>3139.68</v>
      </c>
      <c r="H34" s="601">
        <f t="shared" si="2"/>
        <v>-456.88000000000011</v>
      </c>
    </row>
    <row r="35" spans="1:8" ht="15" thickBot="1" x14ac:dyDescent="0.25">
      <c r="A35" s="611">
        <v>42916</v>
      </c>
      <c r="B35" s="607">
        <v>2410.56</v>
      </c>
      <c r="C35" s="604">
        <v>3928.74</v>
      </c>
      <c r="D35" s="607">
        <v>3288.01</v>
      </c>
      <c r="E35" s="607">
        <v>3466.07</v>
      </c>
      <c r="F35" s="608">
        <v>3867.92</v>
      </c>
      <c r="G35" s="608">
        <v>3368.72</v>
      </c>
      <c r="H35" s="601">
        <f t="shared" si="2"/>
        <v>-499.20000000000027</v>
      </c>
    </row>
    <row r="36" spans="1:8" ht="16.5" thickBot="1" x14ac:dyDescent="0.25">
      <c r="A36" s="609" t="s">
        <v>329</v>
      </c>
      <c r="B36" s="610">
        <f t="shared" ref="B36:H36" si="3">SUM(B23:B35)</f>
        <v>43335.9</v>
      </c>
      <c r="C36" s="610">
        <f t="shared" si="3"/>
        <v>55228.710000000006</v>
      </c>
      <c r="D36" s="610">
        <f t="shared" si="3"/>
        <v>46815.49</v>
      </c>
      <c r="E36" s="610">
        <f t="shared" si="3"/>
        <v>51747.520000000004</v>
      </c>
      <c r="F36" s="610">
        <f t="shared" si="3"/>
        <v>50486.159999999989</v>
      </c>
      <c r="G36" s="610">
        <f t="shared" si="3"/>
        <v>48819.970000000008</v>
      </c>
      <c r="H36" s="610">
        <f t="shared" si="3"/>
        <v>-1666.1900000000019</v>
      </c>
    </row>
    <row r="37" spans="1:8" x14ac:dyDescent="0.2">
      <c r="A37" s="611">
        <v>42923</v>
      </c>
      <c r="B37" s="601">
        <f>899.92+2410.56</f>
        <v>3310.48</v>
      </c>
      <c r="C37" s="601">
        <v>3059.59</v>
      </c>
      <c r="D37" s="601">
        <f>952.56+2445.69</f>
        <v>3398.25</v>
      </c>
      <c r="E37" s="601">
        <f>1313.52+1315.48</f>
        <v>2629</v>
      </c>
      <c r="F37" s="601">
        <v>3092.18</v>
      </c>
      <c r="G37" s="601">
        <v>2501.6799999999998</v>
      </c>
      <c r="H37" s="601">
        <f t="shared" si="2"/>
        <v>-590.5</v>
      </c>
    </row>
    <row r="38" spans="1:8" x14ac:dyDescent="0.2">
      <c r="A38" s="603">
        <v>42930</v>
      </c>
      <c r="B38" s="601">
        <v>2613.8200000000002</v>
      </c>
      <c r="C38" s="601">
        <v>4164.28</v>
      </c>
      <c r="D38" s="604">
        <v>3621.49</v>
      </c>
      <c r="E38" s="604">
        <v>3328.78</v>
      </c>
      <c r="F38" s="601">
        <v>4363</v>
      </c>
      <c r="G38" s="601">
        <v>3463.97</v>
      </c>
      <c r="H38" s="601">
        <f t="shared" si="2"/>
        <v>-899.0300000000002</v>
      </c>
    </row>
    <row r="39" spans="1:8" x14ac:dyDescent="0.2">
      <c r="A39" s="603">
        <v>42937</v>
      </c>
      <c r="B39" s="604">
        <v>2285.09</v>
      </c>
      <c r="C39" s="604">
        <v>3698.36</v>
      </c>
      <c r="D39" s="604">
        <v>3478.53</v>
      </c>
      <c r="E39" s="604">
        <v>4114.08</v>
      </c>
      <c r="F39" s="601">
        <v>3936.33</v>
      </c>
      <c r="G39" s="601">
        <v>3416.66</v>
      </c>
      <c r="H39" s="601">
        <f t="shared" si="2"/>
        <v>-519.67000000000007</v>
      </c>
    </row>
    <row r="40" spans="1:8" x14ac:dyDescent="0.2">
      <c r="A40" s="603">
        <v>42944</v>
      </c>
      <c r="B40" s="604">
        <v>1982.06</v>
      </c>
      <c r="C40" s="604">
        <v>3907.78</v>
      </c>
      <c r="D40" s="604">
        <v>3713.11</v>
      </c>
      <c r="E40" s="604">
        <v>4010.57</v>
      </c>
      <c r="F40" s="601">
        <v>3962.85</v>
      </c>
      <c r="G40" s="601">
        <v>3139.68</v>
      </c>
      <c r="H40" s="601">
        <f t="shared" si="2"/>
        <v>-823.17000000000007</v>
      </c>
    </row>
    <row r="41" spans="1:8" x14ac:dyDescent="0.2">
      <c r="A41" s="603">
        <v>42951</v>
      </c>
      <c r="B41" s="604">
        <v>2442</v>
      </c>
      <c r="C41" s="604">
        <v>3807.12</v>
      </c>
      <c r="D41" s="604">
        <v>3318.21</v>
      </c>
      <c r="E41" s="604">
        <v>3520.16</v>
      </c>
      <c r="F41" s="601">
        <v>3810.8</v>
      </c>
      <c r="G41" s="601">
        <v>3171.9</v>
      </c>
      <c r="H41" s="601">
        <f t="shared" si="2"/>
        <v>-638.90000000000009</v>
      </c>
    </row>
    <row r="42" spans="1:8" x14ac:dyDescent="0.2">
      <c r="A42" s="603">
        <v>42958</v>
      </c>
      <c r="B42" s="604">
        <v>2003.68</v>
      </c>
      <c r="C42" s="604">
        <v>3636.64</v>
      </c>
      <c r="D42" s="604">
        <v>2999.63</v>
      </c>
      <c r="E42" s="604">
        <v>3150.64</v>
      </c>
      <c r="F42" s="601">
        <v>3905.08</v>
      </c>
      <c r="G42" s="601">
        <v>3339.76</v>
      </c>
      <c r="H42" s="601">
        <f t="shared" si="2"/>
        <v>-565.31999999999971</v>
      </c>
    </row>
    <row r="43" spans="1:8" x14ac:dyDescent="0.2">
      <c r="A43" s="603">
        <v>42965</v>
      </c>
      <c r="B43" s="604">
        <v>1971.38</v>
      </c>
      <c r="C43" s="604">
        <v>3658.28</v>
      </c>
      <c r="D43" s="604">
        <v>4080.16</v>
      </c>
      <c r="E43" s="604">
        <v>3780.2</v>
      </c>
      <c r="F43" s="601">
        <v>3747.05</v>
      </c>
      <c r="G43" s="601">
        <v>3333.42</v>
      </c>
      <c r="H43" s="601">
        <f t="shared" si="2"/>
        <v>-413.63000000000011</v>
      </c>
    </row>
    <row r="44" spans="1:8" x14ac:dyDescent="0.2">
      <c r="A44" s="603">
        <v>42972</v>
      </c>
      <c r="B44" s="604">
        <v>2725.14</v>
      </c>
      <c r="C44" s="604">
        <v>4096.0200000000004</v>
      </c>
      <c r="D44" s="604">
        <v>4309.82</v>
      </c>
      <c r="E44" s="604">
        <v>3361.86</v>
      </c>
      <c r="F44" s="601">
        <v>3788.4</v>
      </c>
      <c r="G44" s="601">
        <v>3772.14</v>
      </c>
      <c r="H44" s="601">
        <f t="shared" si="2"/>
        <v>-16.260000000000218</v>
      </c>
    </row>
    <row r="45" spans="1:8" x14ac:dyDescent="0.2">
      <c r="A45" s="603">
        <v>42979</v>
      </c>
      <c r="B45" s="604">
        <v>2749.96</v>
      </c>
      <c r="C45" s="604">
        <v>3825.18</v>
      </c>
      <c r="D45" s="604">
        <v>3712.48</v>
      </c>
      <c r="E45" s="604">
        <v>3605.07</v>
      </c>
      <c r="F45" s="601">
        <v>3858.34</v>
      </c>
      <c r="G45" s="601">
        <v>3206</v>
      </c>
      <c r="H45" s="601">
        <f t="shared" si="2"/>
        <v>-652.34000000000015</v>
      </c>
    </row>
    <row r="46" spans="1:8" x14ac:dyDescent="0.2">
      <c r="A46" s="603">
        <v>42986</v>
      </c>
      <c r="B46" s="604">
        <v>2323.9</v>
      </c>
      <c r="C46" s="604">
        <v>2717.46</v>
      </c>
      <c r="D46" s="604">
        <v>3072.96</v>
      </c>
      <c r="E46" s="604">
        <f>753.86+2730.15</f>
        <v>3484.01</v>
      </c>
      <c r="F46" s="601">
        <v>3265.99</v>
      </c>
      <c r="G46" s="601">
        <v>2271.2199999999998</v>
      </c>
      <c r="H46" s="601">
        <f t="shared" si="2"/>
        <v>-994.77</v>
      </c>
    </row>
    <row r="47" spans="1:8" x14ac:dyDescent="0.2">
      <c r="A47" s="603">
        <v>42993</v>
      </c>
      <c r="B47" s="604">
        <v>2621.61</v>
      </c>
      <c r="C47" s="604">
        <v>3748.38</v>
      </c>
      <c r="D47" s="604">
        <v>3926.25</v>
      </c>
      <c r="E47" s="604">
        <v>3212.96</v>
      </c>
      <c r="F47" s="601">
        <v>3712.16</v>
      </c>
      <c r="G47" s="601">
        <v>2688.36</v>
      </c>
      <c r="H47" s="601">
        <f t="shared" si="2"/>
        <v>-1023.7999999999997</v>
      </c>
    </row>
    <row r="48" spans="1:8" x14ac:dyDescent="0.2">
      <c r="A48" s="603">
        <v>43000</v>
      </c>
      <c r="B48" s="604">
        <v>2394.14</v>
      </c>
      <c r="C48" s="604">
        <v>3766.8</v>
      </c>
      <c r="D48" s="604">
        <v>4164.1899999999996</v>
      </c>
      <c r="E48" s="604">
        <v>4004.92</v>
      </c>
      <c r="F48" s="601">
        <v>3509.17</v>
      </c>
      <c r="G48" s="601">
        <v>3180.04</v>
      </c>
      <c r="H48" s="601">
        <f t="shared" si="2"/>
        <v>-329.13000000000011</v>
      </c>
    </row>
    <row r="49" spans="1:8" ht="15" thickBot="1" x14ac:dyDescent="0.25">
      <c r="A49" s="603">
        <v>43007</v>
      </c>
      <c r="B49" s="607">
        <v>2669.64</v>
      </c>
      <c r="C49" s="607">
        <v>4136.58</v>
      </c>
      <c r="D49" s="607">
        <v>3566.31</v>
      </c>
      <c r="E49" s="607">
        <v>3837.41</v>
      </c>
      <c r="F49" s="608">
        <v>3803.3</v>
      </c>
      <c r="G49" s="608">
        <v>2437.88</v>
      </c>
      <c r="H49" s="601">
        <f t="shared" si="2"/>
        <v>-1365.42</v>
      </c>
    </row>
    <row r="50" spans="1:8" ht="16.5" thickBot="1" x14ac:dyDescent="0.25">
      <c r="A50" s="609" t="s">
        <v>330</v>
      </c>
      <c r="B50" s="610">
        <f>SUM(B37:B49)</f>
        <v>32092.899999999998</v>
      </c>
      <c r="C50" s="610">
        <f>SUM(C37:C49)</f>
        <v>48222.47</v>
      </c>
      <c r="D50" s="610">
        <f>SUM(D37:D49)</f>
        <v>47361.39</v>
      </c>
      <c r="E50" s="610">
        <f>SUM(E37:E49)</f>
        <v>46039.66</v>
      </c>
      <c r="F50" s="610">
        <f t="shared" ref="F50:H50" si="4">SUM(F37:F49)</f>
        <v>48754.649999999994</v>
      </c>
      <c r="G50" s="610">
        <f t="shared" si="4"/>
        <v>39922.71</v>
      </c>
      <c r="H50" s="610">
        <f t="shared" si="4"/>
        <v>-8831.9399999999987</v>
      </c>
    </row>
    <row r="51" spans="1:8" x14ac:dyDescent="0.2">
      <c r="A51" s="611">
        <v>43014</v>
      </c>
      <c r="B51" s="601">
        <v>3051.16</v>
      </c>
      <c r="C51" s="601">
        <v>4721</v>
      </c>
      <c r="D51" s="601">
        <f>1531.24+2227.04</f>
        <v>3758.2799999999997</v>
      </c>
      <c r="E51" s="601">
        <v>3921.83</v>
      </c>
      <c r="F51" s="601">
        <v>3911.96</v>
      </c>
      <c r="G51" s="601">
        <v>3047.82</v>
      </c>
      <c r="H51" s="601">
        <f t="shared" si="2"/>
        <v>-864.13999999999987</v>
      </c>
    </row>
    <row r="52" spans="1:8" x14ac:dyDescent="0.2">
      <c r="A52" s="603">
        <v>43021</v>
      </c>
      <c r="B52" s="604">
        <v>2579.96</v>
      </c>
      <c r="C52" s="604">
        <v>4035.24</v>
      </c>
      <c r="D52" s="604">
        <v>4232.92</v>
      </c>
      <c r="E52" s="604">
        <v>3403.46</v>
      </c>
      <c r="F52" s="601">
        <v>3093.5</v>
      </c>
      <c r="G52" s="601">
        <v>2010.94</v>
      </c>
      <c r="H52" s="601">
        <f t="shared" si="2"/>
        <v>-1082.56</v>
      </c>
    </row>
    <row r="53" spans="1:8" x14ac:dyDescent="0.2">
      <c r="A53" s="603">
        <v>43028</v>
      </c>
      <c r="B53" s="604">
        <v>3119.16</v>
      </c>
      <c r="C53" s="604">
        <v>2972.08</v>
      </c>
      <c r="D53" s="604">
        <v>3057.22</v>
      </c>
      <c r="E53" s="604">
        <v>3116.16</v>
      </c>
      <c r="F53" s="601">
        <v>4261.32</v>
      </c>
      <c r="G53" s="601">
        <v>3314.5</v>
      </c>
      <c r="H53" s="601">
        <f t="shared" si="2"/>
        <v>-946.81999999999971</v>
      </c>
    </row>
    <row r="54" spans="1:8" x14ac:dyDescent="0.2">
      <c r="A54" s="603">
        <v>43035</v>
      </c>
      <c r="B54" s="604">
        <v>2378.1999999999998</v>
      </c>
      <c r="C54" s="604">
        <v>3341.66</v>
      </c>
      <c r="D54" s="604">
        <v>3745.65</v>
      </c>
      <c r="E54" s="604">
        <v>3664.58</v>
      </c>
      <c r="F54" s="601">
        <v>3860.55</v>
      </c>
      <c r="G54" s="601">
        <v>2905</v>
      </c>
      <c r="H54" s="601">
        <f t="shared" si="2"/>
        <v>-955.55000000000018</v>
      </c>
    </row>
    <row r="55" spans="1:8" x14ac:dyDescent="0.2">
      <c r="A55" s="603">
        <v>43042</v>
      </c>
      <c r="B55" s="604">
        <v>2153.36</v>
      </c>
      <c r="C55" s="604">
        <v>3165.08</v>
      </c>
      <c r="D55" s="604">
        <f>3171.04+47.44+30.24</f>
        <v>3248.72</v>
      </c>
      <c r="E55" s="604">
        <v>3792.71</v>
      </c>
      <c r="F55" s="601">
        <v>3942.48</v>
      </c>
      <c r="G55" s="601">
        <v>3169.18</v>
      </c>
      <c r="H55" s="601">
        <f t="shared" si="2"/>
        <v>-773.30000000000018</v>
      </c>
    </row>
    <row r="56" spans="1:8" x14ac:dyDescent="0.2">
      <c r="A56" s="603">
        <v>43049</v>
      </c>
      <c r="B56" s="604">
        <v>1549.7</v>
      </c>
      <c r="C56" s="604">
        <v>3024.18</v>
      </c>
      <c r="D56" s="604">
        <v>3967.37</v>
      </c>
      <c r="E56" s="604">
        <v>3804.52</v>
      </c>
      <c r="F56" s="601">
        <v>3933.48</v>
      </c>
      <c r="G56" s="601">
        <v>2670.04</v>
      </c>
      <c r="H56" s="601">
        <f t="shared" si="2"/>
        <v>-1263.44</v>
      </c>
    </row>
    <row r="57" spans="1:8" x14ac:dyDescent="0.2">
      <c r="A57" s="603">
        <v>43056</v>
      </c>
      <c r="B57" s="604">
        <f>(5311.2-178.1)*0.5</f>
        <v>2566.5499999999997</v>
      </c>
      <c r="C57" s="604">
        <v>3500.86</v>
      </c>
      <c r="D57" s="604">
        <v>4007.55</v>
      </c>
      <c r="E57" s="604">
        <v>3693.64</v>
      </c>
      <c r="F57" s="601">
        <v>3860.4</v>
      </c>
      <c r="G57" s="601">
        <v>2400.7199999999998</v>
      </c>
      <c r="H57" s="601">
        <f t="shared" si="2"/>
        <v>-1459.6800000000003</v>
      </c>
    </row>
    <row r="58" spans="1:8" x14ac:dyDescent="0.2">
      <c r="A58" s="603">
        <v>43063</v>
      </c>
      <c r="B58" s="604">
        <f>(5311.2-178.1)*0.5</f>
        <v>2566.5499999999997</v>
      </c>
      <c r="C58" s="604">
        <v>4015.8</v>
      </c>
      <c r="D58" s="604">
        <v>4445.62</v>
      </c>
      <c r="E58" s="604">
        <v>3499.88</v>
      </c>
      <c r="F58" s="601">
        <v>1675.8</v>
      </c>
      <c r="G58" s="601">
        <v>1268.44</v>
      </c>
      <c r="H58" s="601">
        <f t="shared" si="2"/>
        <v>-407.3599999999999</v>
      </c>
    </row>
    <row r="59" spans="1:8" x14ac:dyDescent="0.2">
      <c r="A59" s="603">
        <v>43070</v>
      </c>
      <c r="B59" s="604">
        <v>3577.34</v>
      </c>
      <c r="C59" s="604">
        <v>2434.3200000000002</v>
      </c>
      <c r="D59" s="604">
        <v>1953.09</v>
      </c>
      <c r="E59" s="604">
        <v>2000.54</v>
      </c>
      <c r="F59" s="601">
        <v>3669.06</v>
      </c>
      <c r="G59" s="601">
        <v>2816.72</v>
      </c>
      <c r="H59" s="601">
        <f t="shared" si="2"/>
        <v>-852.34000000000015</v>
      </c>
    </row>
    <row r="60" spans="1:8" x14ac:dyDescent="0.2">
      <c r="A60" s="603">
        <v>43077</v>
      </c>
      <c r="B60" s="604">
        <v>3486.12</v>
      </c>
      <c r="C60" s="604">
        <v>3291.9</v>
      </c>
      <c r="D60" s="604">
        <v>3710.06</v>
      </c>
      <c r="E60" s="604">
        <f>2372.46+627.88</f>
        <v>3000.34</v>
      </c>
      <c r="F60" s="601">
        <v>3225.52</v>
      </c>
      <c r="G60" s="601">
        <v>2427</v>
      </c>
      <c r="H60" s="601">
        <f t="shared" si="2"/>
        <v>-798.52</v>
      </c>
    </row>
    <row r="61" spans="1:8" x14ac:dyDescent="0.2">
      <c r="A61" s="603">
        <v>43084</v>
      </c>
      <c r="B61" s="604">
        <v>3539.16</v>
      </c>
      <c r="C61" s="604">
        <v>4047.94</v>
      </c>
      <c r="D61" s="604">
        <v>3873.59</v>
      </c>
      <c r="E61" s="604">
        <v>4104.09</v>
      </c>
      <c r="F61" s="601">
        <v>2933.78</v>
      </c>
      <c r="G61" s="601">
        <v>2427</v>
      </c>
      <c r="H61" s="601">
        <f t="shared" si="2"/>
        <v>-506.7800000000002</v>
      </c>
    </row>
    <row r="62" spans="1:8" x14ac:dyDescent="0.2">
      <c r="A62" s="603">
        <v>43091</v>
      </c>
      <c r="B62" s="604">
        <v>1609.64</v>
      </c>
      <c r="C62" s="604">
        <v>3903.54</v>
      </c>
      <c r="D62" s="604">
        <v>3580.24</v>
      </c>
      <c r="E62" s="604">
        <v>3625.1</v>
      </c>
      <c r="F62" s="601">
        <v>3555.5</v>
      </c>
      <c r="G62" s="601">
        <v>2649.12</v>
      </c>
      <c r="H62" s="601">
        <f t="shared" si="2"/>
        <v>-906.38000000000011</v>
      </c>
    </row>
    <row r="63" spans="1:8" ht="15" thickBot="1" x14ac:dyDescent="0.25">
      <c r="A63" s="612">
        <v>43098</v>
      </c>
      <c r="B63" s="613">
        <v>5154.84</v>
      </c>
      <c r="C63" s="613">
        <v>2331.48</v>
      </c>
      <c r="D63" s="613">
        <v>2383.63</v>
      </c>
      <c r="E63" s="613">
        <v>2256.69</v>
      </c>
      <c r="F63" s="614">
        <v>2486.06</v>
      </c>
      <c r="G63" s="614">
        <v>2088.3000000000002</v>
      </c>
      <c r="H63" s="601">
        <f t="shared" si="2"/>
        <v>-397.75999999999976</v>
      </c>
    </row>
    <row r="64" spans="1:8" ht="16.5" thickBot="1" x14ac:dyDescent="0.25">
      <c r="A64" s="609" t="s">
        <v>331</v>
      </c>
      <c r="B64" s="610">
        <f>SUM(B51:B63)</f>
        <v>37331.74</v>
      </c>
      <c r="C64" s="610">
        <f>SUM(C51:C63)</f>
        <v>44785.08</v>
      </c>
      <c r="D64" s="610">
        <f>SUM(D51:D63)</f>
        <v>45963.939999999988</v>
      </c>
      <c r="E64" s="610">
        <f>SUM(E51:E63)</f>
        <v>43883.54</v>
      </c>
      <c r="F64" s="610">
        <f>SUM(F51:F63)</f>
        <v>44409.409999999996</v>
      </c>
      <c r="G64" s="610">
        <f t="shared" ref="G64" si="5">SUM(G51:G63)</f>
        <v>33194.78</v>
      </c>
      <c r="H64" s="610">
        <f>SUM(H51:H63)</f>
        <v>-11214.63</v>
      </c>
    </row>
    <row r="65" spans="1:8" ht="15.75" x14ac:dyDescent="0.25">
      <c r="A65" s="615" t="s">
        <v>332</v>
      </c>
      <c r="B65" s="616">
        <f t="shared" ref="B65:H65" si="6">SUM(B9:B63)-B22-B36-B50</f>
        <v>139328.74</v>
      </c>
      <c r="C65" s="616">
        <f t="shared" si="6"/>
        <v>199253.05999999985</v>
      </c>
      <c r="D65" s="616">
        <f t="shared" si="6"/>
        <v>184010.66000000003</v>
      </c>
      <c r="E65" s="616">
        <f t="shared" si="6"/>
        <v>185097.12000000014</v>
      </c>
      <c r="F65" s="616">
        <f t="shared" si="6"/>
        <v>194384.88000000003</v>
      </c>
      <c r="G65" s="616">
        <f t="shared" si="6"/>
        <v>157031.36999999994</v>
      </c>
      <c r="H65" s="616">
        <f t="shared" si="6"/>
        <v>-37353.509999999995</v>
      </c>
    </row>
    <row r="66" spans="1:8" x14ac:dyDescent="0.2">
      <c r="A66" s="57" t="s">
        <v>333</v>
      </c>
      <c r="B66" s="617">
        <f t="shared" ref="B66:G66" si="7">AVERAGE(B9:B21)</f>
        <v>2043.7076923076925</v>
      </c>
      <c r="C66" s="618">
        <f t="shared" si="7"/>
        <v>3924.3692307692318</v>
      </c>
      <c r="D66" s="618">
        <f t="shared" si="7"/>
        <v>3374.6030769230765</v>
      </c>
      <c r="E66" s="618">
        <f t="shared" si="7"/>
        <v>3340.4923076923073</v>
      </c>
      <c r="F66" s="618">
        <f t="shared" si="7"/>
        <v>3902.6661538461535</v>
      </c>
      <c r="G66" s="617">
        <f t="shared" si="7"/>
        <v>2699.5315384615378</v>
      </c>
      <c r="H66" s="619">
        <f>G66-F66</f>
        <v>-1203.1346153846157</v>
      </c>
    </row>
    <row r="67" spans="1:8" x14ac:dyDescent="0.2">
      <c r="A67" s="57" t="s">
        <v>334</v>
      </c>
      <c r="B67" s="620">
        <f t="shared" ref="B67:G67" si="8">AVERAGE(B23:B35)</f>
        <v>3333.5307692307692</v>
      </c>
      <c r="C67" s="621">
        <f t="shared" si="8"/>
        <v>4248.3623076923086</v>
      </c>
      <c r="D67" s="621">
        <f t="shared" si="8"/>
        <v>3601.1915384615381</v>
      </c>
      <c r="E67" s="621">
        <f t="shared" si="8"/>
        <v>3980.5784615384619</v>
      </c>
      <c r="F67" s="621">
        <f t="shared" si="8"/>
        <v>3883.5507692307683</v>
      </c>
      <c r="G67" s="620">
        <f t="shared" si="8"/>
        <v>3755.3823076923081</v>
      </c>
      <c r="H67" s="622">
        <f>G67-F67</f>
        <v>-128.16846153846018</v>
      </c>
    </row>
    <row r="68" spans="1:8" x14ac:dyDescent="0.2">
      <c r="A68" s="57" t="s">
        <v>335</v>
      </c>
      <c r="B68" s="620">
        <f t="shared" ref="B68:F68" si="9">AVERAGE(B37:B49)</f>
        <v>2468.6846153846154</v>
      </c>
      <c r="C68" s="621">
        <f t="shared" si="9"/>
        <v>3709.4207692307691</v>
      </c>
      <c r="D68" s="621">
        <f t="shared" si="9"/>
        <v>3643.1838461538459</v>
      </c>
      <c r="E68" s="621">
        <f t="shared" si="9"/>
        <v>3541.5123076923078</v>
      </c>
      <c r="F68" s="621">
        <f t="shared" si="9"/>
        <v>3750.3576923076917</v>
      </c>
      <c r="G68" s="621">
        <f>AVERAGE(G37:G49)</f>
        <v>3070.9776923076925</v>
      </c>
      <c r="H68" s="622">
        <f>G68-F68</f>
        <v>-679.3799999999992</v>
      </c>
    </row>
    <row r="69" spans="1:8" x14ac:dyDescent="0.2">
      <c r="A69" s="57" t="s">
        <v>336</v>
      </c>
      <c r="B69" s="623">
        <f t="shared" ref="B69:G69" si="10">AVERAGE(B51:B63)</f>
        <v>2871.6723076923076</v>
      </c>
      <c r="C69" s="624">
        <f t="shared" si="10"/>
        <v>3445.0061538461541</v>
      </c>
      <c r="D69" s="624">
        <f t="shared" si="10"/>
        <v>3535.6876923076916</v>
      </c>
      <c r="E69" s="625">
        <f t="shared" si="10"/>
        <v>3375.6569230769232</v>
      </c>
      <c r="F69" s="625">
        <f t="shared" si="10"/>
        <v>3416.1084615384611</v>
      </c>
      <c r="G69" s="625">
        <f t="shared" si="10"/>
        <v>2553.4446153846152</v>
      </c>
      <c r="H69" s="626">
        <f>G69-F69</f>
        <v>-862.66384615384595</v>
      </c>
    </row>
    <row r="71" spans="1:8" x14ac:dyDescent="0.2">
      <c r="H71" s="593"/>
    </row>
    <row r="74" spans="1:8" x14ac:dyDescent="0.2">
      <c r="C74" s="594"/>
    </row>
    <row r="75" spans="1:8" x14ac:dyDescent="0.2">
      <c r="C75" s="594"/>
    </row>
  </sheetData>
  <mergeCells count="1">
    <mergeCell ref="A5:H5"/>
  </mergeCells>
  <pageMargins left="1.2" right="0.2" top="0.25" bottom="0.5" header="0.3" footer="0.3"/>
  <pageSetup scale="74"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47"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9" t="s">
        <v>101</v>
      </c>
      <c r="B1" s="60"/>
      <c r="C1" s="61"/>
      <c r="D1" s="61"/>
      <c r="E1" s="61"/>
      <c r="F1" s="60"/>
      <c r="G1" s="233"/>
      <c r="H1" s="533"/>
      <c r="I1" s="6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9" t="s">
        <v>293</v>
      </c>
      <c r="B2" s="60"/>
      <c r="C2" s="61"/>
      <c r="D2" s="61"/>
      <c r="E2" s="61"/>
      <c r="F2" s="60"/>
      <c r="G2" s="233"/>
      <c r="H2" s="533"/>
      <c r="I2" s="6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9" t="s">
        <v>287</v>
      </c>
      <c r="B3" s="60"/>
      <c r="C3" s="61"/>
      <c r="D3" s="61"/>
      <c r="E3" s="61"/>
      <c r="F3" s="60"/>
      <c r="G3" s="233"/>
      <c r="H3" s="533"/>
      <c r="I3" s="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9" t="s">
        <v>294</v>
      </c>
      <c r="B4" s="60"/>
      <c r="C4" s="61"/>
      <c r="D4" s="61"/>
      <c r="E4" s="61"/>
      <c r="F4" s="60"/>
      <c r="G4" s="233"/>
      <c r="H4" s="533"/>
      <c r="I4" s="6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4" customFormat="1" ht="5.25" customHeight="1" thickBot="1" x14ac:dyDescent="0.25">
      <c r="A5" s="62"/>
      <c r="B5" s="62"/>
      <c r="C5" s="62"/>
      <c r="D5" s="62"/>
      <c r="E5" s="62"/>
      <c r="F5" s="62"/>
      <c r="G5" s="234"/>
      <c r="H5" s="534"/>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row>
    <row r="6" spans="1:143" s="67" customFormat="1" ht="24.75" customHeight="1" thickTop="1" thickBot="1" x14ac:dyDescent="0.25">
      <c r="A6" s="65"/>
      <c r="B6" s="65"/>
      <c r="C6" s="65"/>
      <c r="D6" s="65"/>
      <c r="E6" s="65"/>
      <c r="F6" s="65"/>
      <c r="G6" s="529" t="s">
        <v>55</v>
      </c>
      <c r="H6" s="517"/>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s="69" customFormat="1" ht="8.25" customHeight="1" thickTop="1" x14ac:dyDescent="0.2">
      <c r="A7" s="68"/>
      <c r="B7" s="68"/>
      <c r="C7" s="68"/>
      <c r="D7" s="68"/>
      <c r="E7" s="68"/>
      <c r="F7" s="68"/>
      <c r="G7" s="235"/>
      <c r="H7" s="386"/>
    </row>
    <row r="8" spans="1:143" s="73" customFormat="1" ht="21" thickBot="1" x14ac:dyDescent="0.35">
      <c r="A8" s="70"/>
      <c r="B8" s="154" t="s">
        <v>108</v>
      </c>
      <c r="C8" s="154"/>
      <c r="D8" s="154"/>
      <c r="E8" s="154"/>
      <c r="F8" s="154"/>
      <c r="G8" s="289"/>
      <c r="H8" s="535"/>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row>
    <row r="9" spans="1:143" s="75" customFormat="1" ht="20.25" x14ac:dyDescent="0.2">
      <c r="A9" s="74"/>
      <c r="B9" s="74"/>
      <c r="C9" s="440" t="s">
        <v>109</v>
      </c>
      <c r="D9" s="440"/>
      <c r="E9" s="440"/>
      <c r="F9" s="74"/>
      <c r="G9" s="270">
        <v>1015000</v>
      </c>
      <c r="H9" s="386"/>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row>
    <row r="10" spans="1:143" s="75" customFormat="1" ht="20.25" x14ac:dyDescent="0.2">
      <c r="A10" s="74"/>
      <c r="B10" s="74"/>
      <c r="C10" s="440" t="s">
        <v>186</v>
      </c>
      <c r="D10" s="440"/>
      <c r="E10" s="440"/>
      <c r="F10" s="74"/>
      <c r="G10" s="271">
        <v>13000</v>
      </c>
      <c r="H10" s="386"/>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row>
    <row r="11" spans="1:143" s="75" customFormat="1" ht="20.25" x14ac:dyDescent="0.2">
      <c r="A11" s="74"/>
      <c r="B11" s="411"/>
      <c r="C11" s="440" t="s">
        <v>160</v>
      </c>
      <c r="D11" s="440"/>
      <c r="E11" s="440"/>
      <c r="F11" s="74"/>
      <c r="G11" s="271">
        <v>195000</v>
      </c>
      <c r="H11" s="386"/>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row>
    <row r="12" spans="1:143" s="75" customFormat="1" ht="20.25" x14ac:dyDescent="0.2">
      <c r="A12" s="74"/>
      <c r="B12" s="411"/>
      <c r="C12" s="440" t="s">
        <v>194</v>
      </c>
      <c r="D12" s="440"/>
      <c r="E12" s="440"/>
      <c r="F12" s="74"/>
      <c r="G12" s="271">
        <v>40000</v>
      </c>
      <c r="H12" s="386"/>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row>
    <row r="13" spans="1:143" s="75" customFormat="1" ht="20.25" x14ac:dyDescent="0.2">
      <c r="A13" s="74"/>
      <c r="B13" s="411"/>
      <c r="C13" s="440" t="s">
        <v>110</v>
      </c>
      <c r="D13" s="440"/>
      <c r="E13" s="440"/>
      <c r="F13" s="74"/>
      <c r="G13" s="271"/>
      <c r="H13" s="386"/>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row>
    <row r="14" spans="1:143" s="75" customFormat="1" ht="20.25" x14ac:dyDescent="0.2">
      <c r="A14" s="74"/>
      <c r="B14" s="411"/>
      <c r="C14" s="78"/>
      <c r="D14" s="440" t="s">
        <v>149</v>
      </c>
      <c r="E14" s="440"/>
      <c r="F14" s="74"/>
      <c r="G14" s="271">
        <f>43900+41500+122000</f>
        <v>207400</v>
      </c>
      <c r="H14" s="386"/>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row>
    <row r="15" spans="1:143" s="75" customFormat="1" ht="20.25" x14ac:dyDescent="0.2">
      <c r="A15" s="74"/>
      <c r="B15" s="411"/>
      <c r="C15" s="78"/>
      <c r="D15" s="440" t="s">
        <v>170</v>
      </c>
      <c r="E15" s="440"/>
      <c r="F15" s="74"/>
      <c r="G15" s="271">
        <v>11000</v>
      </c>
      <c r="H15" s="386"/>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row>
    <row r="16" spans="1:143" s="75" customFormat="1" ht="20.25" x14ac:dyDescent="0.2">
      <c r="A16" s="74"/>
      <c r="B16" s="411"/>
      <c r="C16" s="440" t="s">
        <v>111</v>
      </c>
      <c r="D16" s="440"/>
      <c r="E16" s="440"/>
      <c r="F16" s="74"/>
      <c r="G16" s="271">
        <v>9500</v>
      </c>
      <c r="H16" s="386"/>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row>
    <row r="17" spans="1:143" s="75" customFormat="1" ht="20.25" x14ac:dyDescent="0.2">
      <c r="A17" s="74"/>
      <c r="B17" s="411"/>
      <c r="C17" s="440" t="s">
        <v>118</v>
      </c>
      <c r="D17" s="440"/>
      <c r="E17" s="440"/>
      <c r="F17" s="74"/>
      <c r="G17" s="271">
        <v>1000</v>
      </c>
      <c r="H17" s="386"/>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row>
    <row r="18" spans="1:143" s="75" customFormat="1" ht="20.25" x14ac:dyDescent="0.2">
      <c r="A18" s="74"/>
      <c r="B18" s="411"/>
      <c r="C18" s="440" t="s">
        <v>263</v>
      </c>
      <c r="D18" s="440"/>
      <c r="E18" s="440"/>
      <c r="F18" s="74"/>
      <c r="G18" s="271">
        <v>3000</v>
      </c>
      <c r="H18" s="386"/>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row>
    <row r="19" spans="1:143" s="75" customFormat="1" ht="20.25" x14ac:dyDescent="0.2">
      <c r="A19" s="74"/>
      <c r="B19" s="411"/>
      <c r="C19" s="440" t="s">
        <v>264</v>
      </c>
      <c r="D19" s="440"/>
      <c r="E19" s="440"/>
      <c r="F19" s="74"/>
      <c r="G19" s="271">
        <f>25000+8000+20000</f>
        <v>53000</v>
      </c>
      <c r="H19" s="386"/>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row>
    <row r="20" spans="1:143" s="75" customFormat="1" ht="20.25" x14ac:dyDescent="0.2">
      <c r="A20" s="74"/>
      <c r="B20" s="411"/>
      <c r="C20" s="440" t="s">
        <v>155</v>
      </c>
      <c r="D20" s="440"/>
      <c r="E20" s="440"/>
      <c r="F20" s="74"/>
      <c r="G20" s="271">
        <v>500</v>
      </c>
      <c r="H20" s="386"/>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row>
    <row r="21" spans="1:143" s="75" customFormat="1" ht="20.25" hidden="1" x14ac:dyDescent="0.2">
      <c r="A21" s="74"/>
      <c r="B21" s="411"/>
      <c r="C21" s="440" t="s">
        <v>177</v>
      </c>
      <c r="D21" s="440"/>
      <c r="E21" s="440"/>
      <c r="F21" s="74"/>
      <c r="G21" s="271"/>
      <c r="H21" s="386"/>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row>
    <row r="22" spans="1:143" s="75" customFormat="1" ht="21" thickBot="1" x14ac:dyDescent="0.25">
      <c r="A22" s="74"/>
      <c r="B22" s="411"/>
      <c r="C22" s="440" t="s">
        <v>117</v>
      </c>
      <c r="D22" s="440"/>
      <c r="E22" s="440"/>
      <c r="F22" s="74"/>
      <c r="G22" s="272">
        <v>46575</v>
      </c>
      <c r="H22" s="386"/>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row>
    <row r="23" spans="1:143" s="75" customFormat="1" ht="20.25" x14ac:dyDescent="0.2">
      <c r="A23" s="74"/>
      <c r="B23" s="411"/>
      <c r="C23" s="440"/>
      <c r="D23" s="74" t="s">
        <v>113</v>
      </c>
      <c r="E23" s="440"/>
      <c r="F23" s="74"/>
      <c r="G23" s="237">
        <f>SUM(G9:G22)</f>
        <v>1594975</v>
      </c>
      <c r="H23" s="386"/>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row>
    <row r="24" spans="1:143" s="75" customFormat="1" ht="21" thickBot="1" x14ac:dyDescent="0.25">
      <c r="A24" s="74"/>
      <c r="B24" s="411"/>
      <c r="C24" s="74" t="s">
        <v>114</v>
      </c>
      <c r="D24" s="440"/>
      <c r="E24" s="440"/>
      <c r="F24" s="74"/>
      <c r="G24" s="245">
        <f>68000+18000</f>
        <v>86000</v>
      </c>
      <c r="H24" s="386"/>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row>
    <row r="25" spans="1:143" s="75" customFormat="1" ht="20.25" x14ac:dyDescent="0.2">
      <c r="A25" s="74"/>
      <c r="B25" s="411"/>
      <c r="C25" s="440"/>
      <c r="D25" s="74" t="s">
        <v>115</v>
      </c>
      <c r="E25" s="440"/>
      <c r="F25" s="74"/>
      <c r="G25" s="237">
        <f>SUM(G23:G24)</f>
        <v>1680975</v>
      </c>
      <c r="H25" s="386"/>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row>
    <row r="26" spans="1:143" s="75" customFormat="1" ht="6" customHeight="1" x14ac:dyDescent="0.2">
      <c r="A26" s="74"/>
      <c r="B26" s="411"/>
      <c r="C26" s="440"/>
      <c r="D26" s="74"/>
      <c r="E26" s="440"/>
      <c r="F26" s="74"/>
      <c r="G26" s="237"/>
      <c r="H26" s="386"/>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row>
    <row r="27" spans="1:143" s="75" customFormat="1" ht="21" thickBot="1" x14ac:dyDescent="0.25">
      <c r="A27" s="74"/>
      <c r="B27" s="412" t="s">
        <v>119</v>
      </c>
      <c r="C27" s="88"/>
      <c r="D27" s="88"/>
      <c r="E27" s="88"/>
      <c r="F27" s="88"/>
      <c r="G27" s="245"/>
      <c r="H27" s="386"/>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row>
    <row r="28" spans="1:143" s="69" customFormat="1" ht="20.25" x14ac:dyDescent="0.2">
      <c r="A28" s="68"/>
      <c r="B28" s="413"/>
      <c r="C28" s="80" t="s">
        <v>120</v>
      </c>
      <c r="D28" s="80"/>
      <c r="E28" s="80"/>
      <c r="F28" s="80"/>
      <c r="G28" s="235">
        <f>ROUND((898643.55+40000)*1.02,-2)</f>
        <v>957400</v>
      </c>
      <c r="H28" s="386"/>
    </row>
    <row r="29" spans="1:143" s="69" customFormat="1" ht="20.25" x14ac:dyDescent="0.2">
      <c r="A29" s="68"/>
      <c r="B29" s="413"/>
      <c r="C29" s="80" t="s">
        <v>121</v>
      </c>
      <c r="D29" s="80"/>
      <c r="E29" s="80"/>
      <c r="F29" s="80"/>
      <c r="G29" s="235">
        <f>ROUNDUP(G28*0.195,-2)</f>
        <v>186700</v>
      </c>
      <c r="H29" s="386"/>
    </row>
    <row r="30" spans="1:143" s="69" customFormat="1" ht="20.25" x14ac:dyDescent="0.2">
      <c r="A30" s="68"/>
      <c r="B30" s="413"/>
      <c r="C30" s="80" t="s">
        <v>122</v>
      </c>
      <c r="D30" s="80"/>
      <c r="E30" s="80"/>
      <c r="F30" s="80"/>
      <c r="G30" s="235">
        <f>48831-G22</f>
        <v>2256</v>
      </c>
      <c r="H30" s="386"/>
    </row>
    <row r="31" spans="1:143" s="69" customFormat="1" ht="20.25" x14ac:dyDescent="0.2">
      <c r="A31" s="68"/>
      <c r="B31" s="413"/>
      <c r="C31" s="80" t="s">
        <v>112</v>
      </c>
      <c r="D31" s="80"/>
      <c r="E31" s="80"/>
      <c r="F31" s="80"/>
      <c r="G31" s="235">
        <f>G22</f>
        <v>46575</v>
      </c>
      <c r="H31" s="386"/>
    </row>
    <row r="32" spans="1:143" s="69" customFormat="1" ht="20.25" x14ac:dyDescent="0.2">
      <c r="A32" s="68"/>
      <c r="B32" s="413"/>
      <c r="C32" s="80" t="s">
        <v>123</v>
      </c>
      <c r="D32" s="80"/>
      <c r="E32" s="80"/>
      <c r="F32" s="80"/>
      <c r="G32" s="235">
        <v>14000</v>
      </c>
      <c r="H32" s="386"/>
    </row>
    <row r="33" spans="1:8" s="69" customFormat="1" ht="20.25" x14ac:dyDescent="0.2">
      <c r="A33" s="68"/>
      <c r="B33" s="413"/>
      <c r="C33" s="80" t="s">
        <v>124</v>
      </c>
      <c r="D33" s="80"/>
      <c r="E33" s="80"/>
      <c r="F33" s="80"/>
      <c r="G33" s="235">
        <v>3500</v>
      </c>
      <c r="H33" s="386"/>
    </row>
    <row r="34" spans="1:8" s="69" customFormat="1" ht="20.25" x14ac:dyDescent="0.2">
      <c r="A34" s="68"/>
      <c r="B34" s="413"/>
      <c r="C34" s="80" t="s">
        <v>125</v>
      </c>
      <c r="D34" s="80"/>
      <c r="E34" s="80"/>
      <c r="F34" s="80"/>
      <c r="G34" s="235">
        <v>7000</v>
      </c>
      <c r="H34" s="386"/>
    </row>
    <row r="35" spans="1:8" s="69" customFormat="1" ht="20.25" x14ac:dyDescent="0.2">
      <c r="A35" s="68"/>
      <c r="B35" s="413"/>
      <c r="C35" s="80" t="s">
        <v>126</v>
      </c>
      <c r="D35" s="80"/>
      <c r="E35" s="80"/>
      <c r="F35" s="80"/>
      <c r="G35" s="235">
        <v>13500</v>
      </c>
      <c r="H35" s="386"/>
    </row>
    <row r="36" spans="1:8" s="69" customFormat="1" ht="20.25" x14ac:dyDescent="0.2">
      <c r="A36" s="68"/>
      <c r="B36" s="413"/>
      <c r="C36" s="80" t="s">
        <v>127</v>
      </c>
      <c r="D36" s="80"/>
      <c r="E36" s="80"/>
      <c r="F36" s="80"/>
      <c r="G36" s="235">
        <v>40000</v>
      </c>
      <c r="H36" s="386"/>
    </row>
    <row r="37" spans="1:8" s="69" customFormat="1" ht="20.25" x14ac:dyDescent="0.2">
      <c r="A37" s="68"/>
      <c r="B37" s="413"/>
      <c r="C37" s="80" t="s">
        <v>128</v>
      </c>
      <c r="D37" s="80"/>
      <c r="E37" s="80"/>
      <c r="F37" s="80"/>
      <c r="G37" s="235">
        <v>6600</v>
      </c>
      <c r="H37" s="386"/>
    </row>
    <row r="38" spans="1:8" s="69" customFormat="1" ht="20.25" x14ac:dyDescent="0.2">
      <c r="A38" s="68"/>
      <c r="B38" s="413"/>
      <c r="C38" s="80" t="s">
        <v>129</v>
      </c>
      <c r="D38" s="80"/>
      <c r="E38" s="80"/>
      <c r="F38" s="80"/>
      <c r="G38" s="235">
        <v>1500</v>
      </c>
      <c r="H38" s="386"/>
    </row>
    <row r="39" spans="1:8" s="69" customFormat="1" ht="20.25" x14ac:dyDescent="0.2">
      <c r="A39" s="68"/>
      <c r="B39" s="413"/>
      <c r="C39" s="80" t="s">
        <v>179</v>
      </c>
      <c r="D39" s="80"/>
      <c r="E39" s="80"/>
      <c r="F39" s="80"/>
      <c r="G39" s="235">
        <v>13700</v>
      </c>
      <c r="H39" s="386"/>
    </row>
    <row r="40" spans="1:8" s="77" customFormat="1" ht="20.25" x14ac:dyDescent="0.2">
      <c r="A40" s="80"/>
      <c r="B40" s="409"/>
      <c r="C40" s="80" t="s">
        <v>130</v>
      </c>
      <c r="D40" s="80"/>
      <c r="E40" s="80"/>
      <c r="F40" s="80"/>
      <c r="G40" s="337">
        <f>ROUNDUP(13248.87*1.05,-2)</f>
        <v>14000</v>
      </c>
      <c r="H40" s="385"/>
    </row>
    <row r="41" spans="1:8" s="77" customFormat="1" ht="20.25" x14ac:dyDescent="0.2">
      <c r="A41" s="80"/>
      <c r="B41" s="409"/>
      <c r="C41" s="80" t="s">
        <v>131</v>
      </c>
      <c r="D41" s="80"/>
      <c r="E41" s="80"/>
      <c r="F41" s="80"/>
      <c r="G41" s="235">
        <f>ROUNDUP(12343.85*1.03,-2)</f>
        <v>12800</v>
      </c>
      <c r="H41" s="385"/>
    </row>
    <row r="42" spans="1:8" s="77" customFormat="1" ht="20.25" x14ac:dyDescent="0.2">
      <c r="A42" s="80"/>
      <c r="B42" s="409"/>
      <c r="C42" s="80" t="s">
        <v>138</v>
      </c>
      <c r="D42" s="80"/>
      <c r="E42" s="80"/>
      <c r="F42" s="80"/>
      <c r="G42" s="235">
        <v>3000</v>
      </c>
      <c r="H42" s="385"/>
    </row>
    <row r="43" spans="1:8" s="77" customFormat="1" ht="20.25" x14ac:dyDescent="0.2">
      <c r="A43" s="80"/>
      <c r="B43" s="409"/>
      <c r="C43" s="80" t="s">
        <v>132</v>
      </c>
      <c r="D43" s="80"/>
      <c r="E43" s="80"/>
      <c r="F43" s="80"/>
      <c r="G43" s="337">
        <f>ROUNDUP((3067.88+8008.83)*1.05,-2)</f>
        <v>11700</v>
      </c>
      <c r="H43" s="385"/>
    </row>
    <row r="44" spans="1:8" s="69" customFormat="1" ht="20.25" x14ac:dyDescent="0.2">
      <c r="A44" s="68"/>
      <c r="B44" s="413"/>
      <c r="C44" s="80" t="s">
        <v>216</v>
      </c>
      <c r="D44" s="80"/>
      <c r="E44" s="80"/>
      <c r="F44" s="80"/>
      <c r="G44" s="235">
        <v>17000</v>
      </c>
      <c r="H44" s="386"/>
    </row>
    <row r="45" spans="1:8" s="77" customFormat="1" ht="20.25" x14ac:dyDescent="0.2">
      <c r="A45" s="80"/>
      <c r="B45" s="409"/>
      <c r="C45" s="80" t="s">
        <v>133</v>
      </c>
      <c r="D45" s="80"/>
      <c r="E45" s="80"/>
      <c r="F45" s="80"/>
      <c r="G45" s="337">
        <v>41000</v>
      </c>
      <c r="H45" s="385"/>
    </row>
    <row r="46" spans="1:8" s="77" customFormat="1" ht="20.25" x14ac:dyDescent="0.2">
      <c r="A46" s="80"/>
      <c r="B46" s="409"/>
      <c r="C46" s="80" t="s">
        <v>134</v>
      </c>
      <c r="D46" s="80"/>
      <c r="E46" s="80"/>
      <c r="F46" s="80"/>
      <c r="G46" s="337">
        <f>ROUNDUP((1800+4675.64+34905.29+1033.01-10000-2673-17150-1033+14000)*1.01,-2)</f>
        <v>25900</v>
      </c>
      <c r="H46" s="385"/>
    </row>
    <row r="47" spans="1:8" s="77" customFormat="1" ht="20.25" x14ac:dyDescent="0.2">
      <c r="A47" s="80"/>
      <c r="B47" s="409"/>
      <c r="C47" s="80" t="s">
        <v>180</v>
      </c>
      <c r="D47" s="80"/>
      <c r="E47" s="80"/>
      <c r="F47" s="80"/>
      <c r="G47" s="235">
        <v>36000</v>
      </c>
      <c r="H47" s="385"/>
    </row>
    <row r="48" spans="1:8" s="77" customFormat="1" ht="20.25" x14ac:dyDescent="0.2">
      <c r="A48" s="80"/>
      <c r="B48" s="409"/>
      <c r="C48" s="80" t="s">
        <v>178</v>
      </c>
      <c r="D48" s="80"/>
      <c r="E48" s="80"/>
      <c r="F48" s="80"/>
      <c r="G48" s="235">
        <f>ROUNDUP(46266.27*1.02,-2)</f>
        <v>47200</v>
      </c>
      <c r="H48" s="385"/>
    </row>
    <row r="49" spans="1:8" s="77" customFormat="1" ht="20.25" x14ac:dyDescent="0.2">
      <c r="A49" s="80"/>
      <c r="B49" s="409"/>
      <c r="C49" s="80" t="s">
        <v>135</v>
      </c>
      <c r="D49" s="80"/>
      <c r="E49" s="80"/>
      <c r="F49" s="80"/>
      <c r="G49" s="235">
        <f>ROUND((2604.31+166143.24-12000)*1.01,-2)</f>
        <v>158300</v>
      </c>
      <c r="H49" s="385"/>
    </row>
    <row r="50" spans="1:8" s="77" customFormat="1" ht="20.25" hidden="1" x14ac:dyDescent="0.2">
      <c r="A50" s="80"/>
      <c r="B50" s="409"/>
      <c r="C50" s="80" t="s">
        <v>289</v>
      </c>
      <c r="D50" s="80"/>
      <c r="E50" s="80"/>
      <c r="F50" s="80"/>
      <c r="G50" s="235"/>
      <c r="H50" s="385"/>
    </row>
    <row r="51" spans="1:8" s="69" customFormat="1" ht="20.25" x14ac:dyDescent="0.2">
      <c r="A51" s="68"/>
      <c r="B51" s="413"/>
      <c r="C51" s="68"/>
      <c r="D51" s="74" t="s">
        <v>136</v>
      </c>
      <c r="E51" s="68"/>
      <c r="F51" s="68"/>
      <c r="G51" s="240">
        <f>SUM(G28:G50)</f>
        <v>1659631</v>
      </c>
      <c r="H51" s="386"/>
    </row>
    <row r="52" spans="1:8" s="69" customFormat="1" ht="10.5" customHeight="1" thickBot="1" x14ac:dyDescent="0.25">
      <c r="A52" s="68"/>
      <c r="B52" s="413"/>
      <c r="C52" s="68"/>
      <c r="D52" s="74"/>
      <c r="E52" s="68"/>
      <c r="F52" s="68"/>
      <c r="G52" s="245"/>
      <c r="H52" s="386"/>
    </row>
    <row r="53" spans="1:8" s="69" customFormat="1" ht="21" thickBot="1" x14ac:dyDescent="0.25">
      <c r="A53" s="68"/>
      <c r="B53" s="413"/>
      <c r="C53" s="68"/>
      <c r="D53" s="68" t="s">
        <v>137</v>
      </c>
      <c r="E53" s="68"/>
      <c r="F53" s="68"/>
      <c r="G53" s="245">
        <f>G25-G51</f>
        <v>21344</v>
      </c>
      <c r="H53" s="386"/>
    </row>
    <row r="54" spans="1:8" s="69" customFormat="1" ht="11.25" customHeight="1" x14ac:dyDescent="0.2">
      <c r="A54" s="68"/>
      <c r="B54" s="413"/>
      <c r="C54" s="68"/>
      <c r="D54" s="68"/>
      <c r="E54" s="68"/>
      <c r="F54" s="68"/>
      <c r="G54" s="235"/>
      <c r="H54" s="386"/>
    </row>
    <row r="55" spans="1:8" s="77" customFormat="1" ht="20.25" x14ac:dyDescent="0.2">
      <c r="A55" s="80"/>
      <c r="B55" s="409"/>
      <c r="C55" s="80"/>
      <c r="D55" s="80"/>
      <c r="F55" s="80"/>
      <c r="G55" s="250"/>
      <c r="H55" s="385"/>
    </row>
    <row r="56" spans="1:8" s="77" customFormat="1" ht="20.25" x14ac:dyDescent="0.2">
      <c r="A56" s="80"/>
      <c r="B56" s="409"/>
      <c r="C56" s="80"/>
      <c r="D56" s="80"/>
      <c r="F56" s="80"/>
      <c r="G56" s="235"/>
      <c r="H56" s="385"/>
    </row>
    <row r="57" spans="1:8" s="77" customFormat="1" ht="20.25" x14ac:dyDescent="0.2">
      <c r="A57" s="80"/>
      <c r="B57" s="409"/>
      <c r="C57" s="80"/>
      <c r="D57" s="80"/>
      <c r="F57" s="80"/>
      <c r="G57" s="235"/>
      <c r="H57" s="385"/>
    </row>
    <row r="58" spans="1:8" s="77" customFormat="1" ht="20.25" x14ac:dyDescent="0.2">
      <c r="A58" s="80"/>
      <c r="B58" s="80"/>
      <c r="C58" s="80"/>
      <c r="D58" s="80"/>
      <c r="F58" s="80"/>
      <c r="G58" s="235"/>
      <c r="H58" s="385"/>
    </row>
    <row r="59" spans="1:8" s="77" customFormat="1" ht="20.25" x14ac:dyDescent="0.2">
      <c r="A59" s="80"/>
      <c r="B59" s="80"/>
      <c r="C59" s="80"/>
      <c r="D59" s="80"/>
      <c r="F59" s="80"/>
      <c r="G59" s="235"/>
      <c r="H59" s="385"/>
    </row>
    <row r="60" spans="1:8" s="77" customFormat="1" ht="20.25" x14ac:dyDescent="0.2">
      <c r="A60" s="80"/>
      <c r="B60" s="80"/>
      <c r="C60" s="80"/>
      <c r="D60" s="80"/>
      <c r="F60" s="80"/>
      <c r="G60" s="235"/>
      <c r="H60" s="385"/>
    </row>
    <row r="61" spans="1:8" s="77" customFormat="1" ht="20.25" x14ac:dyDescent="0.2">
      <c r="A61" s="80"/>
      <c r="B61" s="80"/>
      <c r="C61" s="68"/>
      <c r="D61" s="80"/>
      <c r="F61" s="80"/>
      <c r="G61" s="235"/>
      <c r="H61" s="385"/>
    </row>
    <row r="62" spans="1:8" s="77" customFormat="1" ht="20.25" x14ac:dyDescent="0.2">
      <c r="A62" s="80"/>
      <c r="B62" s="80"/>
      <c r="C62" s="80"/>
      <c r="D62" s="80"/>
      <c r="E62" s="80"/>
      <c r="F62" s="80"/>
      <c r="G62" s="235"/>
      <c r="H62" s="385"/>
    </row>
    <row r="63" spans="1:8" s="77" customFormat="1" ht="20.25" x14ac:dyDescent="0.2">
      <c r="A63" s="80"/>
      <c r="B63" s="80"/>
      <c r="C63" s="68"/>
      <c r="D63" s="68"/>
      <c r="G63" s="235"/>
      <c r="H63" s="385"/>
    </row>
    <row r="64" spans="1:8" s="77" customFormat="1" ht="20.25" x14ac:dyDescent="0.2">
      <c r="A64" s="80"/>
      <c r="B64" s="80"/>
      <c r="C64" s="80"/>
      <c r="D64" s="80"/>
      <c r="E64" s="80"/>
      <c r="F64" s="80"/>
      <c r="G64" s="235"/>
      <c r="H64" s="385"/>
    </row>
    <row r="65" spans="1:8" s="77" customFormat="1" ht="20.25" x14ac:dyDescent="0.2">
      <c r="A65" s="80"/>
      <c r="B65" s="80"/>
      <c r="C65" s="80"/>
      <c r="D65" s="80"/>
      <c r="E65" s="80"/>
      <c r="F65" s="80"/>
      <c r="G65" s="235"/>
      <c r="H65" s="385"/>
    </row>
    <row r="66" spans="1:8" s="77" customFormat="1" ht="20.25" x14ac:dyDescent="0.2">
      <c r="A66" s="80"/>
      <c r="B66" s="80"/>
      <c r="C66" s="80"/>
      <c r="D66" s="80"/>
      <c r="E66" s="80"/>
      <c r="F66" s="80"/>
      <c r="G66" s="235"/>
      <c r="H66" s="385"/>
    </row>
    <row r="67" spans="1:8" s="77" customFormat="1" ht="20.25" x14ac:dyDescent="0.2">
      <c r="A67" s="80"/>
      <c r="B67" s="80"/>
      <c r="C67" s="80"/>
      <c r="D67" s="80"/>
      <c r="E67" s="80"/>
      <c r="F67" s="80"/>
      <c r="G67" s="235"/>
      <c r="H67" s="385"/>
    </row>
    <row r="68" spans="1:8" s="77" customFormat="1" ht="20.25" x14ac:dyDescent="0.2">
      <c r="A68" s="80"/>
      <c r="B68" s="80"/>
      <c r="C68" s="68"/>
      <c r="D68" s="80"/>
      <c r="F68" s="80"/>
      <c r="G68" s="235"/>
      <c r="H68" s="385"/>
    </row>
    <row r="69" spans="1:8" s="77" customFormat="1" ht="20.25" x14ac:dyDescent="0.2">
      <c r="A69" s="80"/>
      <c r="B69" s="80"/>
      <c r="C69" s="80"/>
      <c r="D69" s="80"/>
      <c r="E69" s="80"/>
      <c r="F69" s="80"/>
      <c r="G69" s="235"/>
      <c r="H69" s="385"/>
    </row>
    <row r="70" spans="1:8" s="69" customFormat="1" ht="20.25" x14ac:dyDescent="0.2">
      <c r="A70" s="68"/>
      <c r="B70" s="68"/>
      <c r="C70" s="68"/>
      <c r="D70" s="68"/>
      <c r="E70" s="68"/>
      <c r="F70" s="68"/>
      <c r="G70" s="240"/>
      <c r="H70" s="386"/>
    </row>
    <row r="71" spans="1:8" s="69" customFormat="1" ht="20.25" x14ac:dyDescent="0.2">
      <c r="A71" s="68"/>
      <c r="B71" s="68"/>
      <c r="C71" s="68"/>
      <c r="D71" s="68"/>
      <c r="E71" s="68"/>
      <c r="F71" s="68"/>
      <c r="G71" s="240"/>
      <c r="H71" s="386"/>
    </row>
    <row r="72" spans="1:8" s="69" customFormat="1" ht="23.25" x14ac:dyDescent="0.2">
      <c r="A72" s="68"/>
      <c r="B72" s="278"/>
      <c r="C72" s="68"/>
      <c r="D72" s="68"/>
      <c r="E72" s="68"/>
      <c r="F72" s="68"/>
      <c r="G72" s="235"/>
      <c r="H72" s="386"/>
    </row>
    <row r="73" spans="1:8" s="77" customFormat="1" ht="20.25" x14ac:dyDescent="0.2">
      <c r="A73" s="80"/>
      <c r="B73" s="80"/>
      <c r="D73" s="80"/>
      <c r="E73" s="80"/>
      <c r="F73" s="80"/>
      <c r="G73" s="235"/>
      <c r="H73" s="385"/>
    </row>
    <row r="74" spans="1:8" s="77" customFormat="1" ht="20.25" x14ac:dyDescent="0.2">
      <c r="A74" s="80"/>
      <c r="B74" s="80"/>
      <c r="D74" s="80"/>
      <c r="E74" s="80"/>
      <c r="F74" s="80"/>
      <c r="G74" s="235"/>
      <c r="H74" s="385"/>
    </row>
    <row r="75" spans="1:8" s="69" customFormat="1" ht="20.25" x14ac:dyDescent="0.2">
      <c r="A75" s="68"/>
      <c r="B75" s="68"/>
      <c r="D75" s="80"/>
      <c r="E75" s="68"/>
      <c r="F75" s="68"/>
      <c r="G75" s="235"/>
      <c r="H75" s="386"/>
    </row>
    <row r="76" spans="1:8" s="69" customFormat="1" ht="23.25" x14ac:dyDescent="0.2">
      <c r="A76" s="68"/>
      <c r="B76" s="278"/>
      <c r="C76" s="68"/>
      <c r="D76" s="68"/>
      <c r="E76" s="68"/>
      <c r="F76" s="68"/>
      <c r="G76" s="240"/>
      <c r="H76" s="386"/>
    </row>
    <row r="77" spans="1:8" s="69" customFormat="1" ht="20.25" x14ac:dyDescent="0.2">
      <c r="A77" s="68"/>
      <c r="B77" s="68"/>
      <c r="C77" s="68"/>
      <c r="D77" s="68"/>
      <c r="E77" s="68"/>
      <c r="F77" s="68"/>
      <c r="G77" s="235"/>
      <c r="H77" s="386"/>
    </row>
    <row r="78" spans="1:8" s="83" customFormat="1" ht="26.25" x14ac:dyDescent="0.2">
      <c r="A78" s="275"/>
      <c r="B78" s="275"/>
      <c r="C78" s="275"/>
      <c r="D78" s="275"/>
      <c r="E78" s="275"/>
      <c r="F78" s="275"/>
      <c r="G78" s="276"/>
      <c r="H78" s="536"/>
    </row>
    <row r="79" spans="1:8" s="18" customFormat="1" x14ac:dyDescent="0.2">
      <c r="A79" s="123"/>
      <c r="B79" s="123"/>
      <c r="C79" s="123"/>
      <c r="D79" s="123"/>
      <c r="E79" s="123"/>
      <c r="F79" s="123"/>
      <c r="G79" s="279"/>
      <c r="H79" s="1"/>
    </row>
  </sheetData>
  <pageMargins left="0.45" right="0.45" top="0.5" bottom="0.5" header="0.3" footer="0.3"/>
  <pageSetup scale="75"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101</v>
      </c>
      <c r="B1" s="60"/>
      <c r="C1" s="61"/>
      <c r="D1" s="61"/>
      <c r="E1" s="61"/>
      <c r="F1" s="60"/>
      <c r="G1" s="60"/>
    </row>
    <row r="2" spans="1:23" ht="26.25" x14ac:dyDescent="0.4">
      <c r="A2" s="59" t="s">
        <v>197</v>
      </c>
      <c r="B2" s="60"/>
      <c r="C2" s="61"/>
      <c r="D2" s="61"/>
      <c r="E2" s="61"/>
      <c r="F2" s="60"/>
      <c r="G2" s="60"/>
    </row>
    <row r="3" spans="1:23" ht="11.25" customHeight="1" thickBot="1" x14ac:dyDescent="0.25">
      <c r="A3" s="62"/>
      <c r="B3" s="62"/>
      <c r="C3" s="62"/>
      <c r="D3" s="62"/>
      <c r="E3" s="62"/>
      <c r="F3" s="62"/>
      <c r="G3" s="335"/>
    </row>
    <row r="4" spans="1:23" ht="27.75" thickTop="1" thickBot="1" x14ac:dyDescent="0.25">
      <c r="A4" s="65"/>
      <c r="B4" s="65"/>
      <c r="C4" s="65"/>
      <c r="D4" s="65" t="s">
        <v>54</v>
      </c>
      <c r="E4" s="65"/>
      <c r="F4" s="65"/>
      <c r="G4" s="425" t="s">
        <v>55</v>
      </c>
      <c r="H4" s="425"/>
      <c r="I4" s="425"/>
      <c r="J4" s="425"/>
      <c r="K4" s="425"/>
      <c r="L4" s="425"/>
      <c r="M4" s="425"/>
      <c r="N4" s="425"/>
      <c r="O4" s="425"/>
      <c r="P4" s="425"/>
      <c r="Q4" s="425"/>
      <c r="R4" s="425"/>
      <c r="S4" s="425"/>
      <c r="T4" s="425"/>
      <c r="U4" s="425"/>
      <c r="V4" s="425"/>
      <c r="W4" s="425"/>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428"/>
      <c r="B6" s="812" t="s">
        <v>198</v>
      </c>
      <c r="C6" s="812"/>
      <c r="D6" s="812"/>
      <c r="E6" s="812"/>
      <c r="F6" s="812"/>
      <c r="G6" s="429">
        <v>42004</v>
      </c>
      <c r="H6" s="429">
        <v>41639</v>
      </c>
      <c r="I6" s="429">
        <v>41274</v>
      </c>
      <c r="J6" s="429">
        <v>41090</v>
      </c>
      <c r="K6" s="429">
        <v>40724</v>
      </c>
      <c r="L6" s="429">
        <v>40359</v>
      </c>
      <c r="M6" s="429">
        <v>39994</v>
      </c>
      <c r="N6" s="429">
        <v>39629</v>
      </c>
      <c r="O6" s="429">
        <v>39263</v>
      </c>
      <c r="P6" s="429">
        <v>38898</v>
      </c>
      <c r="Q6" s="429">
        <v>38533</v>
      </c>
      <c r="R6" s="429">
        <v>38168</v>
      </c>
      <c r="S6" s="429">
        <v>37802</v>
      </c>
      <c r="T6" s="429">
        <v>37437</v>
      </c>
      <c r="U6" s="429">
        <v>37072</v>
      </c>
      <c r="V6" s="429">
        <v>36707</v>
      </c>
      <c r="W6" s="429">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199</v>
      </c>
      <c r="D8" s="74"/>
      <c r="E8" s="74"/>
      <c r="F8" s="74"/>
      <c r="G8" s="248">
        <v>333525.67</v>
      </c>
      <c r="H8" s="248">
        <v>210919</v>
      </c>
      <c r="I8" s="248">
        <v>214148</v>
      </c>
      <c r="J8" s="248">
        <v>156809</v>
      </c>
      <c r="K8" s="248">
        <v>240314</v>
      </c>
      <c r="L8" s="248">
        <v>142815</v>
      </c>
      <c r="M8" s="248">
        <v>82502</v>
      </c>
      <c r="N8" s="248">
        <v>45758</v>
      </c>
      <c r="O8" s="248">
        <v>105458</v>
      </c>
      <c r="P8" s="248">
        <v>29475</v>
      </c>
      <c r="Q8" s="248">
        <v>22537</v>
      </c>
      <c r="R8" s="248">
        <v>42935</v>
      </c>
      <c r="S8" s="248">
        <v>144393</v>
      </c>
      <c r="T8" s="248">
        <v>42414</v>
      </c>
      <c r="U8" s="248">
        <f>69880+9123</f>
        <v>79003</v>
      </c>
      <c r="V8" s="248">
        <v>92767</v>
      </c>
      <c r="W8" s="248">
        <v>13150</v>
      </c>
    </row>
    <row r="9" spans="1:23" ht="20.25" x14ac:dyDescent="0.2">
      <c r="A9" s="426"/>
      <c r="B9" s="426"/>
      <c r="C9" s="74" t="s">
        <v>200</v>
      </c>
      <c r="D9" s="80"/>
      <c r="E9" s="80"/>
      <c r="F9" s="80"/>
      <c r="G9" s="288">
        <v>247907.12</v>
      </c>
      <c r="H9" s="288">
        <v>311775</v>
      </c>
      <c r="I9" s="288">
        <v>243797</v>
      </c>
      <c r="J9" s="288">
        <v>347870</v>
      </c>
      <c r="K9" s="288">
        <v>298266</v>
      </c>
      <c r="L9" s="288">
        <v>296605</v>
      </c>
      <c r="M9" s="288">
        <v>349918</v>
      </c>
      <c r="N9" s="288">
        <v>366842</v>
      </c>
      <c r="O9" s="288">
        <v>209667</v>
      </c>
      <c r="P9" s="288">
        <v>234735</v>
      </c>
      <c r="Q9" s="288">
        <v>254712</v>
      </c>
      <c r="R9" s="288">
        <v>250225</v>
      </c>
      <c r="S9" s="288">
        <v>85795</v>
      </c>
      <c r="T9" s="288">
        <v>185461</v>
      </c>
      <c r="U9" s="288">
        <v>99322</v>
      </c>
      <c r="V9" s="288">
        <v>80619</v>
      </c>
      <c r="W9" s="288">
        <v>49127</v>
      </c>
    </row>
    <row r="10" spans="1:23" ht="20.25" x14ac:dyDescent="0.2">
      <c r="A10" s="426"/>
      <c r="B10" s="426"/>
      <c r="C10" s="813" t="s">
        <v>172</v>
      </c>
      <c r="D10" s="813"/>
      <c r="E10" s="813"/>
      <c r="F10" s="813"/>
      <c r="G10" s="288">
        <v>0</v>
      </c>
      <c r="H10" s="288">
        <v>5142</v>
      </c>
      <c r="I10" s="288"/>
      <c r="J10" s="288"/>
      <c r="K10" s="288"/>
      <c r="L10" s="288"/>
      <c r="M10" s="288"/>
      <c r="N10" s="288"/>
      <c r="O10" s="288"/>
      <c r="P10" s="288"/>
      <c r="Q10" s="288"/>
      <c r="R10" s="288">
        <v>23</v>
      </c>
      <c r="S10" s="288">
        <v>4823</v>
      </c>
      <c r="T10" s="288">
        <v>6130</v>
      </c>
      <c r="U10" s="288">
        <v>19833</v>
      </c>
      <c r="V10" s="288"/>
      <c r="W10" s="288"/>
    </row>
    <row r="11" spans="1:23" ht="20.25" x14ac:dyDescent="0.2">
      <c r="A11" s="426"/>
      <c r="B11" s="426"/>
      <c r="C11" s="74" t="s">
        <v>201</v>
      </c>
      <c r="D11" s="426"/>
      <c r="E11" s="426"/>
      <c r="F11" s="426"/>
      <c r="G11" s="237">
        <v>31129.64</v>
      </c>
      <c r="H11" s="237">
        <v>30012</v>
      </c>
      <c r="I11" s="237">
        <v>30964</v>
      </c>
      <c r="J11" s="237">
        <v>30506</v>
      </c>
      <c r="K11" s="237">
        <v>28900</v>
      </c>
      <c r="L11" s="237">
        <v>28036</v>
      </c>
      <c r="M11" s="237"/>
      <c r="N11" s="237"/>
      <c r="O11" s="237"/>
      <c r="P11" s="237"/>
      <c r="Q11" s="237"/>
      <c r="R11" s="237"/>
      <c r="S11" s="237"/>
      <c r="T11" s="237"/>
      <c r="U11" s="237"/>
      <c r="V11" s="237"/>
      <c r="W11" s="237"/>
    </row>
    <row r="12" spans="1:23" ht="20.25" x14ac:dyDescent="0.2">
      <c r="A12" s="426"/>
      <c r="B12" s="426"/>
      <c r="C12" s="74" t="s">
        <v>168</v>
      </c>
      <c r="D12" s="79"/>
      <c r="E12" s="79"/>
      <c r="F12" s="79"/>
      <c r="G12" s="238">
        <v>5968.8799999999992</v>
      </c>
      <c r="H12" s="238">
        <v>4730</v>
      </c>
      <c r="I12" s="238">
        <v>3598</v>
      </c>
      <c r="J12" s="238">
        <f>1663+577</f>
        <v>2240</v>
      </c>
      <c r="K12" s="238">
        <f>5202</f>
        <v>5202</v>
      </c>
      <c r="L12" s="238">
        <v>1840</v>
      </c>
      <c r="M12" s="238">
        <v>1427</v>
      </c>
      <c r="N12" s="238">
        <v>360</v>
      </c>
      <c r="O12" s="238">
        <v>312</v>
      </c>
      <c r="P12" s="238"/>
      <c r="Q12" s="238">
        <v>5593</v>
      </c>
      <c r="R12" s="238">
        <v>3952</v>
      </c>
      <c r="S12" s="238">
        <v>13154</v>
      </c>
      <c r="T12" s="238">
        <v>2441</v>
      </c>
      <c r="U12" s="238"/>
      <c r="V12" s="238"/>
      <c r="W12" s="238"/>
    </row>
    <row r="13" spans="1:23" ht="20.25" x14ac:dyDescent="0.2">
      <c r="A13" s="74"/>
      <c r="B13" s="68"/>
      <c r="C13" s="68" t="s">
        <v>62</v>
      </c>
      <c r="D13" s="68"/>
      <c r="E13" s="68"/>
      <c r="F13" s="68"/>
      <c r="G13" s="240">
        <f>SUM(G8:G12)</f>
        <v>618531.31000000006</v>
      </c>
      <c r="H13" s="240">
        <f>SUM(H8:H12)</f>
        <v>562578</v>
      </c>
      <c r="I13" s="240">
        <f>SUM(I8:I12)</f>
        <v>492507</v>
      </c>
      <c r="J13" s="240">
        <f>SUM(J8:J12)</f>
        <v>537425</v>
      </c>
      <c r="K13" s="240">
        <f>SUM(K8:K12)</f>
        <v>572682</v>
      </c>
      <c r="L13" s="240">
        <f t="shared" ref="L13:W13" si="0">SUM(L8:L12)</f>
        <v>469296</v>
      </c>
      <c r="M13" s="240">
        <f t="shared" si="0"/>
        <v>433847</v>
      </c>
      <c r="N13" s="240">
        <f t="shared" si="0"/>
        <v>412960</v>
      </c>
      <c r="O13" s="240">
        <f t="shared" si="0"/>
        <v>315437</v>
      </c>
      <c r="P13" s="240">
        <f t="shared" si="0"/>
        <v>264210</v>
      </c>
      <c r="Q13" s="240">
        <f t="shared" si="0"/>
        <v>282842</v>
      </c>
      <c r="R13" s="240">
        <f t="shared" si="0"/>
        <v>297135</v>
      </c>
      <c r="S13" s="240">
        <f t="shared" si="0"/>
        <v>248165</v>
      </c>
      <c r="T13" s="240">
        <f t="shared" si="0"/>
        <v>236446</v>
      </c>
      <c r="U13" s="240">
        <f t="shared" si="0"/>
        <v>198158</v>
      </c>
      <c r="V13" s="240">
        <f t="shared" si="0"/>
        <v>173386</v>
      </c>
      <c r="W13" s="240">
        <f t="shared" si="0"/>
        <v>62277</v>
      </c>
    </row>
    <row r="14" spans="1:23" ht="20.25" x14ac:dyDescent="0.2">
      <c r="A14" s="74"/>
      <c r="B14" s="74"/>
      <c r="C14" s="74"/>
      <c r="D14" s="74"/>
      <c r="E14" s="74"/>
      <c r="F14" s="74"/>
      <c r="G14" s="239"/>
      <c r="H14" s="239"/>
      <c r="I14" s="239"/>
      <c r="J14" s="239"/>
      <c r="K14" s="239"/>
      <c r="L14" s="239"/>
      <c r="M14" s="239"/>
      <c r="N14" s="239"/>
      <c r="O14" s="239"/>
      <c r="P14" s="239"/>
      <c r="Q14" s="239"/>
      <c r="R14" s="239"/>
      <c r="S14" s="239"/>
      <c r="T14" s="239"/>
      <c r="U14" s="239"/>
      <c r="V14" s="239"/>
      <c r="W14" s="239"/>
    </row>
    <row r="15" spans="1:23" ht="20.25" x14ac:dyDescent="0.3">
      <c r="A15" s="70"/>
      <c r="B15" s="273" t="s">
        <v>202</v>
      </c>
      <c r="C15" s="273"/>
      <c r="D15" s="273"/>
      <c r="E15" s="273"/>
      <c r="F15" s="273"/>
      <c r="G15" s="274"/>
      <c r="H15" s="274"/>
      <c r="I15" s="274"/>
      <c r="J15" s="274"/>
      <c r="K15" s="274"/>
      <c r="L15" s="274"/>
      <c r="M15" s="274"/>
      <c r="N15" s="274"/>
      <c r="O15" s="274"/>
      <c r="P15" s="274"/>
      <c r="Q15" s="274"/>
      <c r="R15" s="274"/>
      <c r="S15" s="274"/>
      <c r="T15" s="274"/>
      <c r="U15" s="274"/>
      <c r="V15" s="274"/>
      <c r="W15" s="274"/>
    </row>
    <row r="16" spans="1:23" ht="20.25" x14ac:dyDescent="0.3">
      <c r="A16" s="70"/>
      <c r="B16" s="273"/>
      <c r="C16" s="273"/>
      <c r="D16" s="273"/>
      <c r="E16" s="273"/>
      <c r="F16" s="273"/>
      <c r="G16" s="274">
        <v>121148.45000000001</v>
      </c>
      <c r="H16" s="274">
        <v>88948</v>
      </c>
      <c r="I16" s="274">
        <v>81381</v>
      </c>
      <c r="J16" s="274">
        <v>85951</v>
      </c>
      <c r="K16" s="274">
        <v>75213</v>
      </c>
      <c r="L16" s="274">
        <v>103757</v>
      </c>
      <c r="M16" s="274">
        <v>72661</v>
      </c>
      <c r="N16" s="274">
        <v>91918</v>
      </c>
      <c r="O16" s="274">
        <v>80411</v>
      </c>
      <c r="P16" s="274">
        <v>57354</v>
      </c>
      <c r="Q16" s="274">
        <v>59451</v>
      </c>
      <c r="R16" s="274">
        <v>70947</v>
      </c>
      <c r="S16" s="274">
        <v>80279</v>
      </c>
      <c r="T16" s="274">
        <v>84266</v>
      </c>
      <c r="U16" s="274">
        <v>45164</v>
      </c>
      <c r="V16" s="274">
        <v>15210</v>
      </c>
      <c r="W16" s="274">
        <v>15599</v>
      </c>
    </row>
    <row r="17" spans="1:23" ht="20.25" hidden="1" x14ac:dyDescent="0.2">
      <c r="A17" s="74"/>
      <c r="B17" s="74"/>
      <c r="C17" s="74"/>
      <c r="D17" s="74"/>
      <c r="E17" s="74"/>
      <c r="F17" s="74"/>
      <c r="G17" s="239"/>
      <c r="H17" s="239"/>
      <c r="I17" s="239"/>
      <c r="J17" s="239"/>
      <c r="K17" s="239"/>
      <c r="L17" s="239"/>
      <c r="M17" s="239"/>
      <c r="N17" s="239"/>
      <c r="O17" s="239"/>
      <c r="P17" s="239"/>
      <c r="Q17" s="239"/>
      <c r="R17" s="239"/>
      <c r="S17" s="239"/>
      <c r="T17" s="239"/>
      <c r="U17" s="239"/>
      <c r="V17" s="239"/>
      <c r="W17" s="239"/>
    </row>
    <row r="18" spans="1:23" ht="20.25" hidden="1" x14ac:dyDescent="0.2">
      <c r="A18" s="74"/>
      <c r="B18" s="74"/>
      <c r="C18" s="74"/>
      <c r="D18" s="74"/>
      <c r="E18" s="74"/>
      <c r="F18" s="74"/>
      <c r="G18" s="235"/>
      <c r="H18" s="235"/>
      <c r="I18" s="235"/>
      <c r="J18" s="235"/>
      <c r="K18" s="235"/>
      <c r="L18" s="235"/>
      <c r="M18" s="235"/>
      <c r="N18" s="235"/>
      <c r="O18" s="235"/>
      <c r="P18" s="235"/>
      <c r="Q18" s="235"/>
      <c r="R18" s="235"/>
      <c r="S18" s="235"/>
      <c r="T18" s="235"/>
      <c r="U18" s="235"/>
      <c r="V18" s="235"/>
      <c r="W18" s="235"/>
    </row>
    <row r="19" spans="1:23" ht="27" thickBot="1" x14ac:dyDescent="0.25">
      <c r="A19" s="82" t="s">
        <v>64</v>
      </c>
      <c r="B19" s="82"/>
      <c r="C19" s="82"/>
      <c r="D19" s="82"/>
      <c r="E19" s="82"/>
      <c r="F19" s="82"/>
      <c r="G19" s="249">
        <f>G13+G16</f>
        <v>739679.76</v>
      </c>
      <c r="H19" s="249">
        <f>H13+H16</f>
        <v>651526</v>
      </c>
      <c r="I19" s="249">
        <f>I13+I16</f>
        <v>573888</v>
      </c>
      <c r="J19" s="249">
        <f>J13+J16</f>
        <v>623376</v>
      </c>
      <c r="K19" s="249">
        <f>K13+K16</f>
        <v>647895</v>
      </c>
      <c r="L19" s="249">
        <f t="shared" ref="L19:W19" si="1">L13+L16</f>
        <v>573053</v>
      </c>
      <c r="M19" s="249">
        <f t="shared" si="1"/>
        <v>506508</v>
      </c>
      <c r="N19" s="249">
        <f t="shared" si="1"/>
        <v>504878</v>
      </c>
      <c r="O19" s="249">
        <f t="shared" si="1"/>
        <v>395848</v>
      </c>
      <c r="P19" s="249">
        <f t="shared" si="1"/>
        <v>321564</v>
      </c>
      <c r="Q19" s="249">
        <f t="shared" si="1"/>
        <v>342293</v>
      </c>
      <c r="R19" s="249">
        <f t="shared" si="1"/>
        <v>368082</v>
      </c>
      <c r="S19" s="249">
        <f t="shared" si="1"/>
        <v>328444</v>
      </c>
      <c r="T19" s="249">
        <f t="shared" si="1"/>
        <v>320712</v>
      </c>
      <c r="U19" s="249">
        <f t="shared" si="1"/>
        <v>243322</v>
      </c>
      <c r="V19" s="249">
        <f t="shared" si="1"/>
        <v>188596</v>
      </c>
      <c r="W19" s="249">
        <f t="shared" si="1"/>
        <v>77876</v>
      </c>
    </row>
    <row r="20" spans="1:23" ht="21.75" thickTop="1" thickBot="1" x14ac:dyDescent="0.25">
      <c r="A20" s="74"/>
      <c r="B20" s="74"/>
      <c r="C20" s="74"/>
      <c r="D20" s="74"/>
      <c r="E20" s="74"/>
      <c r="F20" s="74"/>
      <c r="G20" s="340"/>
      <c r="H20" s="340"/>
      <c r="I20" s="340"/>
      <c r="J20" s="340"/>
      <c r="K20" s="340"/>
      <c r="L20" s="340"/>
      <c r="M20" s="340"/>
      <c r="N20" s="340"/>
      <c r="O20" s="340"/>
      <c r="P20" s="340"/>
      <c r="Q20" s="340"/>
      <c r="R20" s="340"/>
      <c r="S20" s="340"/>
      <c r="T20" s="340"/>
      <c r="U20" s="340"/>
      <c r="V20" s="340"/>
      <c r="W20" s="340"/>
    </row>
    <row r="21" spans="1:23" ht="27.75" thickTop="1" thickBot="1" x14ac:dyDescent="0.25">
      <c r="A21" s="65"/>
      <c r="B21" s="65"/>
      <c r="C21" s="65"/>
      <c r="D21" s="65" t="s">
        <v>65</v>
      </c>
      <c r="E21" s="65"/>
      <c r="F21" s="65"/>
      <c r="G21" s="244"/>
      <c r="H21" s="244"/>
      <c r="I21" s="244"/>
      <c r="J21" s="244"/>
      <c r="K21" s="244"/>
      <c r="L21" s="244"/>
      <c r="M21" s="244"/>
      <c r="N21" s="244"/>
      <c r="O21" s="244"/>
      <c r="P21" s="244"/>
      <c r="Q21" s="244"/>
      <c r="R21" s="244"/>
      <c r="S21" s="244"/>
      <c r="T21" s="244"/>
      <c r="U21" s="244"/>
      <c r="V21" s="244"/>
      <c r="W21" s="244"/>
    </row>
    <row r="22" spans="1:23" ht="21" thickTop="1" x14ac:dyDescent="0.2">
      <c r="A22" s="74"/>
      <c r="B22" s="74"/>
      <c r="C22" s="74"/>
      <c r="D22" s="74"/>
      <c r="E22" s="74"/>
      <c r="F22" s="74"/>
      <c r="G22" s="237"/>
      <c r="H22" s="237"/>
      <c r="I22" s="237"/>
      <c r="J22" s="237"/>
      <c r="K22" s="237"/>
      <c r="L22" s="237"/>
      <c r="M22" s="237"/>
      <c r="N22" s="237"/>
      <c r="O22" s="237"/>
      <c r="P22" s="237"/>
      <c r="Q22" s="237"/>
      <c r="R22" s="237"/>
      <c r="S22" s="237"/>
      <c r="T22" s="237"/>
      <c r="U22" s="237"/>
      <c r="V22" s="237"/>
      <c r="W22" s="237"/>
    </row>
    <row r="23" spans="1:23" ht="24" hidden="1" thickBot="1" x14ac:dyDescent="0.25">
      <c r="A23" s="74"/>
      <c r="B23" s="87" t="s">
        <v>66</v>
      </c>
      <c r="C23" s="88"/>
      <c r="D23" s="88"/>
      <c r="E23" s="88"/>
      <c r="F23" s="88"/>
      <c r="G23" s="245"/>
      <c r="H23" s="245"/>
      <c r="I23" s="245"/>
      <c r="J23" s="245"/>
      <c r="K23" s="245"/>
      <c r="L23" s="245"/>
      <c r="M23" s="245"/>
      <c r="N23" s="245"/>
      <c r="O23" s="245"/>
      <c r="P23" s="245"/>
      <c r="Q23" s="245"/>
      <c r="R23" s="245"/>
      <c r="S23" s="245"/>
      <c r="T23" s="245"/>
      <c r="U23" s="245"/>
      <c r="V23" s="245"/>
      <c r="W23" s="245"/>
    </row>
    <row r="24" spans="1:23" ht="20.25" hidden="1" x14ac:dyDescent="0.2">
      <c r="A24" s="74"/>
      <c r="B24" s="74"/>
      <c r="C24" s="74"/>
      <c r="D24" s="74"/>
      <c r="E24" s="74"/>
      <c r="F24" s="74"/>
      <c r="G24" s="237"/>
      <c r="H24" s="237"/>
      <c r="I24" s="237"/>
      <c r="J24" s="237"/>
      <c r="K24" s="237"/>
      <c r="L24" s="237"/>
      <c r="M24" s="237"/>
      <c r="N24" s="237"/>
      <c r="O24" s="237"/>
      <c r="P24" s="237"/>
      <c r="Q24" s="237"/>
      <c r="R24" s="237"/>
      <c r="S24" s="237"/>
      <c r="T24" s="237"/>
      <c r="U24" s="237"/>
      <c r="V24" s="237"/>
      <c r="W24" s="237"/>
    </row>
    <row r="25" spans="1:23" ht="21" thickBot="1" x14ac:dyDescent="0.35">
      <c r="A25" s="70"/>
      <c r="B25" s="154" t="s">
        <v>203</v>
      </c>
      <c r="C25" s="155"/>
      <c r="D25" s="154"/>
      <c r="E25" s="154"/>
      <c r="F25" s="154"/>
      <c r="G25" s="236"/>
      <c r="H25" s="236"/>
      <c r="I25" s="236"/>
      <c r="J25" s="236"/>
      <c r="K25" s="236"/>
      <c r="L25" s="236"/>
      <c r="M25" s="236"/>
      <c r="N25" s="236"/>
      <c r="O25" s="236"/>
      <c r="P25" s="236"/>
      <c r="Q25" s="236"/>
      <c r="R25" s="236"/>
      <c r="S25" s="236"/>
      <c r="T25" s="236"/>
      <c r="U25" s="236"/>
      <c r="V25" s="236"/>
      <c r="W25" s="236"/>
    </row>
    <row r="26" spans="1:23" ht="20.25" x14ac:dyDescent="0.2">
      <c r="A26" s="426"/>
      <c r="B26" s="426"/>
      <c r="C26" s="426"/>
      <c r="D26" s="426" t="s">
        <v>159</v>
      </c>
      <c r="E26" s="78"/>
      <c r="F26" s="426"/>
      <c r="G26" s="250">
        <v>31278.429999999997</v>
      </c>
      <c r="H26" s="250">
        <v>51714</v>
      </c>
      <c r="I26" s="250">
        <v>52083</v>
      </c>
      <c r="J26" s="250">
        <v>69820</v>
      </c>
      <c r="K26" s="250">
        <v>81032</v>
      </c>
      <c r="L26" s="250">
        <v>64928</v>
      </c>
      <c r="M26" s="250">
        <v>89064</v>
      </c>
      <c r="N26" s="250">
        <v>102814</v>
      </c>
      <c r="O26" s="250">
        <v>27734</v>
      </c>
      <c r="P26" s="250">
        <v>33537</v>
      </c>
      <c r="Q26" s="250">
        <v>47914</v>
      </c>
      <c r="R26" s="250">
        <v>42054</v>
      </c>
      <c r="S26" s="250">
        <v>32004</v>
      </c>
      <c r="T26" s="250">
        <v>28904</v>
      </c>
      <c r="U26" s="250">
        <v>2405</v>
      </c>
      <c r="V26" s="250">
        <v>7686</v>
      </c>
      <c r="W26" s="250">
        <v>0</v>
      </c>
    </row>
    <row r="27" spans="1:23" ht="20.25" x14ac:dyDescent="0.2">
      <c r="A27" s="426"/>
      <c r="B27" s="426"/>
      <c r="C27" s="426"/>
      <c r="D27" s="426" t="s">
        <v>204</v>
      </c>
      <c r="E27" s="78"/>
      <c r="F27" s="426"/>
      <c r="G27" s="235">
        <v>16019.88</v>
      </c>
      <c r="H27" s="235">
        <v>26466</v>
      </c>
      <c r="I27" s="235">
        <v>33722</v>
      </c>
      <c r="J27" s="235">
        <v>37279</v>
      </c>
      <c r="K27" s="235">
        <v>34130</v>
      </c>
      <c r="L27" s="235">
        <v>30917</v>
      </c>
      <c r="M27" s="235">
        <v>24891</v>
      </c>
      <c r="N27" s="235">
        <v>22167</v>
      </c>
      <c r="O27" s="235">
        <v>16739</v>
      </c>
      <c r="P27" s="235">
        <v>13502</v>
      </c>
      <c r="Q27" s="235">
        <v>10581</v>
      </c>
      <c r="R27" s="235">
        <v>28556</v>
      </c>
      <c r="S27" s="235">
        <v>22953</v>
      </c>
      <c r="T27" s="235">
        <v>13246</v>
      </c>
      <c r="U27" s="235">
        <v>10214</v>
      </c>
      <c r="V27" s="235">
        <v>5966</v>
      </c>
      <c r="W27" s="235">
        <v>2341</v>
      </c>
    </row>
    <row r="28" spans="1:23" ht="20.25" x14ac:dyDescent="0.2">
      <c r="A28" s="426"/>
      <c r="B28" s="426"/>
      <c r="C28" s="426"/>
      <c r="D28" s="426" t="s">
        <v>95</v>
      </c>
      <c r="E28" s="78"/>
      <c r="F28" s="426"/>
      <c r="G28" s="237">
        <v>19094</v>
      </c>
      <c r="H28" s="237">
        <v>21990</v>
      </c>
      <c r="I28" s="237">
        <v>17053</v>
      </c>
      <c r="J28" s="237">
        <v>23081</v>
      </c>
      <c r="K28" s="237">
        <v>20125</v>
      </c>
      <c r="L28" s="237">
        <v>23900</v>
      </c>
      <c r="M28" s="237">
        <v>25993</v>
      </c>
      <c r="N28" s="237">
        <v>25084</v>
      </c>
      <c r="O28" s="237">
        <v>17164</v>
      </c>
      <c r="P28" s="237">
        <v>23194</v>
      </c>
      <c r="Q28" s="237">
        <v>17986</v>
      </c>
      <c r="R28" s="237">
        <v>19684</v>
      </c>
      <c r="S28" s="237">
        <v>15461</v>
      </c>
      <c r="T28" s="237">
        <v>11736</v>
      </c>
      <c r="U28" s="237">
        <v>6552</v>
      </c>
      <c r="V28" s="237">
        <v>4625</v>
      </c>
      <c r="W28" s="237"/>
    </row>
    <row r="29" spans="1:23" ht="20.25" x14ac:dyDescent="0.2">
      <c r="A29" s="426"/>
      <c r="B29" s="426"/>
      <c r="C29" s="426"/>
      <c r="D29" s="426" t="s">
        <v>205</v>
      </c>
      <c r="E29" s="78"/>
      <c r="F29" s="426"/>
      <c r="G29" s="237"/>
      <c r="H29" s="237">
        <v>463</v>
      </c>
      <c r="I29" s="237">
        <f>1236+16400</f>
        <v>17636</v>
      </c>
      <c r="J29" s="237">
        <v>13302</v>
      </c>
      <c r="K29" s="237">
        <v>5311</v>
      </c>
      <c r="L29" s="237">
        <v>12315</v>
      </c>
      <c r="M29" s="237"/>
      <c r="N29" s="237"/>
      <c r="O29" s="237"/>
      <c r="P29" s="237">
        <v>20000</v>
      </c>
      <c r="Q29" s="237"/>
      <c r="R29" s="237">
        <v>25000</v>
      </c>
      <c r="S29" s="237"/>
      <c r="T29" s="237"/>
      <c r="U29" s="237"/>
      <c r="V29" s="237"/>
      <c r="W29" s="237">
        <v>48000</v>
      </c>
    </row>
    <row r="30" spans="1:23" ht="20.25" x14ac:dyDescent="0.2">
      <c r="A30" s="426"/>
      <c r="B30" s="426"/>
      <c r="C30" s="426"/>
      <c r="D30" s="80" t="s">
        <v>102</v>
      </c>
      <c r="E30" s="78"/>
      <c r="F30" s="426"/>
      <c r="G30" s="237">
        <v>136592.41</v>
      </c>
      <c r="H30" s="237">
        <v>101837</v>
      </c>
      <c r="I30" s="237">
        <v>31429</v>
      </c>
      <c r="J30" s="237">
        <v>21927</v>
      </c>
      <c r="K30" s="237">
        <v>24493</v>
      </c>
      <c r="L30" s="237">
        <v>23546</v>
      </c>
      <c r="M30" s="237">
        <v>29986</v>
      </c>
      <c r="N30" s="237">
        <v>97627</v>
      </c>
      <c r="O30" s="237">
        <v>91085</v>
      </c>
      <c r="P30" s="237">
        <v>6118</v>
      </c>
      <c r="Q30" s="237">
        <v>42621</v>
      </c>
      <c r="R30" s="237"/>
      <c r="S30" s="237">
        <v>13218</v>
      </c>
      <c r="T30" s="237">
        <v>36938</v>
      </c>
      <c r="U30" s="237">
        <v>40000</v>
      </c>
      <c r="V30" s="237">
        <v>38354</v>
      </c>
      <c r="W30" s="237">
        <v>11775</v>
      </c>
    </row>
    <row r="31" spans="1:23" ht="20.25" x14ac:dyDescent="0.2">
      <c r="A31" s="426"/>
      <c r="B31" s="426"/>
      <c r="C31" s="426"/>
      <c r="D31" s="79" t="s">
        <v>206</v>
      </c>
      <c r="E31" s="153"/>
      <c r="F31" s="79"/>
      <c r="G31" s="237"/>
      <c r="H31" s="237"/>
      <c r="I31" s="237"/>
      <c r="J31" s="237"/>
      <c r="K31" s="237"/>
      <c r="L31" s="237"/>
      <c r="M31" s="237"/>
      <c r="N31" s="237"/>
      <c r="O31" s="237"/>
      <c r="P31" s="237"/>
      <c r="Q31" s="237"/>
      <c r="R31" s="237"/>
      <c r="S31" s="237"/>
      <c r="T31" s="237"/>
      <c r="U31" s="237"/>
      <c r="V31" s="237"/>
      <c r="W31" s="237"/>
    </row>
    <row r="32" spans="1:23" ht="20.25" x14ac:dyDescent="0.2">
      <c r="A32" s="426"/>
      <c r="B32" s="426"/>
      <c r="C32" s="81" t="s">
        <v>78</v>
      </c>
      <c r="D32" s="426"/>
      <c r="E32" s="78"/>
      <c r="F32" s="426"/>
      <c r="G32" s="246">
        <f>SUM(G26:G31)</f>
        <v>202984.72</v>
      </c>
      <c r="H32" s="246">
        <f>SUM(H26:H31)</f>
        <v>202470</v>
      </c>
      <c r="I32" s="246">
        <f>SUM(I26:I31)</f>
        <v>151923</v>
      </c>
      <c r="J32" s="246">
        <f>SUM(J26:J31)</f>
        <v>165409</v>
      </c>
      <c r="K32" s="246">
        <f>SUM(K26:K31)</f>
        <v>165091</v>
      </c>
      <c r="L32" s="246">
        <f t="shared" ref="L32:W32" si="2">SUM(L26:L31)</f>
        <v>155606</v>
      </c>
      <c r="M32" s="246">
        <f t="shared" si="2"/>
        <v>169934</v>
      </c>
      <c r="N32" s="246">
        <f t="shared" si="2"/>
        <v>247692</v>
      </c>
      <c r="O32" s="246">
        <f t="shared" si="2"/>
        <v>152722</v>
      </c>
      <c r="P32" s="246">
        <f t="shared" si="2"/>
        <v>96351</v>
      </c>
      <c r="Q32" s="246">
        <f t="shared" si="2"/>
        <v>119102</v>
      </c>
      <c r="R32" s="246">
        <f t="shared" si="2"/>
        <v>115294</v>
      </c>
      <c r="S32" s="246">
        <f t="shared" si="2"/>
        <v>83636</v>
      </c>
      <c r="T32" s="246">
        <f t="shared" si="2"/>
        <v>90824</v>
      </c>
      <c r="U32" s="246">
        <f t="shared" si="2"/>
        <v>59171</v>
      </c>
      <c r="V32" s="246">
        <f t="shared" si="2"/>
        <v>56631</v>
      </c>
      <c r="W32" s="246">
        <f t="shared" si="2"/>
        <v>62116</v>
      </c>
    </row>
    <row r="33" spans="1:23" ht="20.25" x14ac:dyDescent="0.2">
      <c r="A33" s="426"/>
      <c r="B33" s="426"/>
      <c r="C33" s="426"/>
      <c r="D33" s="426"/>
      <c r="E33" s="426"/>
      <c r="F33" s="426"/>
      <c r="G33" s="237"/>
      <c r="H33" s="237"/>
      <c r="I33" s="237"/>
      <c r="J33" s="237"/>
      <c r="K33" s="237"/>
      <c r="L33" s="237"/>
      <c r="M33" s="237"/>
      <c r="N33" s="237"/>
      <c r="O33" s="237"/>
      <c r="P33" s="237"/>
      <c r="Q33" s="237"/>
      <c r="R33" s="237"/>
      <c r="S33" s="237"/>
      <c r="T33" s="237"/>
      <c r="U33" s="237"/>
      <c r="V33" s="237"/>
      <c r="W33" s="237"/>
    </row>
    <row r="34" spans="1:23" ht="20.25" x14ac:dyDescent="0.2">
      <c r="A34" s="74"/>
      <c r="B34" s="74"/>
      <c r="C34" s="74"/>
      <c r="D34" s="74"/>
      <c r="E34" s="74"/>
      <c r="F34" s="74"/>
      <c r="G34" s="431"/>
      <c r="H34" s="431"/>
      <c r="I34" s="431"/>
      <c r="J34" s="431"/>
      <c r="K34" s="431"/>
      <c r="L34" s="239"/>
      <c r="M34" s="239"/>
      <c r="N34" s="239"/>
      <c r="O34" s="239"/>
      <c r="P34" s="239"/>
      <c r="Q34" s="239"/>
      <c r="R34" s="239"/>
      <c r="S34" s="239"/>
      <c r="T34" s="239"/>
      <c r="U34" s="239"/>
      <c r="V34" s="239"/>
      <c r="W34" s="239"/>
    </row>
    <row r="35" spans="1:23" ht="24" thickBot="1" x14ac:dyDescent="0.25">
      <c r="A35" s="74"/>
      <c r="B35" s="87" t="s">
        <v>207</v>
      </c>
      <c r="C35" s="88"/>
      <c r="D35" s="88"/>
      <c r="E35" s="88"/>
      <c r="F35" s="88"/>
      <c r="G35" s="245"/>
      <c r="H35" s="245"/>
      <c r="I35" s="245"/>
      <c r="J35" s="245"/>
      <c r="K35" s="245"/>
      <c r="L35" s="245"/>
      <c r="M35" s="245"/>
      <c r="N35" s="245"/>
      <c r="O35" s="245"/>
      <c r="P35" s="245"/>
      <c r="Q35" s="245"/>
      <c r="R35" s="245"/>
      <c r="S35" s="245"/>
      <c r="T35" s="245"/>
      <c r="U35" s="245"/>
      <c r="V35" s="245"/>
      <c r="W35" s="245"/>
    </row>
    <row r="36" spans="1:23" ht="23.25" x14ac:dyDescent="0.2">
      <c r="A36" s="74"/>
      <c r="B36" s="278"/>
      <c r="C36" s="68"/>
      <c r="D36" s="426" t="s">
        <v>98</v>
      </c>
      <c r="E36" s="68"/>
      <c r="F36" s="68"/>
      <c r="G36" s="235">
        <v>55367.21</v>
      </c>
      <c r="H36" s="235">
        <v>52578</v>
      </c>
      <c r="I36" s="235">
        <v>54372</v>
      </c>
      <c r="J36" s="235">
        <v>74343</v>
      </c>
      <c r="K36" s="235">
        <v>140489</v>
      </c>
      <c r="L36" s="235">
        <v>85282</v>
      </c>
      <c r="M36" s="235">
        <v>9601</v>
      </c>
      <c r="N36" s="235">
        <v>9601</v>
      </c>
      <c r="O36" s="235">
        <v>5248</v>
      </c>
      <c r="P36" s="235">
        <v>4472</v>
      </c>
      <c r="Q36" s="235">
        <v>15207</v>
      </c>
      <c r="R36" s="235"/>
      <c r="S36" s="235"/>
      <c r="T36" s="235"/>
      <c r="U36" s="235"/>
      <c r="V36" s="235"/>
      <c r="W36" s="235"/>
    </row>
    <row r="37" spans="1:23" ht="21" thickBot="1" x14ac:dyDescent="0.25">
      <c r="A37" s="426"/>
      <c r="B37" s="426"/>
      <c r="C37" s="78"/>
      <c r="D37" s="426" t="s">
        <v>92</v>
      </c>
      <c r="E37" s="427"/>
      <c r="F37" s="427"/>
      <c r="G37" s="245">
        <v>481327.83000000013</v>
      </c>
      <c r="H37" s="245">
        <v>396478</v>
      </c>
      <c r="I37" s="245">
        <v>367593</v>
      </c>
      <c r="J37" s="245">
        <v>383624</v>
      </c>
      <c r="K37" s="245">
        <v>342315</v>
      </c>
      <c r="L37" s="245">
        <v>332165</v>
      </c>
      <c r="M37" s="245">
        <v>326973</v>
      </c>
      <c r="N37" s="245">
        <v>247585</v>
      </c>
      <c r="O37" s="245">
        <v>237878</v>
      </c>
      <c r="P37" s="245">
        <v>220741</v>
      </c>
      <c r="Q37" s="245">
        <v>207984</v>
      </c>
      <c r="R37" s="245">
        <v>252788</v>
      </c>
      <c r="S37" s="245">
        <v>244808</v>
      </c>
      <c r="T37" s="245">
        <v>229888</v>
      </c>
      <c r="U37" s="245">
        <v>184151</v>
      </c>
      <c r="V37" s="245">
        <v>131965</v>
      </c>
      <c r="W37" s="245">
        <v>15760</v>
      </c>
    </row>
    <row r="38" spans="1:23" ht="23.25" x14ac:dyDescent="0.2">
      <c r="A38" s="74"/>
      <c r="B38" s="90" t="s">
        <v>69</v>
      </c>
      <c r="C38" s="91"/>
      <c r="D38" s="91"/>
      <c r="E38" s="68"/>
      <c r="F38" s="68"/>
      <c r="G38" s="240">
        <f>G36+G37</f>
        <v>536695.04000000015</v>
      </c>
      <c r="H38" s="240">
        <f>H36+H37</f>
        <v>449056</v>
      </c>
      <c r="I38" s="240">
        <f>I36+I37</f>
        <v>421965</v>
      </c>
      <c r="J38" s="240">
        <f>J36+J37</f>
        <v>457967</v>
      </c>
      <c r="K38" s="240">
        <f>K36+K37</f>
        <v>482804</v>
      </c>
      <c r="L38" s="240">
        <f t="shared" ref="L38:W38" si="3">L36+L37</f>
        <v>417447</v>
      </c>
      <c r="M38" s="240">
        <f t="shared" si="3"/>
        <v>336574</v>
      </c>
      <c r="N38" s="240">
        <f t="shared" si="3"/>
        <v>257186</v>
      </c>
      <c r="O38" s="240">
        <f t="shared" si="3"/>
        <v>243126</v>
      </c>
      <c r="P38" s="240">
        <f t="shared" si="3"/>
        <v>225213</v>
      </c>
      <c r="Q38" s="240">
        <f t="shared" si="3"/>
        <v>223191</v>
      </c>
      <c r="R38" s="240">
        <f t="shared" si="3"/>
        <v>252788</v>
      </c>
      <c r="S38" s="240">
        <f t="shared" si="3"/>
        <v>244808</v>
      </c>
      <c r="T38" s="240">
        <f t="shared" si="3"/>
        <v>229888</v>
      </c>
      <c r="U38" s="240">
        <f t="shared" si="3"/>
        <v>184151</v>
      </c>
      <c r="V38" s="240">
        <f t="shared" si="3"/>
        <v>131965</v>
      </c>
      <c r="W38" s="240">
        <f t="shared" si="3"/>
        <v>15760</v>
      </c>
    </row>
    <row r="39" spans="1:23" ht="20.25" x14ac:dyDescent="0.2">
      <c r="A39" s="74"/>
      <c r="B39" s="74"/>
      <c r="C39" s="74"/>
      <c r="D39" s="74"/>
      <c r="E39" s="74"/>
      <c r="F39" s="74"/>
      <c r="G39" s="238"/>
      <c r="H39" s="238"/>
      <c r="I39" s="238"/>
      <c r="J39" s="238"/>
      <c r="K39" s="238"/>
      <c r="L39" s="238"/>
      <c r="M39" s="238"/>
      <c r="N39" s="238"/>
      <c r="O39" s="238"/>
      <c r="P39" s="238"/>
      <c r="Q39" s="238"/>
      <c r="R39" s="238"/>
      <c r="S39" s="238"/>
      <c r="T39" s="238"/>
      <c r="U39" s="238"/>
      <c r="V39" s="238"/>
      <c r="W39" s="238"/>
    </row>
    <row r="40" spans="1:23" ht="27" thickBot="1" x14ac:dyDescent="0.25">
      <c r="A40" s="82" t="s">
        <v>70</v>
      </c>
      <c r="B40" s="82"/>
      <c r="C40" s="82"/>
      <c r="D40" s="82"/>
      <c r="E40" s="82"/>
      <c r="F40" s="82"/>
      <c r="G40" s="371">
        <f>G32+G38</f>
        <v>739679.76000000013</v>
      </c>
      <c r="H40" s="371">
        <f>H32+H38</f>
        <v>651526</v>
      </c>
      <c r="I40" s="371">
        <f>I32+I38</f>
        <v>573888</v>
      </c>
      <c r="J40" s="371">
        <f>J32+J38</f>
        <v>623376</v>
      </c>
      <c r="K40" s="371">
        <f>K32+K38</f>
        <v>647895</v>
      </c>
      <c r="L40" s="371">
        <f t="shared" ref="L40:W40" si="4">L32+L38</f>
        <v>573053</v>
      </c>
      <c r="M40" s="371">
        <f t="shared" si="4"/>
        <v>506508</v>
      </c>
      <c r="N40" s="371">
        <f t="shared" si="4"/>
        <v>504878</v>
      </c>
      <c r="O40" s="371">
        <f t="shared" si="4"/>
        <v>395848</v>
      </c>
      <c r="P40" s="371">
        <f t="shared" si="4"/>
        <v>321564</v>
      </c>
      <c r="Q40" s="371">
        <f t="shared" si="4"/>
        <v>342293</v>
      </c>
      <c r="R40" s="371">
        <f t="shared" si="4"/>
        <v>368082</v>
      </c>
      <c r="S40" s="371">
        <f t="shared" si="4"/>
        <v>328444</v>
      </c>
      <c r="T40" s="371">
        <f t="shared" si="4"/>
        <v>320712</v>
      </c>
      <c r="U40" s="371">
        <f t="shared" si="4"/>
        <v>243322</v>
      </c>
      <c r="V40" s="371">
        <f t="shared" si="4"/>
        <v>188596</v>
      </c>
      <c r="W40" s="371">
        <f t="shared" si="4"/>
        <v>77876</v>
      </c>
    </row>
    <row r="41" spans="1:23" ht="15" thickTop="1" x14ac:dyDescent="0.2">
      <c r="D41" s="359"/>
      <c r="H41" s="18"/>
      <c r="I41" s="18"/>
      <c r="J41" s="18"/>
      <c r="K41" s="18"/>
      <c r="L41" s="18"/>
      <c r="M41" s="18"/>
      <c r="N41" s="18"/>
      <c r="O41" s="18"/>
      <c r="P41" s="18"/>
      <c r="Q41" s="18"/>
      <c r="R41" s="18"/>
      <c r="S41" s="18"/>
      <c r="T41" s="18"/>
      <c r="U41" s="18"/>
      <c r="V41" s="18"/>
      <c r="W41" s="18"/>
    </row>
    <row r="42" spans="1:23" s="247" customFormat="1" x14ac:dyDescent="0.2">
      <c r="A42" s="430"/>
      <c r="B42" s="430"/>
      <c r="C42" s="430"/>
      <c r="D42" s="430"/>
      <c r="E42" s="430"/>
      <c r="F42" s="430"/>
      <c r="G42" s="279"/>
    </row>
    <row r="43" spans="1:23" s="247" customFormat="1" x14ac:dyDescent="0.2">
      <c r="A43" s="430"/>
      <c r="B43" s="430"/>
      <c r="C43" s="430"/>
      <c r="D43" s="430"/>
      <c r="E43" s="430"/>
      <c r="F43" s="430"/>
      <c r="G43" s="279"/>
    </row>
    <row r="44" spans="1:23" s="247" customFormat="1" x14ac:dyDescent="0.2">
      <c r="A44" s="430"/>
      <c r="B44" s="430"/>
      <c r="C44" s="430"/>
      <c r="D44" s="430"/>
      <c r="E44" s="430"/>
      <c r="F44" s="430"/>
      <c r="G44" s="279"/>
    </row>
    <row r="45" spans="1:23" s="247" customFormat="1" x14ac:dyDescent="0.2">
      <c r="A45" s="430"/>
      <c r="B45" s="430"/>
      <c r="C45" s="430"/>
      <c r="D45" s="430"/>
      <c r="E45" s="430"/>
      <c r="F45" s="430"/>
      <c r="G45" s="279"/>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Notes</vt:lpstr>
      <vt:lpstr>Data</vt:lpstr>
      <vt:lpstr>Feb'19 Revenues &amp; Expenses</vt:lpstr>
      <vt:lpstr>Feb'19 AR Aging </vt:lpstr>
      <vt:lpstr>Feb'19 Financial Position</vt:lpstr>
      <vt:lpstr>Feb'19 State of Activities</vt:lpstr>
      <vt:lpstr>Feb'19 Transportation</vt:lpstr>
      <vt:lpstr>2019 Budget</vt:lpstr>
      <vt:lpstr>2017 Medicaid Revenue</vt:lpstr>
      <vt:lpstr>Budget</vt:lpstr>
      <vt:lpstr>YE Historic Data</vt:lpstr>
      <vt:lpstr>'2017 Medicaid Revenue'!Print_Area</vt:lpstr>
      <vt:lpstr>Budget!Print_Area</vt:lpstr>
      <vt:lpstr>'Feb''19 AR Aging '!Print_Area</vt:lpstr>
      <vt:lpstr>'Feb''19 Financial Position'!Print_Area</vt:lpstr>
      <vt:lpstr>'Feb''19 Revenues &amp; Expenses'!Print_Area</vt:lpstr>
      <vt:lpstr>'Feb''19 State of Activities'!Print_Area</vt:lpstr>
      <vt:lpstr>'Feb''19 Transportation'!Print_Area</vt:lpstr>
      <vt:lpstr>Notes!Print_Area</vt:lpstr>
      <vt:lpstr>'YE Historic Data'!Print_Area</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Ashling Kelly</cp:lastModifiedBy>
  <cp:lastPrinted>2019-01-15T19:07:19Z</cp:lastPrinted>
  <dcterms:created xsi:type="dcterms:W3CDTF">2011-11-03T17:20:29Z</dcterms:created>
  <dcterms:modified xsi:type="dcterms:W3CDTF">2019-03-25T13:26:25Z</dcterms:modified>
</cp:coreProperties>
</file>