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bookViews>
    <workbookView xWindow="90" yWindow="35820" windowWidth="14955" windowHeight="9060" tabRatio="787"/>
  </bookViews>
  <sheets>
    <sheet name="Notes" sheetId="15" r:id="rId1"/>
    <sheet name="Data" sheetId="19" state="hidden" r:id="rId2"/>
    <sheet name="Updated Operating Budget" sheetId="25" state="hidden" r:id="rId3"/>
    <sheet name="February'21 Revenues &amp; Expenses" sheetId="3" r:id="rId4"/>
    <sheet name="February'21 AR Aging " sheetId="6" r:id="rId5"/>
    <sheet name="February'21 Financial Position" sheetId="5" r:id="rId6"/>
    <sheet name="February'21 State of Activities" sheetId="12" r:id="rId7"/>
    <sheet name="February'21 Transportation" sheetId="24" r:id="rId8"/>
    <sheet name="June'20 Transportation" sheetId="18" state="hidden" r:id="rId9"/>
    <sheet name="Transportation Projections" sheetId="23" state="hidden" r:id="rId10"/>
    <sheet name="2019 Budget" sheetId="22" state="hidden" r:id="rId11"/>
    <sheet name="2017 Medicaid Revenue" sheetId="21" state="hidden" r:id="rId12"/>
    <sheet name="Budget" sheetId="20" state="hidden" r:id="rId13"/>
    <sheet name="YE Historic Data" sheetId="17" state="hidden" r:id="rId14"/>
  </sheets>
  <externalReferences>
    <externalReference r:id="rId15"/>
    <externalReference r:id="rId16"/>
  </externalReferences>
  <definedNames>
    <definedName name="_xlnm.Print_Area" localSheetId="11">'2017 Medicaid Revenue'!$A$1:$H$69</definedName>
    <definedName name="_xlnm.Print_Area" localSheetId="12">Budget!$A$1:$G$54</definedName>
    <definedName name="_xlnm.Print_Area" localSheetId="4">'February''21 AR Aging '!$A$1:$G$122</definedName>
    <definedName name="_xlnm.Print_Area" localSheetId="5">'February''21 Financial Position'!$A$1:$L$68</definedName>
    <definedName name="_xlnm.Print_Area" localSheetId="3">'February''21 Revenues &amp; Expenses'!$A$1:$L$70</definedName>
    <definedName name="_xlnm.Print_Area" localSheetId="6">'February''21 State of Activities'!$A$1:$O$70</definedName>
    <definedName name="_xlnm.Print_Area" localSheetId="8">'June''20 Transportation'!$A$1:$P$63</definedName>
    <definedName name="_xlnm.Print_Area" localSheetId="0">Notes!$A$4:$H$108</definedName>
    <definedName name="_xlnm.Print_Area" localSheetId="9">'Transportation Projections'!$A$1:$P$53</definedName>
    <definedName name="_xlnm.Print_Area" localSheetId="13">'YE Historic Data'!$A$1:$W$41</definedName>
    <definedName name="_xlnm.Print_Titles" localSheetId="0">Notes!$1:$3</definedName>
  </definedNames>
  <calcPr calcId="152511"/>
</workbook>
</file>

<file path=xl/calcChain.xml><?xml version="1.0" encoding="utf-8"?>
<calcChain xmlns="http://schemas.openxmlformats.org/spreadsheetml/2006/main">
  <c r="E15" i="15" l="1"/>
  <c r="E17" i="15"/>
  <c r="G108" i="15"/>
  <c r="F108" i="15"/>
  <c r="E108" i="15"/>
  <c r="G107" i="15"/>
  <c r="F107" i="15"/>
  <c r="D105" i="15"/>
  <c r="D104" i="15"/>
  <c r="D103" i="15"/>
  <c r="F91" i="15"/>
  <c r="G91" i="15"/>
  <c r="L48" i="3"/>
  <c r="G74" i="15" l="1"/>
  <c r="B1353" i="19"/>
  <c r="B1352"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P18" i="24"/>
  <c r="P17" i="24"/>
  <c r="P10" i="24"/>
  <c r="M45" i="24" l="1"/>
  <c r="M33" i="24"/>
  <c r="M26" i="24"/>
  <c r="M10" i="24"/>
  <c r="M18" i="24"/>
  <c r="M13" i="24"/>
  <c r="J45" i="24"/>
  <c r="J33" i="24"/>
  <c r="J32" i="24"/>
  <c r="J26" i="24"/>
  <c r="J16" i="24"/>
  <c r="J13" i="24"/>
  <c r="K65" i="24"/>
  <c r="K62" i="24"/>
  <c r="K59" i="24"/>
  <c r="K56" i="24"/>
  <c r="J55" i="24"/>
  <c r="K51" i="24"/>
  <c r="K52" i="24" s="1"/>
  <c r="K55" i="24"/>
  <c r="K40" i="24"/>
  <c r="K33" i="24"/>
  <c r="K9" i="24"/>
  <c r="K25" i="24"/>
  <c r="K24" i="24"/>
  <c r="K13" i="24"/>
  <c r="J63" i="12"/>
  <c r="J52" i="12"/>
  <c r="J39" i="12"/>
  <c r="J17" i="12"/>
  <c r="J23" i="12"/>
  <c r="H42" i="5"/>
  <c r="G61" i="12"/>
  <c r="G52" i="12"/>
  <c r="G50" i="12"/>
  <c r="G46" i="12"/>
  <c r="G40" i="12"/>
  <c r="G39" i="12"/>
  <c r="G33" i="12"/>
  <c r="G23" i="12"/>
  <c r="H51" i="12"/>
  <c r="J42" i="5"/>
  <c r="H52" i="12"/>
  <c r="H50" i="12"/>
  <c r="H47" i="12"/>
  <c r="H46" i="12"/>
  <c r="H39" i="12"/>
  <c r="H33" i="12"/>
  <c r="H23" i="12"/>
  <c r="J8" i="12"/>
  <c r="J60" i="5"/>
  <c r="J51" i="5"/>
  <c r="J45" i="5"/>
  <c r="L60" i="5"/>
  <c r="L51" i="5"/>
  <c r="H60" i="5"/>
  <c r="H45" i="5"/>
  <c r="H51" i="5"/>
  <c r="I43" i="3"/>
  <c r="L8" i="5"/>
  <c r="I59" i="3"/>
  <c r="I58" i="3"/>
  <c r="K60" i="3"/>
  <c r="K58" i="3"/>
  <c r="J59" i="3"/>
  <c r="J58" i="3"/>
  <c r="H59" i="3"/>
  <c r="H58" i="3"/>
  <c r="I47" i="3"/>
  <c r="J47" i="3"/>
  <c r="I42" i="3"/>
  <c r="K42" i="3" s="1"/>
  <c r="I40" i="3"/>
  <c r="K40" i="3" s="1"/>
  <c r="I41" i="3"/>
  <c r="H47" i="3"/>
  <c r="H26" i="3"/>
  <c r="I26" i="3" s="1"/>
  <c r="J26" i="3" s="1"/>
  <c r="H28" i="3" l="1"/>
  <c r="H30" i="3"/>
  <c r="H24" i="3" l="1"/>
  <c r="I24" i="3" s="1"/>
  <c r="J24" i="3" s="1"/>
  <c r="H23" i="3"/>
  <c r="G23" i="3" s="1"/>
  <c r="J23" i="3"/>
  <c r="J21" i="3"/>
  <c r="H21" i="3"/>
  <c r="G21" i="3" s="1"/>
  <c r="H22" i="3"/>
  <c r="I22" i="3" s="1"/>
  <c r="J22" i="3" s="1"/>
  <c r="H17" i="3"/>
  <c r="I17" i="3" s="1"/>
  <c r="J17" i="3" s="1"/>
  <c r="H16" i="3"/>
  <c r="H15" i="3"/>
  <c r="G15" i="3" s="1"/>
  <c r="H12" i="3"/>
  <c r="H11" i="3"/>
  <c r="G11" i="3" s="1"/>
  <c r="H10" i="3"/>
  <c r="I10" i="3" s="1"/>
  <c r="J10" i="3" s="1"/>
  <c r="H9" i="3"/>
  <c r="G9" i="3" s="1"/>
  <c r="J77" i="3"/>
  <c r="J72" i="3"/>
  <c r="H72" i="3" s="1"/>
  <c r="G72" i="3"/>
  <c r="M68" i="3"/>
  <c r="G68" i="3"/>
  <c r="F68" i="3"/>
  <c r="K64" i="3"/>
  <c r="L64" i="3" s="1"/>
  <c r="K63" i="3"/>
  <c r="L63" i="3" s="1"/>
  <c r="K62" i="3"/>
  <c r="L62" i="3" s="1"/>
  <c r="H61" i="3"/>
  <c r="K61" i="3" s="1"/>
  <c r="I60" i="3"/>
  <c r="H60" i="3" s="1"/>
  <c r="H68" i="3" s="1"/>
  <c r="K59" i="3"/>
  <c r="L59" i="3" s="1"/>
  <c r="L58" i="3"/>
  <c r="K57" i="3"/>
  <c r="J68" i="3"/>
  <c r="H48" i="3"/>
  <c r="G48" i="3"/>
  <c r="I45" i="3"/>
  <c r="J45" i="3" s="1"/>
  <c r="J48" i="3" s="1"/>
  <c r="F45" i="3"/>
  <c r="F48" i="3" s="1"/>
  <c r="K43" i="3"/>
  <c r="K41" i="3"/>
  <c r="I39" i="3"/>
  <c r="K39" i="3" s="1"/>
  <c r="K37" i="3"/>
  <c r="I37" i="3"/>
  <c r="I36" i="3"/>
  <c r="K31" i="3"/>
  <c r="J30" i="3"/>
  <c r="G30" i="3"/>
  <c r="J28" i="3"/>
  <c r="G28" i="3"/>
  <c r="J25" i="3"/>
  <c r="H25" i="3"/>
  <c r="G25" i="3" s="1"/>
  <c r="I16" i="3"/>
  <c r="J16" i="3" s="1"/>
  <c r="J15" i="3"/>
  <c r="J11" i="3"/>
  <c r="J9" i="3"/>
  <c r="J8" i="3"/>
  <c r="C92" i="6"/>
  <c r="D66" i="6"/>
  <c r="E51" i="6"/>
  <c r="E43" i="6"/>
  <c r="D43" i="6"/>
  <c r="C43" i="6"/>
  <c r="F13" i="6"/>
  <c r="F6" i="6"/>
  <c r="G16" i="3" l="1"/>
  <c r="I48" i="3"/>
  <c r="L68" i="3"/>
  <c r="L70" i="3" s="1"/>
  <c r="G24" i="3"/>
  <c r="G17" i="3"/>
  <c r="G31" i="3" s="1"/>
  <c r="I31" i="3"/>
  <c r="J12" i="3"/>
  <c r="J31" i="3" s="1"/>
  <c r="K36" i="3"/>
  <c r="K48" i="3" s="1"/>
  <c r="I68" i="3"/>
  <c r="I72" i="3"/>
  <c r="K72" i="3" s="1"/>
  <c r="H31" i="3"/>
  <c r="K56" i="3"/>
  <c r="K68" i="3" s="1"/>
  <c r="B1260" i="19"/>
  <c r="B1259" i="19"/>
  <c r="B1258" i="19"/>
  <c r="B1257" i="19"/>
  <c r="B1256" i="19"/>
  <c r="B1255" i="19"/>
  <c r="B1254" i="19"/>
  <c r="B1253" i="19"/>
  <c r="B1252" i="19"/>
  <c r="B1251" i="19"/>
  <c r="B1250" i="19"/>
  <c r="B1249" i="19"/>
  <c r="B1248" i="19"/>
  <c r="B1247" i="19"/>
  <c r="B1246" i="19"/>
  <c r="B1245" i="19"/>
  <c r="J76" i="3" l="1"/>
  <c r="J78" i="3" s="1"/>
  <c r="D8" i="6" l="1"/>
  <c r="J18" i="24" l="1"/>
  <c r="G95" i="15" l="1"/>
  <c r="F95"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O20" i="24"/>
  <c r="O19" i="24"/>
  <c r="O17" i="24"/>
  <c r="O13" i="24"/>
  <c r="M14" i="24" l="1"/>
  <c r="M9" i="24"/>
  <c r="M23" i="24"/>
  <c r="J24" i="24"/>
  <c r="O18" i="24"/>
  <c r="O16" i="24"/>
  <c r="M15" i="24"/>
  <c r="J14" i="24"/>
  <c r="J9" i="24"/>
  <c r="O14" i="24" l="1"/>
  <c r="P14" i="24" s="1"/>
  <c r="A4" i="24"/>
  <c r="A3" i="24"/>
  <c r="O54" i="24"/>
  <c r="O50" i="24"/>
  <c r="P50" i="24" s="1"/>
  <c r="O49" i="24"/>
  <c r="P49" i="24" s="1"/>
  <c r="O48" i="24"/>
  <c r="O47" i="24"/>
  <c r="P47" i="24" s="1"/>
  <c r="O46" i="24"/>
  <c r="P46" i="24" s="1"/>
  <c r="O45" i="24"/>
  <c r="P45" i="24" s="1"/>
  <c r="O44" i="24"/>
  <c r="P44" i="24" s="1"/>
  <c r="O43" i="24"/>
  <c r="P43" i="24" s="1"/>
  <c r="O42" i="24"/>
  <c r="P42" i="24" s="1"/>
  <c r="O40" i="24"/>
  <c r="P40" i="24" s="1"/>
  <c r="M55" i="24"/>
  <c r="O55" i="24" s="1"/>
  <c r="O39" i="24"/>
  <c r="P39" i="24" s="1"/>
  <c r="O38" i="24"/>
  <c r="P38" i="24" s="1"/>
  <c r="O37" i="24"/>
  <c r="P37" i="24" s="1"/>
  <c r="O36" i="24"/>
  <c r="P36" i="24" s="1"/>
  <c r="O33" i="24"/>
  <c r="P33" i="24" s="1"/>
  <c r="O32" i="24"/>
  <c r="P32" i="24" s="1"/>
  <c r="O27" i="24"/>
  <c r="P27" i="24" s="1"/>
  <c r="O26" i="24"/>
  <c r="P26" i="24" s="1"/>
  <c r="J41" i="24"/>
  <c r="O23" i="24"/>
  <c r="O22" i="24"/>
  <c r="O21" i="24"/>
  <c r="P21" i="24" s="1"/>
  <c r="P16" i="24"/>
  <c r="P13" i="24"/>
  <c r="O11" i="24"/>
  <c r="P11" i="24" s="1"/>
  <c r="O10" i="24"/>
  <c r="O9" i="24"/>
  <c r="O34" i="24" l="1"/>
  <c r="P34" i="24" s="1"/>
  <c r="O35" i="24"/>
  <c r="K28" i="24"/>
  <c r="M65" i="24"/>
  <c r="J51" i="24"/>
  <c r="J59" i="24" s="1"/>
  <c r="P9" i="24"/>
  <c r="K41" i="24"/>
  <c r="J65" i="24"/>
  <c r="J62" i="24" l="1"/>
  <c r="E8" i="6" l="1"/>
  <c r="F14" i="6" l="1"/>
  <c r="F103" i="15" l="1"/>
  <c r="F104" i="15"/>
  <c r="E104" i="15"/>
  <c r="E103" i="15"/>
  <c r="F102" i="15"/>
  <c r="F93" i="15"/>
  <c r="F90" i="15"/>
  <c r="F101" i="15"/>
  <c r="E101" i="15"/>
  <c r="D90" i="15"/>
  <c r="E90" i="15"/>
  <c r="D94" i="15"/>
  <c r="B1145" i="19" l="1"/>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141" i="19" l="1"/>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J33" i="12" l="1"/>
  <c r="G34" i="12"/>
  <c r="J25" i="12"/>
  <c r="M24" i="24" s="1"/>
  <c r="M25" i="24" l="1"/>
  <c r="M28" i="24" s="1"/>
  <c r="M41" i="24"/>
  <c r="O24" i="24"/>
  <c r="O41" i="24" l="1"/>
  <c r="P41" i="24" s="1"/>
  <c r="M51" i="24"/>
  <c r="M52" i="24" s="1"/>
  <c r="M56" i="24" s="1"/>
  <c r="M62" i="24" l="1"/>
  <c r="O51" i="24"/>
  <c r="P51" i="24" s="1"/>
  <c r="M59" i="24"/>
  <c r="F8" i="6"/>
  <c r="S45" i="18" l="1"/>
  <c r="S43" i="18"/>
  <c r="S41" i="18"/>
  <c r="S33" i="18"/>
  <c r="R32" i="18"/>
  <c r="R31" i="18"/>
  <c r="R30" i="18"/>
  <c r="J13" i="18" l="1"/>
  <c r="J11" i="18"/>
  <c r="J24" i="18"/>
  <c r="M31" i="18"/>
  <c r="J31" i="18"/>
  <c r="R19" i="18"/>
  <c r="R50" i="18"/>
  <c r="R48" i="18"/>
  <c r="R45" i="18"/>
  <c r="R44" i="18"/>
  <c r="R43" i="18"/>
  <c r="R42" i="18"/>
  <c r="R41" i="18"/>
  <c r="R38" i="18"/>
  <c r="L16" i="12" l="1"/>
  <c r="M16" i="12" s="1"/>
  <c r="J44" i="18"/>
  <c r="J42" i="18" l="1"/>
  <c r="J40" i="18"/>
  <c r="M32" i="18" l="1"/>
  <c r="J47" i="18" l="1"/>
  <c r="J45" i="18"/>
  <c r="J16" i="18" l="1"/>
  <c r="J48" i="18" l="1"/>
  <c r="J43" i="18"/>
  <c r="J19" i="18"/>
  <c r="K48" i="18" l="1"/>
  <c r="K43" i="18"/>
  <c r="K41" i="18"/>
  <c r="K38" i="18"/>
  <c r="K31" i="18"/>
  <c r="K13" i="18"/>
  <c r="M45" i="18" l="1"/>
  <c r="M44" i="18"/>
  <c r="M43" i="18"/>
  <c r="M42" i="18"/>
  <c r="M41" i="18"/>
  <c r="M38" i="18"/>
  <c r="M19" i="18"/>
  <c r="M13" i="18"/>
  <c r="G17" i="12" l="1"/>
  <c r="J15" i="24" s="1"/>
  <c r="O15" i="24" l="1"/>
  <c r="P15" i="24" s="1"/>
  <c r="J25" i="24"/>
  <c r="J34" i="12"/>
  <c r="H34" i="12"/>
  <c r="J28" i="24" l="1"/>
  <c r="O25" i="24"/>
  <c r="P25" i="24" s="1"/>
  <c r="H16" i="5"/>
  <c r="J55" i="5"/>
  <c r="J48" i="5"/>
  <c r="J16" i="5"/>
  <c r="J23" i="5"/>
  <c r="G93" i="15"/>
  <c r="J57" i="5" l="1"/>
  <c r="J25" i="5"/>
  <c r="J35" i="5" s="1"/>
  <c r="J52" i="24"/>
  <c r="O28" i="24"/>
  <c r="P28" i="24" s="1"/>
  <c r="G68" i="6"/>
  <c r="E14" i="6"/>
  <c r="O52" i="24" l="1"/>
  <c r="P52" i="24" s="1"/>
  <c r="J56" i="24"/>
  <c r="O56" i="24" s="1"/>
  <c r="G68" i="15" l="1"/>
  <c r="F38" i="15"/>
  <c r="F45" i="15" s="1"/>
  <c r="D38" i="15"/>
  <c r="G572" i="19" l="1"/>
  <c r="G571" i="19"/>
  <c r="G601" i="19" l="1"/>
  <c r="J18" i="18"/>
  <c r="O18" i="18" s="1"/>
  <c r="O11" i="18"/>
  <c r="M53" i="18"/>
  <c r="M22" i="18"/>
  <c r="M39" i="18" s="1"/>
  <c r="M21" i="18"/>
  <c r="M15" i="18"/>
  <c r="M63" i="18"/>
  <c r="J64" i="12"/>
  <c r="J65" i="12" s="1"/>
  <c r="J55" i="12"/>
  <c r="M23" i="18" l="1"/>
  <c r="M26" i="18" s="1"/>
  <c r="M49" i="18"/>
  <c r="J26" i="12"/>
  <c r="J28" i="12" s="1"/>
  <c r="J57" i="12" s="1"/>
  <c r="L62" i="5" s="1"/>
  <c r="C95" i="6"/>
  <c r="G64" i="6"/>
  <c r="F44" i="6"/>
  <c r="F70" i="6" s="1"/>
  <c r="E32" i="6"/>
  <c r="C8" i="6"/>
  <c r="G6" i="6"/>
  <c r="J67" i="12" l="1"/>
  <c r="J70" i="12" s="1"/>
  <c r="M60" i="18"/>
  <c r="M57" i="18"/>
  <c r="M50" i="18"/>
  <c r="M54" i="18" s="1"/>
  <c r="O17" i="18"/>
  <c r="E44" i="6" l="1"/>
  <c r="E70" i="6" s="1"/>
  <c r="O12" i="23" l="1"/>
  <c r="O52" i="23"/>
  <c r="O51" i="23"/>
  <c r="O47" i="23"/>
  <c r="O46" i="23"/>
  <c r="O45" i="23"/>
  <c r="O44" i="23"/>
  <c r="O43" i="23"/>
  <c r="O42" i="23"/>
  <c r="O41" i="23"/>
  <c r="O40" i="23"/>
  <c r="O39" i="23"/>
  <c r="O38" i="23"/>
  <c r="O37" i="23"/>
  <c r="O36" i="23"/>
  <c r="O35" i="23"/>
  <c r="O34" i="23"/>
  <c r="O33" i="23"/>
  <c r="O32" i="23"/>
  <c r="O30" i="23"/>
  <c r="O29" i="23"/>
  <c r="J31" i="23"/>
  <c r="M31" i="23"/>
  <c r="M48" i="23" s="1"/>
  <c r="O48" i="23" s="1"/>
  <c r="O24" i="23"/>
  <c r="O18" i="23"/>
  <c r="O17" i="23"/>
  <c r="O16" i="23"/>
  <c r="O15" i="23"/>
  <c r="O14" i="23"/>
  <c r="O13" i="23"/>
  <c r="O10" i="23"/>
  <c r="O9" i="23"/>
  <c r="J34" i="23"/>
  <c r="M41" i="23"/>
  <c r="J41" i="23"/>
  <c r="J43" i="23"/>
  <c r="M39" i="23"/>
  <c r="J39" i="23"/>
  <c r="J35" i="23"/>
  <c r="J33" i="23"/>
  <c r="M30" i="23"/>
  <c r="O31" i="23" l="1"/>
  <c r="J29" i="23" l="1"/>
  <c r="J46" i="23" l="1"/>
  <c r="J44" i="23"/>
  <c r="M43" i="23"/>
  <c r="M37" i="23" l="1"/>
  <c r="J37" i="23"/>
  <c r="J51" i="23" l="1"/>
  <c r="P24" i="23"/>
  <c r="P16" i="23"/>
  <c r="P14" i="23"/>
  <c r="J12" i="23"/>
  <c r="P12" i="23" s="1"/>
  <c r="K52" i="23"/>
  <c r="K47" i="23"/>
  <c r="P47" i="23"/>
  <c r="P46" i="23"/>
  <c r="P44" i="23"/>
  <c r="P43" i="23"/>
  <c r="P42" i="23"/>
  <c r="K42" i="23"/>
  <c r="P41" i="23"/>
  <c r="J40" i="23"/>
  <c r="P39" i="23"/>
  <c r="M52" i="23"/>
  <c r="J52" i="23"/>
  <c r="P36" i="23"/>
  <c r="P35" i="23"/>
  <c r="P34" i="23"/>
  <c r="P33" i="23"/>
  <c r="K31" i="23"/>
  <c r="K30" i="23"/>
  <c r="P29" i="23"/>
  <c r="O23" i="23"/>
  <c r="P23" i="23" s="1"/>
  <c r="M38" i="23"/>
  <c r="K21" i="23"/>
  <c r="K38" i="23" s="1"/>
  <c r="J38" i="23"/>
  <c r="O20" i="23"/>
  <c r="M19" i="23"/>
  <c r="O19" i="23" s="1"/>
  <c r="O22" i="23" s="1"/>
  <c r="K19" i="23"/>
  <c r="P18" i="23"/>
  <c r="P17" i="23"/>
  <c r="P15" i="23"/>
  <c r="K14" i="23"/>
  <c r="K13" i="23"/>
  <c r="K12" i="23"/>
  <c r="P10" i="23"/>
  <c r="K10" i="23"/>
  <c r="K9" i="23"/>
  <c r="K8" i="23"/>
  <c r="G44" i="15"/>
  <c r="E35" i="15"/>
  <c r="P38" i="23" l="1"/>
  <c r="P31" i="23"/>
  <c r="P37" i="23"/>
  <c r="P40" i="23"/>
  <c r="J22" i="23"/>
  <c r="J25" i="23" s="1"/>
  <c r="K48" i="23"/>
  <c r="K22" i="23"/>
  <c r="K25" i="23" s="1"/>
  <c r="P13" i="23"/>
  <c r="P30" i="23"/>
  <c r="J48" i="23"/>
  <c r="M22" i="23"/>
  <c r="M25" i="23" s="1"/>
  <c r="O21" i="23"/>
  <c r="K49" i="23" l="1"/>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G64" i="12" l="1"/>
  <c r="L11" i="12" l="1"/>
  <c r="M11" i="12" s="1"/>
  <c r="D51" i="6" l="1"/>
  <c r="G598" i="19" l="1"/>
  <c r="G599" i="19" l="1"/>
  <c r="G603" i="19" s="1"/>
  <c r="G606"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L50" i="12"/>
  <c r="M50" i="12" s="1"/>
  <c r="L47" i="12"/>
  <c r="M47" i="12" s="1"/>
  <c r="L61" i="12"/>
  <c r="M61" i="12" s="1"/>
  <c r="L53" i="12"/>
  <c r="L52" i="12"/>
  <c r="M52" i="12" s="1"/>
  <c r="L51" i="12"/>
  <c r="M51" i="12" s="1"/>
  <c r="L49" i="12"/>
  <c r="M49" i="12" s="1"/>
  <c r="L48" i="12"/>
  <c r="M48" i="12" s="1"/>
  <c r="L46" i="12"/>
  <c r="M46" i="12" s="1"/>
  <c r="L45" i="12"/>
  <c r="M45" i="12" s="1"/>
  <c r="L44" i="12"/>
  <c r="M44" i="12" s="1"/>
  <c r="L43" i="12"/>
  <c r="L42" i="12"/>
  <c r="M42" i="12" s="1"/>
  <c r="L41" i="12"/>
  <c r="M41" i="12" s="1"/>
  <c r="L40" i="12"/>
  <c r="M40" i="12" s="1"/>
  <c r="L39" i="12"/>
  <c r="M39" i="12" s="1"/>
  <c r="L38" i="12"/>
  <c r="M38" i="12" s="1"/>
  <c r="L37" i="12"/>
  <c r="M37" i="12" s="1"/>
  <c r="L36" i="12"/>
  <c r="M36" i="12" s="1"/>
  <c r="L35" i="12"/>
  <c r="M35" i="12" s="1"/>
  <c r="L32" i="12"/>
  <c r="M32" i="12" s="1"/>
  <c r="L31" i="12"/>
  <c r="M31" i="12" s="1"/>
  <c r="L27" i="12"/>
  <c r="M27" i="12" s="1"/>
  <c r="L24" i="12"/>
  <c r="L23" i="12"/>
  <c r="L22" i="12"/>
  <c r="M22" i="12" s="1"/>
  <c r="L21" i="12"/>
  <c r="M21" i="12" s="1"/>
  <c r="L20" i="12"/>
  <c r="M20" i="12" s="1"/>
  <c r="L19" i="12"/>
  <c r="M19" i="12" s="1"/>
  <c r="L18" i="12"/>
  <c r="M18" i="12" s="1"/>
  <c r="L15" i="12"/>
  <c r="M15" i="12" s="1"/>
  <c r="L14" i="12"/>
  <c r="M14" i="12" s="1"/>
  <c r="L13" i="12"/>
  <c r="L12" i="12"/>
  <c r="M12" i="12" s="1"/>
  <c r="L10" i="12"/>
  <c r="M10" i="12" s="1"/>
  <c r="L9" i="12"/>
  <c r="M9" i="12" s="1"/>
  <c r="H64" i="12"/>
  <c r="H65" i="12" l="1"/>
  <c r="O24" i="18"/>
  <c r="P24" i="18" s="1"/>
  <c r="O44" i="18"/>
  <c r="P44" i="18" s="1"/>
  <c r="O43" i="18"/>
  <c r="P43" i="18" s="1"/>
  <c r="O42" i="18"/>
  <c r="P42" i="18" s="1"/>
  <c r="G66" i="6" l="1"/>
  <c r="G40" i="6" l="1"/>
  <c r="G41" i="6"/>
  <c r="E16" i="15" s="1"/>
  <c r="A4" i="18" l="1"/>
  <c r="G51" i="22" l="1"/>
  <c r="G47" i="22"/>
  <c r="G46" i="22"/>
  <c r="G28" i="22"/>
  <c r="G13" i="22"/>
  <c r="G20" i="22"/>
  <c r="G34" i="22" l="1"/>
  <c r="G53" i="22" l="1"/>
  <c r="G55" i="22" s="1"/>
  <c r="L31" i="5" l="1"/>
  <c r="C123" i="6" l="1"/>
  <c r="G45" i="15" l="1"/>
  <c r="H44" i="15" l="1"/>
  <c r="H42" i="15"/>
  <c r="H39" i="15"/>
  <c r="H35" i="15"/>
  <c r="H43" i="15"/>
  <c r="H41" i="15"/>
  <c r="H38" i="15"/>
  <c r="H36" i="15"/>
  <c r="L63" i="12"/>
  <c r="M63" i="12" s="1"/>
  <c r="O32" i="18" l="1"/>
  <c r="P32" i="18" s="1"/>
  <c r="D14" i="6" l="1"/>
  <c r="D45" i="15" l="1"/>
  <c r="J22" i="18" l="1"/>
  <c r="K22" i="18"/>
  <c r="K39" i="18" s="1"/>
  <c r="K21" i="18"/>
  <c r="K63" i="18"/>
  <c r="K15" i="18"/>
  <c r="K8" i="18"/>
  <c r="K49" i="18" l="1"/>
  <c r="K53" i="18"/>
  <c r="J39" i="18"/>
  <c r="J49" i="18" s="1"/>
  <c r="K23" i="18"/>
  <c r="K57" i="18" l="1"/>
  <c r="K60" i="18"/>
  <c r="D44" i="6" l="1"/>
  <c r="G13" i="6"/>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E80" i="15" l="1"/>
  <c r="D32" i="6" l="1"/>
  <c r="D70" i="6" s="1"/>
  <c r="J21" i="18" l="1"/>
  <c r="O21" i="18" s="1"/>
  <c r="L25" i="12" l="1"/>
  <c r="M25" i="12" s="1"/>
  <c r="G8" i="12"/>
  <c r="M8" i="24" l="1"/>
  <c r="J8" i="24"/>
  <c r="E81" i="15"/>
  <c r="L33" i="12" l="1"/>
  <c r="M33" i="12" s="1"/>
  <c r="B323" i="19"/>
  <c r="K26" i="18" l="1"/>
  <c r="K50" i="18" s="1"/>
  <c r="K54" i="18" s="1"/>
  <c r="O22" i="18"/>
  <c r="J63" i="18" l="1"/>
  <c r="J8" i="18"/>
  <c r="J53" i="18"/>
  <c r="O53" i="18" s="1"/>
  <c r="O9" i="18" l="1"/>
  <c r="P9" i="18" s="1"/>
  <c r="O39" i="18"/>
  <c r="P39" i="18" s="1"/>
  <c r="J57" i="18" l="1"/>
  <c r="O49" i="18"/>
  <c r="P49" i="18" s="1"/>
  <c r="J60" i="18"/>
  <c r="M8" i="18"/>
  <c r="L62" i="12" l="1"/>
  <c r="M62" i="12" s="1"/>
  <c r="L34" i="12"/>
  <c r="M34" i="12" s="1"/>
  <c r="L17" i="12"/>
  <c r="M17" i="12" s="1"/>
  <c r="G55" i="12" l="1"/>
  <c r="G26" i="12"/>
  <c r="J15" i="18"/>
  <c r="O15" i="18" s="1"/>
  <c r="P15" i="18" s="1"/>
  <c r="H26" i="12"/>
  <c r="H28"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6"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97" i="15" l="1"/>
  <c r="E97" i="15"/>
  <c r="F105" i="15"/>
  <c r="G58" i="6" l="1"/>
  <c r="C51" i="6"/>
  <c r="C44" i="6"/>
  <c r="G17" i="6"/>
  <c r="G18" i="6" l="1"/>
  <c r="D108" i="15"/>
  <c r="G106" i="15"/>
  <c r="G105" i="15"/>
  <c r="H55" i="12" l="1"/>
  <c r="G102" i="15"/>
  <c r="G101" i="15" l="1"/>
  <c r="G103"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E14" i="15" l="1"/>
  <c r="G48" i="6" l="1"/>
  <c r="L23" i="5" l="1"/>
  <c r="L25" i="5" s="1"/>
  <c r="L35" i="5" s="1"/>
  <c r="H55" i="5"/>
  <c r="L68" i="5" l="1"/>
  <c r="D197" i="6" l="1"/>
  <c r="D198" i="6"/>
  <c r="D199" i="6"/>
  <c r="L64" i="12" l="1"/>
  <c r="M64" i="12" s="1"/>
  <c r="F197" i="6" l="1"/>
  <c r="G31" i="6" l="1"/>
  <c r="G60" i="6"/>
  <c r="G51" i="6"/>
  <c r="G50" i="6"/>
  <c r="N201" i="6" l="1"/>
  <c r="M201" i="6"/>
  <c r="L201" i="6"/>
  <c r="K201" i="6"/>
  <c r="J201" i="6"/>
  <c r="I201" i="6"/>
  <c r="H201" i="6"/>
  <c r="G201" i="6"/>
  <c r="C56" i="6" l="1"/>
  <c r="F27" i="6"/>
  <c r="C32" i="6"/>
  <c r="C200" i="6" l="1"/>
  <c r="G54" i="6" l="1"/>
  <c r="G55" i="6"/>
  <c r="G56" i="6" l="1"/>
  <c r="G20" i="6" l="1"/>
  <c r="C14" i="6"/>
  <c r="C70" i="6" s="1"/>
  <c r="G12" i="6"/>
  <c r="L26" i="12" l="1"/>
  <c r="M26" i="12" s="1"/>
  <c r="L28" i="12" l="1"/>
  <c r="M28" i="12" l="1"/>
  <c r="L55" i="12"/>
  <c r="M55" i="12" s="1"/>
  <c r="G28" i="12" l="1"/>
  <c r="G57" i="12" l="1"/>
  <c r="H62" i="5" s="1"/>
  <c r="H57" i="12"/>
  <c r="J62" i="5" l="1"/>
  <c r="J63" i="5" s="1"/>
  <c r="J65" i="5" s="1"/>
  <c r="H67" i="12"/>
  <c r="H70" i="12" s="1"/>
  <c r="L63" i="5"/>
  <c r="L57" i="12"/>
  <c r="M57" i="12" s="1"/>
  <c r="G69" i="12" l="1"/>
  <c r="L65" i="5"/>
  <c r="L71" i="5" s="1"/>
  <c r="C198" i="6" l="1"/>
  <c r="G39" i="6"/>
  <c r="G32" i="6"/>
  <c r="G11" i="6"/>
  <c r="G44" i="6" l="1"/>
  <c r="E12" i="15"/>
  <c r="D201" i="6"/>
  <c r="G14" i="6"/>
  <c r="E13" i="15" s="1"/>
  <c r="G27" i="6"/>
  <c r="F201" i="6" l="1"/>
  <c r="H61" i="5" l="1"/>
  <c r="G65" i="12"/>
  <c r="H63" i="5" l="1"/>
  <c r="G67" i="12"/>
  <c r="G70" i="12" s="1"/>
  <c r="L65" i="12"/>
  <c r="M65" i="12" s="1"/>
  <c r="G104" i="15"/>
  <c r="L67" i="12" l="1"/>
  <c r="G7" i="6"/>
  <c r="C199" i="6" l="1"/>
  <c r="G8" i="6"/>
  <c r="G70" i="6" s="1"/>
  <c r="H19" i="5" l="1"/>
  <c r="E11" i="15"/>
  <c r="E18" i="15" s="1"/>
  <c r="C197" i="6"/>
  <c r="C201" i="6" s="1"/>
  <c r="E72" i="6" l="1"/>
  <c r="F72" i="6"/>
  <c r="D72" i="6"/>
  <c r="G72" i="6"/>
  <c r="C72" i="6"/>
  <c r="F17" i="15"/>
  <c r="F15" i="15"/>
  <c r="F14" i="15"/>
  <c r="F13" i="15"/>
  <c r="F12" i="15"/>
  <c r="F11" i="15"/>
  <c r="F16" i="15"/>
  <c r="C97" i="6"/>
  <c r="H23" i="5"/>
  <c r="H25" i="5" s="1"/>
  <c r="H35" i="5" s="1"/>
  <c r="G90" i="15"/>
  <c r="F18" i="15" l="1"/>
  <c r="G97" i="15" l="1"/>
  <c r="F97" i="15"/>
  <c r="H47" i="5"/>
  <c r="H48" i="5" s="1"/>
  <c r="H57" i="5" l="1"/>
  <c r="H68" i="5" s="1"/>
  <c r="H65" i="5" l="1"/>
</calcChain>
</file>

<file path=xl/comments1.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4.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<sst xmlns="http://schemas.openxmlformats.org/spreadsheetml/2006/main" count="932" uniqueCount="550">
  <si>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</si>
  <si>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</si>
  <si>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</si>
  <si>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</si>
  <si>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</si>
  <si>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</si>
  <si>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</si>
  <si>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</si>
  <si>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</si>
  <si>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</si>
  <si>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</si>
  <si>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</si>
  <si>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</si>
  <si>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</si>
  <si>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</si>
  <si>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</si>
  <si>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</si>
  <si>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</si>
  <si>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</si>
  <si>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</si>
  <si>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</si>
  <si>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</si>
  <si>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</si>
  <si>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</si>
  <si>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</si>
  <si>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</si>
  <si>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</si>
  <si>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</si>
  <si>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</si>
  <si>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</si>
  <si>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</si>
  <si>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</si>
  <si>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</si>
  <si>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</si>
  <si>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</si>
  <si>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</si>
  <si>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</si>
  <si>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</si>
  <si>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</si>
  <si>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</si>
  <si>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</si>
  <si>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</si>
  <si>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</si>
  <si>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</si>
  <si>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</si>
  <si>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</si>
  <si>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</si>
  <si>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</si>
  <si>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</si>
  <si>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</si>
  <si>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</si>
  <si>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</si>
  <si>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</si>
  <si>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</si>
  <si>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</si>
  <si>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</si>
  <si>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</si>
  <si>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</si>
  <si>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</si>
  <si>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</si>
  <si>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</si>
  <si>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</si>
  <si>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</si>
  <si>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</si>
  <si>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</si>
  <si>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</si>
  <si>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</si>
  <si>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</si>
  <si>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</si>
  <si>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</si>
  <si>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</si>
  <si>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</si>
  <si>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</si>
  <si>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</si>
  <si>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</si>
  <si>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</si>
  <si>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</si>
  <si>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</si>
  <si>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</si>
  <si>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</si>
  <si>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</si>
  <si>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</si>
  <si>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</si>
  <si>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</si>
  <si>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</si>
  <si>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</si>
  <si>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</si>
  <si>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</si>
  <si>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</si>
  <si>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</si>
  <si>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</si>
  <si>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</si>
  <si>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</si>
  <si>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</si>
  <si>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</si>
  <si>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</si>
  <si>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</si>
  <si>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</si>
  <si>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</si>
  <si>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</si>
  <si>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</si>
  <si>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</si>
  <si>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</si>
  <si>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</si>
  <si>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</si>
  <si>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</si>
  <si>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</si>
  <si>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</si>
  <si>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</si>
  <si>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</si>
  <si>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</si>
  <si>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</si>
  <si>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</si>
  <si>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</si>
  <si>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</si>
  <si>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</si>
  <si>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</si>
  <si>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</si>
  <si>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</si>
  <si>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</si>
  <si>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</si>
  <si>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</si>
  <si>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</si>
  <si>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</si>
  <si>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</si>
  <si>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</si>
  <si>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</si>
  <si>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</si>
  <si>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</si>
  <si>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</si>
  <si>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</si>
  <si>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</si>
  <si>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</si>
  <si>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</si>
  <si>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</si>
  <si>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</si>
  <si>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</si>
  <si>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</si>
  <si>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</si>
  <si>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</si>
  <si>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</si>
  <si>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</si>
  <si>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</si>
  <si>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</si>
  <si>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</si>
  <si>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</si>
  <si>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</si>
  <si>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</si>
  <si>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</si>
  <si>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</si>
  <si>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</si>
  <si>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</si>
  <si>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</si>
  <si>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</si>
  <si>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</si>
  <si>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</si>
  <si>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</si>
  <si>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</si>
  <si>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</si>
  <si>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</si>
  <si>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</si>
  <si>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</si>
  <si>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</si>
  <si>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</si>
  <si>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</si>
  <si>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</si>
  <si>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</si>
  <si>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</si>
  <si>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</si>
  <si>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</si>
  <si>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</si>
  <si>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</si>
  <si>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</si>
  <si>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</si>
  <si>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</si>
  <si>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</si>
  <si>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</si>
  <si>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</si>
  <si>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</si>
  <si>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</si>
  <si>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</si>
  <si>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</si>
  <si>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</si>
  <si>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</si>
  <si>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</si>
  <si>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</si>
  <si>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</si>
  <si>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</si>
  <si>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</si>
  <si>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</si>
  <si>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</si>
  <si>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</si>
  <si>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</si>
  <si>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</si>
  <si>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</si>
  <si>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</si>
  <si>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</si>
  <si>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</si>
  <si>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</si>
  <si>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</si>
  <si>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</si>
  <si>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</si>
  <si>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</si>
  <si>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</si>
  <si>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</si>
  <si>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</si>
  <si>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</si>
  <si>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</si>
  <si>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</si>
  <si>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</si>
  <si>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</si>
  <si>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</si>
  <si>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</si>
  <si>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</si>
  <si>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</si>
  <si>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</si>
  <si>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</si>
  <si>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</si>
  <si>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</si>
  <si>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</si>
  <si>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</si>
  <si>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</si>
  <si>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</si>
  <si>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</si>
  <si>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</si>
  <si>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</si>
  <si>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</si>
  <si>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</si>
  <si>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</si>
  <si>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</si>
  <si>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</si>
  <si>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</si>
  <si>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</si>
  <si>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</si>
  <si>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</si>
  <si>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</si>
  <si>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</si>
  <si>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</si>
  <si>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</si>
  <si>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</si>
  <si>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</si>
  <si>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</si>
  <si>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</si>
  <si>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</si>
  <si>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</si>
  <si>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</si>
  <si>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</si>
  <si>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</si>
  <si>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</si>
  <si>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</si>
  <si>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</si>
  <si>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</si>
  <si>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</si>
  <si>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</si>
  <si>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</si>
  <si>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</si>
  <si>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</si>
  <si>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</si>
  <si>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</si>
  <si>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</si>
  <si>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</si>
  <si>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</si>
  <si>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</si>
  <si>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</si>
  <si>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</si>
  <si>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</si>
  <si>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</si>
  <si>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</si>
  <si>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</si>
  <si>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</si>
  <si>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</si>
  <si>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</si>
  <si>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</si>
  <si>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</si>
  <si>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</si>
  <si>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</si>
  <si>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</si>
  <si>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</si>
  <si>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</si>
  <si>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</si>
  <si>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</si>
  <si>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</si>
  <si>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</si>
  <si>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</si>
  <si>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</si>
  <si>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</si>
  <si>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</si>
  <si>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</si>
  <si>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</si>
  <si>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</si>
  <si>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</si>
  <si>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</si>
  <si>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</si>
  <si>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</si>
  <si>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</si>
  <si>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</si>
  <si>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</si>
  <si>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</si>
  <si>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</si>
  <si>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</si>
  <si>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</si>
  <si>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</si>
  <si>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</si>
  <si>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</si>
  <si>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</si>
  <si>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</si>
  <si>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</si>
  <si>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</si>
  <si>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</si>
  <si>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</si>
  <si>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</si>
  <si>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</si>
  <si>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</si>
  <si>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</si>
  <si>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</si>
  <si>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</si>
  <si>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</si>
  <si>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</si>
  <si>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</si>
  <si>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</si>
  <si>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</si>
  <si>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</si>
  <si>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</si>
  <si>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</si>
  <si>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</si>
  <si>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</si>
  <si>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</si>
  <si>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</si>
  <si>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</si>
  <si>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</si>
  <si>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</si>
  <si>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</si>
  <si>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</si>
  <si>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</si>
  <si>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</si>
  <si>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</si>
  <si>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</si>
  <si>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</si>
  <si>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In Person Assistors &amp; Navigators- Yr#1 of 5</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</si>
  <si>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</si>
  <si>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</si>
  <si>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</si>
  <si>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</si>
  <si>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</si>
  <si>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</si>
  <si>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</si>
  <si>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</si>
  <si>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</si>
  <si>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</si>
  <si>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</si>
  <si>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Columbia Memorial Hospital - Transportation (Qrtly)</t>
  </si>
  <si>
    <t>Tobacco Free Communities Grant - Yr#1 of 5</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</si>
  <si>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</si>
  <si>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</si>
  <si>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</si>
  <si>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</si>
  <si>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</si>
  <si>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</si>
  <si>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</si>
  <si>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</si>
  <si>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</si>
  <si>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</si>
  <si>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</si>
  <si>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</si>
  <si>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</si>
  <si>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</si>
  <si>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</si>
  <si>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</si>
  <si>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</si>
  <si>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</si>
  <si>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</si>
  <si>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</si>
  <si>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</si>
  <si>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Total Grant Receivable - April 2019</t>
  </si>
  <si>
    <t>Aging Percent %</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</si>
  <si>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</si>
  <si>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</si>
  <si>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</si>
  <si>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</si>
  <si>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</si>
  <si>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</si>
  <si>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two years until August 1, 2021.  </t>
    </r>
  </si>
  <si>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</si>
  <si>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</si>
  <si>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</si>
  <si>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</si>
  <si>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</si>
  <si>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</si>
  <si>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</si>
  <si>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</si>
  <si>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</si>
  <si>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</si>
  <si>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</si>
  <si>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</si>
  <si>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</si>
  <si>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</si>
  <si>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</si>
  <si>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</si>
  <si>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</si>
  <si>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</si>
  <si>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</si>
  <si>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</si>
  <si>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</si>
  <si>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t>2019 Dodge Grand Caravan</t>
  </si>
  <si>
    <t>Agency</t>
  </si>
  <si>
    <t xml:space="preserve">Robert Green Auto &amp; Truck </t>
  </si>
  <si>
    <t>Central Dodge, Inc</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</si>
  <si>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</si>
  <si>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</si>
  <si>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Healthy Capital District Initiative</t>
  </si>
  <si>
    <t>ICAN Program - November'19 Voucher</t>
  </si>
  <si>
    <t xml:space="preserve">ICAN Program </t>
  </si>
  <si>
    <t>Columbia County BOS 2020 Budget Appropriation</t>
  </si>
  <si>
    <t>Columbia County Departments 2020 Donations (CARTS)</t>
  </si>
  <si>
    <t>Diff Transportation CMH &amp; Circulation &amp; Other</t>
  </si>
  <si>
    <t>CoCo Dept of Health</t>
  </si>
  <si>
    <t>Foundation Revenue - FCH, Dyson &amp; Rip Van Winkle</t>
  </si>
  <si>
    <t>Grants - New York State - Assoc for Rural Health</t>
  </si>
  <si>
    <t>December'19 vs. '18</t>
  </si>
  <si>
    <t>Foundation Revenue-RipVan Winkle Foundation</t>
  </si>
  <si>
    <t>Credit Sales</t>
  </si>
  <si>
    <t>Ending Balance at 12/31/2019</t>
  </si>
  <si>
    <t>Rip Van Winkle Foundation</t>
  </si>
  <si>
    <t>Main Motorcar</t>
  </si>
  <si>
    <t>Windows 10 Software Upgrade</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</si>
  <si>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</si>
  <si>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</si>
  <si>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</si>
  <si>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RHN &amp; Navigator Programs</t>
  </si>
  <si>
    <t xml:space="preserve">Community Foundation of the Hudson Valley </t>
  </si>
  <si>
    <r>
      <t xml:space="preserve">General Operating Support  </t>
    </r>
    <r>
      <rPr>
        <b/>
        <sz val="11"/>
        <color rgb="FFFF0000"/>
        <rFont val="Arial"/>
        <family val="2"/>
      </rPr>
      <t>(NEW)</t>
    </r>
  </si>
  <si>
    <t>NYSDOH 01/20 to 12/20 (Quarterly Voucher)</t>
  </si>
  <si>
    <t>NY Connects E&amp;EP         04/20 to 03/21</t>
  </si>
  <si>
    <t>MIPPA                              04/20 to 9/20</t>
  </si>
  <si>
    <t>CC Dept of Health: HEALing Community Study</t>
  </si>
  <si>
    <t xml:space="preserve">NYS Assocaition for Rural Health </t>
  </si>
  <si>
    <t xml:space="preserve">Senior Transportation Services - 2020 </t>
  </si>
  <si>
    <t xml:space="preserve">HEALing Communities Study </t>
  </si>
  <si>
    <r>
      <t xml:space="preserve">Transportation Services (2020)  </t>
    </r>
    <r>
      <rPr>
        <b/>
        <sz val="11"/>
        <color theme="1"/>
        <rFont val="Arial"/>
        <family val="2"/>
      </rPr>
      <t xml:space="preserve"> </t>
    </r>
  </si>
  <si>
    <t xml:space="preserve">Rip Van Winkle Foundation </t>
  </si>
  <si>
    <t xml:space="preserve">County Departments - 2020 </t>
  </si>
  <si>
    <t>Balance as of 01/01/2020</t>
  </si>
  <si>
    <t>None</t>
  </si>
  <si>
    <t>Dept. of Health</t>
  </si>
  <si>
    <t>Decrease in Tobacco Advertising</t>
  </si>
  <si>
    <t>New Program - HEALing Community Study</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</si>
  <si>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</si>
  <si>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</si>
  <si>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</si>
  <si>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</si>
  <si>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</si>
  <si>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</si>
  <si>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</si>
  <si>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</si>
  <si>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</si>
  <si>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</si>
  <si>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</si>
  <si>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</si>
  <si>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</si>
  <si>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</si>
  <si>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</si>
  <si>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</si>
  <si>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</si>
  <si>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</si>
  <si>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</si>
  <si>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</si>
  <si>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</si>
  <si>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</si>
  <si>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</si>
  <si>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</si>
  <si>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</si>
  <si>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Navigator Program - July 2020 Voucher</t>
  </si>
  <si>
    <t>OFA: MIPPA - July 2020 Voucher</t>
  </si>
  <si>
    <t>Navigator Program - June 2020 Voucher</t>
  </si>
  <si>
    <t>NYSDOH 07/19 to 06/20 - Year#1 of 5</t>
  </si>
  <si>
    <t>NYSDOH 07/20 to 06/21 - Year#2 of 5</t>
  </si>
  <si>
    <t>NYSDOH 08/19 to 07/20 - Year#1 of 5</t>
  </si>
  <si>
    <t>NYSDOH 08/20 to 07/21 - Year#2 of 5</t>
  </si>
  <si>
    <t>Tobacco-Free - April 2020 Partial Voucher</t>
  </si>
  <si>
    <t>Greene County -Dept of Social Services - HEAP Program</t>
  </si>
  <si>
    <t xml:space="preserve">Columbia Memorial Health - 1st &amp; 2nd Quarter </t>
  </si>
  <si>
    <r>
      <t xml:space="preserve">Greene County DSS </t>
    </r>
    <r>
      <rPr>
        <sz val="10"/>
        <color theme="1"/>
        <rFont val="Arial"/>
        <family val="2"/>
      </rPr>
      <t xml:space="preserve">(HEAP Program ) </t>
    </r>
  </si>
  <si>
    <t xml:space="preserve">County Government - 2020  </t>
  </si>
  <si>
    <t>QuickBooks AR at 08/31/2020</t>
  </si>
  <si>
    <t xml:space="preserve">Transportation Clients  </t>
  </si>
  <si>
    <t>Navigator Program</t>
  </si>
  <si>
    <t>Dell Latitude Laptop &amp; Printer</t>
  </si>
  <si>
    <t>Decrease in Tobacco expenditures</t>
  </si>
  <si>
    <t>Rural Health Network Program- Yr#2 of 5</t>
  </si>
  <si>
    <t>February</t>
  </si>
  <si>
    <t>ICAN Program - February'19 Voucher</t>
  </si>
  <si>
    <t>January</t>
  </si>
  <si>
    <t>December</t>
  </si>
  <si>
    <t>November &amp; Older</t>
  </si>
  <si>
    <t>Grants Receivable Aging Summary as of February 28, 2021</t>
  </si>
  <si>
    <t>NYSDOH 01/21 to 12/21 (Quarterly Voucher)</t>
  </si>
  <si>
    <t>NY Connects ADRC         10/20 to 09/21</t>
  </si>
  <si>
    <t>Grants Receivable at 02/28/2021</t>
  </si>
  <si>
    <t>Payments Received After February 28, 2021</t>
  </si>
  <si>
    <r>
      <t>ICAN Progrm                  05</t>
    </r>
    <r>
      <rPr>
        <sz val="14"/>
        <color rgb="FF000000"/>
        <rFont val="Arial"/>
        <family val="2"/>
      </rPr>
      <t>/20 to 04/21</t>
    </r>
  </si>
  <si>
    <t xml:space="preserve">Other: Columbia County </t>
  </si>
  <si>
    <t>Dept of Mental Health - December'20 Voucher</t>
  </si>
  <si>
    <t>Dept of Health - HEALing Community Study-  December '20 Voucher</t>
  </si>
  <si>
    <t>OFA: NY Connects - December'20 Voucher</t>
  </si>
  <si>
    <t>OFA: Senior Transportation - December 2020 Voucher</t>
  </si>
  <si>
    <t>ICAN Program - January 2021 Voucher</t>
  </si>
  <si>
    <t>Navigator Program - Decembe'20 Voucher</t>
  </si>
  <si>
    <t>RHN Program - 20% Heald back</t>
  </si>
  <si>
    <t>Tobacco - May &amp; June 2020 - 20% Held back</t>
  </si>
  <si>
    <t>February 28st AR Balance at March 22, 2021</t>
  </si>
  <si>
    <t>Total AR Payments Received After February 31, 2021</t>
  </si>
  <si>
    <t>In Person Assistors &amp; Navigators- Yr#2 of 5</t>
  </si>
  <si>
    <r>
      <t>NY Connects - ADRC Program</t>
    </r>
    <r>
      <rPr>
        <b/>
        <sz val="11"/>
        <color rgb="FFFF0000"/>
        <rFont val="Arial"/>
        <family val="2"/>
      </rPr>
      <t xml:space="preserve"> </t>
    </r>
  </si>
  <si>
    <t>Columbia County BOS 2021 Budget Appropriation</t>
  </si>
  <si>
    <t>Columbia County Departments 2021 Donations (CARTS)</t>
  </si>
  <si>
    <t>Collaborative Community Health Planning Jan'20-Dec'21</t>
  </si>
  <si>
    <t>As of  February 28, 2021</t>
  </si>
  <si>
    <r>
      <t xml:space="preserve">Rural Health Network Program- Yr#3 of 5 </t>
    </r>
    <r>
      <rPr>
        <b/>
        <sz val="11"/>
        <color rgb="FFFF0000"/>
        <rFont val="Arial"/>
        <family val="2"/>
      </rPr>
      <t>(Restored)</t>
    </r>
  </si>
  <si>
    <t xml:space="preserve">Senior Transportation Services - 2021 </t>
  </si>
  <si>
    <r>
      <t>Medicare Improvements-Patients &amp; Providers (MIPPA)</t>
    </r>
    <r>
      <rPr>
        <b/>
        <sz val="10"/>
        <color rgb="FFFF0000"/>
        <rFont val="Arial"/>
        <family val="2"/>
      </rPr>
      <t xml:space="preserve"> </t>
    </r>
  </si>
  <si>
    <r>
      <t>Transportation Services</t>
    </r>
    <r>
      <rPr>
        <b/>
        <sz val="11"/>
        <color rgb="FFFF0000"/>
        <rFont val="Arial"/>
        <family val="2"/>
      </rPr>
      <t xml:space="preserve"> </t>
    </r>
  </si>
  <si>
    <r>
      <t xml:space="preserve">Tobacco Free Communities Grant - Yr#2 of 5 </t>
    </r>
    <r>
      <rPr>
        <b/>
        <sz val="11"/>
        <color rgb="FFFF0000"/>
        <rFont val="Arial"/>
        <family val="2"/>
      </rPr>
      <t>(Restored)</t>
    </r>
  </si>
  <si>
    <r>
      <t>Transportation Services (2021)</t>
    </r>
    <r>
      <rPr>
        <b/>
        <sz val="11"/>
        <color rgb="FFFF0000"/>
        <rFont val="Arial"/>
        <family val="2"/>
      </rPr>
      <t xml:space="preserve">  </t>
    </r>
  </si>
  <si>
    <t>Balance as of 01/01/2021</t>
  </si>
  <si>
    <t xml:space="preserve">Ancram/Copake Prescription Access (2020/2021) </t>
  </si>
  <si>
    <t xml:space="preserve">County Government - 2021 </t>
  </si>
  <si>
    <t>County Departments - 2021</t>
  </si>
  <si>
    <t xml:space="preserve">Ancram/Copake Prescription Access (2021) </t>
  </si>
  <si>
    <t>Comm. Foundation of the Hudson Valley</t>
  </si>
  <si>
    <t>Two Months Ended February 28, 2021 and 2020</t>
  </si>
  <si>
    <t>For the Year Ended December 31, 2020</t>
  </si>
  <si>
    <t>February'21 vs.'20</t>
  </si>
  <si>
    <t>Timing on billing, 2020 Y/E Audit started March'20</t>
  </si>
  <si>
    <t>Sale of 2014 Dodge Grand Caravan</t>
  </si>
  <si>
    <t>Various unfilled positions</t>
  </si>
  <si>
    <t>Limited travel during 2021 year.</t>
  </si>
  <si>
    <r>
      <t>è</t>
    </r>
    <r>
      <rPr>
        <b/>
        <sz val="12"/>
        <color theme="1"/>
        <rFont val="Times New Roman"/>
        <family val="1"/>
      </rPr>
      <t xml:space="preserve"> Cash</t>
    </r>
    <r>
      <rPr>
        <sz val="12"/>
        <color theme="1"/>
        <rFont val="Calibri"/>
        <family val="2"/>
      </rPr>
      <t xml:space="preserve"> -  Cash balance in the operating checking account started the 2021 year off with $398K and ended on the month of February 2021 with $404K.  Low balance on February 16, 2021 was $345K &amp; the high balance on January 20, 2021 was $417K. Average daily balance for the 2021 &amp; 2020 years were $384K and $295K, respectively. On May 08, 2020, Agency received a loan in the amount of $197,400 from the Federal Payroll Protection Program via The Bank of Greene County.</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</si>
  <si>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February 28, 2021 our Grant Receivable is $399K. Expectation is uncertain as to the time frame when we will collect on all receivables.  </t>
    </r>
  </si>
  <si>
    <r>
      <t>è</t>
    </r>
    <r>
      <rPr>
        <b/>
        <sz val="12"/>
        <color theme="1"/>
        <rFont val="Times New Roman"/>
        <family val="1"/>
      </rPr>
      <t xml:space="preserve"> Equipment, Furniture &amp; Vehicles</t>
    </r>
    <r>
      <rPr>
        <sz val="12"/>
        <color theme="1"/>
        <rFont val="Calibri"/>
        <family val="2"/>
      </rPr>
      <t xml:space="preserve"> </t>
    </r>
  </si>
  <si>
    <t>2014 Dodge Grand Caravan</t>
  </si>
  <si>
    <t xml:space="preserve">On January 13, 2021, we sold a 2014 Dodge Grand Caravan for $3,150 with original cost $21,152. </t>
  </si>
  <si>
    <r>
      <t>è</t>
    </r>
    <r>
      <rPr>
        <b/>
        <sz val="12"/>
        <color theme="1"/>
        <rFont val="Times New Roman"/>
        <family val="1"/>
      </rPr>
      <t xml:space="preserve">Accounts Payable - </t>
    </r>
    <r>
      <rPr>
        <sz val="12"/>
        <color theme="1"/>
        <rFont val="Calibri"/>
        <family val="2"/>
        <scheme val="minor"/>
      </rPr>
      <t xml:space="preserve">At February 28, 2021, accounts payable lability is $34,591. All accounts payable liability is being paid timely within 28 days, except for three Tobacco statewide media invoices for $7,500/each for a total $22,500. </t>
    </r>
  </si>
  <si>
    <t>Ending Balance at February 28, 2021</t>
  </si>
  <si>
    <t>2021 Operating Support</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</si>
  <si>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February 28, 2021,</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</si>
  <si>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February 28, 2021: </t>
    </r>
  </si>
  <si>
    <t>Comm Foundation of Hudson Valley</t>
  </si>
  <si>
    <r>
      <t xml:space="preserve">General Operating Support </t>
    </r>
    <r>
      <rPr>
        <b/>
        <sz val="11"/>
        <color rgb="FFFF0000"/>
        <rFont val="Arial"/>
        <family val="2"/>
      </rPr>
      <t>(New)</t>
    </r>
  </si>
  <si>
    <t xml:space="preserve">Columbia County </t>
  </si>
  <si>
    <r>
      <t>è</t>
    </r>
    <r>
      <rPr>
        <b/>
        <sz val="12"/>
        <color theme="1"/>
        <rFont val="Times New Roman"/>
        <family val="1"/>
      </rPr>
      <t xml:space="preserve"> Investment - North Country Financial Group </t>
    </r>
    <r>
      <rPr>
        <sz val="12"/>
        <color theme="1"/>
        <rFont val="Calibri"/>
        <family val="2"/>
      </rPr>
      <t xml:space="preserve"> - As of February 28, 2021, investment account value is $207K. Initial investment during the month of March 2016 was $152K. This represents an annual increase of 6.5% over the last 5 years.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</si>
</sst>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ont>
    <font>
      <b/>
      <sz val="10"/>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2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21"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38"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21" fillId="9" borderId="40" xfId="1" applyNumberFormat="1" applyFont="1" applyFill="1" applyBorder="1" applyAlignment="1">
      <alignment horizontal="right"/>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38" fontId="21" fillId="9" borderId="4"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6" fontId="0" fillId="0" borderId="49" xfId="1" applyNumberFormat="1" applyFont="1" applyFill="1" applyBorder="1" applyAlignment="1">
      <alignment horizontal="right"/>
    </xf>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5" borderId="21"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21" fillId="11" borderId="21"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9" borderId="50"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4"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8" xfId="1" applyNumberFormat="1" applyFont="1" applyFill="1" applyBorder="1" applyAlignment="1">
      <alignment horizontal="right"/>
    </xf>
    <xf numFmtId="38" fontId="21" fillId="2" borderId="68" xfId="1" applyNumberFormat="1" applyFont="1" applyFill="1" applyBorder="1" applyAlignment="1">
      <alignment horizontal="right"/>
    </xf>
    <xf numFmtId="3" fontId="21" fillId="2" borderId="60"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8"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8" xfId="0" applyFill="1" applyBorder="1" applyAlignment="1">
      <alignment horizontal="center"/>
    </xf>
    <xf numFmtId="0" fontId="0" fillId="0" borderId="46" xfId="0" applyFill="1" applyBorder="1" applyAlignment="1">
      <alignment horizontal="center"/>
    </xf>
    <xf numFmtId="41" fontId="8" fillId="0" borderId="0" xfId="0" applyNumberFormat="1" applyFont="1" applyFill="1" applyBorder="1" applyAlignment="1">
      <alignment vertical="center"/>
    </xf>
    <xf numFmtId="49" fontId="70" fillId="18" borderId="59" xfId="0" applyNumberFormat="1" applyFont="1" applyFill="1" applyBorder="1" applyAlignment="1">
      <alignment vertical="center"/>
    </xf>
    <xf numFmtId="49" fontId="70" fillId="18" borderId="38" xfId="0" applyNumberFormat="1" applyFont="1" applyFill="1" applyBorder="1" applyAlignment="1">
      <alignment vertical="center"/>
    </xf>
    <xf numFmtId="6" fontId="70" fillId="18" borderId="38" xfId="1" applyNumberFormat="1" applyFont="1" applyFill="1" applyBorder="1" applyAlignment="1">
      <alignment horizontal="right"/>
    </xf>
    <xf numFmtId="6" fontId="70" fillId="18" borderId="60" xfId="1" applyNumberFormat="1" applyFont="1" applyFill="1" applyBorder="1" applyAlignment="1">
      <alignment horizontal="right"/>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0" fontId="0" fillId="0" borderId="45" xfId="0" applyFill="1" applyBorder="1" applyAlignment="1">
      <alignment horizontal="lef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2" xfId="1" applyNumberFormat="1" applyFont="1" applyFill="1" applyBorder="1" applyAlignment="1"/>
    <xf numFmtId="38" fontId="0" fillId="0" borderId="3" xfId="1" applyNumberFormat="1" applyFont="1" applyFill="1" applyBorder="1" applyAlignment="1"/>
    <xf numFmtId="38" fontId="0" fillId="0" borderId="27" xfId="1" applyNumberFormat="1" applyFont="1" applyFill="1" applyBorder="1" applyAlignment="1"/>
    <xf numFmtId="41" fontId="0" fillId="0" borderId="28"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1" applyNumberFormat="1" applyFont="1" applyFill="1" applyBorder="1" applyAlignment="1">
      <alignment horizontal="right"/>
    </xf>
    <xf numFmtId="0" fontId="0" fillId="0" borderId="45" xfId="0" applyFill="1" applyBorder="1" applyAlignment="1">
      <alignment horizontal="center"/>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38" fontId="0" fillId="0" borderId="2" xfId="1" applyNumberFormat="1" applyFont="1" applyFill="1" applyBorder="1" applyAlignment="1">
      <alignment horizontal="right"/>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41" fontId="0" fillId="0" borderId="45" xfId="1" applyNumberFormat="1" applyFont="1" applyFill="1" applyBorder="1" applyAlignment="1">
      <alignment horizontal="center"/>
    </xf>
    <xf numFmtId="38" fontId="69" fillId="0" borderId="2" xfId="1" applyNumberFormat="1" applyFont="1" applyFill="1" applyBorder="1" applyAlignment="1"/>
    <xf numFmtId="171" fontId="0" fillId="0" borderId="0" xfId="1" applyNumberFormat="1" applyFont="1" applyFill="1" applyBorder="1" applyAlignment="1"/>
    <xf numFmtId="10" fontId="0" fillId="0" borderId="0" xfId="1" applyNumberFormat="1" applyFont="1" applyFill="1" applyBorder="1" applyAlignment="1"/>
    <xf numFmtId="38" fontId="69" fillId="0" borderId="2" xfId="1" applyNumberFormat="1" applyFont="1" applyFill="1" applyBorder="1" applyAlignment="1">
      <alignment horizontal="right"/>
    </xf>
    <xf numFmtId="0" fontId="0" fillId="0" borderId="48" xfId="0" applyFill="1" applyBorder="1" applyAlignment="1">
      <alignment vertical="center"/>
    </xf>
    <xf numFmtId="0" fontId="0" fillId="0" borderId="48" xfId="0" applyFill="1" applyBorder="1" applyAlignment="1">
      <alignment horizontal="left" vertical="center"/>
    </xf>
    <xf numFmtId="0" fontId="0" fillId="0" borderId="48" xfId="0" applyFill="1" applyBorder="1" applyAlignment="1">
      <alignment horizontal="center" vertical="center"/>
    </xf>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38" fontId="0" fillId="0" borderId="2" xfId="1" applyNumberFormat="1" applyFont="1" applyFill="1" applyBorder="1" applyAlignment="1">
      <alignment horizontal="right" vertical="center"/>
    </xf>
    <xf numFmtId="41" fontId="0" fillId="0" borderId="48" xfId="1" applyNumberFormat="1" applyFont="1" applyFill="1" applyBorder="1" applyAlignment="1">
      <alignment vertical="center"/>
    </xf>
    <xf numFmtId="38" fontId="0" fillId="0" borderId="2" xfId="1" applyNumberFormat="1" applyFont="1" applyFill="1" applyBorder="1" applyAlignment="1">
      <alignment vertical="center"/>
    </xf>
    <xf numFmtId="14" fontId="0" fillId="0" borderId="0" xfId="0" applyNumberFormat="1" applyFill="1" applyBorder="1" applyAlignment="1">
      <alignment horizontal="center" vertical="center"/>
    </xf>
    <xf numFmtId="38" fontId="0" fillId="0" borderId="48" xfId="1" applyNumberFormat="1" applyFont="1" applyFill="1" applyBorder="1" applyAlignment="1"/>
    <xf numFmtId="38" fontId="0" fillId="0" borderId="58" xfId="1" applyNumberFormat="1" applyFont="1" applyFill="1" applyBorder="1" applyAlignment="1"/>
    <xf numFmtId="38" fontId="0" fillId="0" borderId="48" xfId="1" applyNumberFormat="1" applyFont="1" applyFill="1" applyBorder="1" applyAlignment="1">
      <alignment vertical="center"/>
    </xf>
    <xf numFmtId="0" fontId="0" fillId="0" borderId="49" xfId="0" applyFill="1" applyBorder="1" applyAlignment="1">
      <alignment vertical="center"/>
    </xf>
    <xf numFmtId="0" fontId="0" fillId="0" borderId="49" xfId="0" applyFill="1" applyBorder="1" applyAlignment="1">
      <alignment horizontal="left" vertical="center"/>
    </xf>
    <xf numFmtId="0" fontId="0" fillId="0" borderId="49" xfId="0"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0" fontId="38" fillId="0" borderId="0" xfId="0" applyFont="1" applyFill="1" applyAlignment="1">
      <alignment horizontal="center" vertical="center" wrapText="1"/>
    </xf>
    <xf numFmtId="0" fontId="38" fillId="0" borderId="0" xfId="0" applyFont="1" applyFill="1" applyAlignment="1">
      <alignment horizontal="center" vertical="top"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0" fillId="0" borderId="0" xfId="0" applyFill="1" applyAlignment="1">
      <alignment horizontal="center"/>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41" fillId="0" borderId="0" xfId="0" applyFont="1" applyFill="1" applyAlignment="1">
      <alignment horizontal="left" vertical="center" wrapText="1"/>
    </xf>
    <xf numFmtId="0" fontId="63" fillId="0" borderId="0" xfId="0" applyFont="1" applyFill="1" applyAlignment="1">
      <alignment horizontal="center"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Data!$A$1047:$A$1349</c:f>
              <c:numCache>
                <c:formatCode>[$-F800]dddd\,\ mmmm\ dd\,\ yyyy</c:formatCode>
                <c:ptCount val="30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numCache>
            </c:numRef>
          </c:cat>
          <c:val>
            <c:numRef>
              <c:f>Data!$B$1047:$B$1349</c:f>
              <c:numCache>
                <c:formatCode>#,##0_);[Red]\(#,##0\)</c:formatCode>
                <c:ptCount val="303"/>
                <c:pt idx="0">
                  <c:v>189056</c:v>
                </c:pt>
                <c:pt idx="1">
                  <c:v>206403.28</c:v>
                </c:pt>
                <c:pt idx="2">
                  <c:v>206217.28</c:v>
                </c:pt>
                <c:pt idx="3">
                  <c:v>206129.28</c:v>
                </c:pt>
                <c:pt idx="4">
                  <c:v>172858.39</c:v>
                </c:pt>
                <c:pt idx="5">
                  <c:v>172585</c:v>
                </c:pt>
                <c:pt idx="6">
                  <c:v>184752.38</c:v>
                </c:pt>
                <c:pt idx="7">
                  <c:v>199849.93</c:v>
                </c:pt>
                <c:pt idx="8">
                  <c:v>199850</c:v>
                </c:pt>
                <c:pt idx="9">
                  <c:v>199850</c:v>
                </c:pt>
                <c:pt idx="10">
                  <c:v>199942.09</c:v>
                </c:pt>
                <c:pt idx="11">
                  <c:v>197586.14</c:v>
                </c:pt>
                <c:pt idx="12">
                  <c:v>197586</c:v>
                </c:pt>
                <c:pt idx="13">
                  <c:v>197586</c:v>
                </c:pt>
                <c:pt idx="14">
                  <c:v>160213.23000000001</c:v>
                </c:pt>
                <c:pt idx="15">
                  <c:v>160213</c:v>
                </c:pt>
                <c:pt idx="16">
                  <c:v>178835.97</c:v>
                </c:pt>
                <c:pt idx="17">
                  <c:v>177774.06</c:v>
                </c:pt>
                <c:pt idx="18">
                  <c:v>177774</c:v>
                </c:pt>
                <c:pt idx="19">
                  <c:v>177774</c:v>
                </c:pt>
                <c:pt idx="20">
                  <c:v>253459.84</c:v>
                </c:pt>
                <c:pt idx="21">
                  <c:v>235320.22</c:v>
                </c:pt>
                <c:pt idx="22">
                  <c:v>235320</c:v>
                </c:pt>
                <c:pt idx="23">
                  <c:v>198483.96</c:v>
                </c:pt>
                <c:pt idx="24">
                  <c:v>212819.68</c:v>
                </c:pt>
                <c:pt idx="25">
                  <c:v>212820</c:v>
                </c:pt>
                <c:pt idx="26">
                  <c:v>212584.24</c:v>
                </c:pt>
                <c:pt idx="27">
                  <c:v>270092.23</c:v>
                </c:pt>
                <c:pt idx="28">
                  <c:v>270092</c:v>
                </c:pt>
                <c:pt idx="29">
                  <c:v>273133.13</c:v>
                </c:pt>
                <c:pt idx="30">
                  <c:v>273133</c:v>
                </c:pt>
                <c:pt idx="31">
                  <c:v>280484.09000000003</c:v>
                </c:pt>
                <c:pt idx="32">
                  <c:v>279225.67</c:v>
                </c:pt>
                <c:pt idx="33">
                  <c:v>279226</c:v>
                </c:pt>
                <c:pt idx="34">
                  <c:v>241740.68</c:v>
                </c:pt>
                <c:pt idx="35">
                  <c:v>268478</c:v>
                </c:pt>
                <c:pt idx="36">
                  <c:v>258524.93</c:v>
                </c:pt>
                <c:pt idx="37">
                  <c:v>277316.53000000003</c:v>
                </c:pt>
                <c:pt idx="38">
                  <c:v>277317</c:v>
                </c:pt>
                <c:pt idx="39">
                  <c:v>279881.78999999998</c:v>
                </c:pt>
                <c:pt idx="40">
                  <c:v>279882</c:v>
                </c:pt>
                <c:pt idx="41">
                  <c:v>270773.33</c:v>
                </c:pt>
                <c:pt idx="42">
                  <c:v>306133.57</c:v>
                </c:pt>
                <c:pt idx="43">
                  <c:v>267343.68</c:v>
                </c:pt>
                <c:pt idx="44">
                  <c:v>267157.68</c:v>
                </c:pt>
                <c:pt idx="45">
                  <c:v>267157.68</c:v>
                </c:pt>
                <c:pt idx="46">
                  <c:v>264690.95</c:v>
                </c:pt>
                <c:pt idx="47">
                  <c:v>264495.03999999998</c:v>
                </c:pt>
                <c:pt idx="48">
                  <c:v>264495.03999999998</c:v>
                </c:pt>
                <c:pt idx="49">
                  <c:v>267283.63</c:v>
                </c:pt>
                <c:pt idx="50">
                  <c:v>267283.63</c:v>
                </c:pt>
                <c:pt idx="51">
                  <c:v>259537.69</c:v>
                </c:pt>
                <c:pt idx="52">
                  <c:v>259645.65</c:v>
                </c:pt>
                <c:pt idx="53">
                  <c:v>279221.03000000003</c:v>
                </c:pt>
                <c:pt idx="54">
                  <c:v>232150.36</c:v>
                </c:pt>
                <c:pt idx="55">
                  <c:v>274274.51</c:v>
                </c:pt>
                <c:pt idx="56">
                  <c:v>276629.48</c:v>
                </c:pt>
                <c:pt idx="57">
                  <c:v>276629.48</c:v>
                </c:pt>
                <c:pt idx="58">
                  <c:v>292626.55</c:v>
                </c:pt>
                <c:pt idx="59">
                  <c:v>292626.55</c:v>
                </c:pt>
                <c:pt idx="60">
                  <c:v>292626.55</c:v>
                </c:pt>
                <c:pt idx="61">
                  <c:v>292626.55</c:v>
                </c:pt>
                <c:pt idx="62">
                  <c:v>292582.55</c:v>
                </c:pt>
                <c:pt idx="63">
                  <c:v>292582.55</c:v>
                </c:pt>
                <c:pt idx="64">
                  <c:v>292582.55</c:v>
                </c:pt>
                <c:pt idx="65">
                  <c:v>256343.91</c:v>
                </c:pt>
                <c:pt idx="66">
                  <c:v>260066.55</c:v>
                </c:pt>
                <c:pt idx="67">
                  <c:v>259418.64</c:v>
                </c:pt>
                <c:pt idx="68">
                  <c:v>259418.64</c:v>
                </c:pt>
                <c:pt idx="69">
                  <c:v>259418.64</c:v>
                </c:pt>
                <c:pt idx="70">
                  <c:v>259418.64</c:v>
                </c:pt>
                <c:pt idx="71">
                  <c:v>256056.32000000001</c:v>
                </c:pt>
                <c:pt idx="72">
                  <c:v>256056.32000000001</c:v>
                </c:pt>
                <c:pt idx="73">
                  <c:v>256056.32000000001</c:v>
                </c:pt>
                <c:pt idx="74">
                  <c:v>256056.32000000001</c:v>
                </c:pt>
                <c:pt idx="75">
                  <c:v>222877.12</c:v>
                </c:pt>
                <c:pt idx="76">
                  <c:v>222877.12</c:v>
                </c:pt>
                <c:pt idx="77">
                  <c:v>222415.21</c:v>
                </c:pt>
                <c:pt idx="78">
                  <c:v>222415.21</c:v>
                </c:pt>
                <c:pt idx="79">
                  <c:v>222415.21</c:v>
                </c:pt>
                <c:pt idx="80">
                  <c:v>222415.21</c:v>
                </c:pt>
                <c:pt idx="81">
                  <c:v>185658.71</c:v>
                </c:pt>
                <c:pt idx="82">
                  <c:v>185658.71</c:v>
                </c:pt>
                <c:pt idx="83">
                  <c:v>185614.71</c:v>
                </c:pt>
                <c:pt idx="84">
                  <c:v>152434.01999999999</c:v>
                </c:pt>
                <c:pt idx="85">
                  <c:v>152434.01999999999</c:v>
                </c:pt>
                <c:pt idx="86">
                  <c:v>173230.55</c:v>
                </c:pt>
                <c:pt idx="87">
                  <c:v>173492.71000000002</c:v>
                </c:pt>
                <c:pt idx="88">
                  <c:v>173306.64</c:v>
                </c:pt>
                <c:pt idx="89">
                  <c:v>173307</c:v>
                </c:pt>
                <c:pt idx="90">
                  <c:v>173307</c:v>
                </c:pt>
                <c:pt idx="91">
                  <c:v>173307</c:v>
                </c:pt>
                <c:pt idx="92">
                  <c:v>385709.68000000005</c:v>
                </c:pt>
                <c:pt idx="93">
                  <c:v>385710.04000000004</c:v>
                </c:pt>
                <c:pt idx="94">
                  <c:v>385904.98</c:v>
                </c:pt>
                <c:pt idx="95">
                  <c:v>362979.35</c:v>
                </c:pt>
                <c:pt idx="96">
                  <c:v>362979.35</c:v>
                </c:pt>
                <c:pt idx="97">
                  <c:v>362624.73</c:v>
                </c:pt>
                <c:pt idx="98">
                  <c:v>362070.03</c:v>
                </c:pt>
                <c:pt idx="99">
                  <c:v>352214.86</c:v>
                </c:pt>
                <c:pt idx="100">
                  <c:v>352214.86</c:v>
                </c:pt>
                <c:pt idx="101">
                  <c:v>337570.28</c:v>
                </c:pt>
                <c:pt idx="102">
                  <c:v>337570.28</c:v>
                </c:pt>
                <c:pt idx="103">
                  <c:v>337570.28</c:v>
                </c:pt>
                <c:pt idx="104">
                  <c:v>337570.28</c:v>
                </c:pt>
                <c:pt idx="105">
                  <c:v>314828.33999999997</c:v>
                </c:pt>
                <c:pt idx="106">
                  <c:v>314642.31</c:v>
                </c:pt>
                <c:pt idx="107">
                  <c:v>314180.40000000002</c:v>
                </c:pt>
                <c:pt idx="108">
                  <c:v>336211.19</c:v>
                </c:pt>
                <c:pt idx="109">
                  <c:v>327639.93</c:v>
                </c:pt>
                <c:pt idx="110">
                  <c:v>327640</c:v>
                </c:pt>
                <c:pt idx="111">
                  <c:v>332166.29000000004</c:v>
                </c:pt>
                <c:pt idx="112">
                  <c:v>332166.29000000004</c:v>
                </c:pt>
                <c:pt idx="113">
                  <c:v>378580.41000000003</c:v>
                </c:pt>
                <c:pt idx="114">
                  <c:v>378580.41000000003</c:v>
                </c:pt>
                <c:pt idx="115">
                  <c:v>355599.42</c:v>
                </c:pt>
                <c:pt idx="116">
                  <c:v>348512.49</c:v>
                </c:pt>
                <c:pt idx="117">
                  <c:v>351663.19</c:v>
                </c:pt>
                <c:pt idx="118">
                  <c:v>351097.70999999996</c:v>
                </c:pt>
                <c:pt idx="119">
                  <c:v>351097.70999999996</c:v>
                </c:pt>
                <c:pt idx="120">
                  <c:v>342735.58</c:v>
                </c:pt>
                <c:pt idx="121">
                  <c:v>344495.52</c:v>
                </c:pt>
                <c:pt idx="122">
                  <c:v>344495.52</c:v>
                </c:pt>
                <c:pt idx="123">
                  <c:v>344495.52</c:v>
                </c:pt>
                <c:pt idx="124">
                  <c:v>334324.15000000002</c:v>
                </c:pt>
                <c:pt idx="125">
                  <c:v>342928.85</c:v>
                </c:pt>
                <c:pt idx="126">
                  <c:v>325375.87</c:v>
                </c:pt>
                <c:pt idx="127">
                  <c:v>324225.81</c:v>
                </c:pt>
                <c:pt idx="128">
                  <c:v>324225.81</c:v>
                </c:pt>
                <c:pt idx="129">
                  <c:v>332737.41000000003</c:v>
                </c:pt>
                <c:pt idx="130">
                  <c:v>348287.12</c:v>
                </c:pt>
                <c:pt idx="131">
                  <c:v>351754.67</c:v>
                </c:pt>
                <c:pt idx="132">
                  <c:v>352041.67</c:v>
                </c:pt>
                <c:pt idx="133">
                  <c:v>352042</c:v>
                </c:pt>
                <c:pt idx="134">
                  <c:v>352042</c:v>
                </c:pt>
                <c:pt idx="135">
                  <c:v>326415.09999999998</c:v>
                </c:pt>
                <c:pt idx="136">
                  <c:v>312231.88999999996</c:v>
                </c:pt>
                <c:pt idx="137">
                  <c:v>311779.87</c:v>
                </c:pt>
                <c:pt idx="138">
                  <c:v>311474.96999999997</c:v>
                </c:pt>
                <c:pt idx="139">
                  <c:v>315477.69</c:v>
                </c:pt>
                <c:pt idx="140">
                  <c:v>315594.98</c:v>
                </c:pt>
                <c:pt idx="141">
                  <c:v>318211.11</c:v>
                </c:pt>
                <c:pt idx="142">
                  <c:v>318211.09999999998</c:v>
                </c:pt>
                <c:pt idx="143">
                  <c:v>339655.69</c:v>
                </c:pt>
                <c:pt idx="144">
                  <c:v>328838.90999999997</c:v>
                </c:pt>
                <c:pt idx="145">
                  <c:v>315049.81</c:v>
                </c:pt>
                <c:pt idx="146">
                  <c:v>308750.14999999997</c:v>
                </c:pt>
                <c:pt idx="147">
                  <c:v>309653.73</c:v>
                </c:pt>
                <c:pt idx="148">
                  <c:v>300292.32</c:v>
                </c:pt>
                <c:pt idx="149">
                  <c:v>300248.32000000001</c:v>
                </c:pt>
                <c:pt idx="150">
                  <c:v>298885.23</c:v>
                </c:pt>
                <c:pt idx="151">
                  <c:v>298918.89</c:v>
                </c:pt>
                <c:pt idx="152">
                  <c:v>298919</c:v>
                </c:pt>
                <c:pt idx="153">
                  <c:v>262470.13</c:v>
                </c:pt>
                <c:pt idx="154">
                  <c:v>254560.85</c:v>
                </c:pt>
                <c:pt idx="155">
                  <c:v>254561</c:v>
                </c:pt>
                <c:pt idx="156">
                  <c:v>256783.26</c:v>
                </c:pt>
                <c:pt idx="157">
                  <c:v>256330.97</c:v>
                </c:pt>
                <c:pt idx="158">
                  <c:v>256331</c:v>
                </c:pt>
                <c:pt idx="159">
                  <c:v>256331</c:v>
                </c:pt>
                <c:pt idx="160">
                  <c:v>256420.97</c:v>
                </c:pt>
                <c:pt idx="161">
                  <c:v>256421</c:v>
                </c:pt>
                <c:pt idx="162">
                  <c:v>296838.09999999998</c:v>
                </c:pt>
                <c:pt idx="163">
                  <c:v>261012.14</c:v>
                </c:pt>
                <c:pt idx="164">
                  <c:v>345553.24</c:v>
                </c:pt>
                <c:pt idx="165">
                  <c:v>345720.24</c:v>
                </c:pt>
                <c:pt idx="166">
                  <c:v>343380.65</c:v>
                </c:pt>
                <c:pt idx="167">
                  <c:v>342938.36</c:v>
                </c:pt>
                <c:pt idx="168">
                  <c:v>342938</c:v>
                </c:pt>
                <c:pt idx="169">
                  <c:v>340515.33</c:v>
                </c:pt>
                <c:pt idx="170">
                  <c:v>359946.57</c:v>
                </c:pt>
                <c:pt idx="171">
                  <c:v>359946.57</c:v>
                </c:pt>
                <c:pt idx="172">
                  <c:v>359946.57</c:v>
                </c:pt>
                <c:pt idx="173">
                  <c:v>359946.57</c:v>
                </c:pt>
                <c:pt idx="174">
                  <c:v>347126.06</c:v>
                </c:pt>
                <c:pt idx="175">
                  <c:v>347075.06</c:v>
                </c:pt>
                <c:pt idx="176">
                  <c:v>350416.44</c:v>
                </c:pt>
                <c:pt idx="177">
                  <c:v>343258.81</c:v>
                </c:pt>
                <c:pt idx="178">
                  <c:v>343258.81</c:v>
                </c:pt>
                <c:pt idx="179">
                  <c:v>343258.81</c:v>
                </c:pt>
                <c:pt idx="180">
                  <c:v>343258.81</c:v>
                </c:pt>
                <c:pt idx="181">
                  <c:v>351420.85</c:v>
                </c:pt>
                <c:pt idx="182">
                  <c:v>351420.85</c:v>
                </c:pt>
                <c:pt idx="183">
                  <c:v>319295.21000000002</c:v>
                </c:pt>
                <c:pt idx="184">
                  <c:v>319390.87</c:v>
                </c:pt>
                <c:pt idx="185">
                  <c:v>318221.31</c:v>
                </c:pt>
                <c:pt idx="186">
                  <c:v>321494.34000000003</c:v>
                </c:pt>
                <c:pt idx="187">
                  <c:v>321052.05</c:v>
                </c:pt>
                <c:pt idx="188">
                  <c:v>321052</c:v>
                </c:pt>
                <c:pt idx="189">
                  <c:v>347075.9</c:v>
                </c:pt>
                <c:pt idx="190">
                  <c:v>348950.3</c:v>
                </c:pt>
                <c:pt idx="191">
                  <c:v>354130.18</c:v>
                </c:pt>
                <c:pt idx="192">
                  <c:v>354086.18</c:v>
                </c:pt>
                <c:pt idx="193">
                  <c:v>348608</c:v>
                </c:pt>
                <c:pt idx="194">
                  <c:v>313591.89</c:v>
                </c:pt>
                <c:pt idx="195">
                  <c:v>348489.68</c:v>
                </c:pt>
                <c:pt idx="196">
                  <c:v>346634.44</c:v>
                </c:pt>
                <c:pt idx="197">
                  <c:v>346390.75</c:v>
                </c:pt>
                <c:pt idx="198">
                  <c:v>346313.83</c:v>
                </c:pt>
                <c:pt idx="199">
                  <c:v>346084.99</c:v>
                </c:pt>
                <c:pt idx="200">
                  <c:v>346085</c:v>
                </c:pt>
                <c:pt idx="201">
                  <c:v>380839.99</c:v>
                </c:pt>
                <c:pt idx="202">
                  <c:v>380840</c:v>
                </c:pt>
                <c:pt idx="203">
                  <c:v>380840</c:v>
                </c:pt>
                <c:pt idx="204">
                  <c:v>346182.3</c:v>
                </c:pt>
                <c:pt idx="205">
                  <c:v>346103.46</c:v>
                </c:pt>
                <c:pt idx="206">
                  <c:v>339569.88</c:v>
                </c:pt>
                <c:pt idx="207">
                  <c:v>364967.49</c:v>
                </c:pt>
                <c:pt idx="208">
                  <c:v>343525.33</c:v>
                </c:pt>
                <c:pt idx="209">
                  <c:v>343525</c:v>
                </c:pt>
                <c:pt idx="210">
                  <c:v>340413.21</c:v>
                </c:pt>
                <c:pt idx="211">
                  <c:v>354245.2</c:v>
                </c:pt>
                <c:pt idx="212">
                  <c:v>354086.35</c:v>
                </c:pt>
                <c:pt idx="213">
                  <c:v>354086</c:v>
                </c:pt>
                <c:pt idx="214">
                  <c:v>312941.49</c:v>
                </c:pt>
                <c:pt idx="215">
                  <c:v>312941</c:v>
                </c:pt>
                <c:pt idx="216">
                  <c:v>312941</c:v>
                </c:pt>
                <c:pt idx="217">
                  <c:v>336359.66</c:v>
                </c:pt>
                <c:pt idx="218">
                  <c:v>336077.1</c:v>
                </c:pt>
                <c:pt idx="219">
                  <c:v>336077</c:v>
                </c:pt>
                <c:pt idx="220">
                  <c:v>328153.34999999998</c:v>
                </c:pt>
                <c:pt idx="221">
                  <c:v>328497.34999999998</c:v>
                </c:pt>
                <c:pt idx="222">
                  <c:v>327078.57</c:v>
                </c:pt>
                <c:pt idx="223">
                  <c:v>293224.96000000002</c:v>
                </c:pt>
                <c:pt idx="224">
                  <c:v>297955.08</c:v>
                </c:pt>
                <c:pt idx="225">
                  <c:v>297955</c:v>
                </c:pt>
                <c:pt idx="226">
                  <c:v>301097.59000000003</c:v>
                </c:pt>
                <c:pt idx="227">
                  <c:v>300720.71000000002</c:v>
                </c:pt>
                <c:pt idx="228">
                  <c:v>300721</c:v>
                </c:pt>
                <c:pt idx="229">
                  <c:v>300721</c:v>
                </c:pt>
                <c:pt idx="230">
                  <c:v>298371.37</c:v>
                </c:pt>
                <c:pt idx="231">
                  <c:v>298371</c:v>
                </c:pt>
                <c:pt idx="232">
                  <c:v>297912.75</c:v>
                </c:pt>
                <c:pt idx="233">
                  <c:v>260100.75</c:v>
                </c:pt>
                <c:pt idx="234">
                  <c:v>260101</c:v>
                </c:pt>
                <c:pt idx="235">
                  <c:v>259952.43</c:v>
                </c:pt>
                <c:pt idx="236">
                  <c:v>259952</c:v>
                </c:pt>
                <c:pt idx="237">
                  <c:v>261011.41</c:v>
                </c:pt>
                <c:pt idx="238">
                  <c:v>256570.76</c:v>
                </c:pt>
                <c:pt idx="239">
                  <c:v>256571</c:v>
                </c:pt>
                <c:pt idx="240">
                  <c:v>343824.57</c:v>
                </c:pt>
                <c:pt idx="241">
                  <c:v>348428.77</c:v>
                </c:pt>
                <c:pt idx="242">
                  <c:v>348429</c:v>
                </c:pt>
                <c:pt idx="243">
                  <c:v>313593.81</c:v>
                </c:pt>
                <c:pt idx="244">
                  <c:v>320775.28999999998</c:v>
                </c:pt>
                <c:pt idx="245">
                  <c:v>321115.28999999998</c:v>
                </c:pt>
                <c:pt idx="246">
                  <c:v>314719.49</c:v>
                </c:pt>
                <c:pt idx="247">
                  <c:v>317009.81</c:v>
                </c:pt>
                <c:pt idx="248">
                  <c:v>316409.81</c:v>
                </c:pt>
                <c:pt idx="249">
                  <c:v>316462.65000000002</c:v>
                </c:pt>
                <c:pt idx="250">
                  <c:v>337790.61</c:v>
                </c:pt>
                <c:pt idx="251">
                  <c:v>337791</c:v>
                </c:pt>
                <c:pt idx="252">
                  <c:v>337791</c:v>
                </c:pt>
                <c:pt idx="253">
                  <c:v>304627.44</c:v>
                </c:pt>
                <c:pt idx="254">
                  <c:v>304802.88</c:v>
                </c:pt>
                <c:pt idx="255">
                  <c:v>304803</c:v>
                </c:pt>
                <c:pt idx="256">
                  <c:v>338461.96</c:v>
                </c:pt>
                <c:pt idx="257">
                  <c:v>338462</c:v>
                </c:pt>
                <c:pt idx="258">
                  <c:v>373533.96</c:v>
                </c:pt>
                <c:pt idx="259">
                  <c:v>373168.21</c:v>
                </c:pt>
                <c:pt idx="260">
                  <c:v>375552.7</c:v>
                </c:pt>
                <c:pt idx="261">
                  <c:v>397543.49</c:v>
                </c:pt>
                <c:pt idx="262">
                  <c:v>397543</c:v>
                </c:pt>
                <c:pt idx="263">
                  <c:v>380539.51</c:v>
                </c:pt>
                <c:pt idx="264">
                  <c:v>349091.91</c:v>
                </c:pt>
                <c:pt idx="265">
                  <c:v>349092</c:v>
                </c:pt>
                <c:pt idx="266">
                  <c:v>409281.75</c:v>
                </c:pt>
                <c:pt idx="267">
                  <c:v>408971.69</c:v>
                </c:pt>
                <c:pt idx="268">
                  <c:v>408739.83</c:v>
                </c:pt>
                <c:pt idx="269">
                  <c:v>401650.97</c:v>
                </c:pt>
                <c:pt idx="270">
                  <c:v>413709.67</c:v>
                </c:pt>
                <c:pt idx="271">
                  <c:v>412321.56</c:v>
                </c:pt>
                <c:pt idx="272">
                  <c:v>412384.91</c:v>
                </c:pt>
                <c:pt idx="273">
                  <c:v>412385</c:v>
                </c:pt>
                <c:pt idx="274">
                  <c:v>417699.08</c:v>
                </c:pt>
                <c:pt idx="275">
                  <c:v>417952.08</c:v>
                </c:pt>
                <c:pt idx="276">
                  <c:v>402996.41</c:v>
                </c:pt>
                <c:pt idx="277">
                  <c:v>402527.5</c:v>
                </c:pt>
                <c:pt idx="278">
                  <c:v>402528</c:v>
                </c:pt>
                <c:pt idx="279">
                  <c:v>399742.18</c:v>
                </c:pt>
                <c:pt idx="280">
                  <c:v>399886.18</c:v>
                </c:pt>
                <c:pt idx="281">
                  <c:v>393628.47</c:v>
                </c:pt>
                <c:pt idx="282">
                  <c:v>393628</c:v>
                </c:pt>
                <c:pt idx="283">
                  <c:v>393628</c:v>
                </c:pt>
                <c:pt idx="284">
                  <c:v>359326.4</c:v>
                </c:pt>
                <c:pt idx="285">
                  <c:v>359521.7</c:v>
                </c:pt>
                <c:pt idx="286">
                  <c:v>359522</c:v>
                </c:pt>
                <c:pt idx="287">
                  <c:v>347055.28</c:v>
                </c:pt>
                <c:pt idx="288">
                  <c:v>369629.13</c:v>
                </c:pt>
                <c:pt idx="289">
                  <c:v>382278.77</c:v>
                </c:pt>
                <c:pt idx="290">
                  <c:v>382279</c:v>
                </c:pt>
                <c:pt idx="291">
                  <c:v>378310.6</c:v>
                </c:pt>
                <c:pt idx="292">
                  <c:v>378369.91</c:v>
                </c:pt>
                <c:pt idx="293">
                  <c:v>378370</c:v>
                </c:pt>
                <c:pt idx="294">
                  <c:v>345442.81</c:v>
                </c:pt>
                <c:pt idx="295">
                  <c:v>345443</c:v>
                </c:pt>
                <c:pt idx="296">
                  <c:v>345443</c:v>
                </c:pt>
                <c:pt idx="297">
                  <c:v>364859.97</c:v>
                </c:pt>
                <c:pt idx="298">
                  <c:v>368452.97</c:v>
                </c:pt>
                <c:pt idx="299">
                  <c:v>368407.65</c:v>
                </c:pt>
                <c:pt idx="300">
                  <c:v>373249.01</c:v>
                </c:pt>
                <c:pt idx="301">
                  <c:v>373249.01</c:v>
                </c:pt>
                <c:pt idx="302">
                  <c:v>404359.4</c:v>
                </c:pt>
              </c:numCache>
            </c:numRef>
          </c:val>
          <c:smooth val="0"/>
        </c:ser>
        <c:dLbls>
          <c:showLegendKey val="0"/>
          <c:showVal val="0"/>
          <c:showCatName val="0"/>
          <c:showSerName val="0"/>
          <c:showPercent val="0"/>
          <c:showBubbleSize val="0"/>
        </c:dLbls>
        <c:smooth val="0"/>
        <c:axId val="414802280"/>
        <c:axId val="414801888"/>
      </c:lineChart>
      <c:dateAx>
        <c:axId val="4148022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801888"/>
        <c:crosses val="autoZero"/>
        <c:auto val="1"/>
        <c:lblOffset val="100"/>
        <c:baseTimeUnit val="days"/>
        <c:majorUnit val="30"/>
        <c:majorTimeUnit val="days"/>
        <c:minorUnit val="4"/>
        <c:minorTimeUnit val="months"/>
      </c:dateAx>
      <c:valAx>
        <c:axId val="414801888"/>
        <c:scaling>
          <c:orientation val="minMax"/>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8022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Data!$F$559:$F$583</c:f>
              <c:numCache>
                <c:formatCode>mmm\-yy</c:formatCode>
                <c:ptCount val="25"/>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numCache>
            </c:numRef>
          </c:cat>
          <c:val>
            <c:numRef>
              <c:f>Data!$G$559:$G$583</c:f>
              <c:numCache>
                <c:formatCode>"$"#,##0_);[Red]\("$"#,##0\)</c:formatCode>
                <c:ptCount val="25"/>
                <c:pt idx="0">
                  <c:v>233504.28</c:v>
                </c:pt>
                <c:pt idx="1">
                  <c:v>166530.44</c:v>
                </c:pt>
                <c:pt idx="2">
                  <c:v>245292.72</c:v>
                </c:pt>
                <c:pt idx="3">
                  <c:v>322895</c:v>
                </c:pt>
                <c:pt idx="4">
                  <c:v>388590.24</c:v>
                </c:pt>
                <c:pt idx="5">
                  <c:v>244069.19</c:v>
                </c:pt>
                <c:pt idx="6">
                  <c:v>265093.77</c:v>
                </c:pt>
                <c:pt idx="7">
                  <c:v>218979.44</c:v>
                </c:pt>
                <c:pt idx="8">
                  <c:v>271553.78999999998</c:v>
                </c:pt>
                <c:pt idx="9">
                  <c:v>272625.19</c:v>
                </c:pt>
                <c:pt idx="10">
                  <c:v>249105.04</c:v>
                </c:pt>
                <c:pt idx="11">
                  <c:v>224675.57</c:v>
                </c:pt>
                <c:pt idx="12">
                  <c:v>239981.51</c:v>
                </c:pt>
                <c:pt idx="13">
                  <c:v>202465.72</c:v>
                </c:pt>
                <c:pt idx="14">
                  <c:v>298881.24</c:v>
                </c:pt>
                <c:pt idx="15">
                  <c:v>326352.59000000003</c:v>
                </c:pt>
                <c:pt idx="16">
                  <c:v>247842.14</c:v>
                </c:pt>
                <c:pt idx="17">
                  <c:v>256001.05</c:v>
                </c:pt>
                <c:pt idx="18">
                  <c:v>319553.11</c:v>
                </c:pt>
                <c:pt idx="19">
                  <c:v>373887.89</c:v>
                </c:pt>
                <c:pt idx="20">
                  <c:v>387259.9</c:v>
                </c:pt>
                <c:pt idx="21">
                  <c:v>393896.48</c:v>
                </c:pt>
                <c:pt idx="22">
                  <c:v>318622.86</c:v>
                </c:pt>
                <c:pt idx="23">
                  <c:v>310792.11</c:v>
                </c:pt>
                <c:pt idx="24">
                  <c:v>337545.3</c:v>
                </c:pt>
              </c:numCache>
            </c:numRef>
          </c:val>
        </c:ser>
        <c:dLbls>
          <c:showLegendKey val="0"/>
          <c:showVal val="0"/>
          <c:showCatName val="0"/>
          <c:showSerName val="0"/>
          <c:showPercent val="0"/>
          <c:showBubbleSize val="0"/>
        </c:dLbls>
        <c:gapWidth val="243"/>
        <c:overlap val="-83"/>
        <c:axId val="414806592"/>
        <c:axId val="414805416"/>
      </c:barChart>
      <c:dateAx>
        <c:axId val="4148065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805416"/>
        <c:crosses val="autoZero"/>
        <c:auto val="1"/>
        <c:lblOffset val="100"/>
        <c:baseTimeUnit val="months"/>
      </c:dateAx>
      <c:valAx>
        <c:axId val="4148054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806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Data!$J$526:$J$584</c:f>
              <c:numCache>
                <c:formatCode>mmm\-yy</c:formatCode>
                <c:ptCount val="59"/>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numCache>
            </c:numRef>
          </c:xVal>
          <c:yVal>
            <c:numRef>
              <c:f>Data!$K$526:$K$584</c:f>
              <c:numCache>
                <c:formatCode>_("$"* #,##0_);_("$"* \(#,##0\);_("$"* "-"_);_(@_)</c:formatCode>
                <c:ptCount val="59"/>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numCache>
            </c:numRef>
          </c:yVal>
          <c:smooth val="0"/>
        </c:ser>
        <c:dLbls>
          <c:showLegendKey val="0"/>
          <c:showVal val="0"/>
          <c:showCatName val="0"/>
          <c:showSerName val="0"/>
          <c:showPercent val="0"/>
          <c:showBubbleSize val="0"/>
        </c:dLbls>
        <c:axId val="414803064"/>
        <c:axId val="414806984"/>
      </c:scatterChart>
      <c:valAx>
        <c:axId val="414803064"/>
        <c:scaling>
          <c:orientation val="minMax"/>
          <c:max val="44235"/>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806984"/>
        <c:crosses val="autoZero"/>
        <c:crossBetween val="midCat"/>
      </c:valAx>
      <c:valAx>
        <c:axId val="414806984"/>
        <c:scaling>
          <c:orientation val="minMax"/>
          <c:max val="210000"/>
          <c:min val="150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8030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414799176"/>
        <c:axId val="414799568"/>
      </c:scatterChart>
      <c:valAx>
        <c:axId val="41479917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799568"/>
        <c:crosses val="autoZero"/>
        <c:crossBetween val="midCat"/>
      </c:valAx>
      <c:valAx>
        <c:axId val="4147995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7991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'February''21 AR Aging '!$B$197</c:f>
              <c:strCache>
                <c:ptCount val="1"/>
                <c:pt idx="0">
                  <c:v>Current Month</c:v>
                </c:pt>
              </c:strCache>
            </c:strRef>
          </c:tx>
          <c:spPr>
            <a:solidFill>
              <a:srgbClr val="0070C0"/>
            </a:solidFill>
          </c:spPr>
          <c:invertIfNegative val="0"/>
          <c:val>
            <c:numRef>
              <c:f>'February''21 AR Aging '!$C$197:$N$197</c:f>
            </c:numRef>
          </c:val>
          <c:extLst>
            <c:ext xmlns:c15="http://schemas.microsoft.com/office/drawing/2012/chart" uri="{02D57815-91ED-43cb-92C2-25804820EDAC}">
              <c15:filteredCategoryTitle>
                <c15:cat>
                  <c:multiLvlStrRef>
                    <c:extLst>
                      <c:ext uri="{02D57815-91ED-43cb-92C2-25804820EDAC}">
                        <c15:formulaRef>
                          <c15:sqref>'February''21 AR Aging '!$C$196:$N$196</c15:sqref>
                        </c15:formulaRef>
                      </c:ext>
                    </c:extLst>
                  </c:multiLvlStrRef>
                </c15:cat>
              </c15:filteredCategoryTitle>
            </c:ext>
          </c:extLst>
        </c:ser>
        <c:ser>
          <c:idx val="1"/>
          <c:order val="1"/>
          <c:tx>
            <c:strRef>
              <c:f>'February''21 AR Aging '!$B$198</c:f>
              <c:strCache>
                <c:ptCount val="1"/>
                <c:pt idx="0">
                  <c:v>Previous Month</c:v>
                </c:pt>
              </c:strCache>
            </c:strRef>
          </c:tx>
          <c:spPr>
            <a:solidFill>
              <a:schemeClr val="accent6">
                <a:lumMod val="40000"/>
                <a:lumOff val="60000"/>
              </a:schemeClr>
            </a:solidFill>
          </c:spPr>
          <c:invertIfNegative val="0"/>
          <c:val>
            <c:numRef>
              <c:f>'February''21 AR Aging '!$C$198:$N$198</c:f>
            </c:numRef>
          </c:val>
          <c:extLst>
            <c:ext xmlns:c15="http://schemas.microsoft.com/office/drawing/2012/chart" uri="{02D57815-91ED-43cb-92C2-25804820EDAC}">
              <c15:filteredCategoryTitle>
                <c15:cat>
                  <c:multiLvlStrRef>
                    <c:extLst>
                      <c:ext uri="{02D57815-91ED-43cb-92C2-25804820EDAC}">
                        <c15:formulaRef>
                          <c15:sqref>'February''21 AR Aging '!$C$196:$N$196</c15:sqref>
                        </c15:formulaRef>
                      </c:ext>
                    </c:extLst>
                  </c:multiLvlStrRef>
                </c15:cat>
              </c15:filteredCategoryTitle>
            </c:ext>
          </c:extLst>
        </c:ser>
        <c:ser>
          <c:idx val="2"/>
          <c:order val="2"/>
          <c:tx>
            <c:strRef>
              <c:f>'February''21 AR Aging '!$B$199</c:f>
              <c:strCache>
                <c:ptCount val="1"/>
                <c:pt idx="0">
                  <c:v>Three Months Ago</c:v>
                </c:pt>
              </c:strCache>
            </c:strRef>
          </c:tx>
          <c:spPr>
            <a:solidFill>
              <a:schemeClr val="accent3">
                <a:lumMod val="75000"/>
              </a:schemeClr>
            </a:solidFill>
          </c:spPr>
          <c:invertIfNegative val="0"/>
          <c:val>
            <c:numRef>
              <c:f>'February''21 AR Aging '!$C$199:$N$199</c:f>
            </c:numRef>
          </c:val>
          <c:extLst>
            <c:ext xmlns:c15="http://schemas.microsoft.com/office/drawing/2012/chart" uri="{02D57815-91ED-43cb-92C2-25804820EDAC}">
              <c15:filteredCategoryTitle>
                <c15:cat>
                  <c:multiLvlStrRef>
                    <c:extLst>
                      <c:ext uri="{02D57815-91ED-43cb-92C2-25804820EDAC}">
                        <c15:formulaRef>
                          <c15:sqref>'February''21 AR Aging '!$C$196:$N$196</c15:sqref>
                        </c15:formulaRef>
                      </c:ext>
                    </c:extLst>
                  </c:multiLvlStrRef>
                </c15:cat>
              </c15:filteredCategoryTitle>
            </c:ext>
          </c:extLst>
        </c:ser>
        <c:ser>
          <c:idx val="3"/>
          <c:order val="3"/>
          <c:tx>
            <c:strRef>
              <c:f>'February''21 AR Aging '!$B$200</c:f>
              <c:strCache>
                <c:ptCount val="1"/>
                <c:pt idx="0">
                  <c:v>Older than Three Months</c:v>
                </c:pt>
              </c:strCache>
            </c:strRef>
          </c:tx>
          <c:spPr>
            <a:solidFill>
              <a:schemeClr val="accent4">
                <a:lumMod val="40000"/>
                <a:lumOff val="60000"/>
              </a:schemeClr>
            </a:solidFill>
          </c:spPr>
          <c:invertIfNegative val="0"/>
          <c:val>
            <c:numRef>
              <c:f>'February''21 AR Aging '!$C$200:$N$200</c:f>
            </c:numRef>
          </c:val>
          <c:extLst>
            <c:ext xmlns:c15="http://schemas.microsoft.com/office/drawing/2012/chart" uri="{02D57815-91ED-43cb-92C2-25804820EDAC}">
              <c15:filteredCategoryTitle>
                <c15:cat>
                  <c:multiLvlStrRef>
                    <c:extLst>
                      <c:ext uri="{02D57815-91ED-43cb-92C2-25804820EDAC}">
                        <c15:formulaRef>
                          <c15:sqref>'February''21 AR Aging '!$C$196:$N$196</c15:sqref>
                        </c15:formulaRef>
                      </c:ext>
                    </c:extLst>
                  </c:multiLvlStrRef>
                </c15:cat>
              </c15:filteredCategoryTitle>
            </c:ext>
          </c:extLst>
        </c:ser>
        <c:dLbls>
          <c:showLegendKey val="0"/>
          <c:showVal val="0"/>
          <c:showCatName val="0"/>
          <c:showSerName val="0"/>
          <c:showPercent val="0"/>
          <c:showBubbleSize val="0"/>
        </c:dLbls>
        <c:gapWidth val="56"/>
        <c:overlap val="100"/>
        <c:axId val="414794080"/>
        <c:axId val="414796432"/>
      </c:barChart>
      <c:catAx>
        <c:axId val="414794080"/>
        <c:scaling>
          <c:orientation val="minMax"/>
        </c:scaling>
        <c:delete val="0"/>
        <c:axPos val="b"/>
        <c:numFmt formatCode="[$-409]mmmm\-yy;@" sourceLinked="1"/>
        <c:majorTickMark val="none"/>
        <c:minorTickMark val="none"/>
        <c:tickLblPos val="nextTo"/>
        <c:spPr>
          <a:noFill/>
          <a:ln w="22225"/>
        </c:spPr>
        <c:crossAx val="414796432"/>
        <c:crosses val="autoZero"/>
        <c:auto val="0"/>
        <c:lblAlgn val="ctr"/>
        <c:lblOffset val="100"/>
        <c:tickLblSkip val="1"/>
        <c:noMultiLvlLbl val="0"/>
      </c:catAx>
      <c:valAx>
        <c:axId val="414796432"/>
        <c:scaling>
          <c:orientation val="minMax"/>
        </c:scaling>
        <c:delete val="0"/>
        <c:axPos val="l"/>
        <c:majorGridlines/>
        <c:numFmt formatCode="&quot;$&quot;#,##0_);[Red]\(&quot;$&quot;#,##0\)" sourceLinked="1"/>
        <c:majorTickMark val="none"/>
        <c:minorTickMark val="none"/>
        <c:tickLblPos val="nextTo"/>
        <c:crossAx val="41479408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24</xdr:row>
      <xdr:rowOff>447675</xdr:rowOff>
    </xdr:from>
    <xdr:to>
      <xdr:col>7</xdr:col>
      <xdr:colOff>1200150</xdr:colOff>
      <xdr:row>31</xdr:row>
      <xdr:rowOff>371475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190</xdr:row>
      <xdr:rowOff>47625</xdr:rowOff>
    </xdr:from>
    <xdr:to>
      <xdr:col>8</xdr:col>
      <xdr:colOff>523875</xdr:colOff>
      <xdr:row>227</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HC%20Financial%20Report%2004%2030%202020%20Updated%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HC%20Financial%20Report%2012%2031%20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sheetData sheetId="1"/>
      <sheetData sheetId="2">
        <row r="8">
          <cell r="I8">
            <v>18886</v>
          </cell>
        </row>
      </sheetData>
      <sheetData sheetId="3"/>
      <sheetData sheetId="4"/>
      <sheetData sheetId="5">
        <row r="8">
          <cell r="G8">
            <v>43951</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Updated Operating Budget"/>
      <sheetName val="December'20 Revenues &amp; Expenses"/>
      <sheetName val="December'20 AR Aging "/>
      <sheetName val="December'20 Financial Position"/>
      <sheetName val="December'20 State of Activities"/>
      <sheetName val="December'20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row r="40">
          <cell r="G40">
            <v>4500</v>
          </cell>
        </row>
        <row r="43">
          <cell r="G43">
            <v>12536.86</v>
          </cell>
        </row>
        <row r="64">
          <cell r="G64">
            <v>10000</v>
          </cell>
        </row>
        <row r="70">
          <cell r="G70">
            <v>324942.15999999997</v>
          </cell>
        </row>
      </sheetData>
      <sheetData sheetId="5"/>
      <sheetData sheetId="6">
        <row r="25">
          <cell r="H25">
            <v>46575</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tabSelected="1"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881" t="s">
        <v>175</v>
      </c>
      <c r="B1" s="881"/>
      <c r="C1" s="881"/>
      <c r="D1" s="881"/>
      <c r="E1" s="881"/>
      <c r="F1" s="881"/>
      <c r="G1" s="881"/>
      <c r="H1" s="881"/>
    </row>
    <row r="2" spans="1:8" ht="23.25" x14ac:dyDescent="0.2">
      <c r="A2" s="881" t="s">
        <v>176</v>
      </c>
      <c r="B2" s="881"/>
      <c r="C2" s="881"/>
      <c r="D2" s="881"/>
      <c r="E2" s="881"/>
      <c r="F2" s="881"/>
      <c r="G2" s="881"/>
      <c r="H2" s="881"/>
    </row>
    <row r="3" spans="1:8" ht="23.25" x14ac:dyDescent="0.2">
      <c r="A3" s="882">
        <v>44278</v>
      </c>
      <c r="B3" s="882"/>
      <c r="C3" s="882"/>
      <c r="D3" s="882"/>
      <c r="E3" s="882"/>
      <c r="F3" s="882"/>
      <c r="G3" s="882"/>
      <c r="H3" s="882"/>
    </row>
    <row r="4" spans="1:8" ht="21.75" customHeight="1" x14ac:dyDescent="0.2">
      <c r="A4" s="884" t="s">
        <v>186</v>
      </c>
      <c r="B4" s="884"/>
      <c r="C4" s="884"/>
      <c r="D4" s="884"/>
      <c r="E4" s="884"/>
      <c r="F4" s="884"/>
      <c r="G4" s="884"/>
      <c r="H4" s="884"/>
    </row>
    <row r="5" spans="1:8" ht="83.25" customHeight="1" x14ac:dyDescent="0.2">
      <c r="A5" s="859" t="s">
        <v>536</v>
      </c>
      <c r="B5" s="859"/>
      <c r="C5" s="859"/>
      <c r="D5" s="859"/>
      <c r="E5" s="859"/>
      <c r="F5" s="859"/>
      <c r="G5" s="859"/>
      <c r="H5" s="859"/>
    </row>
    <row r="6" spans="1:8" ht="81" customHeight="1" x14ac:dyDescent="0.2">
      <c r="A6" s="481"/>
      <c r="B6" s="481"/>
      <c r="C6" s="481"/>
      <c r="D6" s="481"/>
      <c r="E6" s="481"/>
      <c r="F6" s="481"/>
      <c r="G6" s="481"/>
      <c r="H6" s="481"/>
    </row>
    <row r="7" spans="1:8" ht="81" customHeight="1" x14ac:dyDescent="0.2">
      <c r="A7" s="481"/>
      <c r="B7" s="481"/>
      <c r="C7" s="481"/>
      <c r="D7" s="481"/>
      <c r="E7" s="481"/>
      <c r="F7" s="481"/>
      <c r="G7" s="481"/>
      <c r="H7" s="481"/>
    </row>
    <row r="8" spans="1:8" ht="81" customHeight="1" x14ac:dyDescent="0.2">
      <c r="A8" s="481"/>
      <c r="B8" s="481"/>
      <c r="C8" s="481"/>
      <c r="D8" s="481"/>
      <c r="E8" s="481"/>
      <c r="F8" s="481"/>
      <c r="G8" s="481"/>
      <c r="H8" s="481"/>
    </row>
    <row r="9" spans="1:8" ht="53.25" customHeight="1" x14ac:dyDescent="0.25">
      <c r="A9" s="861" t="s">
        <v>537</v>
      </c>
      <c r="B9" s="861"/>
      <c r="C9" s="861"/>
      <c r="D9" s="861"/>
      <c r="E9" s="861"/>
      <c r="F9" s="861"/>
      <c r="G9" s="861"/>
      <c r="H9" s="861"/>
    </row>
    <row r="10" spans="1:8" ht="15.75" x14ac:dyDescent="0.25">
      <c r="A10" s="451"/>
      <c r="B10" s="854"/>
      <c r="C10" s="854"/>
      <c r="D10" s="442"/>
      <c r="E10" s="448" t="s">
        <v>53</v>
      </c>
      <c r="F10" s="448" t="s">
        <v>371</v>
      </c>
      <c r="G10" s="443"/>
      <c r="H10" s="451"/>
    </row>
    <row r="11" spans="1:8" ht="15.75" customHeight="1" x14ac:dyDescent="0.25">
      <c r="A11" s="451"/>
      <c r="C11" s="883" t="s">
        <v>393</v>
      </c>
      <c r="D11" s="883"/>
      <c r="E11" s="479">
        <f>'February''21 AR Aging '!G8</f>
        <v>39234.080000000002</v>
      </c>
      <c r="F11" s="695">
        <f>E11/E$18</f>
        <v>9.8313481446080764E-2</v>
      </c>
      <c r="G11" s="444"/>
      <c r="H11" s="451"/>
    </row>
    <row r="12" spans="1:8" ht="15.75" customHeight="1" x14ac:dyDescent="0.25">
      <c r="A12" s="451"/>
      <c r="C12" s="883" t="s">
        <v>391</v>
      </c>
      <c r="D12" s="883"/>
      <c r="E12" s="482">
        <f>'February''21 AR Aging '!G32</f>
        <v>68241.06</v>
      </c>
      <c r="F12" s="695">
        <f t="shared" ref="F12:F17" si="0">E12/E$18</f>
        <v>0.17099970704476525</v>
      </c>
      <c r="G12" s="444"/>
      <c r="H12" s="451"/>
    </row>
    <row r="13" spans="1:8" ht="15.75" customHeight="1" x14ac:dyDescent="0.25">
      <c r="A13" s="451"/>
      <c r="C13" s="883" t="s">
        <v>392</v>
      </c>
      <c r="D13" s="883"/>
      <c r="E13" s="482">
        <f>'February''21 AR Aging '!G14</f>
        <v>126721.71</v>
      </c>
      <c r="F13" s="695">
        <f t="shared" si="0"/>
        <v>0.31754159865353354</v>
      </c>
      <c r="G13" s="444"/>
      <c r="H13" s="451"/>
    </row>
    <row r="14" spans="1:8" ht="15.75" customHeight="1" x14ac:dyDescent="0.25">
      <c r="A14" s="451"/>
      <c r="C14" s="854" t="s">
        <v>48</v>
      </c>
      <c r="D14" s="854"/>
      <c r="E14" s="482">
        <f>'February''21 AR Aging '!G43</f>
        <v>13017.17</v>
      </c>
      <c r="F14" s="695">
        <f t="shared" si="0"/>
        <v>3.2618664724022563E-2</v>
      </c>
      <c r="G14" s="444"/>
      <c r="H14" s="451"/>
    </row>
    <row r="15" spans="1:8" ht="15.75" customHeight="1" x14ac:dyDescent="0.25">
      <c r="A15" s="451"/>
      <c r="C15" s="854" t="s">
        <v>548</v>
      </c>
      <c r="D15" s="854"/>
      <c r="E15" s="482">
        <f>'February''21 AR Aging '!G51+'February''21 AR Aging '!G56+'February''21 AR Aging '!G58+'February''21 AR Aging '!G39+'February''21 AR Aging '!G40+'February''21 AR Aging '!G68+'February''21 AR Aging '!G66</f>
        <v>140689.85999999999</v>
      </c>
      <c r="F15" s="695">
        <f t="shared" si="0"/>
        <v>0.35254324660503567</v>
      </c>
      <c r="G15" s="444"/>
      <c r="H15" s="451"/>
    </row>
    <row r="16" spans="1:8" ht="15.75" customHeight="1" x14ac:dyDescent="0.25">
      <c r="A16" s="682"/>
      <c r="C16" s="854" t="s">
        <v>345</v>
      </c>
      <c r="D16" s="854"/>
      <c r="E16" s="482">
        <f>'February''21 AR Aging '!G64+'February''21 AR Aging '!G41</f>
        <v>5190.32</v>
      </c>
      <c r="F16" s="695">
        <f t="shared" si="0"/>
        <v>1.3005999605934989E-2</v>
      </c>
      <c r="G16" s="444"/>
      <c r="H16" s="682"/>
    </row>
    <row r="17" spans="1:13" ht="15.75" customHeight="1" x14ac:dyDescent="0.25">
      <c r="A17" s="451"/>
      <c r="C17" s="854" t="s">
        <v>361</v>
      </c>
      <c r="D17" s="854"/>
      <c r="E17" s="482">
        <f>'February''21 AR Aging '!G60+'February''21 AR Aging '!G42+'February''21 AR Aging '!G62</f>
        <v>5977.01</v>
      </c>
      <c r="F17" s="695">
        <f t="shared" si="0"/>
        <v>1.4977301920627148E-2</v>
      </c>
      <c r="G17" s="444"/>
      <c r="H17" s="451"/>
    </row>
    <row r="18" spans="1:13" ht="16.5" customHeight="1" thickBot="1" x14ac:dyDescent="0.3">
      <c r="A18" s="451"/>
      <c r="B18" s="854" t="s">
        <v>373</v>
      </c>
      <c r="C18" s="854"/>
      <c r="D18" s="854"/>
      <c r="E18" s="449">
        <f>SUM(E11:E17)</f>
        <v>399071.21</v>
      </c>
      <c r="F18" s="696">
        <f>SUM(F11:F17)</f>
        <v>0.99999999999999989</v>
      </c>
      <c r="G18" s="686"/>
      <c r="H18" s="451"/>
    </row>
    <row r="19" spans="1:13" ht="38.25" customHeight="1" thickTop="1" x14ac:dyDescent="0.2">
      <c r="A19" s="554"/>
      <c r="B19" s="554"/>
      <c r="C19" s="554"/>
      <c r="D19" s="554"/>
      <c r="E19" s="554"/>
      <c r="F19" s="554"/>
      <c r="G19" s="554"/>
      <c r="H19" s="554"/>
    </row>
    <row r="20" spans="1:13" ht="88.5" customHeight="1" x14ac:dyDescent="0.2">
      <c r="A20" s="554"/>
      <c r="B20" s="554"/>
      <c r="C20" s="554"/>
      <c r="D20" s="554"/>
      <c r="E20" s="554"/>
      <c r="F20" s="554"/>
      <c r="G20" s="554"/>
      <c r="H20" s="554"/>
    </row>
    <row r="21" spans="1:13" ht="88.5" customHeight="1" x14ac:dyDescent="0.2">
      <c r="A21" s="554"/>
      <c r="B21" s="554"/>
      <c r="C21" s="554"/>
      <c r="D21" s="554"/>
      <c r="E21" s="554"/>
      <c r="F21" s="554"/>
      <c r="G21" s="554"/>
      <c r="H21" s="554"/>
    </row>
    <row r="22" spans="1:13" ht="88.5" customHeight="1" x14ac:dyDescent="0.2">
      <c r="A22" s="554"/>
      <c r="B22" s="554"/>
      <c r="C22" s="554"/>
      <c r="D22" s="554"/>
      <c r="E22" s="554"/>
      <c r="F22" s="554"/>
      <c r="G22" s="554"/>
      <c r="H22" s="554"/>
    </row>
    <row r="23" spans="1:13" ht="35.25" hidden="1" customHeight="1" x14ac:dyDescent="0.2">
      <c r="A23" s="859" t="s">
        <v>285</v>
      </c>
      <c r="B23" s="859"/>
      <c r="C23" s="859"/>
      <c r="D23" s="859"/>
      <c r="E23" s="859"/>
      <c r="F23" s="859"/>
      <c r="G23" s="859"/>
      <c r="H23" s="859"/>
    </row>
    <row r="24" spans="1:13" ht="15" customHeight="1" x14ac:dyDescent="0.2">
      <c r="A24" s="554"/>
      <c r="B24" s="554"/>
      <c r="C24" s="554"/>
      <c r="D24" s="554"/>
      <c r="E24" s="554"/>
      <c r="F24" s="554"/>
      <c r="G24" s="554"/>
      <c r="H24" s="554"/>
    </row>
    <row r="25" spans="1:13" ht="38.25" customHeight="1" x14ac:dyDescent="0.2">
      <c r="A25" s="859" t="s">
        <v>549</v>
      </c>
      <c r="B25" s="859"/>
      <c r="C25" s="859"/>
      <c r="D25" s="859"/>
      <c r="E25" s="859"/>
      <c r="F25" s="859"/>
      <c r="G25" s="859"/>
      <c r="H25" s="859"/>
      <c r="L25" s="720"/>
    </row>
    <row r="26" spans="1:13" ht="38.25" customHeight="1" x14ac:dyDescent="0.2">
      <c r="A26" s="687"/>
      <c r="B26" s="687"/>
      <c r="C26" s="687"/>
      <c r="D26" s="687"/>
      <c r="E26" s="687"/>
      <c r="F26" s="687"/>
      <c r="G26" s="687"/>
      <c r="H26" s="687"/>
      <c r="L26" s="727"/>
    </row>
    <row r="27" spans="1:13" ht="38.25" customHeight="1" x14ac:dyDescent="0.2">
      <c r="A27" s="687"/>
      <c r="B27" s="687"/>
      <c r="C27" s="687"/>
      <c r="D27" s="687"/>
      <c r="E27" s="687"/>
      <c r="F27" s="687"/>
      <c r="G27" s="687"/>
      <c r="H27" s="687"/>
      <c r="J27" s="720"/>
      <c r="L27" s="727"/>
      <c r="M27" s="727"/>
    </row>
    <row r="28" spans="1:13" ht="38.25" customHeight="1" x14ac:dyDescent="0.2">
      <c r="A28" s="687"/>
      <c r="B28" s="687"/>
      <c r="C28" s="687"/>
      <c r="D28" s="687"/>
      <c r="E28" s="687"/>
      <c r="F28" s="687"/>
      <c r="G28" s="687"/>
      <c r="H28" s="687"/>
      <c r="J28" s="720"/>
      <c r="L28" s="727"/>
    </row>
    <row r="29" spans="1:13" ht="38.25" customHeight="1" x14ac:dyDescent="0.2">
      <c r="A29" s="687"/>
      <c r="B29" s="687"/>
      <c r="C29" s="687"/>
      <c r="D29" s="687"/>
      <c r="E29" s="687"/>
      <c r="F29" s="687"/>
      <c r="G29" s="687"/>
      <c r="H29" s="687"/>
    </row>
    <row r="30" spans="1:13" ht="38.25" customHeight="1" x14ac:dyDescent="0.2">
      <c r="A30" s="687"/>
      <c r="B30" s="687"/>
      <c r="C30" s="687"/>
      <c r="D30" s="687"/>
      <c r="E30" s="687"/>
      <c r="F30" s="687"/>
      <c r="G30" s="687"/>
      <c r="H30" s="687"/>
      <c r="J30" s="727"/>
    </row>
    <row r="31" spans="1:13" ht="38.25" customHeight="1" x14ac:dyDescent="0.2">
      <c r="A31" s="687"/>
      <c r="B31" s="687"/>
      <c r="C31" s="687"/>
      <c r="D31" s="687"/>
      <c r="E31" s="687"/>
      <c r="F31" s="687"/>
      <c r="G31" s="687"/>
      <c r="H31" s="687"/>
      <c r="J31" s="727"/>
    </row>
    <row r="32" spans="1:13" ht="38.25" customHeight="1" x14ac:dyDescent="0.2">
      <c r="A32" s="687"/>
      <c r="B32" s="687"/>
      <c r="C32" s="687"/>
      <c r="D32" s="687"/>
      <c r="E32" s="687"/>
      <c r="F32" s="687"/>
      <c r="G32" s="687"/>
      <c r="H32" s="687"/>
    </row>
    <row r="33" spans="1:12" ht="21.75" customHeight="1" x14ac:dyDescent="0.2">
      <c r="A33" s="687"/>
      <c r="B33" s="687"/>
      <c r="C33" s="687"/>
      <c r="D33" s="687"/>
      <c r="E33" s="687"/>
      <c r="F33" s="687"/>
      <c r="G33" s="687"/>
      <c r="H33" s="687"/>
    </row>
    <row r="34" spans="1:12" ht="30" hidden="1" customHeight="1" x14ac:dyDescent="0.25">
      <c r="A34" s="481"/>
      <c r="B34" s="625" t="s">
        <v>309</v>
      </c>
      <c r="C34" s="626" t="s">
        <v>347</v>
      </c>
      <c r="D34" s="625" t="s">
        <v>245</v>
      </c>
      <c r="E34" s="627" t="s">
        <v>382</v>
      </c>
      <c r="F34" s="627" t="s">
        <v>388</v>
      </c>
      <c r="G34" s="627" t="s">
        <v>421</v>
      </c>
      <c r="H34" s="627" t="s">
        <v>310</v>
      </c>
      <c r="I34" s="604"/>
      <c r="J34" s="605"/>
      <c r="K34" s="604"/>
    </row>
    <row r="35" spans="1:12" ht="15" hidden="1" x14ac:dyDescent="0.2">
      <c r="A35" s="481"/>
      <c r="B35" s="43" t="s">
        <v>385</v>
      </c>
      <c r="C35" s="597">
        <v>-20</v>
      </c>
      <c r="D35" s="597">
        <v>71.92</v>
      </c>
      <c r="E35" s="597">
        <f>10762-10528</f>
        <v>234</v>
      </c>
      <c r="F35" s="597">
        <v>-190</v>
      </c>
      <c r="G35" s="609">
        <v>95.95</v>
      </c>
      <c r="H35" s="716">
        <f>G35/G$45</f>
        <v>5.2028752623263139E-4</v>
      </c>
      <c r="I35" s="93"/>
      <c r="J35" s="706"/>
      <c r="K35" s="18"/>
    </row>
    <row r="36" spans="1:12" ht="15" hidden="1" x14ac:dyDescent="0.2">
      <c r="A36" s="481"/>
      <c r="B36" s="43" t="s">
        <v>246</v>
      </c>
      <c r="C36" s="615">
        <v>38489.56</v>
      </c>
      <c r="D36" s="615">
        <v>1957.5</v>
      </c>
      <c r="E36" s="615"/>
      <c r="F36" s="615">
        <v>3786.43</v>
      </c>
      <c r="G36" s="615">
        <f>C36+D36+F36+E36</f>
        <v>44233.49</v>
      </c>
      <c r="H36" s="716">
        <f>G36/G$45</f>
        <v>0.2398554777356523</v>
      </c>
      <c r="I36" s="606"/>
      <c r="J36" s="706"/>
      <c r="K36" s="707"/>
    </row>
    <row r="37" spans="1:12" ht="15" hidden="1" x14ac:dyDescent="0.25">
      <c r="A37" s="481"/>
      <c r="B37" s="43" t="s">
        <v>247</v>
      </c>
      <c r="C37" s="615">
        <v>14903.11</v>
      </c>
      <c r="D37" s="615">
        <v>192.85</v>
      </c>
      <c r="E37" s="615">
        <v>-15478.91</v>
      </c>
      <c r="F37" s="615">
        <v>382.95</v>
      </c>
      <c r="G37" s="615">
        <f t="shared" ref="G37:G44" si="1">C37+D37+F37+E37</f>
        <v>0</v>
      </c>
      <c r="H37" s="716"/>
      <c r="I37" s="607"/>
      <c r="J37" s="706"/>
      <c r="K37" s="707"/>
      <c r="L37" s="503"/>
    </row>
    <row r="38" spans="1:12" ht="15" hidden="1" x14ac:dyDescent="0.2">
      <c r="A38" s="481"/>
      <c r="B38" s="43" t="s">
        <v>248</v>
      </c>
      <c r="C38" s="615">
        <v>44091.09</v>
      </c>
      <c r="D38" s="615">
        <f>3207.47-14</f>
        <v>3193.47</v>
      </c>
      <c r="E38" s="615"/>
      <c r="F38" s="615">
        <f>10544.9+14</f>
        <v>10558.9</v>
      </c>
      <c r="G38" s="615">
        <f t="shared" si="1"/>
        <v>57843.46</v>
      </c>
      <c r="H38" s="716">
        <f>G38/G$45</f>
        <v>0.31365534874555673</v>
      </c>
      <c r="I38" s="606"/>
      <c r="J38" s="706"/>
      <c r="K38" s="707"/>
      <c r="L38" s="503"/>
    </row>
    <row r="39" spans="1:12" ht="15" hidden="1" x14ac:dyDescent="0.25">
      <c r="A39" s="481"/>
      <c r="B39" s="43" t="s">
        <v>249</v>
      </c>
      <c r="C39" s="615">
        <v>21132.04</v>
      </c>
      <c r="D39" s="615">
        <v>549.69000000000005</v>
      </c>
      <c r="E39" s="615"/>
      <c r="F39" s="615">
        <v>-212.79</v>
      </c>
      <c r="G39" s="615">
        <f t="shared" si="1"/>
        <v>21468.94</v>
      </c>
      <c r="H39" s="716">
        <f>G39/G$45</f>
        <v>0.11641502536150901</v>
      </c>
      <c r="I39" s="607"/>
      <c r="J39" s="706"/>
      <c r="K39" s="707"/>
      <c r="L39" s="503"/>
    </row>
    <row r="40" spans="1:12" ht="15" hidden="1" x14ac:dyDescent="0.25">
      <c r="A40" s="481"/>
      <c r="B40" s="43" t="s">
        <v>250</v>
      </c>
      <c r="C40" s="615">
        <v>21091.57</v>
      </c>
      <c r="D40" s="615">
        <v>438.93</v>
      </c>
      <c r="E40" s="615">
        <v>-22513.11</v>
      </c>
      <c r="F40" s="615">
        <v>982.61</v>
      </c>
      <c r="G40" s="615">
        <f t="shared" si="1"/>
        <v>0</v>
      </c>
      <c r="H40" s="716"/>
      <c r="I40" s="607"/>
      <c r="J40" s="706"/>
      <c r="K40" s="707"/>
      <c r="L40" s="503"/>
    </row>
    <row r="41" spans="1:12" ht="15" hidden="1" x14ac:dyDescent="0.25">
      <c r="A41" s="481"/>
      <c r="B41" s="43" t="s">
        <v>251</v>
      </c>
      <c r="C41" s="615">
        <v>19933.830000000002</v>
      </c>
      <c r="D41" s="615">
        <v>860.03</v>
      </c>
      <c r="E41" s="615">
        <v>-10770</v>
      </c>
      <c r="F41" s="615">
        <v>-375.6</v>
      </c>
      <c r="G41" s="615">
        <f t="shared" si="1"/>
        <v>9648.260000000002</v>
      </c>
      <c r="H41" s="716">
        <f>G41/G$45</f>
        <v>5.2317554224588322E-2</v>
      </c>
      <c r="I41" s="607"/>
      <c r="J41" s="706"/>
      <c r="K41" s="707"/>
      <c r="L41" s="503"/>
    </row>
    <row r="42" spans="1:12" ht="15" hidden="1" x14ac:dyDescent="0.25">
      <c r="A42" s="711"/>
      <c r="B42" s="43" t="s">
        <v>383</v>
      </c>
      <c r="C42" s="615"/>
      <c r="D42" s="615">
        <v>140.21</v>
      </c>
      <c r="E42" s="615">
        <v>15482.91</v>
      </c>
      <c r="F42" s="615">
        <v>64.31</v>
      </c>
      <c r="G42" s="615">
        <f t="shared" si="1"/>
        <v>15687.43</v>
      </c>
      <c r="H42" s="716">
        <f>G42/G$45</f>
        <v>8.5064868657087747E-2</v>
      </c>
      <c r="I42" s="607"/>
      <c r="J42" s="706"/>
      <c r="K42" s="707"/>
      <c r="L42" s="503"/>
    </row>
    <row r="43" spans="1:12" ht="15" hidden="1" x14ac:dyDescent="0.25">
      <c r="A43" s="711"/>
      <c r="B43" s="43" t="s">
        <v>384</v>
      </c>
      <c r="C43" s="615"/>
      <c r="D43" s="615">
        <v>512.02</v>
      </c>
      <c r="E43" s="615">
        <v>22517.11</v>
      </c>
      <c r="F43" s="615">
        <v>817.76</v>
      </c>
      <c r="G43" s="615">
        <f t="shared" si="1"/>
        <v>23846.89</v>
      </c>
      <c r="H43" s="716">
        <f>G43/G$45</f>
        <v>0.12930942580971</v>
      </c>
      <c r="I43" s="607"/>
      <c r="J43" s="706"/>
      <c r="K43" s="707"/>
      <c r="L43" s="503"/>
    </row>
    <row r="44" spans="1:12" ht="17.25" hidden="1" customHeight="1" x14ac:dyDescent="0.2">
      <c r="A44" s="481"/>
      <c r="B44" s="43" t="s">
        <v>408</v>
      </c>
      <c r="C44" s="597"/>
      <c r="D44" s="529">
        <v>81.599999999999994</v>
      </c>
      <c r="E44" s="721">
        <v>10528</v>
      </c>
      <c r="F44" s="597">
        <v>983.24</v>
      </c>
      <c r="G44" s="597">
        <f t="shared" si="1"/>
        <v>11592.84</v>
      </c>
      <c r="H44" s="716">
        <f>G44/G$45</f>
        <v>6.2862011939663356E-2</v>
      </c>
      <c r="I44" s="606"/>
      <c r="J44" s="706"/>
      <c r="K44" s="707"/>
      <c r="L44" s="503"/>
    </row>
    <row r="45" spans="1:12" ht="15" hidden="1" x14ac:dyDescent="0.25">
      <c r="A45" s="481"/>
      <c r="B45" s="598" t="s">
        <v>263</v>
      </c>
      <c r="C45" s="599">
        <f>SUM(C35:C44)</f>
        <v>159621.20000000001</v>
      </c>
      <c r="D45" s="600">
        <f>SUM(D36:D44)</f>
        <v>7926.3000000000011</v>
      </c>
      <c r="E45" s="599">
        <f>SUM(E35:E44)</f>
        <v>0</v>
      </c>
      <c r="F45" s="599">
        <f>SUM(F35:F44)+72</f>
        <v>16869.809999999998</v>
      </c>
      <c r="G45" s="599">
        <f>SUM(G35:G44)</f>
        <v>184417.25999999998</v>
      </c>
      <c r="H45" s="717">
        <f>SUM(H35:H44)</f>
        <v>1.0000000000000002</v>
      </c>
      <c r="I45" s="608"/>
      <c r="J45" s="706"/>
      <c r="K45" s="707"/>
    </row>
    <row r="46" spans="1:12" ht="15" hidden="1" x14ac:dyDescent="0.2">
      <c r="A46" s="491"/>
      <c r="B46" s="708"/>
      <c r="C46" s="709"/>
      <c r="D46" s="709"/>
      <c r="E46" s="709"/>
      <c r="F46" s="709"/>
      <c r="G46" s="710"/>
      <c r="I46" s="1"/>
      <c r="J46" s="706"/>
      <c r="K46" s="707"/>
    </row>
    <row r="47" spans="1:12" ht="15" hidden="1" x14ac:dyDescent="0.2">
      <c r="A47" s="687"/>
      <c r="B47" s="18"/>
      <c r="C47" s="530"/>
      <c r="D47" s="530"/>
      <c r="E47" s="530"/>
      <c r="F47" s="530"/>
      <c r="G47" s="705"/>
      <c r="I47" s="1"/>
      <c r="J47" s="706"/>
      <c r="K47" s="707"/>
    </row>
    <row r="48" spans="1:12" ht="15" hidden="1" x14ac:dyDescent="0.2">
      <c r="A48" s="687"/>
      <c r="B48" s="876" t="s">
        <v>377</v>
      </c>
      <c r="C48" s="876"/>
      <c r="D48" s="876"/>
      <c r="E48" s="876"/>
      <c r="F48" s="687"/>
      <c r="G48" s="687"/>
      <c r="H48" s="687"/>
      <c r="J48" s="706"/>
      <c r="K48" s="707"/>
    </row>
    <row r="49" spans="1:11" ht="47.25" hidden="1" customHeight="1" x14ac:dyDescent="0.2">
      <c r="A49" s="481"/>
      <c r="B49" s="877" t="s">
        <v>260</v>
      </c>
      <c r="C49" s="878"/>
      <c r="D49" s="878"/>
      <c r="E49" s="878"/>
      <c r="F49" s="878"/>
      <c r="G49" s="878"/>
      <c r="H49" s="504"/>
      <c r="J49" s="706"/>
      <c r="K49" s="707"/>
    </row>
    <row r="50" spans="1:11" ht="47.25" hidden="1" customHeight="1" x14ac:dyDescent="0.2">
      <c r="A50" s="481"/>
      <c r="B50" s="877" t="s">
        <v>262</v>
      </c>
      <c r="C50" s="878"/>
      <c r="D50" s="878"/>
      <c r="E50" s="878"/>
      <c r="F50" s="878"/>
      <c r="G50" s="878"/>
      <c r="H50" s="504"/>
      <c r="J50" s="706"/>
      <c r="K50" s="707"/>
    </row>
    <row r="51" spans="1:11" ht="42" hidden="1" customHeight="1" x14ac:dyDescent="0.2">
      <c r="A51" s="481"/>
      <c r="B51" s="879" t="s">
        <v>259</v>
      </c>
      <c r="C51" s="880"/>
      <c r="D51" s="880"/>
      <c r="E51" s="880"/>
      <c r="F51" s="880"/>
      <c r="G51" s="880"/>
      <c r="H51" s="504"/>
      <c r="J51" s="706"/>
      <c r="K51" s="707"/>
    </row>
    <row r="52" spans="1:11" ht="47.25" hidden="1" customHeight="1" x14ac:dyDescent="0.2">
      <c r="A52" s="481"/>
      <c r="B52" s="877" t="s">
        <v>258</v>
      </c>
      <c r="C52" s="878"/>
      <c r="D52" s="878"/>
      <c r="E52" s="878"/>
      <c r="F52" s="878"/>
      <c r="G52" s="878"/>
      <c r="H52" s="504"/>
      <c r="J52" s="706"/>
      <c r="K52" s="707"/>
    </row>
    <row r="53" spans="1:11" ht="47.25" hidden="1" customHeight="1" x14ac:dyDescent="0.2">
      <c r="A53" s="481"/>
      <c r="B53" s="877" t="s">
        <v>257</v>
      </c>
      <c r="C53" s="878"/>
      <c r="D53" s="878"/>
      <c r="E53" s="878"/>
      <c r="F53" s="878"/>
      <c r="G53" s="878"/>
      <c r="H53" s="504"/>
      <c r="J53" s="706"/>
      <c r="K53" s="707"/>
    </row>
    <row r="54" spans="1:11" ht="47.25" hidden="1" customHeight="1" x14ac:dyDescent="0.2">
      <c r="A54" s="481"/>
      <c r="B54" s="877" t="s">
        <v>256</v>
      </c>
      <c r="C54" s="878"/>
      <c r="D54" s="878"/>
      <c r="E54" s="878"/>
      <c r="F54" s="878"/>
      <c r="G54" s="878"/>
      <c r="H54" s="504"/>
      <c r="J54" s="706"/>
      <c r="K54" s="707"/>
    </row>
    <row r="55" spans="1:11" ht="46.5" hidden="1" customHeight="1" x14ac:dyDescent="0.2">
      <c r="A55" s="711"/>
      <c r="B55" s="863" t="s">
        <v>386</v>
      </c>
      <c r="C55" s="864"/>
      <c r="D55" s="864"/>
      <c r="E55" s="864"/>
      <c r="F55" s="864"/>
      <c r="G55" s="864"/>
      <c r="H55" s="504"/>
      <c r="J55" s="706"/>
      <c r="K55" s="715"/>
    </row>
    <row r="56" spans="1:11" ht="38.25" hidden="1" customHeight="1" x14ac:dyDescent="0.2">
      <c r="A56" s="711"/>
      <c r="B56" s="863" t="s">
        <v>387</v>
      </c>
      <c r="C56" s="864"/>
      <c r="D56" s="864"/>
      <c r="E56" s="864"/>
      <c r="F56" s="864"/>
      <c r="G56" s="864"/>
      <c r="H56" s="504"/>
      <c r="J56" s="706"/>
      <c r="K56" s="707"/>
    </row>
    <row r="57" spans="1:11" ht="93" hidden="1" customHeight="1" x14ac:dyDescent="0.2">
      <c r="A57" s="481"/>
      <c r="B57" s="865" t="s">
        <v>407</v>
      </c>
      <c r="C57" s="864"/>
      <c r="D57" s="864"/>
      <c r="E57" s="864"/>
      <c r="F57" s="864"/>
      <c r="G57" s="864"/>
      <c r="H57" s="481"/>
      <c r="J57" s="706"/>
      <c r="K57" s="707"/>
    </row>
    <row r="58" spans="1:11" ht="32.25" customHeight="1" x14ac:dyDescent="0.25">
      <c r="A58" s="861" t="s">
        <v>538</v>
      </c>
      <c r="B58" s="861"/>
      <c r="C58" s="861"/>
      <c r="D58" s="861"/>
      <c r="E58" s="861"/>
      <c r="F58" s="861"/>
      <c r="G58" s="861"/>
      <c r="H58" s="861"/>
      <c r="J58" s="706"/>
      <c r="K58" s="707"/>
    </row>
    <row r="59" spans="1:11" ht="16.5" hidden="1" customHeight="1" x14ac:dyDescent="0.25">
      <c r="A59" s="775"/>
      <c r="B59" s="703" t="s">
        <v>375</v>
      </c>
      <c r="C59" s="775"/>
      <c r="D59" s="775"/>
      <c r="E59" s="775"/>
      <c r="F59" s="775"/>
      <c r="G59" s="775"/>
      <c r="H59" s="775"/>
      <c r="J59" s="706"/>
      <c r="K59" s="707"/>
    </row>
    <row r="60" spans="1:11" ht="15" hidden="1" x14ac:dyDescent="0.25">
      <c r="A60" s="774"/>
      <c r="B60" s="773" t="s">
        <v>252</v>
      </c>
      <c r="C60" s="483" t="s">
        <v>253</v>
      </c>
      <c r="D60" s="773" t="s">
        <v>254</v>
      </c>
      <c r="E60" s="866" t="s">
        <v>24</v>
      </c>
      <c r="F60" s="867"/>
      <c r="G60" s="773" t="s">
        <v>255</v>
      </c>
      <c r="H60" s="774"/>
      <c r="J60" s="706"/>
      <c r="K60" s="707"/>
    </row>
    <row r="61" spans="1:11" ht="30" hidden="1" customHeight="1" x14ac:dyDescent="0.2">
      <c r="A61" s="610"/>
      <c r="B61" s="484">
        <v>44013</v>
      </c>
      <c r="C61" s="490" t="s">
        <v>485</v>
      </c>
      <c r="D61" s="614" t="s">
        <v>358</v>
      </c>
      <c r="E61" s="858" t="s">
        <v>486</v>
      </c>
      <c r="F61" s="858"/>
      <c r="G61" s="485">
        <v>2619</v>
      </c>
      <c r="H61" s="610"/>
    </row>
    <row r="62" spans="1:11" ht="30" hidden="1" customHeight="1" x14ac:dyDescent="0.2">
      <c r="A62" s="610"/>
      <c r="B62" s="484">
        <v>42644</v>
      </c>
      <c r="C62" s="490" t="s">
        <v>17</v>
      </c>
      <c r="D62" s="614" t="s">
        <v>405</v>
      </c>
      <c r="E62" s="858" t="s">
        <v>403</v>
      </c>
      <c r="F62" s="858"/>
      <c r="G62" s="485"/>
      <c r="H62" s="610"/>
    </row>
    <row r="63" spans="1:11" ht="30" hidden="1" customHeight="1" x14ac:dyDescent="0.2">
      <c r="A63" s="610"/>
      <c r="B63" s="484">
        <v>42644</v>
      </c>
      <c r="C63" s="490" t="s">
        <v>404</v>
      </c>
      <c r="D63" s="614" t="s">
        <v>406</v>
      </c>
      <c r="E63" s="858" t="s">
        <v>403</v>
      </c>
      <c r="F63" s="858"/>
      <c r="G63" s="485"/>
      <c r="H63" s="610"/>
    </row>
    <row r="64" spans="1:11" ht="30" hidden="1" customHeight="1" x14ac:dyDescent="0.2">
      <c r="A64" s="624"/>
      <c r="B64" s="484">
        <v>43800</v>
      </c>
      <c r="C64" s="490" t="s">
        <v>422</v>
      </c>
      <c r="D64" s="551" t="s">
        <v>423</v>
      </c>
      <c r="E64" s="858" t="s">
        <v>403</v>
      </c>
      <c r="F64" s="858"/>
      <c r="G64" s="485"/>
      <c r="H64" s="634"/>
    </row>
    <row r="65" spans="1:8" ht="39" hidden="1" customHeight="1" x14ac:dyDescent="0.2">
      <c r="A65" s="624"/>
      <c r="B65" s="484">
        <v>43800</v>
      </c>
      <c r="C65" s="490" t="s">
        <v>428</v>
      </c>
      <c r="D65" s="551" t="s">
        <v>358</v>
      </c>
      <c r="E65" s="858" t="s">
        <v>424</v>
      </c>
      <c r="F65" s="858"/>
      <c r="G65" s="485"/>
      <c r="H65" s="624"/>
    </row>
    <row r="66" spans="1:8" ht="30" hidden="1" customHeight="1" x14ac:dyDescent="0.2">
      <c r="A66" s="624"/>
      <c r="B66" s="484"/>
      <c r="C66" s="490"/>
      <c r="D66" s="614"/>
      <c r="E66" s="858"/>
      <c r="F66" s="858"/>
      <c r="G66" s="485"/>
      <c r="H66" s="624"/>
    </row>
    <row r="67" spans="1:8" ht="30" hidden="1" customHeight="1" x14ac:dyDescent="0.2">
      <c r="A67" s="610"/>
      <c r="B67" s="484"/>
      <c r="C67" s="490"/>
      <c r="D67" s="551"/>
      <c r="E67" s="858"/>
      <c r="F67" s="858"/>
      <c r="G67" s="485"/>
      <c r="H67" s="610"/>
    </row>
    <row r="68" spans="1:8" ht="15" hidden="1" x14ac:dyDescent="0.2">
      <c r="A68" s="610"/>
      <c r="B68" s="543"/>
      <c r="C68" s="544"/>
      <c r="D68" s="545"/>
      <c r="E68" s="546"/>
      <c r="F68" s="488" t="s">
        <v>359</v>
      </c>
      <c r="G68" s="851">
        <f>SUM(G61:G67)</f>
        <v>2619</v>
      </c>
      <c r="H68" s="610"/>
    </row>
    <row r="69" spans="1:8" ht="8.25" customHeight="1" x14ac:dyDescent="0.2">
      <c r="A69" s="687"/>
      <c r="B69" s="543"/>
      <c r="C69" s="544"/>
      <c r="D69" s="545"/>
      <c r="E69" s="546"/>
      <c r="F69" s="488"/>
      <c r="G69" s="852"/>
      <c r="H69" s="687"/>
    </row>
    <row r="70" spans="1:8" ht="21.75" customHeight="1" x14ac:dyDescent="0.2">
      <c r="A70" s="687"/>
      <c r="B70" s="862" t="s">
        <v>540</v>
      </c>
      <c r="C70" s="862"/>
      <c r="D70" s="862"/>
      <c r="E70" s="862"/>
      <c r="F70" s="862"/>
      <c r="G70" s="862"/>
      <c r="H70" s="610"/>
    </row>
    <row r="71" spans="1:8" ht="15" x14ac:dyDescent="0.2">
      <c r="A71" s="610"/>
      <c r="B71" s="547" t="s">
        <v>278</v>
      </c>
      <c r="C71" s="548" t="s">
        <v>281</v>
      </c>
      <c r="D71" s="549" t="s">
        <v>280</v>
      </c>
      <c r="E71" s="856" t="s">
        <v>24</v>
      </c>
      <c r="F71" s="857"/>
      <c r="G71" s="550" t="s">
        <v>279</v>
      </c>
      <c r="H71" s="610"/>
    </row>
    <row r="72" spans="1:8" ht="15" x14ac:dyDescent="0.2">
      <c r="A72" s="610"/>
      <c r="B72" s="484">
        <v>44217</v>
      </c>
      <c r="C72" s="552" t="s">
        <v>357</v>
      </c>
      <c r="D72" s="693">
        <v>139245</v>
      </c>
      <c r="E72" s="858" t="s">
        <v>539</v>
      </c>
      <c r="F72" s="858"/>
      <c r="G72" s="486">
        <v>3150</v>
      </c>
      <c r="H72" s="610"/>
    </row>
    <row r="73" spans="1:8" ht="15" hidden="1" x14ac:dyDescent="0.2">
      <c r="A73" s="610"/>
      <c r="B73" s="484">
        <v>43800</v>
      </c>
      <c r="C73" s="552" t="s">
        <v>357</v>
      </c>
      <c r="D73" s="693">
        <v>84109</v>
      </c>
      <c r="E73" s="858" t="s">
        <v>425</v>
      </c>
      <c r="F73" s="858"/>
      <c r="G73" s="486"/>
      <c r="H73" s="610"/>
    </row>
    <row r="74" spans="1:8" ht="15" x14ac:dyDescent="0.2">
      <c r="A74" s="610"/>
      <c r="B74" s="487"/>
      <c r="C74" s="487"/>
      <c r="D74" s="487"/>
      <c r="E74" s="487"/>
      <c r="F74" s="488" t="s">
        <v>360</v>
      </c>
      <c r="G74" s="489">
        <f>G72</f>
        <v>3150</v>
      </c>
      <c r="H74" s="610"/>
    </row>
    <row r="75" spans="1:8" ht="11.25" customHeight="1" x14ac:dyDescent="0.2">
      <c r="A75" s="481"/>
      <c r="B75" s="481"/>
      <c r="C75" s="481"/>
      <c r="D75" s="481"/>
      <c r="E75" s="481"/>
      <c r="F75" s="481"/>
      <c r="G75" s="481"/>
      <c r="H75" s="481"/>
    </row>
    <row r="76" spans="1:8" ht="39.75" customHeight="1" x14ac:dyDescent="0.2">
      <c r="A76" s="859" t="s">
        <v>541</v>
      </c>
      <c r="B76" s="859"/>
      <c r="C76" s="859"/>
      <c r="D76" s="859"/>
      <c r="E76" s="859"/>
      <c r="F76" s="859"/>
      <c r="G76" s="859"/>
      <c r="H76" s="859"/>
    </row>
    <row r="77" spans="1:8" ht="15.75" hidden="1" customHeight="1" x14ac:dyDescent="0.2">
      <c r="A77" s="445"/>
      <c r="C77" s="853" t="s">
        <v>277</v>
      </c>
      <c r="D77" s="853"/>
      <c r="E77" s="492">
        <v>1823.85</v>
      </c>
      <c r="F77" s="860" t="s">
        <v>282</v>
      </c>
      <c r="G77" s="860"/>
      <c r="H77" s="445"/>
    </row>
    <row r="78" spans="1:8" ht="15.75" hidden="1" customHeight="1" x14ac:dyDescent="0.2">
      <c r="A78" s="445"/>
      <c r="C78" s="853"/>
      <c r="D78" s="853"/>
      <c r="E78" s="492"/>
      <c r="F78" s="860"/>
      <c r="G78" s="860"/>
      <c r="H78" s="445"/>
    </row>
    <row r="79" spans="1:8" ht="15.75" hidden="1" customHeight="1" x14ac:dyDescent="0.2">
      <c r="A79" s="445"/>
      <c r="C79" s="853"/>
      <c r="D79" s="853"/>
      <c r="E79" s="492"/>
      <c r="F79" s="860"/>
      <c r="G79" s="860"/>
      <c r="H79" s="445"/>
    </row>
    <row r="80" spans="1:8" ht="15.75" hidden="1" customHeight="1" x14ac:dyDescent="0.2">
      <c r="A80" s="445"/>
      <c r="C80" s="853" t="s">
        <v>239</v>
      </c>
      <c r="D80" s="853"/>
      <c r="E80" s="492">
        <f>1689.92+2978.07</f>
        <v>4667.99</v>
      </c>
      <c r="F80" s="860" t="s">
        <v>283</v>
      </c>
      <c r="G80" s="860"/>
      <c r="H80" s="445"/>
    </row>
    <row r="81" spans="1:23" ht="16.5" hidden="1" thickBot="1" x14ac:dyDescent="0.25">
      <c r="A81" s="445"/>
      <c r="B81" s="453"/>
      <c r="C81" s="870" t="s">
        <v>215</v>
      </c>
      <c r="D81" s="870"/>
      <c r="E81" s="450">
        <f>SUM(E77:E80)</f>
        <v>6491.84</v>
      </c>
      <c r="F81" s="453"/>
      <c r="G81" s="453"/>
      <c r="H81" s="445"/>
    </row>
    <row r="82" spans="1:23" ht="9.75" customHeight="1" x14ac:dyDescent="0.2">
      <c r="A82" s="445"/>
      <c r="B82" s="541"/>
      <c r="C82" s="542"/>
      <c r="D82" s="542"/>
      <c r="E82" s="553"/>
      <c r="F82" s="541"/>
      <c r="G82" s="541"/>
      <c r="H82" s="445"/>
    </row>
    <row r="83" spans="1:23" ht="33" customHeight="1" x14ac:dyDescent="0.25">
      <c r="A83" s="861" t="s">
        <v>381</v>
      </c>
      <c r="B83" s="861"/>
      <c r="C83" s="861"/>
      <c r="D83" s="861"/>
      <c r="E83" s="861"/>
      <c r="F83" s="861"/>
      <c r="G83" s="861"/>
      <c r="H83" s="861"/>
    </row>
    <row r="84" spans="1:23" ht="11.25" hidden="1" customHeight="1" x14ac:dyDescent="0.2">
      <c r="A84" s="688"/>
      <c r="B84" s="688"/>
      <c r="C84" s="688"/>
      <c r="D84" s="688"/>
      <c r="E84" s="688"/>
      <c r="F84" s="688"/>
      <c r="G84" s="688"/>
      <c r="H84" s="688"/>
    </row>
    <row r="85" spans="1:23" ht="47.25" hidden="1" customHeight="1" x14ac:dyDescent="0.2">
      <c r="A85" s="855" t="s">
        <v>426</v>
      </c>
      <c r="B85" s="855"/>
      <c r="C85" s="855"/>
      <c r="D85" s="855"/>
      <c r="E85" s="855"/>
      <c r="F85" s="855"/>
      <c r="G85" s="855"/>
      <c r="H85" s="855"/>
    </row>
    <row r="86" spans="1:23" ht="8.25" customHeight="1" x14ac:dyDescent="0.2">
      <c r="A86" s="445"/>
      <c r="B86" s="541"/>
      <c r="C86" s="542"/>
      <c r="D86" s="542"/>
      <c r="E86" s="553"/>
      <c r="F86" s="541"/>
      <c r="G86" s="541"/>
      <c r="H86" s="445"/>
    </row>
    <row r="87" spans="1:23" ht="97.5" customHeight="1" x14ac:dyDescent="0.2">
      <c r="A87" s="859" t="s">
        <v>544</v>
      </c>
      <c r="B87" s="859"/>
      <c r="C87" s="859"/>
      <c r="D87" s="859"/>
      <c r="E87" s="859"/>
      <c r="F87" s="859"/>
      <c r="G87" s="859"/>
      <c r="H87" s="859"/>
      <c r="V87" s="480"/>
      <c r="W87" s="479"/>
    </row>
    <row r="88" spans="1:23" ht="47.25" x14ac:dyDescent="0.2">
      <c r="A88" s="452"/>
      <c r="B88" s="872" t="s">
        <v>206</v>
      </c>
      <c r="C88" s="872"/>
      <c r="D88" s="455" t="s">
        <v>207</v>
      </c>
      <c r="E88" s="446" t="s">
        <v>208</v>
      </c>
      <c r="F88" s="455" t="s">
        <v>209</v>
      </c>
      <c r="G88" s="455" t="s">
        <v>542</v>
      </c>
      <c r="H88" s="452"/>
      <c r="V88" s="480"/>
      <c r="W88" s="479"/>
    </row>
    <row r="89" spans="1:23" ht="15.75" customHeight="1" x14ac:dyDescent="0.2">
      <c r="A89" s="452"/>
      <c r="B89" s="874" t="s">
        <v>11</v>
      </c>
      <c r="C89" s="874"/>
      <c r="D89" s="874"/>
      <c r="E89" s="454"/>
      <c r="F89" s="454"/>
      <c r="G89" s="454"/>
      <c r="H89" s="452"/>
      <c r="V89" s="480"/>
      <c r="W89" s="479"/>
    </row>
    <row r="90" spans="1:23" ht="15.75" customHeight="1" x14ac:dyDescent="0.2">
      <c r="A90" s="452"/>
      <c r="B90" s="873" t="s">
        <v>240</v>
      </c>
      <c r="C90" s="873"/>
      <c r="D90" s="776">
        <f>'February''21 Revenues &amp; Expenses'!G41</f>
        <v>1568.86</v>
      </c>
      <c r="E90" s="776">
        <f>'February''21 Revenues &amp; Expenses'!F42</f>
        <v>3000</v>
      </c>
      <c r="F90" s="776">
        <f>-'February''21 Revenues &amp; Expenses'!H41-'February''21 Revenues &amp; Expenses'!H42</f>
        <v>-614.55999999999995</v>
      </c>
      <c r="G90" s="776">
        <f>'February''21 Revenues &amp; Expenses'!K41+'February''21 Revenues &amp; Expenses'!K42</f>
        <v>3954.3</v>
      </c>
      <c r="H90" s="785"/>
      <c r="V90" s="480"/>
      <c r="W90" s="479"/>
    </row>
    <row r="91" spans="1:23" ht="15.75" customHeight="1" x14ac:dyDescent="0.2">
      <c r="A91" s="452"/>
      <c r="B91" s="873" t="s">
        <v>241</v>
      </c>
      <c r="C91" s="873"/>
      <c r="D91" s="776">
        <v>25000</v>
      </c>
      <c r="E91" s="776"/>
      <c r="F91" s="776">
        <f>-'February''21 Revenues &amp; Expenses'!H40</f>
        <v>-3977.6</v>
      </c>
      <c r="G91" s="776">
        <f>'February''21 Revenues &amp; Expenses'!I40</f>
        <v>21022.400000000001</v>
      </c>
      <c r="H91" s="452"/>
      <c r="V91" s="480"/>
      <c r="W91" s="479"/>
    </row>
    <row r="92" spans="1:23" ht="15.75" customHeight="1" x14ac:dyDescent="0.2">
      <c r="A92" s="452"/>
      <c r="B92" s="874" t="s">
        <v>17</v>
      </c>
      <c r="C92" s="874"/>
      <c r="D92" s="776"/>
      <c r="E92" s="776"/>
      <c r="F92" s="776"/>
      <c r="G92" s="776"/>
      <c r="H92" s="452"/>
      <c r="V92" s="480"/>
    </row>
    <row r="93" spans="1:23" ht="15.75" customHeight="1" x14ac:dyDescent="0.2">
      <c r="A93" s="452"/>
      <c r="B93" s="873" t="s">
        <v>543</v>
      </c>
      <c r="C93" s="873"/>
      <c r="D93" s="776">
        <v>0</v>
      </c>
      <c r="E93" s="776">
        <v>48000</v>
      </c>
      <c r="F93" s="776">
        <f>-'February''21 Revenues &amp; Expenses'!H43</f>
        <v>-8000</v>
      </c>
      <c r="G93" s="776">
        <f>'February''21 Revenues &amp; Expenses'!K43</f>
        <v>40000</v>
      </c>
      <c r="H93" s="452"/>
      <c r="V93" s="480"/>
    </row>
    <row r="94" spans="1:23" ht="15.75" hidden="1" customHeight="1" x14ac:dyDescent="0.2">
      <c r="A94" s="452"/>
      <c r="B94" s="874" t="s">
        <v>422</v>
      </c>
      <c r="C94" s="874"/>
      <c r="D94" s="776">
        <f>'[1]April 20 Revenues &amp; Expenses'!G71</f>
        <v>0</v>
      </c>
      <c r="E94" s="776"/>
      <c r="F94" s="776"/>
      <c r="G94" s="776"/>
      <c r="H94" s="452"/>
      <c r="V94" s="480"/>
    </row>
    <row r="95" spans="1:23" ht="15.75" hidden="1" customHeight="1" x14ac:dyDescent="0.2">
      <c r="A95" s="452"/>
      <c r="B95" s="873" t="s">
        <v>427</v>
      </c>
      <c r="C95" s="873"/>
      <c r="D95" s="728">
        <v>0</v>
      </c>
      <c r="E95" s="776"/>
      <c r="F95" s="776">
        <f>-'February''21 Revenues &amp; Expenses'!H46</f>
        <v>0</v>
      </c>
      <c r="G95" s="776">
        <f>'February''21 Revenues &amp; Expenses'!K46</f>
        <v>0</v>
      </c>
      <c r="H95" s="452"/>
      <c r="V95" s="480"/>
    </row>
    <row r="96" spans="1:23" ht="7.5" customHeight="1" x14ac:dyDescent="0.2">
      <c r="A96" s="452"/>
      <c r="B96" s="875"/>
      <c r="C96" s="875"/>
      <c r="D96" s="454"/>
      <c r="E96" s="454"/>
      <c r="F96" s="454"/>
      <c r="G96" s="454"/>
      <c r="H96" s="452"/>
      <c r="V96" s="480"/>
    </row>
    <row r="97" spans="1:22" ht="15.75" customHeight="1" thickBot="1" x14ac:dyDescent="0.25">
      <c r="A97" s="452"/>
      <c r="B97" s="871" t="s">
        <v>242</v>
      </c>
      <c r="C97" s="871"/>
      <c r="D97" s="447">
        <f>SUM(D89:D96)</f>
        <v>26568.86</v>
      </c>
      <c r="E97" s="447">
        <f>SUM(E89:E96)</f>
        <v>51000</v>
      </c>
      <c r="F97" s="447">
        <f>SUM(F89:F96)</f>
        <v>-12592.16</v>
      </c>
      <c r="G97" s="447">
        <f>SUM(G89:G96)</f>
        <v>64976.7</v>
      </c>
      <c r="H97" s="452"/>
      <c r="V97" s="480"/>
    </row>
    <row r="98" spans="1:22" ht="11.25" customHeight="1" thickTop="1" x14ac:dyDescent="0.2">
      <c r="A98" s="452"/>
      <c r="B98" s="477"/>
      <c r="C98" s="477"/>
      <c r="D98" s="478"/>
      <c r="E98" s="478"/>
      <c r="F98" s="478"/>
      <c r="G98" s="478"/>
      <c r="H98" s="452"/>
      <c r="V98" s="480"/>
    </row>
    <row r="99" spans="1:22" ht="67.5" customHeight="1" x14ac:dyDescent="0.2">
      <c r="A99" s="859" t="s">
        <v>545</v>
      </c>
      <c r="B99" s="859"/>
      <c r="C99" s="859"/>
      <c r="D99" s="859"/>
      <c r="E99" s="859"/>
      <c r="F99" s="859"/>
      <c r="G99" s="859"/>
      <c r="H99" s="859"/>
    </row>
    <row r="100" spans="1:22" ht="47.25" x14ac:dyDescent="0.2">
      <c r="A100" s="452"/>
      <c r="B100" s="872" t="s">
        <v>206</v>
      </c>
      <c r="C100" s="872"/>
      <c r="D100" s="455" t="s">
        <v>207</v>
      </c>
      <c r="E100" s="446" t="s">
        <v>208</v>
      </c>
      <c r="F100" s="455" t="s">
        <v>209</v>
      </c>
      <c r="G100" s="817" t="s">
        <v>542</v>
      </c>
      <c r="H100" s="452"/>
    </row>
    <row r="101" spans="1:22" ht="15.75" customHeight="1" x14ac:dyDescent="0.2">
      <c r="A101" s="452"/>
      <c r="B101" s="869" t="s">
        <v>210</v>
      </c>
      <c r="C101" s="869"/>
      <c r="D101" s="454">
        <v>0</v>
      </c>
      <c r="E101" s="454">
        <f>'February''21 Revenues &amp; Expenses'!H58</f>
        <v>41600</v>
      </c>
      <c r="F101" s="454">
        <f>-'February''21 Revenues &amp; Expenses'!J58</f>
        <v>-6933.333333333333</v>
      </c>
      <c r="G101" s="454">
        <f t="shared" ref="G101:G106" si="2">D101+E101+F101</f>
        <v>34666.666666666664</v>
      </c>
      <c r="H101" s="452"/>
    </row>
    <row r="102" spans="1:22" ht="15.75" customHeight="1" x14ac:dyDescent="0.2">
      <c r="A102" s="452"/>
      <c r="B102" s="869" t="s">
        <v>261</v>
      </c>
      <c r="C102" s="869"/>
      <c r="D102" s="454">
        <v>0</v>
      </c>
      <c r="E102" s="454">
        <v>19000</v>
      </c>
      <c r="F102" s="454">
        <f>-'February''21 Revenues &amp; Expenses'!J59</f>
        <v>-3083.3333333333335</v>
      </c>
      <c r="G102" s="454">
        <f t="shared" si="2"/>
        <v>15916.666666666666</v>
      </c>
      <c r="H102" s="452"/>
    </row>
    <row r="103" spans="1:22" ht="15.75" customHeight="1" x14ac:dyDescent="0.2">
      <c r="A103" s="452"/>
      <c r="B103" s="869" t="s">
        <v>211</v>
      </c>
      <c r="C103" s="869"/>
      <c r="D103" s="776">
        <f>'February''21 Revenues &amp; Expenses'!G63</f>
        <v>20127.96</v>
      </c>
      <c r="E103" s="454">
        <f>'February''21 Revenues &amp; Expenses'!H63</f>
        <v>0</v>
      </c>
      <c r="F103" s="454">
        <f>-'February''21 Revenues &amp; Expenses'!J63</f>
        <v>-2155.5</v>
      </c>
      <c r="G103" s="454">
        <f t="shared" si="2"/>
        <v>17972.46</v>
      </c>
      <c r="H103" s="452"/>
    </row>
    <row r="104" spans="1:22" ht="15.75" customHeight="1" x14ac:dyDescent="0.2">
      <c r="A104" s="452"/>
      <c r="B104" s="869" t="s">
        <v>212</v>
      </c>
      <c r="C104" s="869"/>
      <c r="D104" s="776">
        <f>'February''21 Revenues &amp; Expenses'!G64</f>
        <v>5467.94</v>
      </c>
      <c r="E104" s="454">
        <f>'February''21 Revenues &amp; Expenses'!H64</f>
        <v>0</v>
      </c>
      <c r="F104" s="454">
        <f>-'February''21 Revenues &amp; Expenses'!J64</f>
        <v>-401.62</v>
      </c>
      <c r="G104" s="454">
        <f t="shared" si="2"/>
        <v>5066.32</v>
      </c>
      <c r="H104" s="452"/>
    </row>
    <row r="105" spans="1:22" ht="15.75" customHeight="1" x14ac:dyDescent="0.2">
      <c r="A105" s="452"/>
      <c r="B105" s="869" t="s">
        <v>312</v>
      </c>
      <c r="C105" s="869"/>
      <c r="D105" s="776">
        <f>'February''21 Revenues &amp; Expenses'!G45</f>
        <v>1898.7</v>
      </c>
      <c r="E105" s="454"/>
      <c r="F105" s="454">
        <f>-'February''21 Revenues &amp; Expenses'!H45</f>
        <v>0</v>
      </c>
      <c r="G105" s="454">
        <f t="shared" si="2"/>
        <v>1898.7</v>
      </c>
      <c r="H105" s="452"/>
    </row>
    <row r="106" spans="1:22" ht="15.75" x14ac:dyDescent="0.2">
      <c r="A106" s="452"/>
      <c r="B106" s="869" t="s">
        <v>213</v>
      </c>
      <c r="C106" s="869"/>
      <c r="D106" s="776">
        <v>807.18</v>
      </c>
      <c r="E106" s="454"/>
      <c r="F106" s="454">
        <f>-'February''21 Revenues &amp; Expenses'!J62</f>
        <v>0</v>
      </c>
      <c r="G106" s="454">
        <f t="shared" si="2"/>
        <v>807.18</v>
      </c>
      <c r="H106" s="452"/>
      <c r="K106" s="720"/>
    </row>
    <row r="107" spans="1:22" ht="15.75" x14ac:dyDescent="0.2">
      <c r="A107" s="452"/>
      <c r="B107" s="853" t="s">
        <v>546</v>
      </c>
      <c r="C107" s="853"/>
      <c r="D107" s="816"/>
      <c r="E107" s="816">
        <v>15000</v>
      </c>
      <c r="F107" s="816">
        <f>-'February''21 Revenues &amp; Expenses'!H47</f>
        <v>-2500</v>
      </c>
      <c r="G107" s="816">
        <f>'February''21 Revenues &amp; Expenses'!I47</f>
        <v>12500</v>
      </c>
      <c r="H107" s="452"/>
      <c r="K107" s="720"/>
    </row>
    <row r="108" spans="1:22" ht="15.75" customHeight="1" thickBot="1" x14ac:dyDescent="0.25">
      <c r="A108" s="452"/>
      <c r="B108" s="868" t="s">
        <v>214</v>
      </c>
      <c r="C108" s="868"/>
      <c r="D108" s="447">
        <f>SUM(D101:D106)</f>
        <v>28301.78</v>
      </c>
      <c r="E108" s="447">
        <f>SUM(E101:E107)</f>
        <v>75600</v>
      </c>
      <c r="F108" s="447">
        <f>SUM(F101:F107)</f>
        <v>-15073.786666666667</v>
      </c>
      <c r="G108" s="447">
        <f>SUM(G101:G107)</f>
        <v>88827.993333333332</v>
      </c>
      <c r="H108" s="452"/>
    </row>
    <row r="109" spans="1:22" ht="16.5" thickTop="1" x14ac:dyDescent="0.2">
      <c r="A109" s="445"/>
      <c r="B109" s="453"/>
      <c r="C109" s="453"/>
      <c r="D109" s="453"/>
      <c r="E109" s="453"/>
      <c r="F109" s="453"/>
      <c r="G109" s="453"/>
      <c r="H109" s="445"/>
    </row>
    <row r="110" spans="1:22" ht="15.75" customHeight="1" x14ac:dyDescent="0.2"/>
    <row r="111" spans="1:22" ht="6.75" customHeight="1" x14ac:dyDescent="0.2"/>
  </sheetData>
  <mergeCells count="73">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3:C93"/>
    <mergeCell ref="A83:H83"/>
    <mergeCell ref="B52:G52"/>
    <mergeCell ref="B51:G51"/>
    <mergeCell ref="C80:D80"/>
    <mergeCell ref="F80:G80"/>
    <mergeCell ref="C78:D78"/>
    <mergeCell ref="F78:G78"/>
    <mergeCell ref="C79:D79"/>
    <mergeCell ref="F79:G79"/>
    <mergeCell ref="E73:F73"/>
    <mergeCell ref="B89:D89"/>
    <mergeCell ref="A99:H99"/>
    <mergeCell ref="B104:C104"/>
    <mergeCell ref="B105:C105"/>
    <mergeCell ref="B96:C96"/>
    <mergeCell ref="B92:C92"/>
    <mergeCell ref="B94:C94"/>
    <mergeCell ref="B95:C95"/>
    <mergeCell ref="B55:G55"/>
    <mergeCell ref="B56:G56"/>
    <mergeCell ref="B57:G57"/>
    <mergeCell ref="E60:F60"/>
    <mergeCell ref="B108:C108"/>
    <mergeCell ref="B106:C106"/>
    <mergeCell ref="B101:C101"/>
    <mergeCell ref="B102:C102"/>
    <mergeCell ref="C81:D81"/>
    <mergeCell ref="B103:C103"/>
    <mergeCell ref="B97:C97"/>
    <mergeCell ref="A87:H87"/>
    <mergeCell ref="B88:C88"/>
    <mergeCell ref="B90:C90"/>
    <mergeCell ref="B91:C91"/>
    <mergeCell ref="B100:C100"/>
    <mergeCell ref="C77:D77"/>
    <mergeCell ref="F77:G77"/>
    <mergeCell ref="E72:F72"/>
    <mergeCell ref="A58:H58"/>
    <mergeCell ref="B70:G70"/>
    <mergeCell ref="B107:C107"/>
    <mergeCell ref="C14:D14"/>
    <mergeCell ref="C15:D15"/>
    <mergeCell ref="C17:D17"/>
    <mergeCell ref="B18:D18"/>
    <mergeCell ref="C16:D16"/>
    <mergeCell ref="A85:H85"/>
    <mergeCell ref="E71:F71"/>
    <mergeCell ref="E67:F67"/>
    <mergeCell ref="E63:F63"/>
    <mergeCell ref="E61:F61"/>
    <mergeCell ref="E62:F62"/>
    <mergeCell ref="E64:F64"/>
    <mergeCell ref="E65:F65"/>
    <mergeCell ref="E66:F66"/>
    <mergeCell ref="A76:H76"/>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353"/>
  <sheetViews>
    <sheetView topLeftCell="H511" workbookViewId="0">
      <selection activeCell="N526" sqref="N526"/>
    </sheetView>
  </sheetViews>
  <sheetFormatPr defaultRowHeight="14.25" x14ac:dyDescent="0.2"/>
  <cols>
    <col min="1" max="1" width="24.625" style="528" bestFit="1" customWidth="1"/>
    <col min="2" max="2" width="9" style="499"/>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5" t="s">
        <v>266</v>
      </c>
      <c r="B3" s="495" t="s">
        <v>267</v>
      </c>
    </row>
    <row r="4" spans="1:2" ht="15" thickTop="1" x14ac:dyDescent="0.2">
      <c r="A4" s="526">
        <v>42370</v>
      </c>
      <c r="B4" s="496">
        <v>316020.78000000003</v>
      </c>
    </row>
    <row r="5" spans="1:2" x14ac:dyDescent="0.2">
      <c r="A5" s="527">
        <v>42373</v>
      </c>
      <c r="B5" s="497">
        <v>315970.78000000003</v>
      </c>
    </row>
    <row r="6" spans="1:2" x14ac:dyDescent="0.2">
      <c r="A6" s="527">
        <v>42374</v>
      </c>
      <c r="B6" s="497">
        <v>320557.63</v>
      </c>
    </row>
    <row r="7" spans="1:2" x14ac:dyDescent="0.2">
      <c r="A7" s="527">
        <v>42375</v>
      </c>
      <c r="B7" s="497">
        <f>B6</f>
        <v>320557.63</v>
      </c>
    </row>
    <row r="8" spans="1:2" x14ac:dyDescent="0.2">
      <c r="A8" s="527">
        <v>42376</v>
      </c>
      <c r="B8" s="497">
        <v>323108.86</v>
      </c>
    </row>
    <row r="9" spans="1:2" x14ac:dyDescent="0.2">
      <c r="A9" s="527">
        <v>42377</v>
      </c>
      <c r="B9" s="497">
        <f>B8</f>
        <v>323108.86</v>
      </c>
    </row>
    <row r="10" spans="1:2" x14ac:dyDescent="0.2">
      <c r="A10" s="527">
        <v>42380</v>
      </c>
      <c r="B10" s="497">
        <v>323239.86</v>
      </c>
    </row>
    <row r="11" spans="1:2" x14ac:dyDescent="0.2">
      <c r="A11" s="527">
        <v>42381</v>
      </c>
      <c r="B11" s="497">
        <v>288792.71999999997</v>
      </c>
    </row>
    <row r="12" spans="1:2" x14ac:dyDescent="0.2">
      <c r="A12" s="527">
        <v>42382</v>
      </c>
      <c r="B12" s="497">
        <f>B11</f>
        <v>288792.71999999997</v>
      </c>
    </row>
    <row r="13" spans="1:2" x14ac:dyDescent="0.2">
      <c r="A13" s="527">
        <v>42383</v>
      </c>
      <c r="B13" s="497">
        <v>277881.3</v>
      </c>
    </row>
    <row r="14" spans="1:2" x14ac:dyDescent="0.2">
      <c r="A14" s="527">
        <v>42384</v>
      </c>
      <c r="B14" s="497">
        <v>293922.15000000002</v>
      </c>
    </row>
    <row r="15" spans="1:2" x14ac:dyDescent="0.2">
      <c r="A15" s="527">
        <v>42387</v>
      </c>
      <c r="B15" s="497">
        <f>B14</f>
        <v>293922.15000000002</v>
      </c>
    </row>
    <row r="16" spans="1:2" x14ac:dyDescent="0.2">
      <c r="A16" s="527">
        <v>42388</v>
      </c>
      <c r="B16" s="497">
        <f>B14</f>
        <v>293922.15000000002</v>
      </c>
    </row>
    <row r="17" spans="1:2" x14ac:dyDescent="0.2">
      <c r="A17" s="527">
        <v>42389</v>
      </c>
      <c r="B17" s="497">
        <v>294002.2</v>
      </c>
    </row>
    <row r="18" spans="1:2" x14ac:dyDescent="0.2">
      <c r="A18" s="527">
        <v>42390</v>
      </c>
      <c r="B18" s="497">
        <v>285645.33</v>
      </c>
    </row>
    <row r="19" spans="1:2" x14ac:dyDescent="0.2">
      <c r="A19" s="527">
        <v>42391</v>
      </c>
      <c r="B19" s="497">
        <f>B18</f>
        <v>285645.33</v>
      </c>
    </row>
    <row r="20" spans="1:2" x14ac:dyDescent="0.2">
      <c r="A20" s="527">
        <v>42394</v>
      </c>
      <c r="B20" s="497">
        <v>310939.57</v>
      </c>
    </row>
    <row r="21" spans="1:2" x14ac:dyDescent="0.2">
      <c r="A21" s="527">
        <v>42395</v>
      </c>
      <c r="B21" s="497">
        <v>285520.28000000003</v>
      </c>
    </row>
    <row r="22" spans="1:2" x14ac:dyDescent="0.2">
      <c r="A22" s="527">
        <v>42396</v>
      </c>
      <c r="B22" s="497">
        <f>B21</f>
        <v>285520.28000000003</v>
      </c>
    </row>
    <row r="23" spans="1:2" x14ac:dyDescent="0.2">
      <c r="A23" s="527">
        <v>42397</v>
      </c>
      <c r="B23" s="497">
        <v>282022.58</v>
      </c>
    </row>
    <row r="24" spans="1:2" x14ac:dyDescent="0.2">
      <c r="A24" s="527">
        <v>42398</v>
      </c>
      <c r="B24" s="497">
        <v>294848.15999999997</v>
      </c>
    </row>
    <row r="25" spans="1:2" x14ac:dyDescent="0.2">
      <c r="A25" s="527">
        <v>42401</v>
      </c>
      <c r="B25" s="497">
        <v>295971.7</v>
      </c>
    </row>
    <row r="26" spans="1:2" x14ac:dyDescent="0.2">
      <c r="A26" s="527">
        <v>42402</v>
      </c>
      <c r="B26" s="497">
        <v>342700.41</v>
      </c>
    </row>
    <row r="27" spans="1:2" x14ac:dyDescent="0.2">
      <c r="A27" s="527">
        <v>42403</v>
      </c>
      <c r="B27" s="497">
        <f>B26</f>
        <v>342700.41</v>
      </c>
    </row>
    <row r="28" spans="1:2" x14ac:dyDescent="0.2">
      <c r="A28" s="527">
        <v>42404</v>
      </c>
      <c r="B28" s="497">
        <v>337638.63</v>
      </c>
    </row>
    <row r="29" spans="1:2" x14ac:dyDescent="0.2">
      <c r="A29" s="527">
        <v>42405</v>
      </c>
      <c r="B29" s="497">
        <v>367843.39</v>
      </c>
    </row>
    <row r="30" spans="1:2" x14ac:dyDescent="0.2">
      <c r="A30" s="527">
        <v>42408</v>
      </c>
      <c r="B30" s="497">
        <v>367773.39</v>
      </c>
    </row>
    <row r="31" spans="1:2" x14ac:dyDescent="0.2">
      <c r="A31" s="527">
        <v>42409</v>
      </c>
      <c r="B31" s="497">
        <v>339527.33</v>
      </c>
    </row>
    <row r="32" spans="1:2" x14ac:dyDescent="0.2">
      <c r="A32" s="527">
        <v>42410</v>
      </c>
      <c r="B32" s="497">
        <f>B31</f>
        <v>339527.33</v>
      </c>
    </row>
    <row r="33" spans="1:2" x14ac:dyDescent="0.2">
      <c r="A33" s="527">
        <v>42411</v>
      </c>
      <c r="B33" s="497">
        <v>336968.79</v>
      </c>
    </row>
    <row r="34" spans="1:2" x14ac:dyDescent="0.2">
      <c r="A34" s="527">
        <v>42412</v>
      </c>
      <c r="B34" s="497">
        <v>337055.76</v>
      </c>
    </row>
    <row r="35" spans="1:2" x14ac:dyDescent="0.2">
      <c r="A35" s="527">
        <v>42415</v>
      </c>
      <c r="B35" s="497">
        <f>B34</f>
        <v>337055.76</v>
      </c>
    </row>
    <row r="36" spans="1:2" x14ac:dyDescent="0.2">
      <c r="A36" s="527">
        <v>42416</v>
      </c>
      <c r="B36" s="497">
        <f>B35</f>
        <v>337055.76</v>
      </c>
    </row>
    <row r="37" spans="1:2" x14ac:dyDescent="0.2">
      <c r="A37" s="527">
        <v>42417</v>
      </c>
      <c r="B37" s="497">
        <v>365266.06</v>
      </c>
    </row>
    <row r="38" spans="1:2" x14ac:dyDescent="0.2">
      <c r="A38" s="527">
        <v>42418</v>
      </c>
      <c r="B38" s="497">
        <v>360871.98</v>
      </c>
    </row>
    <row r="39" spans="1:2" x14ac:dyDescent="0.2">
      <c r="A39" s="527">
        <v>42419</v>
      </c>
      <c r="B39" s="497">
        <f>B38</f>
        <v>360871.98</v>
      </c>
    </row>
    <row r="40" spans="1:2" x14ac:dyDescent="0.2">
      <c r="A40" s="527">
        <v>42421</v>
      </c>
      <c r="B40" s="497">
        <f>B39</f>
        <v>360871.98</v>
      </c>
    </row>
    <row r="41" spans="1:2" x14ac:dyDescent="0.2">
      <c r="A41" s="527">
        <v>42423</v>
      </c>
      <c r="B41" s="497">
        <v>355845.62</v>
      </c>
    </row>
    <row r="42" spans="1:2" x14ac:dyDescent="0.2">
      <c r="A42" s="527">
        <v>42424</v>
      </c>
      <c r="B42" s="497">
        <f>B41</f>
        <v>355845.62</v>
      </c>
    </row>
    <row r="43" spans="1:2" x14ac:dyDescent="0.2">
      <c r="A43" s="527">
        <v>42425</v>
      </c>
      <c r="B43" s="497">
        <v>345399.7</v>
      </c>
    </row>
    <row r="44" spans="1:2" x14ac:dyDescent="0.2">
      <c r="A44" s="527">
        <v>42426</v>
      </c>
      <c r="B44" s="497">
        <v>370500.69</v>
      </c>
    </row>
    <row r="45" spans="1:2" x14ac:dyDescent="0.2">
      <c r="A45" s="527">
        <v>42429</v>
      </c>
      <c r="B45" s="497">
        <v>389846.49</v>
      </c>
    </row>
    <row r="46" spans="1:2" x14ac:dyDescent="0.2">
      <c r="A46" s="527">
        <v>42430</v>
      </c>
      <c r="B46" s="497">
        <f>B45</f>
        <v>389846.49</v>
      </c>
    </row>
    <row r="47" spans="1:2" x14ac:dyDescent="0.2">
      <c r="A47" s="527">
        <v>42431</v>
      </c>
      <c r="B47" s="497">
        <f>B46</f>
        <v>389846.49</v>
      </c>
    </row>
    <row r="48" spans="1:2" x14ac:dyDescent="0.2">
      <c r="A48" s="527">
        <v>42432</v>
      </c>
      <c r="B48" s="497">
        <v>378391.97</v>
      </c>
    </row>
    <row r="49" spans="1:2" x14ac:dyDescent="0.2">
      <c r="A49" s="527">
        <v>42433</v>
      </c>
      <c r="B49" s="497">
        <v>424034.23</v>
      </c>
    </row>
    <row r="50" spans="1:2" x14ac:dyDescent="0.2">
      <c r="A50" s="527">
        <v>42436</v>
      </c>
      <c r="B50" s="497">
        <f>B49</f>
        <v>424034.23</v>
      </c>
    </row>
    <row r="51" spans="1:2" x14ac:dyDescent="0.2">
      <c r="A51" s="527">
        <v>42437</v>
      </c>
      <c r="B51" s="497">
        <v>386665.73</v>
      </c>
    </row>
    <row r="52" spans="1:2" x14ac:dyDescent="0.2">
      <c r="A52" s="527">
        <v>42438</v>
      </c>
      <c r="B52" s="497">
        <f>B51</f>
        <v>386665.73</v>
      </c>
    </row>
    <row r="53" spans="1:2" x14ac:dyDescent="0.2">
      <c r="A53" s="527">
        <v>42439</v>
      </c>
      <c r="B53" s="497">
        <v>389219.85</v>
      </c>
    </row>
    <row r="54" spans="1:2" x14ac:dyDescent="0.2">
      <c r="A54" s="527">
        <v>42440</v>
      </c>
      <c r="B54" s="497">
        <v>406100.98</v>
      </c>
    </row>
    <row r="55" spans="1:2" x14ac:dyDescent="0.2">
      <c r="A55" s="527">
        <v>42443</v>
      </c>
      <c r="B55" s="497">
        <v>407873.33</v>
      </c>
    </row>
    <row r="56" spans="1:2" x14ac:dyDescent="0.2">
      <c r="A56" s="527">
        <v>42444</v>
      </c>
      <c r="B56" s="497">
        <v>407992.23</v>
      </c>
    </row>
    <row r="57" spans="1:2" x14ac:dyDescent="0.2">
      <c r="A57" s="527">
        <v>42445</v>
      </c>
      <c r="B57" s="497">
        <v>433808.81</v>
      </c>
    </row>
    <row r="58" spans="1:2" x14ac:dyDescent="0.2">
      <c r="A58" s="527">
        <v>42446</v>
      </c>
      <c r="B58" s="497">
        <v>422290.94</v>
      </c>
    </row>
    <row r="59" spans="1:2" x14ac:dyDescent="0.2">
      <c r="A59" s="527">
        <v>42447</v>
      </c>
      <c r="B59" s="497">
        <v>468026.54</v>
      </c>
    </row>
    <row r="60" spans="1:2" x14ac:dyDescent="0.2">
      <c r="A60" s="527">
        <v>42450</v>
      </c>
      <c r="B60" s="497">
        <v>348026.54</v>
      </c>
    </row>
    <row r="61" spans="1:2" x14ac:dyDescent="0.2">
      <c r="A61" s="527">
        <v>42451</v>
      </c>
      <c r="B61" s="497">
        <v>312876.71000000002</v>
      </c>
    </row>
    <row r="62" spans="1:2" x14ac:dyDescent="0.2">
      <c r="A62" s="527">
        <v>42452</v>
      </c>
      <c r="B62" s="497">
        <v>314939.26</v>
      </c>
    </row>
    <row r="63" spans="1:2" x14ac:dyDescent="0.2">
      <c r="A63" s="527">
        <v>42453</v>
      </c>
      <c r="B63" s="497">
        <v>309254.23</v>
      </c>
    </row>
    <row r="64" spans="1:2" x14ac:dyDescent="0.2">
      <c r="A64" s="527">
        <v>42454</v>
      </c>
      <c r="B64" s="497">
        <v>308314.94</v>
      </c>
    </row>
    <row r="65" spans="1:2" x14ac:dyDescent="0.2">
      <c r="A65" s="527">
        <v>42457</v>
      </c>
      <c r="B65" s="497">
        <f>B64</f>
        <v>308314.94</v>
      </c>
    </row>
    <row r="66" spans="1:2" x14ac:dyDescent="0.2">
      <c r="A66" s="527">
        <v>42458</v>
      </c>
      <c r="B66" s="497">
        <v>308501.75</v>
      </c>
    </row>
    <row r="67" spans="1:2" x14ac:dyDescent="0.2">
      <c r="A67" s="527">
        <v>42459</v>
      </c>
      <c r="B67" s="497">
        <f>B66</f>
        <v>308501.75</v>
      </c>
    </row>
    <row r="68" spans="1:2" x14ac:dyDescent="0.2">
      <c r="A68" s="527">
        <v>42460</v>
      </c>
      <c r="B68" s="497">
        <v>309191.53000000003</v>
      </c>
    </row>
    <row r="69" spans="1:2" x14ac:dyDescent="0.2">
      <c r="A69" s="527">
        <v>42461</v>
      </c>
      <c r="B69" s="497">
        <f>B68</f>
        <v>309191.53000000003</v>
      </c>
    </row>
    <row r="70" spans="1:2" x14ac:dyDescent="0.2">
      <c r="A70" s="527">
        <v>42464</v>
      </c>
      <c r="B70" s="497">
        <v>273521.59999999998</v>
      </c>
    </row>
    <row r="71" spans="1:2" x14ac:dyDescent="0.2">
      <c r="A71" s="527">
        <v>42465</v>
      </c>
      <c r="B71" s="497">
        <f>B70</f>
        <v>273521.59999999998</v>
      </c>
    </row>
    <row r="72" spans="1:2" x14ac:dyDescent="0.2">
      <c r="A72" s="527">
        <v>42466</v>
      </c>
      <c r="B72" s="497">
        <v>272690.59999999998</v>
      </c>
    </row>
    <row r="73" spans="1:2" x14ac:dyDescent="0.2">
      <c r="A73" s="527">
        <v>42467</v>
      </c>
      <c r="B73" s="497">
        <v>269582.73</v>
      </c>
    </row>
    <row r="74" spans="1:2" x14ac:dyDescent="0.2">
      <c r="A74" s="527">
        <v>42468</v>
      </c>
      <c r="B74" s="497">
        <f>B73</f>
        <v>269582.73</v>
      </c>
    </row>
    <row r="75" spans="1:2" x14ac:dyDescent="0.2">
      <c r="A75" s="527">
        <v>42471</v>
      </c>
      <c r="B75" s="497">
        <v>269763.98</v>
      </c>
    </row>
    <row r="76" spans="1:2" x14ac:dyDescent="0.2">
      <c r="A76" s="527">
        <v>42472</v>
      </c>
      <c r="B76" s="497">
        <f>B75</f>
        <v>269763.98</v>
      </c>
    </row>
    <row r="77" spans="1:2" x14ac:dyDescent="0.2">
      <c r="A77" s="527">
        <v>42473</v>
      </c>
      <c r="B77" s="497">
        <v>269925.98</v>
      </c>
    </row>
    <row r="78" spans="1:2" x14ac:dyDescent="0.2">
      <c r="A78" s="527">
        <v>42474</v>
      </c>
      <c r="B78" s="497">
        <v>262853.87</v>
      </c>
    </row>
    <row r="79" spans="1:2" x14ac:dyDescent="0.2">
      <c r="A79" s="527">
        <v>42475</v>
      </c>
      <c r="B79" s="497">
        <v>285492.90999999997</v>
      </c>
    </row>
    <row r="80" spans="1:2" x14ac:dyDescent="0.2">
      <c r="A80" s="527">
        <v>42478</v>
      </c>
      <c r="B80" s="497">
        <v>248936.49</v>
      </c>
    </row>
    <row r="81" spans="1:2" x14ac:dyDescent="0.2">
      <c r="A81" s="527">
        <v>42479</v>
      </c>
      <c r="B81" s="497">
        <v>299276.93</v>
      </c>
    </row>
    <row r="82" spans="1:2" x14ac:dyDescent="0.2">
      <c r="A82" s="527">
        <v>42480</v>
      </c>
      <c r="B82" s="497">
        <v>298671.93</v>
      </c>
    </row>
    <row r="83" spans="1:2" x14ac:dyDescent="0.2">
      <c r="A83" s="527">
        <v>42481</v>
      </c>
      <c r="B83" s="497">
        <v>300188.76</v>
      </c>
    </row>
    <row r="84" spans="1:2" x14ac:dyDescent="0.2">
      <c r="A84" s="527">
        <v>42482</v>
      </c>
      <c r="B84" s="497">
        <v>320014.86</v>
      </c>
    </row>
    <row r="85" spans="1:2" x14ac:dyDescent="0.2">
      <c r="A85" s="527">
        <v>42485</v>
      </c>
      <c r="B85" s="497">
        <v>316702.44</v>
      </c>
    </row>
    <row r="86" spans="1:2" x14ac:dyDescent="0.2">
      <c r="A86" s="527">
        <v>42486</v>
      </c>
      <c r="B86" s="497">
        <f>B85</f>
        <v>316702.44</v>
      </c>
    </row>
    <row r="87" spans="1:2" x14ac:dyDescent="0.2">
      <c r="A87" s="527">
        <v>42487</v>
      </c>
      <c r="B87" s="497">
        <v>316945.44</v>
      </c>
    </row>
    <row r="88" spans="1:2" x14ac:dyDescent="0.2">
      <c r="A88" s="527">
        <v>42488</v>
      </c>
      <c r="B88" s="497">
        <v>320979.96999999997</v>
      </c>
    </row>
    <row r="89" spans="1:2" x14ac:dyDescent="0.2">
      <c r="A89" s="527">
        <v>42489</v>
      </c>
      <c r="B89" s="497">
        <f>B88</f>
        <v>320979.96999999997</v>
      </c>
    </row>
    <row r="90" spans="1:2" x14ac:dyDescent="0.2">
      <c r="A90" s="527">
        <v>42492</v>
      </c>
      <c r="B90" s="497">
        <v>285992.84000000003</v>
      </c>
    </row>
    <row r="91" spans="1:2" x14ac:dyDescent="0.2">
      <c r="A91" s="527">
        <v>42493</v>
      </c>
      <c r="B91" s="497">
        <v>286063.08</v>
      </c>
    </row>
    <row r="92" spans="1:2" x14ac:dyDescent="0.2">
      <c r="A92" s="527">
        <v>42494</v>
      </c>
      <c r="B92" s="497">
        <v>314586.46000000002</v>
      </c>
    </row>
    <row r="93" spans="1:2" x14ac:dyDescent="0.2">
      <c r="A93" s="527">
        <v>42495</v>
      </c>
      <c r="B93" s="497">
        <v>317747.52</v>
      </c>
    </row>
    <row r="94" spans="1:2" x14ac:dyDescent="0.2">
      <c r="A94" s="527">
        <v>42496</v>
      </c>
      <c r="B94" s="497">
        <f>B93</f>
        <v>317747.52</v>
      </c>
    </row>
    <row r="95" spans="1:2" x14ac:dyDescent="0.2">
      <c r="A95" s="527">
        <v>42499</v>
      </c>
      <c r="B95" s="497">
        <v>317647.52</v>
      </c>
    </row>
    <row r="96" spans="1:2" x14ac:dyDescent="0.2">
      <c r="A96" s="527">
        <v>42500</v>
      </c>
      <c r="B96" s="497">
        <v>354645.16</v>
      </c>
    </row>
    <row r="97" spans="1:2" x14ac:dyDescent="0.2">
      <c r="A97" s="527">
        <v>42501</v>
      </c>
      <c r="B97" s="497">
        <f>B96</f>
        <v>354645.16</v>
      </c>
    </row>
    <row r="98" spans="1:2" x14ac:dyDescent="0.2">
      <c r="A98" s="527">
        <v>42502</v>
      </c>
      <c r="B98" s="497">
        <v>334676.08</v>
      </c>
    </row>
    <row r="99" spans="1:2" x14ac:dyDescent="0.2">
      <c r="A99" s="527">
        <v>42503</v>
      </c>
      <c r="B99" s="497">
        <v>335053.34999999998</v>
      </c>
    </row>
    <row r="100" spans="1:2" x14ac:dyDescent="0.2">
      <c r="A100" s="527">
        <v>42506</v>
      </c>
      <c r="B100" s="497">
        <v>299641.7</v>
      </c>
    </row>
    <row r="101" spans="1:2" x14ac:dyDescent="0.2">
      <c r="A101" s="527">
        <v>42507</v>
      </c>
      <c r="B101" s="497">
        <f>B100</f>
        <v>299641.7</v>
      </c>
    </row>
    <row r="102" spans="1:2" x14ac:dyDescent="0.2">
      <c r="A102" s="527">
        <v>42508</v>
      </c>
      <c r="B102" s="497">
        <v>316034.81</v>
      </c>
    </row>
    <row r="103" spans="1:2" x14ac:dyDescent="0.2">
      <c r="A103" s="527">
        <v>42509</v>
      </c>
      <c r="B103" s="497">
        <v>320069.11</v>
      </c>
    </row>
    <row r="104" spans="1:2" x14ac:dyDescent="0.2">
      <c r="A104" s="527">
        <v>42510</v>
      </c>
      <c r="B104" s="497">
        <v>328514.03000000003</v>
      </c>
    </row>
    <row r="105" spans="1:2" x14ac:dyDescent="0.2">
      <c r="A105" s="527">
        <v>42513</v>
      </c>
      <c r="B105" s="497">
        <f>B104</f>
        <v>328514.03000000003</v>
      </c>
    </row>
    <row r="106" spans="1:2" x14ac:dyDescent="0.2">
      <c r="A106" s="527">
        <v>42514</v>
      </c>
      <c r="B106" s="497">
        <v>334541.26</v>
      </c>
    </row>
    <row r="107" spans="1:2" x14ac:dyDescent="0.2">
      <c r="A107" s="527">
        <v>42515</v>
      </c>
      <c r="B107" s="498">
        <v>329880.45</v>
      </c>
    </row>
    <row r="108" spans="1:2" x14ac:dyDescent="0.2">
      <c r="A108" s="527">
        <v>42516</v>
      </c>
      <c r="B108" s="499">
        <v>337992.17</v>
      </c>
    </row>
    <row r="109" spans="1:2" x14ac:dyDescent="0.2">
      <c r="A109" s="527">
        <v>42517</v>
      </c>
      <c r="B109" s="499">
        <v>347755.4</v>
      </c>
    </row>
    <row r="110" spans="1:2" x14ac:dyDescent="0.2">
      <c r="A110" s="527">
        <v>42520</v>
      </c>
      <c r="B110" s="499">
        <v>347755.4</v>
      </c>
    </row>
    <row r="111" spans="1:2" x14ac:dyDescent="0.2">
      <c r="A111" s="527">
        <v>42521</v>
      </c>
      <c r="B111" s="499">
        <v>312817.88</v>
      </c>
    </row>
    <row r="112" spans="1:2" x14ac:dyDescent="0.2">
      <c r="A112" s="527">
        <v>42522</v>
      </c>
      <c r="B112" s="499">
        <v>314571.3</v>
      </c>
    </row>
    <row r="113" spans="1:2" x14ac:dyDescent="0.2">
      <c r="A113" s="527">
        <v>42523</v>
      </c>
      <c r="B113" s="499">
        <v>302515.78000000003</v>
      </c>
    </row>
    <row r="114" spans="1:2" x14ac:dyDescent="0.2">
      <c r="A114" s="527">
        <v>42524</v>
      </c>
      <c r="B114" s="499">
        <v>302516</v>
      </c>
    </row>
    <row r="115" spans="1:2" x14ac:dyDescent="0.2">
      <c r="A115" s="527">
        <v>42527</v>
      </c>
      <c r="B115" s="499">
        <v>302516</v>
      </c>
    </row>
    <row r="116" spans="1:2" x14ac:dyDescent="0.2">
      <c r="A116" s="527">
        <v>42528</v>
      </c>
      <c r="B116" s="499">
        <v>302516</v>
      </c>
    </row>
    <row r="117" spans="1:2" x14ac:dyDescent="0.2">
      <c r="A117" s="527">
        <v>42529</v>
      </c>
      <c r="B117" s="499">
        <v>279865.95</v>
      </c>
    </row>
    <row r="118" spans="1:2" x14ac:dyDescent="0.2">
      <c r="A118" s="527">
        <v>42530</v>
      </c>
      <c r="B118" s="499">
        <v>279866</v>
      </c>
    </row>
    <row r="119" spans="1:2" x14ac:dyDescent="0.2">
      <c r="A119" s="527">
        <v>42531</v>
      </c>
      <c r="B119" s="499">
        <v>279866</v>
      </c>
    </row>
    <row r="120" spans="1:2" x14ac:dyDescent="0.2">
      <c r="A120" s="527">
        <v>42534</v>
      </c>
      <c r="B120" s="499">
        <v>279866</v>
      </c>
    </row>
    <row r="121" spans="1:2" x14ac:dyDescent="0.2">
      <c r="A121" s="527">
        <v>42535</v>
      </c>
      <c r="B121" s="499">
        <v>279866</v>
      </c>
    </row>
    <row r="122" spans="1:2" x14ac:dyDescent="0.2">
      <c r="A122" s="527">
        <v>42536</v>
      </c>
      <c r="B122" s="499">
        <v>290096.01</v>
      </c>
    </row>
    <row r="123" spans="1:2" x14ac:dyDescent="0.2">
      <c r="A123" s="527">
        <v>42537</v>
      </c>
      <c r="B123" s="499">
        <v>247423.5</v>
      </c>
    </row>
    <row r="124" spans="1:2" x14ac:dyDescent="0.2">
      <c r="A124" s="527">
        <v>42538</v>
      </c>
      <c r="B124" s="499">
        <v>247424</v>
      </c>
    </row>
    <row r="125" spans="1:2" x14ac:dyDescent="0.2">
      <c r="A125" s="527">
        <v>42541</v>
      </c>
      <c r="B125" s="499">
        <v>247424</v>
      </c>
    </row>
    <row r="126" spans="1:2" x14ac:dyDescent="0.2">
      <c r="A126" s="527">
        <v>42542</v>
      </c>
      <c r="B126" s="499">
        <v>255459.85</v>
      </c>
    </row>
    <row r="127" spans="1:2" x14ac:dyDescent="0.2">
      <c r="A127" s="527">
        <v>42543</v>
      </c>
      <c r="B127" s="499">
        <v>255460</v>
      </c>
    </row>
    <row r="128" spans="1:2" x14ac:dyDescent="0.2">
      <c r="A128" s="500">
        <f>A127+1</f>
        <v>42544</v>
      </c>
      <c r="B128" s="499">
        <v>240780.4</v>
      </c>
    </row>
    <row r="129" spans="1:2" x14ac:dyDescent="0.2">
      <c r="A129" s="500">
        <f>A128+1</f>
        <v>42545</v>
      </c>
      <c r="B129" s="499">
        <v>240780</v>
      </c>
    </row>
    <row r="130" spans="1:2" x14ac:dyDescent="0.2">
      <c r="A130" s="500">
        <f>A125+7</f>
        <v>42548</v>
      </c>
      <c r="B130" s="499">
        <v>205735.12</v>
      </c>
    </row>
    <row r="131" spans="1:2" x14ac:dyDescent="0.2">
      <c r="A131" s="500">
        <f>A126+7</f>
        <v>42549</v>
      </c>
      <c r="B131" s="499">
        <v>207489.37</v>
      </c>
    </row>
    <row r="132" spans="1:2" x14ac:dyDescent="0.2">
      <c r="A132" s="500">
        <f t="shared" ref="A132:A195" si="0">A127+7</f>
        <v>42550</v>
      </c>
      <c r="B132" s="499">
        <v>213757.9</v>
      </c>
    </row>
    <row r="133" spans="1:2" x14ac:dyDescent="0.2">
      <c r="A133" s="500">
        <f t="shared" si="0"/>
        <v>42551</v>
      </c>
      <c r="B133" s="499">
        <v>220332.56</v>
      </c>
    </row>
    <row r="134" spans="1:2" x14ac:dyDescent="0.2">
      <c r="A134" s="500">
        <f t="shared" si="0"/>
        <v>42552</v>
      </c>
      <c r="B134" s="499">
        <v>212813.84</v>
      </c>
    </row>
    <row r="135" spans="1:2" x14ac:dyDescent="0.2">
      <c r="A135" s="500">
        <f t="shared" si="0"/>
        <v>42555</v>
      </c>
      <c r="B135" s="499">
        <v>212814</v>
      </c>
    </row>
    <row r="136" spans="1:2" x14ac:dyDescent="0.2">
      <c r="A136" s="500">
        <f t="shared" si="0"/>
        <v>42556</v>
      </c>
      <c r="B136" s="499">
        <v>236539.45</v>
      </c>
    </row>
    <row r="137" spans="1:2" x14ac:dyDescent="0.2">
      <c r="A137" s="500">
        <f t="shared" si="0"/>
        <v>42557</v>
      </c>
      <c r="B137" s="499">
        <v>234224.42</v>
      </c>
    </row>
    <row r="138" spans="1:2" x14ac:dyDescent="0.2">
      <c r="A138" s="500">
        <f t="shared" si="0"/>
        <v>42558</v>
      </c>
      <c r="B138" s="499">
        <v>234132.08</v>
      </c>
    </row>
    <row r="139" spans="1:2" x14ac:dyDescent="0.2">
      <c r="A139" s="500">
        <f t="shared" si="0"/>
        <v>42559</v>
      </c>
      <c r="B139" s="499">
        <v>234132.08</v>
      </c>
    </row>
    <row r="140" spans="1:2" x14ac:dyDescent="0.2">
      <c r="A140" s="500">
        <f t="shared" si="0"/>
        <v>42562</v>
      </c>
      <c r="B140" s="499">
        <v>199890.85</v>
      </c>
    </row>
    <row r="141" spans="1:2" x14ac:dyDescent="0.2">
      <c r="A141" s="500">
        <f t="shared" si="0"/>
        <v>42563</v>
      </c>
      <c r="B141" s="499">
        <v>221114.27</v>
      </c>
    </row>
    <row r="142" spans="1:2" x14ac:dyDescent="0.2">
      <c r="A142" s="500">
        <f t="shared" si="0"/>
        <v>42564</v>
      </c>
      <c r="B142" s="499">
        <v>221114</v>
      </c>
    </row>
    <row r="143" spans="1:2" x14ac:dyDescent="0.2">
      <c r="A143" s="500">
        <f t="shared" si="0"/>
        <v>42565</v>
      </c>
      <c r="B143" s="499">
        <v>214752.25</v>
      </c>
    </row>
    <row r="144" spans="1:2" x14ac:dyDescent="0.2">
      <c r="A144" s="500">
        <f t="shared" si="0"/>
        <v>42566</v>
      </c>
      <c r="B144" s="499">
        <v>294578.96999999997</v>
      </c>
    </row>
    <row r="145" spans="1:2" x14ac:dyDescent="0.2">
      <c r="A145" s="500">
        <f t="shared" si="0"/>
        <v>42569</v>
      </c>
      <c r="B145" s="499">
        <v>294579</v>
      </c>
    </row>
    <row r="146" spans="1:2" x14ac:dyDescent="0.2">
      <c r="A146" s="500">
        <f t="shared" si="0"/>
        <v>42570</v>
      </c>
      <c r="B146" s="499">
        <v>294579</v>
      </c>
    </row>
    <row r="147" spans="1:2" x14ac:dyDescent="0.2">
      <c r="A147" s="500">
        <f t="shared" si="0"/>
        <v>42571</v>
      </c>
      <c r="B147" s="499">
        <v>328195.42</v>
      </c>
    </row>
    <row r="148" spans="1:2" x14ac:dyDescent="0.2">
      <c r="A148" s="500">
        <f t="shared" si="0"/>
        <v>42572</v>
      </c>
      <c r="B148" s="499">
        <v>407865.86</v>
      </c>
    </row>
    <row r="149" spans="1:2" x14ac:dyDescent="0.2">
      <c r="A149" s="500">
        <f t="shared" si="0"/>
        <v>42573</v>
      </c>
      <c r="B149" s="499">
        <v>409053.93</v>
      </c>
    </row>
    <row r="150" spans="1:2" x14ac:dyDescent="0.2">
      <c r="A150" s="500">
        <f t="shared" si="0"/>
        <v>42576</v>
      </c>
      <c r="B150" s="499">
        <v>372421.56</v>
      </c>
    </row>
    <row r="151" spans="1:2" x14ac:dyDescent="0.2">
      <c r="A151" s="500">
        <f t="shared" si="0"/>
        <v>42577</v>
      </c>
      <c r="B151" s="499">
        <v>375562.78</v>
      </c>
    </row>
    <row r="152" spans="1:2" x14ac:dyDescent="0.2">
      <c r="A152" s="500">
        <f t="shared" si="0"/>
        <v>42578</v>
      </c>
      <c r="B152" s="499">
        <v>375563</v>
      </c>
    </row>
    <row r="153" spans="1:2" x14ac:dyDescent="0.2">
      <c r="A153" s="500">
        <f t="shared" si="0"/>
        <v>42579</v>
      </c>
      <c r="B153" s="499">
        <v>366510.98</v>
      </c>
    </row>
    <row r="154" spans="1:2" x14ac:dyDescent="0.2">
      <c r="A154" s="500">
        <f t="shared" si="0"/>
        <v>42580</v>
      </c>
      <c r="B154" s="499">
        <v>366609.48</v>
      </c>
    </row>
    <row r="155" spans="1:2" x14ac:dyDescent="0.2">
      <c r="A155" s="500">
        <f t="shared" si="0"/>
        <v>42583</v>
      </c>
      <c r="B155" s="499">
        <v>382689.69</v>
      </c>
    </row>
    <row r="156" spans="1:2" x14ac:dyDescent="0.2">
      <c r="A156" s="500">
        <f t="shared" si="0"/>
        <v>42584</v>
      </c>
      <c r="B156" s="499">
        <v>382690</v>
      </c>
    </row>
    <row r="157" spans="1:2" x14ac:dyDescent="0.2">
      <c r="A157" s="500">
        <f t="shared" si="0"/>
        <v>42585</v>
      </c>
      <c r="B157" s="499">
        <v>387013.59</v>
      </c>
    </row>
    <row r="158" spans="1:2" x14ac:dyDescent="0.2">
      <c r="A158" s="500">
        <f t="shared" si="0"/>
        <v>42586</v>
      </c>
      <c r="B158" s="499">
        <v>382543.7</v>
      </c>
    </row>
    <row r="159" spans="1:2" x14ac:dyDescent="0.2">
      <c r="A159" s="500">
        <f t="shared" si="0"/>
        <v>42587</v>
      </c>
      <c r="B159" s="499">
        <v>382544</v>
      </c>
    </row>
    <row r="160" spans="1:2" x14ac:dyDescent="0.2">
      <c r="A160" s="500">
        <f t="shared" si="0"/>
        <v>42590</v>
      </c>
      <c r="B160" s="499">
        <v>344510.17</v>
      </c>
    </row>
    <row r="161" spans="1:2" x14ac:dyDescent="0.2">
      <c r="A161" s="500">
        <f t="shared" si="0"/>
        <v>42591</v>
      </c>
      <c r="B161" s="499">
        <v>350095.94</v>
      </c>
    </row>
    <row r="162" spans="1:2" x14ac:dyDescent="0.2">
      <c r="A162" s="500">
        <f t="shared" si="0"/>
        <v>42592</v>
      </c>
      <c r="B162" s="499">
        <v>350096</v>
      </c>
    </row>
    <row r="163" spans="1:2" x14ac:dyDescent="0.2">
      <c r="A163" s="500">
        <f t="shared" si="0"/>
        <v>42593</v>
      </c>
      <c r="B163" s="499">
        <v>355079.15</v>
      </c>
    </row>
    <row r="164" spans="1:2" x14ac:dyDescent="0.2">
      <c r="A164" s="500">
        <f t="shared" si="0"/>
        <v>42594</v>
      </c>
      <c r="B164" s="499">
        <v>356502.11</v>
      </c>
    </row>
    <row r="165" spans="1:2" x14ac:dyDescent="0.2">
      <c r="A165" s="500">
        <f t="shared" si="0"/>
        <v>42597</v>
      </c>
      <c r="B165" s="499">
        <v>408622.46</v>
      </c>
    </row>
    <row r="166" spans="1:2" x14ac:dyDescent="0.2">
      <c r="A166" s="500">
        <f t="shared" si="0"/>
        <v>42598</v>
      </c>
      <c r="B166" s="499">
        <v>408622</v>
      </c>
    </row>
    <row r="167" spans="1:2" x14ac:dyDescent="0.2">
      <c r="A167" s="500">
        <f t="shared" si="0"/>
        <v>42599</v>
      </c>
      <c r="B167" s="499">
        <v>408622</v>
      </c>
    </row>
    <row r="168" spans="1:2" x14ac:dyDescent="0.2">
      <c r="A168" s="500">
        <f t="shared" si="0"/>
        <v>42600</v>
      </c>
      <c r="B168" s="499">
        <v>409931.67</v>
      </c>
    </row>
    <row r="169" spans="1:2" x14ac:dyDescent="0.2">
      <c r="A169" s="500">
        <f t="shared" si="0"/>
        <v>42601</v>
      </c>
      <c r="B169" s="499">
        <v>410189.3</v>
      </c>
    </row>
    <row r="170" spans="1:2" x14ac:dyDescent="0.2">
      <c r="A170" s="500">
        <f t="shared" si="0"/>
        <v>42604</v>
      </c>
      <c r="B170" s="499">
        <v>370399.56</v>
      </c>
    </row>
    <row r="171" spans="1:2" x14ac:dyDescent="0.2">
      <c r="A171" s="500">
        <f t="shared" si="0"/>
        <v>42605</v>
      </c>
      <c r="B171" s="499">
        <v>370399.56</v>
      </c>
    </row>
    <row r="172" spans="1:2" x14ac:dyDescent="0.2">
      <c r="A172" s="500">
        <f t="shared" si="0"/>
        <v>42606</v>
      </c>
      <c r="B172" s="499">
        <v>370400</v>
      </c>
    </row>
    <row r="173" spans="1:2" x14ac:dyDescent="0.2">
      <c r="A173" s="500">
        <f t="shared" si="0"/>
        <v>42607</v>
      </c>
      <c r="B173" s="499">
        <v>359591.19</v>
      </c>
    </row>
    <row r="174" spans="1:2" x14ac:dyDescent="0.2">
      <c r="A174" s="500">
        <f t="shared" si="0"/>
        <v>42608</v>
      </c>
      <c r="B174" s="499">
        <v>399163.14</v>
      </c>
    </row>
    <row r="175" spans="1:2" x14ac:dyDescent="0.2">
      <c r="A175" s="500">
        <f t="shared" si="0"/>
        <v>42611</v>
      </c>
      <c r="B175" s="499">
        <v>407196.62</v>
      </c>
    </row>
    <row r="176" spans="1:2" x14ac:dyDescent="0.2">
      <c r="A176" s="500">
        <f t="shared" si="0"/>
        <v>42612</v>
      </c>
      <c r="B176" s="499">
        <v>422526.97</v>
      </c>
    </row>
    <row r="177" spans="1:5" x14ac:dyDescent="0.2">
      <c r="A177" s="500">
        <f t="shared" si="0"/>
        <v>42613</v>
      </c>
      <c r="B177" s="499">
        <v>479216.05</v>
      </c>
    </row>
    <row r="178" spans="1:5" x14ac:dyDescent="0.2">
      <c r="A178" s="500">
        <f t="shared" si="0"/>
        <v>42614</v>
      </c>
      <c r="B178" s="499">
        <v>479216</v>
      </c>
    </row>
    <row r="179" spans="1:5" x14ac:dyDescent="0.2">
      <c r="A179" s="500">
        <f t="shared" si="0"/>
        <v>42615</v>
      </c>
      <c r="B179" s="499">
        <v>479216</v>
      </c>
    </row>
    <row r="180" spans="1:5" x14ac:dyDescent="0.2">
      <c r="A180" s="500">
        <f t="shared" si="0"/>
        <v>42618</v>
      </c>
      <c r="B180" s="499">
        <v>479216</v>
      </c>
    </row>
    <row r="181" spans="1:5" x14ac:dyDescent="0.2">
      <c r="A181" s="500">
        <f t="shared" si="0"/>
        <v>42619</v>
      </c>
      <c r="B181" s="499">
        <v>440784.82</v>
      </c>
    </row>
    <row r="182" spans="1:5" x14ac:dyDescent="0.2">
      <c r="A182" s="500">
        <f t="shared" si="0"/>
        <v>42620</v>
      </c>
      <c r="B182" s="499">
        <v>440785</v>
      </c>
      <c r="D182" s="501"/>
      <c r="E182" s="502"/>
    </row>
    <row r="183" spans="1:5" x14ac:dyDescent="0.2">
      <c r="A183" s="500">
        <f t="shared" si="0"/>
        <v>42621</v>
      </c>
      <c r="B183" s="499">
        <v>445373.31</v>
      </c>
    </row>
    <row r="184" spans="1:5" x14ac:dyDescent="0.2">
      <c r="A184" s="500">
        <f t="shared" si="0"/>
        <v>42622</v>
      </c>
      <c r="B184" s="499">
        <v>463896.46</v>
      </c>
      <c r="D184" s="501"/>
      <c r="E184" s="502"/>
    </row>
    <row r="185" spans="1:5" x14ac:dyDescent="0.2">
      <c r="A185" s="500">
        <f t="shared" si="0"/>
        <v>42625</v>
      </c>
      <c r="B185" s="499">
        <v>463296.46</v>
      </c>
      <c r="D185" s="501"/>
      <c r="E185" s="502"/>
    </row>
    <row r="186" spans="1:5" x14ac:dyDescent="0.2">
      <c r="A186" s="500">
        <f t="shared" si="0"/>
        <v>42626</v>
      </c>
      <c r="B186" s="499">
        <v>465024.54</v>
      </c>
      <c r="D186" s="501"/>
      <c r="E186" s="502"/>
    </row>
    <row r="187" spans="1:5" x14ac:dyDescent="0.2">
      <c r="A187" s="500">
        <f t="shared" si="0"/>
        <v>42627</v>
      </c>
      <c r="B187" s="499">
        <v>465025</v>
      </c>
      <c r="D187" s="501"/>
      <c r="E187" s="502"/>
    </row>
    <row r="188" spans="1:5" x14ac:dyDescent="0.2">
      <c r="A188" s="500">
        <f t="shared" si="0"/>
        <v>42628</v>
      </c>
      <c r="B188" s="499">
        <v>447444.34</v>
      </c>
      <c r="D188" s="501"/>
      <c r="E188" s="502"/>
    </row>
    <row r="189" spans="1:5" x14ac:dyDescent="0.2">
      <c r="A189" s="500">
        <f t="shared" si="0"/>
        <v>42629</v>
      </c>
      <c r="B189" s="499">
        <v>451135.42</v>
      </c>
      <c r="D189" s="501"/>
      <c r="E189" s="502"/>
    </row>
    <row r="190" spans="1:5" x14ac:dyDescent="0.2">
      <c r="A190" s="500">
        <f t="shared" si="0"/>
        <v>42632</v>
      </c>
      <c r="B190" s="499">
        <v>413924.51</v>
      </c>
      <c r="D190" s="501"/>
      <c r="E190" s="502"/>
    </row>
    <row r="191" spans="1:5" x14ac:dyDescent="0.2">
      <c r="A191" s="500">
        <f t="shared" si="0"/>
        <v>42633</v>
      </c>
      <c r="B191" s="499">
        <v>395080.96000000002</v>
      </c>
      <c r="D191" s="501"/>
      <c r="E191" s="502"/>
    </row>
    <row r="192" spans="1:5" x14ac:dyDescent="0.2">
      <c r="A192" s="500">
        <f t="shared" si="0"/>
        <v>42634</v>
      </c>
      <c r="B192" s="499">
        <v>393852.1</v>
      </c>
      <c r="D192" s="501"/>
      <c r="E192" s="502"/>
    </row>
    <row r="193" spans="1:5" x14ac:dyDescent="0.2">
      <c r="A193" s="500">
        <f t="shared" si="0"/>
        <v>42635</v>
      </c>
      <c r="B193" s="499">
        <v>397757.18</v>
      </c>
      <c r="D193" s="501"/>
      <c r="E193" s="502"/>
    </row>
    <row r="194" spans="1:5" x14ac:dyDescent="0.2">
      <c r="A194" s="500">
        <f t="shared" si="0"/>
        <v>42636</v>
      </c>
      <c r="B194" s="499">
        <v>397757</v>
      </c>
      <c r="D194" s="501"/>
      <c r="E194" s="502"/>
    </row>
    <row r="195" spans="1:5" x14ac:dyDescent="0.2">
      <c r="A195" s="500">
        <f t="shared" si="0"/>
        <v>42639</v>
      </c>
      <c r="B195" s="499">
        <v>397757</v>
      </c>
      <c r="D195" s="501"/>
      <c r="E195" s="502"/>
    </row>
    <row r="196" spans="1:5" x14ac:dyDescent="0.2">
      <c r="A196" s="500">
        <f t="shared" ref="A196:A259" si="1">A191+7</f>
        <v>42640</v>
      </c>
      <c r="B196" s="499">
        <v>403105.59</v>
      </c>
      <c r="D196" s="501"/>
      <c r="E196" s="502"/>
    </row>
    <row r="197" spans="1:5" x14ac:dyDescent="0.2">
      <c r="A197" s="500">
        <f t="shared" si="1"/>
        <v>42641</v>
      </c>
      <c r="B197" s="499">
        <v>394170.51</v>
      </c>
      <c r="D197" s="501"/>
      <c r="E197" s="502"/>
    </row>
    <row r="198" spans="1:5" x14ac:dyDescent="0.2">
      <c r="A198" s="500">
        <f t="shared" si="1"/>
        <v>42642</v>
      </c>
      <c r="B198" s="499">
        <v>397917.56</v>
      </c>
      <c r="D198" s="501"/>
      <c r="E198" s="502"/>
    </row>
    <row r="199" spans="1:5" x14ac:dyDescent="0.2">
      <c r="A199" s="500">
        <f t="shared" si="1"/>
        <v>42643</v>
      </c>
      <c r="B199" s="499">
        <v>397918</v>
      </c>
      <c r="D199" s="501"/>
      <c r="E199" s="502"/>
    </row>
    <row r="200" spans="1:5" x14ac:dyDescent="0.2">
      <c r="A200" s="500">
        <f t="shared" si="1"/>
        <v>42646</v>
      </c>
      <c r="B200" s="499">
        <v>361701.8</v>
      </c>
      <c r="D200" s="501"/>
      <c r="E200" s="502"/>
    </row>
    <row r="201" spans="1:5" x14ac:dyDescent="0.2">
      <c r="A201" s="500">
        <f t="shared" si="1"/>
        <v>42647</v>
      </c>
      <c r="B201" s="499">
        <v>362031.95</v>
      </c>
      <c r="D201" s="501"/>
      <c r="E201" s="502"/>
    </row>
    <row r="202" spans="1:5" x14ac:dyDescent="0.2">
      <c r="A202" s="500">
        <f t="shared" si="1"/>
        <v>42648</v>
      </c>
      <c r="B202" s="499">
        <v>362032</v>
      </c>
    </row>
    <row r="203" spans="1:5" x14ac:dyDescent="0.2">
      <c r="A203" s="500">
        <f t="shared" si="1"/>
        <v>42649</v>
      </c>
      <c r="B203" s="499">
        <v>360433.13</v>
      </c>
    </row>
    <row r="204" spans="1:5" x14ac:dyDescent="0.2">
      <c r="A204" s="500">
        <f t="shared" si="1"/>
        <v>42650</v>
      </c>
      <c r="B204" s="499">
        <v>361754.66</v>
      </c>
    </row>
    <row r="205" spans="1:5" x14ac:dyDescent="0.2">
      <c r="A205" s="500">
        <f t="shared" si="1"/>
        <v>42653</v>
      </c>
      <c r="B205" s="499">
        <v>361755</v>
      </c>
    </row>
    <row r="206" spans="1:5" x14ac:dyDescent="0.2">
      <c r="A206" s="500">
        <f t="shared" si="1"/>
        <v>42654</v>
      </c>
      <c r="B206" s="499">
        <v>361755</v>
      </c>
    </row>
    <row r="207" spans="1:5" x14ac:dyDescent="0.2">
      <c r="A207" s="500">
        <f t="shared" si="1"/>
        <v>42655</v>
      </c>
      <c r="B207" s="499">
        <v>365429.62</v>
      </c>
    </row>
    <row r="208" spans="1:5" x14ac:dyDescent="0.2">
      <c r="A208" s="500">
        <f t="shared" si="1"/>
        <v>42656</v>
      </c>
      <c r="B208" s="499">
        <v>375400.83</v>
      </c>
    </row>
    <row r="209" spans="1:2" x14ac:dyDescent="0.2">
      <c r="A209" s="500">
        <f t="shared" si="1"/>
        <v>42657</v>
      </c>
      <c r="B209" s="499">
        <v>375484.03</v>
      </c>
    </row>
    <row r="210" spans="1:2" x14ac:dyDescent="0.2">
      <c r="A210" s="500">
        <f t="shared" si="1"/>
        <v>42660</v>
      </c>
      <c r="B210" s="499">
        <v>339702.96</v>
      </c>
    </row>
    <row r="211" spans="1:2" x14ac:dyDescent="0.2">
      <c r="A211" s="500">
        <f t="shared" si="1"/>
        <v>42661</v>
      </c>
      <c r="B211" s="499">
        <v>343741.39</v>
      </c>
    </row>
    <row r="212" spans="1:2" x14ac:dyDescent="0.2">
      <c r="A212" s="500">
        <f t="shared" si="1"/>
        <v>42662</v>
      </c>
      <c r="B212" s="499">
        <v>343741</v>
      </c>
    </row>
    <row r="213" spans="1:2" x14ac:dyDescent="0.2">
      <c r="A213" s="500">
        <f t="shared" si="1"/>
        <v>42663</v>
      </c>
      <c r="B213" s="499">
        <v>332267.31</v>
      </c>
    </row>
    <row r="214" spans="1:2" x14ac:dyDescent="0.2">
      <c r="A214" s="500">
        <f t="shared" si="1"/>
        <v>42664</v>
      </c>
      <c r="B214" s="499">
        <v>332482.06</v>
      </c>
    </row>
    <row r="215" spans="1:2" x14ac:dyDescent="0.2">
      <c r="A215" s="500">
        <f t="shared" si="1"/>
        <v>42667</v>
      </c>
      <c r="B215" s="499">
        <v>332482</v>
      </c>
    </row>
    <row r="216" spans="1:2" x14ac:dyDescent="0.2">
      <c r="A216" s="500">
        <f t="shared" si="1"/>
        <v>42668</v>
      </c>
      <c r="B216" s="499">
        <v>337085.39</v>
      </c>
    </row>
    <row r="217" spans="1:2" x14ac:dyDescent="0.2">
      <c r="A217" s="500">
        <f t="shared" si="1"/>
        <v>42669</v>
      </c>
      <c r="B217" s="499">
        <v>337085</v>
      </c>
    </row>
    <row r="218" spans="1:2" x14ac:dyDescent="0.2">
      <c r="A218" s="500">
        <f t="shared" si="1"/>
        <v>42670</v>
      </c>
      <c r="B218" s="499">
        <v>333113.26</v>
      </c>
    </row>
    <row r="219" spans="1:2" x14ac:dyDescent="0.2">
      <c r="A219" s="500">
        <f t="shared" si="1"/>
        <v>42671</v>
      </c>
      <c r="B219" s="499">
        <v>360993.03</v>
      </c>
    </row>
    <row r="220" spans="1:2" x14ac:dyDescent="0.2">
      <c r="A220" s="500">
        <f t="shared" si="1"/>
        <v>42674</v>
      </c>
      <c r="B220" s="499">
        <v>350567.25</v>
      </c>
    </row>
    <row r="221" spans="1:2" x14ac:dyDescent="0.2">
      <c r="A221" s="500">
        <f t="shared" si="1"/>
        <v>42675</v>
      </c>
      <c r="B221" s="499">
        <v>350939.21</v>
      </c>
    </row>
    <row r="222" spans="1:2" x14ac:dyDescent="0.2">
      <c r="A222" s="500">
        <f t="shared" si="1"/>
        <v>42676</v>
      </c>
      <c r="B222" s="499">
        <v>350939</v>
      </c>
    </row>
    <row r="223" spans="1:2" x14ac:dyDescent="0.2">
      <c r="A223" s="500">
        <f t="shared" si="1"/>
        <v>42677</v>
      </c>
      <c r="B223" s="499">
        <v>344148.64</v>
      </c>
    </row>
    <row r="224" spans="1:2" x14ac:dyDescent="0.2">
      <c r="A224" s="500">
        <f t="shared" si="1"/>
        <v>42678</v>
      </c>
      <c r="B224" s="499">
        <v>399084.27</v>
      </c>
    </row>
    <row r="225" spans="1:2" x14ac:dyDescent="0.2">
      <c r="A225" s="500">
        <f t="shared" si="1"/>
        <v>42681</v>
      </c>
      <c r="B225" s="499">
        <v>399084</v>
      </c>
    </row>
    <row r="226" spans="1:2" x14ac:dyDescent="0.2">
      <c r="A226" s="500">
        <f t="shared" si="1"/>
        <v>42682</v>
      </c>
      <c r="B226" s="499">
        <v>403667.29</v>
      </c>
    </row>
    <row r="227" spans="1:2" x14ac:dyDescent="0.2">
      <c r="A227" s="500">
        <f t="shared" si="1"/>
        <v>42683</v>
      </c>
      <c r="B227" s="499">
        <v>403667</v>
      </c>
    </row>
    <row r="228" spans="1:2" x14ac:dyDescent="0.2">
      <c r="A228" s="500">
        <f t="shared" si="1"/>
        <v>42684</v>
      </c>
      <c r="B228" s="499">
        <v>383477.25</v>
      </c>
    </row>
    <row r="229" spans="1:2" x14ac:dyDescent="0.2">
      <c r="A229" s="500">
        <f t="shared" si="1"/>
        <v>42685</v>
      </c>
      <c r="B229" s="499">
        <v>383477</v>
      </c>
    </row>
    <row r="230" spans="1:2" x14ac:dyDescent="0.2">
      <c r="A230" s="500">
        <f t="shared" si="1"/>
        <v>42688</v>
      </c>
      <c r="B230" s="499">
        <v>347717.6</v>
      </c>
    </row>
    <row r="231" spans="1:2" x14ac:dyDescent="0.2">
      <c r="A231" s="500">
        <f t="shared" si="1"/>
        <v>42689</v>
      </c>
      <c r="B231" s="499">
        <v>347836.75</v>
      </c>
    </row>
    <row r="232" spans="1:2" x14ac:dyDescent="0.2">
      <c r="A232" s="500">
        <f t="shared" si="1"/>
        <v>42690</v>
      </c>
      <c r="B232" s="499">
        <v>347836.75</v>
      </c>
    </row>
    <row r="233" spans="1:2" x14ac:dyDescent="0.2">
      <c r="A233" s="500">
        <f t="shared" si="1"/>
        <v>42691</v>
      </c>
      <c r="B233" s="499">
        <v>350935.56</v>
      </c>
    </row>
    <row r="234" spans="1:2" x14ac:dyDescent="0.2">
      <c r="A234" s="500">
        <f t="shared" si="1"/>
        <v>42692</v>
      </c>
      <c r="B234" s="499">
        <v>350936</v>
      </c>
    </row>
    <row r="235" spans="1:2" x14ac:dyDescent="0.2">
      <c r="A235" s="500">
        <f t="shared" si="1"/>
        <v>42695</v>
      </c>
      <c r="B235" s="499">
        <v>350936</v>
      </c>
    </row>
    <row r="236" spans="1:2" x14ac:dyDescent="0.2">
      <c r="A236" s="500">
        <f t="shared" si="1"/>
        <v>42696</v>
      </c>
      <c r="B236" s="499">
        <v>351588.06</v>
      </c>
    </row>
    <row r="237" spans="1:2" x14ac:dyDescent="0.2">
      <c r="A237" s="500">
        <f t="shared" si="1"/>
        <v>42697</v>
      </c>
      <c r="B237" s="499">
        <v>349477.96</v>
      </c>
    </row>
    <row r="238" spans="1:2" x14ac:dyDescent="0.2">
      <c r="A238" s="500">
        <f t="shared" si="1"/>
        <v>42698</v>
      </c>
      <c r="B238" s="499">
        <v>349478</v>
      </c>
    </row>
    <row r="239" spans="1:2" x14ac:dyDescent="0.2">
      <c r="A239" s="500">
        <f t="shared" si="1"/>
        <v>42699</v>
      </c>
      <c r="B239" s="499">
        <v>368170.66</v>
      </c>
    </row>
    <row r="240" spans="1:2" x14ac:dyDescent="0.2">
      <c r="A240" s="500">
        <f t="shared" si="1"/>
        <v>42702</v>
      </c>
      <c r="B240" s="499">
        <v>368170.66</v>
      </c>
    </row>
    <row r="241" spans="1:2" x14ac:dyDescent="0.2">
      <c r="A241" s="500">
        <f t="shared" si="1"/>
        <v>42703</v>
      </c>
      <c r="B241" s="499">
        <v>328902.64</v>
      </c>
    </row>
    <row r="242" spans="1:2" x14ac:dyDescent="0.2">
      <c r="A242" s="500">
        <f t="shared" si="1"/>
        <v>42704</v>
      </c>
      <c r="B242" s="499">
        <v>338455.85</v>
      </c>
    </row>
    <row r="243" spans="1:2" x14ac:dyDescent="0.2">
      <c r="A243" s="500">
        <f t="shared" si="1"/>
        <v>42705</v>
      </c>
      <c r="B243" s="499">
        <v>336997.18</v>
      </c>
    </row>
    <row r="244" spans="1:2" x14ac:dyDescent="0.2">
      <c r="A244" s="500">
        <f t="shared" si="1"/>
        <v>42706</v>
      </c>
      <c r="B244" s="499">
        <v>342825.59</v>
      </c>
    </row>
    <row r="245" spans="1:2" x14ac:dyDescent="0.2">
      <c r="A245" s="500">
        <f t="shared" si="1"/>
        <v>42709</v>
      </c>
      <c r="B245" s="499">
        <v>342826</v>
      </c>
    </row>
    <row r="246" spans="1:2" x14ac:dyDescent="0.2">
      <c r="A246" s="500">
        <f t="shared" si="1"/>
        <v>42710</v>
      </c>
      <c r="B246" s="499">
        <v>344457.81</v>
      </c>
    </row>
    <row r="247" spans="1:2" x14ac:dyDescent="0.2">
      <c r="A247" s="500">
        <f t="shared" si="1"/>
        <v>42711</v>
      </c>
      <c r="B247" s="499">
        <v>366772.64</v>
      </c>
    </row>
    <row r="248" spans="1:2" x14ac:dyDescent="0.2">
      <c r="A248" s="500">
        <f t="shared" si="1"/>
        <v>42712</v>
      </c>
      <c r="B248" s="499">
        <v>366772.6</v>
      </c>
    </row>
    <row r="249" spans="1:2" x14ac:dyDescent="0.2">
      <c r="A249" s="500">
        <f t="shared" si="1"/>
        <v>42713</v>
      </c>
      <c r="B249" s="499">
        <v>366773</v>
      </c>
    </row>
    <row r="250" spans="1:2" x14ac:dyDescent="0.2">
      <c r="A250" s="500">
        <f t="shared" si="1"/>
        <v>42716</v>
      </c>
      <c r="B250" s="499">
        <v>366773</v>
      </c>
    </row>
    <row r="251" spans="1:2" x14ac:dyDescent="0.2">
      <c r="A251" s="500">
        <f t="shared" si="1"/>
        <v>42717</v>
      </c>
      <c r="B251" s="499">
        <v>346535.44</v>
      </c>
    </row>
    <row r="252" spans="1:2" x14ac:dyDescent="0.2">
      <c r="A252" s="500">
        <f t="shared" si="1"/>
        <v>42718</v>
      </c>
      <c r="B252" s="499">
        <v>346535</v>
      </c>
    </row>
    <row r="253" spans="1:2" x14ac:dyDescent="0.2">
      <c r="A253" s="500">
        <f t="shared" si="1"/>
        <v>42719</v>
      </c>
      <c r="B253" s="499">
        <v>335522.11</v>
      </c>
    </row>
    <row r="254" spans="1:2" x14ac:dyDescent="0.2">
      <c r="A254" s="500">
        <f t="shared" si="1"/>
        <v>42720</v>
      </c>
      <c r="B254" s="499">
        <v>335675.99</v>
      </c>
    </row>
    <row r="255" spans="1:2" x14ac:dyDescent="0.2">
      <c r="A255" s="500">
        <f t="shared" si="1"/>
        <v>42723</v>
      </c>
      <c r="B255" s="499">
        <v>357268.43</v>
      </c>
    </row>
    <row r="256" spans="1:2" x14ac:dyDescent="0.2">
      <c r="A256" s="500">
        <f t="shared" si="1"/>
        <v>42724</v>
      </c>
      <c r="B256" s="499">
        <v>357268</v>
      </c>
    </row>
    <row r="257" spans="1:2" x14ac:dyDescent="0.2">
      <c r="A257" s="500">
        <f t="shared" si="1"/>
        <v>42725</v>
      </c>
      <c r="B257" s="499">
        <v>366192.91</v>
      </c>
    </row>
    <row r="258" spans="1:2" x14ac:dyDescent="0.2">
      <c r="A258" s="500">
        <f t="shared" si="1"/>
        <v>42726</v>
      </c>
      <c r="B258" s="499">
        <v>377001.67</v>
      </c>
    </row>
    <row r="259" spans="1:2" x14ac:dyDescent="0.2">
      <c r="A259" s="500">
        <f t="shared" si="1"/>
        <v>42727</v>
      </c>
      <c r="B259" s="499">
        <v>377329.67</v>
      </c>
    </row>
    <row r="260" spans="1:2" x14ac:dyDescent="0.2">
      <c r="A260" s="500">
        <f t="shared" ref="A260:A264" si="2">A255+7</f>
        <v>42730</v>
      </c>
      <c r="B260" s="499">
        <v>377330</v>
      </c>
    </row>
    <row r="261" spans="1:2" x14ac:dyDescent="0.2">
      <c r="A261" s="500">
        <f t="shared" si="2"/>
        <v>42731</v>
      </c>
      <c r="B261" s="499">
        <v>339782.53</v>
      </c>
    </row>
    <row r="262" spans="1:2" x14ac:dyDescent="0.2">
      <c r="A262" s="500">
        <f t="shared" si="2"/>
        <v>42732</v>
      </c>
      <c r="B262" s="499">
        <v>339783</v>
      </c>
    </row>
    <row r="263" spans="1:2" x14ac:dyDescent="0.2">
      <c r="A263" s="500">
        <f t="shared" si="2"/>
        <v>42733</v>
      </c>
      <c r="B263" s="499">
        <v>337987.77</v>
      </c>
    </row>
    <row r="264" spans="1:2" x14ac:dyDescent="0.2">
      <c r="A264" s="500">
        <f t="shared" si="2"/>
        <v>42734</v>
      </c>
      <c r="B264" s="499">
        <v>354814.33</v>
      </c>
    </row>
    <row r="265" spans="1:2" x14ac:dyDescent="0.2">
      <c r="A265" s="523">
        <v>42737</v>
      </c>
      <c r="B265" s="524">
        <v>354814</v>
      </c>
    </row>
    <row r="266" spans="1:2" x14ac:dyDescent="0.2">
      <c r="A266" s="523">
        <v>42738</v>
      </c>
      <c r="B266" s="524">
        <v>361866.86</v>
      </c>
    </row>
    <row r="267" spans="1:2" x14ac:dyDescent="0.2">
      <c r="A267" s="523">
        <v>42739</v>
      </c>
      <c r="B267" s="524">
        <v>363519.32</v>
      </c>
    </row>
    <row r="268" spans="1:2" x14ac:dyDescent="0.2">
      <c r="A268" s="523">
        <v>42740</v>
      </c>
      <c r="B268" s="524">
        <v>361866.66</v>
      </c>
    </row>
    <row r="269" spans="1:2" x14ac:dyDescent="0.2">
      <c r="A269" s="523">
        <v>42741</v>
      </c>
      <c r="B269" s="524">
        <v>363519</v>
      </c>
    </row>
    <row r="270" spans="1:2" x14ac:dyDescent="0.2">
      <c r="A270" s="523">
        <v>42744</v>
      </c>
      <c r="B270" s="524">
        <v>363543.47</v>
      </c>
    </row>
    <row r="271" spans="1:2" x14ac:dyDescent="0.2">
      <c r="A271" s="523">
        <v>42745</v>
      </c>
      <c r="B271" s="524">
        <v>328707.83</v>
      </c>
    </row>
    <row r="272" spans="1:2" x14ac:dyDescent="0.2">
      <c r="A272" s="523">
        <v>42746</v>
      </c>
      <c r="B272" s="524">
        <v>328708</v>
      </c>
    </row>
    <row r="273" spans="1:2" x14ac:dyDescent="0.2">
      <c r="A273" s="523">
        <v>42747</v>
      </c>
      <c r="B273" s="524">
        <v>321086.01</v>
      </c>
    </row>
    <row r="274" spans="1:2" x14ac:dyDescent="0.2">
      <c r="A274" s="523">
        <v>42748</v>
      </c>
      <c r="B274" s="524">
        <v>334097.28000000003</v>
      </c>
    </row>
    <row r="275" spans="1:2" x14ac:dyDescent="0.2">
      <c r="A275" s="523">
        <v>42751</v>
      </c>
      <c r="B275" s="524">
        <v>334097</v>
      </c>
    </row>
    <row r="276" spans="1:2" x14ac:dyDescent="0.2">
      <c r="A276" s="523">
        <v>42752</v>
      </c>
      <c r="B276" s="524">
        <v>268850.96000000002</v>
      </c>
    </row>
    <row r="277" spans="1:2" x14ac:dyDescent="0.2">
      <c r="A277" s="523">
        <v>42753</v>
      </c>
      <c r="B277" s="524">
        <v>268851</v>
      </c>
    </row>
    <row r="278" spans="1:2" x14ac:dyDescent="0.2">
      <c r="A278" s="523">
        <v>42754</v>
      </c>
      <c r="B278" s="524">
        <v>269075.21000000002</v>
      </c>
    </row>
    <row r="279" spans="1:2" x14ac:dyDescent="0.2">
      <c r="A279" s="523">
        <v>42755</v>
      </c>
      <c r="B279" s="524">
        <v>270983.21000000002</v>
      </c>
    </row>
    <row r="280" spans="1:2" x14ac:dyDescent="0.2">
      <c r="A280" s="523">
        <v>42758</v>
      </c>
      <c r="B280" s="524">
        <v>270983</v>
      </c>
    </row>
    <row r="281" spans="1:2" x14ac:dyDescent="0.2">
      <c r="A281" s="523">
        <v>42759</v>
      </c>
      <c r="B281" s="524">
        <v>270723.98</v>
      </c>
    </row>
    <row r="282" spans="1:2" x14ac:dyDescent="0.2">
      <c r="A282" s="523">
        <v>42760</v>
      </c>
      <c r="B282" s="524">
        <v>281353.09999999998</v>
      </c>
    </row>
    <row r="283" spans="1:2" x14ac:dyDescent="0.2">
      <c r="A283" s="523">
        <v>42761</v>
      </c>
      <c r="B283" s="524">
        <v>274313.84999999998</v>
      </c>
    </row>
    <row r="284" spans="1:2" x14ac:dyDescent="0.2">
      <c r="A284" s="523">
        <v>42762</v>
      </c>
      <c r="B284" s="524">
        <v>296447.59999999998</v>
      </c>
    </row>
    <row r="285" spans="1:2" x14ac:dyDescent="0.2">
      <c r="A285" s="523">
        <v>42765</v>
      </c>
      <c r="B285" s="524">
        <v>295107.96000000002</v>
      </c>
    </row>
    <row r="286" spans="1:2" x14ac:dyDescent="0.2">
      <c r="A286" s="523">
        <v>42766</v>
      </c>
      <c r="B286" s="524">
        <v>314030.53000000003</v>
      </c>
    </row>
    <row r="287" spans="1:2" x14ac:dyDescent="0.2">
      <c r="A287" s="523">
        <v>42767</v>
      </c>
      <c r="B287" s="524">
        <v>314031</v>
      </c>
    </row>
    <row r="288" spans="1:2" x14ac:dyDescent="0.2">
      <c r="A288" s="523">
        <v>42768</v>
      </c>
      <c r="B288" s="524">
        <v>312808.53999999998</v>
      </c>
    </row>
    <row r="289" spans="1:2" x14ac:dyDescent="0.2">
      <c r="A289" s="523">
        <v>42769</v>
      </c>
      <c r="B289" s="524">
        <v>316461.53999999998</v>
      </c>
    </row>
    <row r="290" spans="1:2" x14ac:dyDescent="0.2">
      <c r="A290" s="523">
        <v>42772</v>
      </c>
      <c r="B290" s="524">
        <v>316462</v>
      </c>
    </row>
    <row r="291" spans="1:2" x14ac:dyDescent="0.2">
      <c r="A291" s="523">
        <v>42773</v>
      </c>
      <c r="B291" s="524">
        <v>289560.21999999997</v>
      </c>
    </row>
    <row r="292" spans="1:2" x14ac:dyDescent="0.2">
      <c r="A292" s="523">
        <v>42774</v>
      </c>
      <c r="B292" s="524">
        <v>297310.21999999997</v>
      </c>
    </row>
    <row r="293" spans="1:2" x14ac:dyDescent="0.2">
      <c r="A293" s="523">
        <v>42775</v>
      </c>
      <c r="B293" s="524">
        <v>352433.91</v>
      </c>
    </row>
    <row r="294" spans="1:2" x14ac:dyDescent="0.2">
      <c r="A294" s="523">
        <v>42776</v>
      </c>
      <c r="B294" s="524">
        <v>352434</v>
      </c>
    </row>
    <row r="295" spans="1:2" x14ac:dyDescent="0.2">
      <c r="A295" s="523">
        <v>42779</v>
      </c>
      <c r="B295" s="524">
        <v>352434</v>
      </c>
    </row>
    <row r="296" spans="1:2" x14ac:dyDescent="0.2">
      <c r="A296" s="523">
        <v>42780</v>
      </c>
      <c r="B296" s="524">
        <v>352434</v>
      </c>
    </row>
    <row r="297" spans="1:2" x14ac:dyDescent="0.2">
      <c r="A297" s="523">
        <v>42781</v>
      </c>
      <c r="B297" s="524">
        <v>352542.46</v>
      </c>
    </row>
    <row r="298" spans="1:2" x14ac:dyDescent="0.2">
      <c r="A298" s="523">
        <v>42782</v>
      </c>
      <c r="B298" s="524">
        <v>383231.99</v>
      </c>
    </row>
    <row r="299" spans="1:2" x14ac:dyDescent="0.2">
      <c r="A299" s="523">
        <v>42783</v>
      </c>
      <c r="B299" s="559">
        <v>404679.36</v>
      </c>
    </row>
    <row r="300" spans="1:2" x14ac:dyDescent="0.2">
      <c r="A300" s="523">
        <v>42785</v>
      </c>
      <c r="B300" s="524">
        <v>404679</v>
      </c>
    </row>
    <row r="301" spans="1:2" x14ac:dyDescent="0.2">
      <c r="A301" s="523">
        <v>42787</v>
      </c>
      <c r="B301" s="524">
        <v>368703.72</v>
      </c>
    </row>
    <row r="302" spans="1:2" x14ac:dyDescent="0.2">
      <c r="A302" s="523">
        <v>42788</v>
      </c>
      <c r="B302" s="524">
        <v>368203.72</v>
      </c>
    </row>
    <row r="303" spans="1:2" x14ac:dyDescent="0.2">
      <c r="A303" s="523">
        <v>42789</v>
      </c>
      <c r="B303" s="524">
        <v>349211.92</v>
      </c>
    </row>
    <row r="304" spans="1:2" x14ac:dyDescent="0.2">
      <c r="A304" s="523">
        <v>42790</v>
      </c>
      <c r="B304" s="524">
        <v>384176.45</v>
      </c>
    </row>
    <row r="305" spans="1:2" x14ac:dyDescent="0.2">
      <c r="A305" s="523">
        <v>42793</v>
      </c>
      <c r="B305" s="524">
        <v>384176</v>
      </c>
    </row>
    <row r="306" spans="1:2" x14ac:dyDescent="0.2">
      <c r="A306" s="523">
        <v>42794</v>
      </c>
      <c r="B306" s="524">
        <v>384176</v>
      </c>
    </row>
    <row r="307" spans="1:2" x14ac:dyDescent="0.2">
      <c r="A307" s="523">
        <v>42795</v>
      </c>
      <c r="B307" s="524">
        <v>384176</v>
      </c>
    </row>
    <row r="308" spans="1:2" x14ac:dyDescent="0.2">
      <c r="A308" s="523">
        <v>42796</v>
      </c>
      <c r="B308" s="524">
        <v>395396.43</v>
      </c>
    </row>
    <row r="309" spans="1:2" x14ac:dyDescent="0.2">
      <c r="A309" s="523">
        <v>42797</v>
      </c>
      <c r="B309" s="524">
        <v>395396</v>
      </c>
    </row>
    <row r="310" spans="1:2" x14ac:dyDescent="0.2">
      <c r="A310" s="523">
        <v>42800</v>
      </c>
      <c r="B310" s="524">
        <v>395396</v>
      </c>
    </row>
    <row r="311" spans="1:2" x14ac:dyDescent="0.2">
      <c r="A311" s="523">
        <v>42801</v>
      </c>
      <c r="B311" s="524">
        <v>361856.47</v>
      </c>
    </row>
    <row r="312" spans="1:2" x14ac:dyDescent="0.2">
      <c r="A312" s="523">
        <v>42802</v>
      </c>
      <c r="B312" s="524">
        <v>361856</v>
      </c>
    </row>
    <row r="313" spans="1:2" x14ac:dyDescent="0.2">
      <c r="A313" s="523">
        <v>42803</v>
      </c>
      <c r="B313" s="524">
        <v>349877.16</v>
      </c>
    </row>
    <row r="314" spans="1:2" x14ac:dyDescent="0.2">
      <c r="A314" s="523">
        <v>42804</v>
      </c>
      <c r="B314" s="524">
        <v>359297.81</v>
      </c>
    </row>
    <row r="315" spans="1:2" x14ac:dyDescent="0.2">
      <c r="A315" s="523">
        <v>42807</v>
      </c>
      <c r="B315" s="524">
        <v>361678.91</v>
      </c>
    </row>
    <row r="316" spans="1:2" x14ac:dyDescent="0.2">
      <c r="A316" s="523">
        <v>42808</v>
      </c>
      <c r="B316" s="524">
        <v>361679</v>
      </c>
    </row>
    <row r="317" spans="1:2" x14ac:dyDescent="0.2">
      <c r="A317" s="523">
        <v>42809</v>
      </c>
      <c r="B317" s="524">
        <v>370843.37</v>
      </c>
    </row>
    <row r="318" spans="1:2" x14ac:dyDescent="0.2">
      <c r="A318" s="523">
        <v>42810</v>
      </c>
      <c r="B318" s="524">
        <v>377566.07</v>
      </c>
    </row>
    <row r="319" spans="1:2" x14ac:dyDescent="0.2">
      <c r="A319" s="523">
        <v>42811</v>
      </c>
      <c r="B319" s="524">
        <v>370373.97</v>
      </c>
    </row>
    <row r="320" spans="1:2" x14ac:dyDescent="0.2">
      <c r="A320" s="523">
        <v>42814</v>
      </c>
      <c r="B320" s="524">
        <v>338340.3</v>
      </c>
    </row>
    <row r="321" spans="1:2" x14ac:dyDescent="0.2">
      <c r="A321" s="523">
        <v>42815</v>
      </c>
      <c r="B321" s="524">
        <v>338340</v>
      </c>
    </row>
    <row r="322" spans="1:2" x14ac:dyDescent="0.2">
      <c r="A322" s="523">
        <v>42816</v>
      </c>
      <c r="B322" s="524">
        <v>338340</v>
      </c>
    </row>
    <row r="323" spans="1:2" x14ac:dyDescent="0.2">
      <c r="A323" s="523">
        <v>42817</v>
      </c>
      <c r="B323" s="524">
        <f>25944.71+322493.66</f>
        <v>348438.37</v>
      </c>
    </row>
    <row r="324" spans="1:2" x14ac:dyDescent="0.2">
      <c r="A324" s="523">
        <v>42818</v>
      </c>
      <c r="B324" s="524">
        <v>348438</v>
      </c>
    </row>
    <row r="325" spans="1:2" x14ac:dyDescent="0.2">
      <c r="A325" s="523">
        <v>42821</v>
      </c>
      <c r="B325" s="524">
        <v>348360.51</v>
      </c>
    </row>
    <row r="326" spans="1:2" x14ac:dyDescent="0.2">
      <c r="A326" s="523">
        <v>42822</v>
      </c>
      <c r="B326" s="499">
        <v>348440.48</v>
      </c>
    </row>
    <row r="327" spans="1:2" x14ac:dyDescent="0.2">
      <c r="A327" s="523">
        <v>42823</v>
      </c>
      <c r="B327" s="499">
        <v>348440</v>
      </c>
    </row>
    <row r="328" spans="1:2" x14ac:dyDescent="0.2">
      <c r="A328" s="523">
        <v>42824</v>
      </c>
      <c r="B328" s="499">
        <v>350305.92</v>
      </c>
    </row>
    <row r="329" spans="1:2" x14ac:dyDescent="0.2">
      <c r="A329" s="523">
        <v>42825</v>
      </c>
      <c r="B329" s="499">
        <v>350306</v>
      </c>
    </row>
    <row r="330" spans="1:2" x14ac:dyDescent="0.2">
      <c r="A330" s="523">
        <v>42828</v>
      </c>
      <c r="B330" s="499">
        <v>350306</v>
      </c>
    </row>
    <row r="331" spans="1:2" x14ac:dyDescent="0.2">
      <c r="A331" s="523">
        <v>42829</v>
      </c>
      <c r="B331" s="499">
        <v>320389.65000000002</v>
      </c>
    </row>
    <row r="332" spans="1:2" x14ac:dyDescent="0.2">
      <c r="A332" s="523">
        <v>42830</v>
      </c>
      <c r="B332" s="499">
        <v>320390</v>
      </c>
    </row>
    <row r="333" spans="1:2" x14ac:dyDescent="0.2">
      <c r="A333" s="523">
        <v>42831</v>
      </c>
      <c r="B333" s="499">
        <v>313344</v>
      </c>
    </row>
    <row r="334" spans="1:2" x14ac:dyDescent="0.2">
      <c r="A334" s="523">
        <v>42832</v>
      </c>
      <c r="B334" s="499">
        <v>313344</v>
      </c>
    </row>
    <row r="335" spans="1:2" x14ac:dyDescent="0.2">
      <c r="A335" s="523">
        <v>42835</v>
      </c>
      <c r="B335" s="499">
        <v>306132.78000000003</v>
      </c>
    </row>
    <row r="336" spans="1:2" x14ac:dyDescent="0.2">
      <c r="A336" s="523">
        <v>42836</v>
      </c>
      <c r="B336" s="499">
        <v>286047.34999999998</v>
      </c>
    </row>
    <row r="337" spans="1:2" x14ac:dyDescent="0.2">
      <c r="A337" s="523">
        <v>42837</v>
      </c>
      <c r="B337" s="499">
        <v>286047</v>
      </c>
    </row>
    <row r="338" spans="1:2" x14ac:dyDescent="0.2">
      <c r="A338" s="523">
        <v>42838</v>
      </c>
      <c r="B338" s="499">
        <v>272128.99</v>
      </c>
    </row>
    <row r="339" spans="1:2" x14ac:dyDescent="0.2">
      <c r="A339" s="523">
        <v>42839</v>
      </c>
      <c r="B339" s="499">
        <v>272229.71000000002</v>
      </c>
    </row>
    <row r="340" spans="1:2" x14ac:dyDescent="0.2">
      <c r="A340" s="523">
        <v>42842</v>
      </c>
      <c r="B340" s="499">
        <v>236683.56</v>
      </c>
    </row>
    <row r="341" spans="1:2" x14ac:dyDescent="0.2">
      <c r="A341" s="523">
        <v>42843</v>
      </c>
      <c r="B341" s="499">
        <v>244114.64</v>
      </c>
    </row>
    <row r="342" spans="1:2" x14ac:dyDescent="0.2">
      <c r="A342" s="523">
        <v>42844</v>
      </c>
      <c r="B342" s="499">
        <v>244115</v>
      </c>
    </row>
    <row r="343" spans="1:2" x14ac:dyDescent="0.2">
      <c r="A343" s="523">
        <v>42845</v>
      </c>
      <c r="B343" s="499">
        <v>241798.76</v>
      </c>
    </row>
    <row r="344" spans="1:2" x14ac:dyDescent="0.2">
      <c r="A344" s="523">
        <v>42846</v>
      </c>
      <c r="B344" s="499">
        <v>241799</v>
      </c>
    </row>
    <row r="345" spans="1:2" x14ac:dyDescent="0.2">
      <c r="A345" s="523">
        <v>42849</v>
      </c>
      <c r="B345" s="499">
        <v>241973.76000000001</v>
      </c>
    </row>
    <row r="346" spans="1:2" x14ac:dyDescent="0.2">
      <c r="A346" s="523">
        <v>42850</v>
      </c>
      <c r="B346" s="499">
        <v>243364.2</v>
      </c>
    </row>
    <row r="347" spans="1:2" x14ac:dyDescent="0.2">
      <c r="A347" s="523">
        <v>42851</v>
      </c>
      <c r="B347" s="499">
        <v>243364</v>
      </c>
    </row>
    <row r="348" spans="1:2" x14ac:dyDescent="0.2">
      <c r="A348" s="523">
        <v>42852</v>
      </c>
      <c r="B348" s="499">
        <v>259265.45</v>
      </c>
    </row>
    <row r="349" spans="1:2" x14ac:dyDescent="0.2">
      <c r="A349" s="523">
        <v>42853</v>
      </c>
      <c r="B349" s="499">
        <v>290731.18</v>
      </c>
    </row>
    <row r="350" spans="1:2" x14ac:dyDescent="0.2">
      <c r="A350" s="523">
        <v>42856</v>
      </c>
      <c r="B350" s="499">
        <v>251486.17</v>
      </c>
    </row>
    <row r="351" spans="1:2" x14ac:dyDescent="0.2">
      <c r="A351" s="523">
        <v>42857</v>
      </c>
      <c r="B351" s="499">
        <v>253188.17</v>
      </c>
    </row>
    <row r="352" spans="1:2" x14ac:dyDescent="0.2">
      <c r="A352" s="523">
        <v>42858</v>
      </c>
      <c r="B352" s="499">
        <v>253188</v>
      </c>
    </row>
    <row r="353" spans="1:2" x14ac:dyDescent="0.2">
      <c r="A353" s="523">
        <v>42859</v>
      </c>
      <c r="B353" s="499">
        <v>232739.33</v>
      </c>
    </row>
    <row r="354" spans="1:2" x14ac:dyDescent="0.2">
      <c r="A354" s="523">
        <v>42860</v>
      </c>
      <c r="B354" s="499">
        <v>234049.33</v>
      </c>
    </row>
    <row r="355" spans="1:2" x14ac:dyDescent="0.2">
      <c r="A355" s="523">
        <v>42863</v>
      </c>
      <c r="B355" s="499">
        <v>314317.77</v>
      </c>
    </row>
    <row r="356" spans="1:2" x14ac:dyDescent="0.2">
      <c r="A356" s="523">
        <v>42864</v>
      </c>
      <c r="B356" s="499">
        <v>314318</v>
      </c>
    </row>
    <row r="357" spans="1:2" x14ac:dyDescent="0.2">
      <c r="A357" s="523">
        <v>42865</v>
      </c>
      <c r="B357" s="499">
        <v>314318</v>
      </c>
    </row>
    <row r="358" spans="1:2" x14ac:dyDescent="0.2">
      <c r="A358" s="523">
        <v>42866</v>
      </c>
      <c r="B358" s="499">
        <v>313971.28000000003</v>
      </c>
    </row>
    <row r="359" spans="1:2" x14ac:dyDescent="0.2">
      <c r="A359" s="523">
        <v>42867</v>
      </c>
      <c r="B359" s="499">
        <v>313971</v>
      </c>
    </row>
    <row r="360" spans="1:2" x14ac:dyDescent="0.2">
      <c r="A360" s="523">
        <v>42870</v>
      </c>
      <c r="B360" s="499">
        <v>271063.69</v>
      </c>
    </row>
    <row r="361" spans="1:2" x14ac:dyDescent="0.2">
      <c r="A361" s="523">
        <v>42871</v>
      </c>
      <c r="B361" s="499">
        <v>271064</v>
      </c>
    </row>
    <row r="362" spans="1:2" x14ac:dyDescent="0.2">
      <c r="A362" s="523">
        <v>42872</v>
      </c>
      <c r="B362" s="499">
        <v>271064</v>
      </c>
    </row>
    <row r="363" spans="1:2" x14ac:dyDescent="0.2">
      <c r="A363" s="523">
        <v>42873</v>
      </c>
      <c r="B363" s="499">
        <v>261497.73</v>
      </c>
    </row>
    <row r="364" spans="1:2" x14ac:dyDescent="0.2">
      <c r="A364" s="523">
        <v>42874</v>
      </c>
      <c r="B364" s="499">
        <v>311507.92</v>
      </c>
    </row>
    <row r="365" spans="1:2" x14ac:dyDescent="0.2">
      <c r="A365" s="523">
        <v>42877</v>
      </c>
      <c r="B365" s="499">
        <v>290080.52</v>
      </c>
    </row>
    <row r="366" spans="1:2" x14ac:dyDescent="0.2">
      <c r="A366" s="523">
        <v>42878</v>
      </c>
      <c r="B366" s="499">
        <v>290081</v>
      </c>
    </row>
    <row r="367" spans="1:2" x14ac:dyDescent="0.2">
      <c r="A367" s="523">
        <v>42879</v>
      </c>
      <c r="B367" s="499">
        <v>327080.46000000002</v>
      </c>
    </row>
    <row r="368" spans="1:2" x14ac:dyDescent="0.2">
      <c r="A368" s="523">
        <v>42880</v>
      </c>
      <c r="B368" s="499">
        <v>327080</v>
      </c>
    </row>
    <row r="369" spans="1:2" x14ac:dyDescent="0.2">
      <c r="A369" s="523">
        <v>42881</v>
      </c>
      <c r="B369" s="499">
        <v>336844.12</v>
      </c>
    </row>
    <row r="370" spans="1:2" x14ac:dyDescent="0.2">
      <c r="A370" s="523">
        <v>42884</v>
      </c>
      <c r="B370" s="499">
        <v>336844</v>
      </c>
    </row>
    <row r="371" spans="1:2" x14ac:dyDescent="0.2">
      <c r="A371" s="523">
        <v>42885</v>
      </c>
      <c r="B371" s="499">
        <v>300553.48</v>
      </c>
    </row>
    <row r="372" spans="1:2" x14ac:dyDescent="0.2">
      <c r="A372" s="523">
        <v>42886</v>
      </c>
      <c r="B372" s="499">
        <v>296887.5</v>
      </c>
    </row>
    <row r="373" spans="1:2" x14ac:dyDescent="0.2">
      <c r="A373" s="523">
        <v>42887</v>
      </c>
      <c r="B373" s="499">
        <v>297355.68</v>
      </c>
    </row>
    <row r="374" spans="1:2" x14ac:dyDescent="0.2">
      <c r="A374" s="523">
        <v>42888</v>
      </c>
      <c r="B374" s="499">
        <v>298760.68</v>
      </c>
    </row>
    <row r="375" spans="1:2" x14ac:dyDescent="0.2">
      <c r="A375" s="523">
        <v>42891</v>
      </c>
      <c r="B375" s="499">
        <v>279006.82</v>
      </c>
    </row>
    <row r="376" spans="1:2" x14ac:dyDescent="0.2">
      <c r="A376" s="523">
        <v>42892</v>
      </c>
      <c r="B376" s="499">
        <v>279007</v>
      </c>
    </row>
    <row r="377" spans="1:2" x14ac:dyDescent="0.2">
      <c r="A377" s="523">
        <v>42893</v>
      </c>
      <c r="B377" s="499">
        <v>279007</v>
      </c>
    </row>
    <row r="378" spans="1:2" x14ac:dyDescent="0.2">
      <c r="A378" s="523">
        <v>42894</v>
      </c>
      <c r="B378" s="499">
        <v>279112.07</v>
      </c>
    </row>
    <row r="379" spans="1:2" x14ac:dyDescent="0.2">
      <c r="A379" s="523">
        <v>42895</v>
      </c>
      <c r="B379" s="499">
        <v>279112</v>
      </c>
    </row>
    <row r="380" spans="1:2" x14ac:dyDescent="0.2">
      <c r="A380" s="523">
        <v>42898</v>
      </c>
      <c r="B380" s="499">
        <v>244072.02</v>
      </c>
    </row>
    <row r="381" spans="1:2" x14ac:dyDescent="0.2">
      <c r="A381" s="523">
        <v>42899</v>
      </c>
      <c r="B381" s="499">
        <v>249325.41</v>
      </c>
    </row>
    <row r="382" spans="1:2" x14ac:dyDescent="0.2">
      <c r="A382" s="523">
        <v>42900</v>
      </c>
      <c r="B382" s="499">
        <v>249325</v>
      </c>
    </row>
    <row r="383" spans="1:2" x14ac:dyDescent="0.2">
      <c r="A383" s="523">
        <v>42901</v>
      </c>
      <c r="B383" s="499">
        <v>252874.48</v>
      </c>
    </row>
    <row r="384" spans="1:2" x14ac:dyDescent="0.2">
      <c r="A384" s="523">
        <v>42902</v>
      </c>
      <c r="B384" s="499">
        <v>253128.65</v>
      </c>
    </row>
    <row r="385" spans="1:2" x14ac:dyDescent="0.2">
      <c r="A385" s="523">
        <v>42905</v>
      </c>
      <c r="B385" s="499">
        <v>255098.96</v>
      </c>
    </row>
    <row r="386" spans="1:2" x14ac:dyDescent="0.2">
      <c r="A386" s="523">
        <v>42906</v>
      </c>
      <c r="B386" s="499">
        <v>253521.42</v>
      </c>
    </row>
    <row r="387" spans="1:2" x14ac:dyDescent="0.2">
      <c r="A387" s="523">
        <v>42907</v>
      </c>
      <c r="B387" s="499">
        <v>253521</v>
      </c>
    </row>
    <row r="388" spans="1:2" x14ac:dyDescent="0.2">
      <c r="A388" s="523">
        <v>42908</v>
      </c>
      <c r="B388" s="499">
        <v>235912.36</v>
      </c>
    </row>
    <row r="389" spans="1:2" x14ac:dyDescent="0.2">
      <c r="A389" s="523">
        <v>42909</v>
      </c>
      <c r="B389" s="499">
        <v>235912</v>
      </c>
    </row>
    <row r="390" spans="1:2" x14ac:dyDescent="0.2">
      <c r="A390" s="523">
        <v>42912</v>
      </c>
      <c r="B390" s="560">
        <v>198879.76</v>
      </c>
    </row>
    <row r="391" spans="1:2" x14ac:dyDescent="0.2">
      <c r="A391" s="523">
        <v>42913</v>
      </c>
      <c r="B391" s="499">
        <v>199009.76</v>
      </c>
    </row>
    <row r="392" spans="1:2" x14ac:dyDescent="0.2">
      <c r="A392" s="523">
        <v>42914</v>
      </c>
      <c r="B392" s="499">
        <v>199010</v>
      </c>
    </row>
    <row r="393" spans="1:2" x14ac:dyDescent="0.2">
      <c r="A393" s="523">
        <v>42915</v>
      </c>
      <c r="B393" s="499">
        <v>210354</v>
      </c>
    </row>
    <row r="394" spans="1:2" x14ac:dyDescent="0.2">
      <c r="A394" s="523">
        <v>42916</v>
      </c>
      <c r="B394" s="499">
        <v>260779.62</v>
      </c>
    </row>
    <row r="395" spans="1:2" x14ac:dyDescent="0.2">
      <c r="A395" s="523">
        <v>42919</v>
      </c>
      <c r="B395" s="499">
        <v>260780</v>
      </c>
    </row>
    <row r="396" spans="1:2" x14ac:dyDescent="0.2">
      <c r="A396" s="523">
        <v>42920</v>
      </c>
      <c r="B396" s="499">
        <v>260780</v>
      </c>
    </row>
    <row r="397" spans="1:2" x14ac:dyDescent="0.2">
      <c r="A397" s="523">
        <v>42921</v>
      </c>
      <c r="B397" s="499">
        <v>260780</v>
      </c>
    </row>
    <row r="398" spans="1:2" x14ac:dyDescent="0.2">
      <c r="A398" s="523">
        <v>42922</v>
      </c>
      <c r="B398" s="499">
        <v>261774.11</v>
      </c>
    </row>
    <row r="399" spans="1:2" x14ac:dyDescent="0.2">
      <c r="A399" s="523">
        <v>42923</v>
      </c>
      <c r="B399" s="499">
        <v>261774</v>
      </c>
    </row>
    <row r="400" spans="1:2" x14ac:dyDescent="0.2">
      <c r="A400" s="523">
        <v>42926</v>
      </c>
      <c r="B400" s="499">
        <v>226950.89</v>
      </c>
    </row>
    <row r="401" spans="1:2" x14ac:dyDescent="0.2">
      <c r="A401" s="523">
        <v>42927</v>
      </c>
      <c r="B401" s="499">
        <v>226951</v>
      </c>
    </row>
    <row r="402" spans="1:2" x14ac:dyDescent="0.2">
      <c r="A402" s="523">
        <v>42928</v>
      </c>
      <c r="B402" s="499">
        <v>248711.94</v>
      </c>
    </row>
    <row r="403" spans="1:2" x14ac:dyDescent="0.2">
      <c r="A403" s="523">
        <v>42929</v>
      </c>
      <c r="B403" s="499">
        <v>256201.58</v>
      </c>
    </row>
    <row r="404" spans="1:2" x14ac:dyDescent="0.2">
      <c r="A404" s="523">
        <v>42930</v>
      </c>
      <c r="B404" s="499">
        <v>256272.97</v>
      </c>
    </row>
    <row r="405" spans="1:2" x14ac:dyDescent="0.2">
      <c r="A405" s="523">
        <v>42933</v>
      </c>
      <c r="B405" s="499">
        <v>256056.42</v>
      </c>
    </row>
    <row r="406" spans="1:2" x14ac:dyDescent="0.2">
      <c r="A406" s="523">
        <v>42934</v>
      </c>
      <c r="B406" s="499">
        <v>257213.96</v>
      </c>
    </row>
    <row r="407" spans="1:2" x14ac:dyDescent="0.2">
      <c r="A407" s="523">
        <v>42935</v>
      </c>
      <c r="B407" s="499">
        <v>257214</v>
      </c>
    </row>
    <row r="408" spans="1:2" x14ac:dyDescent="0.2">
      <c r="A408" s="523">
        <v>42936</v>
      </c>
      <c r="B408" s="499">
        <v>260075.5</v>
      </c>
    </row>
    <row r="409" spans="1:2" x14ac:dyDescent="0.2">
      <c r="A409" s="523">
        <v>42937</v>
      </c>
      <c r="B409" s="499">
        <v>339825.5</v>
      </c>
    </row>
    <row r="410" spans="1:2" x14ac:dyDescent="0.2">
      <c r="A410" s="523">
        <v>42940</v>
      </c>
      <c r="B410" s="499">
        <v>303182.65000000002</v>
      </c>
    </row>
    <row r="411" spans="1:2" x14ac:dyDescent="0.2">
      <c r="A411" s="523">
        <v>42941</v>
      </c>
      <c r="B411" s="499">
        <v>322340.12</v>
      </c>
    </row>
    <row r="412" spans="1:2" x14ac:dyDescent="0.2">
      <c r="A412" s="523">
        <v>42942</v>
      </c>
      <c r="B412" s="499">
        <v>322340</v>
      </c>
    </row>
    <row r="413" spans="1:2" x14ac:dyDescent="0.2">
      <c r="A413" s="523">
        <v>42943</v>
      </c>
      <c r="B413" s="499">
        <v>308772.78999999998</v>
      </c>
    </row>
    <row r="414" spans="1:2" x14ac:dyDescent="0.2">
      <c r="A414" s="523">
        <v>42944</v>
      </c>
      <c r="B414" s="499">
        <v>317343.40999999997</v>
      </c>
    </row>
    <row r="415" spans="1:2" x14ac:dyDescent="0.2">
      <c r="A415" s="523">
        <v>42947</v>
      </c>
      <c r="B415" s="499">
        <v>317343</v>
      </c>
    </row>
    <row r="416" spans="1:2" x14ac:dyDescent="0.2">
      <c r="A416" s="523">
        <v>42948</v>
      </c>
      <c r="B416" s="499">
        <v>369152.35</v>
      </c>
    </row>
    <row r="417" spans="1:2" x14ac:dyDescent="0.2">
      <c r="A417" s="523">
        <v>42949</v>
      </c>
      <c r="B417" s="499">
        <v>371061.94</v>
      </c>
    </row>
    <row r="418" spans="1:2" x14ac:dyDescent="0.2">
      <c r="A418" s="523">
        <v>42950</v>
      </c>
      <c r="B418" s="499">
        <v>372080.87</v>
      </c>
    </row>
    <row r="419" spans="1:2" x14ac:dyDescent="0.2">
      <c r="A419" s="523">
        <v>42951</v>
      </c>
      <c r="B419" s="499">
        <v>372080.87</v>
      </c>
    </row>
    <row r="420" spans="1:2" x14ac:dyDescent="0.2">
      <c r="A420" s="523">
        <v>42954</v>
      </c>
      <c r="B420" s="499">
        <v>336189.47</v>
      </c>
    </row>
    <row r="421" spans="1:2" x14ac:dyDescent="0.2">
      <c r="A421" s="523">
        <v>42955</v>
      </c>
      <c r="B421" s="499">
        <v>340998.07</v>
      </c>
    </row>
    <row r="422" spans="1:2" x14ac:dyDescent="0.2">
      <c r="A422" s="523">
        <v>42956</v>
      </c>
      <c r="B422" s="499">
        <v>332763.65000000002</v>
      </c>
    </row>
    <row r="423" spans="1:2" x14ac:dyDescent="0.2">
      <c r="A423" s="523">
        <v>42957</v>
      </c>
      <c r="B423" s="499">
        <v>375651.45</v>
      </c>
    </row>
    <row r="424" spans="1:2" x14ac:dyDescent="0.2">
      <c r="A424" s="523">
        <v>42958</v>
      </c>
      <c r="B424" s="499">
        <v>378293.21</v>
      </c>
    </row>
    <row r="425" spans="1:2" x14ac:dyDescent="0.2">
      <c r="A425" s="523">
        <v>42961</v>
      </c>
      <c r="B425" s="499">
        <v>378293</v>
      </c>
    </row>
    <row r="426" spans="1:2" x14ac:dyDescent="0.2">
      <c r="A426" s="523">
        <v>42962</v>
      </c>
      <c r="B426" s="499">
        <v>401190.06</v>
      </c>
    </row>
    <row r="427" spans="1:2" x14ac:dyDescent="0.2">
      <c r="A427" s="523">
        <v>42963</v>
      </c>
      <c r="B427" s="499">
        <v>401190</v>
      </c>
    </row>
    <row r="428" spans="1:2" x14ac:dyDescent="0.2">
      <c r="A428" s="523">
        <v>42964</v>
      </c>
      <c r="B428" s="499">
        <v>401569.72</v>
      </c>
    </row>
    <row r="429" spans="1:2" x14ac:dyDescent="0.2">
      <c r="A429" s="523">
        <v>42965</v>
      </c>
      <c r="B429" s="499">
        <v>403837.72</v>
      </c>
    </row>
    <row r="430" spans="1:2" x14ac:dyDescent="0.2">
      <c r="A430" s="523">
        <v>42968</v>
      </c>
      <c r="B430" s="499">
        <v>369495.17</v>
      </c>
    </row>
    <row r="431" spans="1:2" x14ac:dyDescent="0.2">
      <c r="A431" s="523">
        <v>42969</v>
      </c>
      <c r="B431" s="499">
        <v>379169.06</v>
      </c>
    </row>
    <row r="432" spans="1:2" x14ac:dyDescent="0.2">
      <c r="A432" s="523">
        <v>42970</v>
      </c>
      <c r="B432" s="499">
        <v>379169</v>
      </c>
    </row>
    <row r="433" spans="1:2" x14ac:dyDescent="0.2">
      <c r="A433" s="523">
        <v>42971</v>
      </c>
      <c r="B433" s="499">
        <v>372540.41</v>
      </c>
    </row>
    <row r="434" spans="1:2" x14ac:dyDescent="0.2">
      <c r="A434" s="523">
        <v>42972</v>
      </c>
      <c r="B434" s="499">
        <v>372540</v>
      </c>
    </row>
    <row r="435" spans="1:2" x14ac:dyDescent="0.2">
      <c r="A435" s="523">
        <v>42975</v>
      </c>
      <c r="B435" s="499">
        <v>372540</v>
      </c>
    </row>
    <row r="436" spans="1:2" x14ac:dyDescent="0.2">
      <c r="A436" s="523">
        <v>42976</v>
      </c>
      <c r="B436" s="499">
        <v>374625.25</v>
      </c>
    </row>
    <row r="437" spans="1:2" x14ac:dyDescent="0.2">
      <c r="A437" s="523">
        <v>42977</v>
      </c>
      <c r="B437" s="499">
        <v>382658.46</v>
      </c>
    </row>
    <row r="438" spans="1:2" x14ac:dyDescent="0.2">
      <c r="A438" s="523">
        <v>42978</v>
      </c>
      <c r="B438" s="499">
        <v>389160.26</v>
      </c>
    </row>
    <row r="439" spans="1:2" x14ac:dyDescent="0.2">
      <c r="A439" s="523">
        <v>42979</v>
      </c>
      <c r="B439" s="499">
        <v>389160</v>
      </c>
    </row>
    <row r="440" spans="1:2" x14ac:dyDescent="0.2">
      <c r="A440" s="523">
        <v>42982</v>
      </c>
      <c r="B440" s="499">
        <v>389160</v>
      </c>
    </row>
    <row r="441" spans="1:2" x14ac:dyDescent="0.2">
      <c r="A441" s="523">
        <v>42983</v>
      </c>
      <c r="B441" s="499">
        <v>352908.42</v>
      </c>
    </row>
    <row r="442" spans="1:2" x14ac:dyDescent="0.2">
      <c r="A442" s="523">
        <v>42984</v>
      </c>
      <c r="B442" s="499">
        <v>383959.41</v>
      </c>
    </row>
    <row r="443" spans="1:2" x14ac:dyDescent="0.2">
      <c r="A443" s="523">
        <v>42985</v>
      </c>
      <c r="B443" s="499">
        <v>403148.81</v>
      </c>
    </row>
    <row r="444" spans="1:2" x14ac:dyDescent="0.2">
      <c r="A444" s="523">
        <v>42986</v>
      </c>
      <c r="B444" s="499">
        <v>403344.11</v>
      </c>
    </row>
    <row r="445" spans="1:2" x14ac:dyDescent="0.2">
      <c r="A445" s="523">
        <v>42989</v>
      </c>
      <c r="B445" s="499">
        <v>403344</v>
      </c>
    </row>
    <row r="446" spans="1:2" x14ac:dyDescent="0.2">
      <c r="A446" s="523">
        <v>42990</v>
      </c>
      <c r="B446" s="499">
        <v>403344</v>
      </c>
    </row>
    <row r="447" spans="1:2" x14ac:dyDescent="0.2">
      <c r="A447" s="523">
        <v>42991</v>
      </c>
      <c r="B447" s="499">
        <v>403344</v>
      </c>
    </row>
    <row r="448" spans="1:2" x14ac:dyDescent="0.2">
      <c r="A448" s="523">
        <v>42992</v>
      </c>
      <c r="B448" s="499">
        <v>400016.8</v>
      </c>
    </row>
    <row r="449" spans="1:2" x14ac:dyDescent="0.2">
      <c r="A449" s="523">
        <v>42993</v>
      </c>
      <c r="B449" s="499">
        <v>400134.96</v>
      </c>
    </row>
    <row r="450" spans="1:2" x14ac:dyDescent="0.2">
      <c r="A450" s="523">
        <v>42996</v>
      </c>
      <c r="B450" s="499">
        <v>364805.11</v>
      </c>
    </row>
    <row r="451" spans="1:2" x14ac:dyDescent="0.2">
      <c r="A451" s="523">
        <v>42997</v>
      </c>
      <c r="B451" s="499">
        <v>364805</v>
      </c>
    </row>
    <row r="452" spans="1:2" x14ac:dyDescent="0.2">
      <c r="A452" s="523">
        <v>42998</v>
      </c>
      <c r="B452" s="499">
        <v>371804.33</v>
      </c>
    </row>
    <row r="453" spans="1:2" x14ac:dyDescent="0.2">
      <c r="A453" s="523">
        <v>42999</v>
      </c>
      <c r="B453" s="499">
        <v>370759.85</v>
      </c>
    </row>
    <row r="454" spans="1:2" x14ac:dyDescent="0.2">
      <c r="A454" s="523">
        <v>43000</v>
      </c>
      <c r="B454" s="499">
        <v>389878.66</v>
      </c>
    </row>
    <row r="455" spans="1:2" x14ac:dyDescent="0.2">
      <c r="A455" s="523">
        <v>43003</v>
      </c>
      <c r="B455" s="499">
        <v>393013.02</v>
      </c>
    </row>
    <row r="456" spans="1:2" x14ac:dyDescent="0.2">
      <c r="A456" s="523">
        <v>43004</v>
      </c>
      <c r="B456" s="499">
        <v>393593.22</v>
      </c>
    </row>
    <row r="457" spans="1:2" x14ac:dyDescent="0.2">
      <c r="A457" s="523">
        <v>43005</v>
      </c>
      <c r="B457" s="499">
        <v>393593</v>
      </c>
    </row>
    <row r="458" spans="1:2" x14ac:dyDescent="0.2">
      <c r="A458" s="523">
        <v>43006</v>
      </c>
      <c r="B458" s="499">
        <v>385433.95</v>
      </c>
    </row>
    <row r="459" spans="1:2" x14ac:dyDescent="0.2">
      <c r="A459" s="523">
        <v>43007</v>
      </c>
      <c r="B459" s="499">
        <v>385678.15</v>
      </c>
    </row>
    <row r="460" spans="1:2" x14ac:dyDescent="0.2">
      <c r="A460" s="523">
        <v>43010</v>
      </c>
      <c r="B460" s="499">
        <v>350949.28</v>
      </c>
    </row>
    <row r="461" spans="1:2" x14ac:dyDescent="0.2">
      <c r="A461" s="523">
        <v>43011</v>
      </c>
      <c r="B461" s="499">
        <v>352010.98</v>
      </c>
    </row>
    <row r="462" spans="1:2" x14ac:dyDescent="0.2">
      <c r="A462" s="523">
        <v>43012</v>
      </c>
      <c r="B462" s="499">
        <v>352011</v>
      </c>
    </row>
    <row r="463" spans="1:2" x14ac:dyDescent="0.2">
      <c r="A463" s="523">
        <v>43013</v>
      </c>
      <c r="B463" s="499">
        <v>348679</v>
      </c>
    </row>
    <row r="464" spans="1:2" x14ac:dyDescent="0.2">
      <c r="A464" s="523">
        <v>43014</v>
      </c>
      <c r="B464" s="499">
        <v>348679</v>
      </c>
    </row>
    <row r="465" spans="1:2" x14ac:dyDescent="0.2">
      <c r="A465" s="523">
        <v>43017</v>
      </c>
      <c r="B465" s="499">
        <v>348679</v>
      </c>
    </row>
    <row r="466" spans="1:2" x14ac:dyDescent="0.2">
      <c r="A466" s="523">
        <v>43018</v>
      </c>
      <c r="B466" s="499">
        <v>348679</v>
      </c>
    </row>
    <row r="467" spans="1:2" x14ac:dyDescent="0.2">
      <c r="A467" s="523">
        <v>43019</v>
      </c>
      <c r="B467" s="499">
        <v>348761.24</v>
      </c>
    </row>
    <row r="468" spans="1:2" x14ac:dyDescent="0.2">
      <c r="A468" s="523">
        <v>43020</v>
      </c>
      <c r="B468" s="499">
        <v>349998.26</v>
      </c>
    </row>
    <row r="469" spans="1:2" x14ac:dyDescent="0.2">
      <c r="A469" s="523">
        <v>43021</v>
      </c>
      <c r="B469" s="499">
        <v>370561.14</v>
      </c>
    </row>
    <row r="470" spans="1:2" x14ac:dyDescent="0.2">
      <c r="A470" s="523">
        <v>43024</v>
      </c>
      <c r="B470" s="499">
        <v>336220.14</v>
      </c>
    </row>
    <row r="471" spans="1:2" x14ac:dyDescent="0.2">
      <c r="A471" s="523">
        <v>43025</v>
      </c>
      <c r="B471" s="499">
        <v>336332.14</v>
      </c>
    </row>
    <row r="472" spans="1:2" x14ac:dyDescent="0.2">
      <c r="A472" s="523">
        <v>43026</v>
      </c>
      <c r="B472" s="499">
        <v>336332</v>
      </c>
    </row>
    <row r="473" spans="1:2" x14ac:dyDescent="0.2">
      <c r="A473" s="523">
        <v>43027</v>
      </c>
      <c r="B473" s="499">
        <v>339185.02</v>
      </c>
    </row>
    <row r="474" spans="1:2" x14ac:dyDescent="0.2">
      <c r="A474" s="523">
        <v>43028</v>
      </c>
      <c r="B474" s="499">
        <v>344936.35</v>
      </c>
    </row>
    <row r="475" spans="1:2" x14ac:dyDescent="0.2">
      <c r="A475" s="523">
        <v>43031</v>
      </c>
      <c r="B475" s="499">
        <v>344564.68</v>
      </c>
    </row>
    <row r="476" spans="1:2" x14ac:dyDescent="0.2">
      <c r="A476" s="523">
        <v>43032</v>
      </c>
      <c r="B476" s="499">
        <v>344565</v>
      </c>
    </row>
    <row r="477" spans="1:2" x14ac:dyDescent="0.2">
      <c r="A477" s="523">
        <v>43033</v>
      </c>
      <c r="B477" s="499">
        <v>344829.18</v>
      </c>
    </row>
    <row r="478" spans="1:2" x14ac:dyDescent="0.2">
      <c r="A478" s="523">
        <v>43034</v>
      </c>
      <c r="B478" s="499">
        <v>339942.05</v>
      </c>
    </row>
    <row r="479" spans="1:2" x14ac:dyDescent="0.2">
      <c r="A479" s="523">
        <v>43035</v>
      </c>
      <c r="B479" s="499">
        <v>360185.72</v>
      </c>
    </row>
    <row r="480" spans="1:2" x14ac:dyDescent="0.2">
      <c r="A480" s="523">
        <v>43038</v>
      </c>
      <c r="B480" s="499">
        <v>323067.73</v>
      </c>
    </row>
    <row r="481" spans="1:2" x14ac:dyDescent="0.2">
      <c r="A481" s="523">
        <v>43039</v>
      </c>
      <c r="B481" s="499">
        <v>323197.73</v>
      </c>
    </row>
    <row r="482" spans="1:2" x14ac:dyDescent="0.2">
      <c r="A482" s="523">
        <v>43040</v>
      </c>
      <c r="B482" s="499">
        <v>323198</v>
      </c>
    </row>
    <row r="483" spans="1:2" x14ac:dyDescent="0.2">
      <c r="A483" s="523">
        <v>43041</v>
      </c>
      <c r="B483" s="499">
        <v>341044.7</v>
      </c>
    </row>
    <row r="484" spans="1:2" x14ac:dyDescent="0.2">
      <c r="A484" s="523">
        <v>43042</v>
      </c>
      <c r="B484" s="499">
        <v>341676.17</v>
      </c>
    </row>
    <row r="485" spans="1:2" x14ac:dyDescent="0.2">
      <c r="A485" s="523">
        <v>43045</v>
      </c>
      <c r="B485" s="499">
        <v>341676</v>
      </c>
    </row>
    <row r="486" spans="1:2" x14ac:dyDescent="0.2">
      <c r="A486" s="523">
        <v>43046</v>
      </c>
      <c r="B486" s="499">
        <v>341676</v>
      </c>
    </row>
    <row r="487" spans="1:2" x14ac:dyDescent="0.2">
      <c r="A487" s="523">
        <v>43047</v>
      </c>
      <c r="B487" s="499">
        <v>379863.97</v>
      </c>
    </row>
    <row r="488" spans="1:2" x14ac:dyDescent="0.2">
      <c r="A488" s="523">
        <v>43048</v>
      </c>
      <c r="B488" s="499">
        <v>378842.06</v>
      </c>
    </row>
    <row r="489" spans="1:2" x14ac:dyDescent="0.2">
      <c r="A489" s="523">
        <v>43049</v>
      </c>
      <c r="B489" s="499">
        <v>378842</v>
      </c>
    </row>
    <row r="490" spans="1:2" x14ac:dyDescent="0.2">
      <c r="A490" s="523">
        <v>43052</v>
      </c>
      <c r="B490" s="499">
        <v>340784.14</v>
      </c>
    </row>
    <row r="491" spans="1:2" x14ac:dyDescent="0.2">
      <c r="A491" s="523">
        <v>43053</v>
      </c>
      <c r="B491" s="499">
        <v>340784</v>
      </c>
    </row>
    <row r="492" spans="1:2" x14ac:dyDescent="0.2">
      <c r="A492" s="523">
        <v>43054</v>
      </c>
      <c r="B492" s="499">
        <v>340895.76</v>
      </c>
    </row>
    <row r="493" spans="1:2" x14ac:dyDescent="0.2">
      <c r="A493" s="523">
        <v>43055</v>
      </c>
      <c r="B493" s="499">
        <v>354246.44</v>
      </c>
    </row>
    <row r="494" spans="1:2" x14ac:dyDescent="0.2">
      <c r="A494" s="523">
        <v>43056</v>
      </c>
      <c r="B494" s="499">
        <v>354246.44</v>
      </c>
    </row>
    <row r="495" spans="1:2" x14ac:dyDescent="0.2">
      <c r="A495" s="523">
        <v>43059</v>
      </c>
      <c r="B495" s="499">
        <v>354264.44</v>
      </c>
    </row>
    <row r="496" spans="1:2" x14ac:dyDescent="0.2">
      <c r="A496" s="523">
        <v>43060</v>
      </c>
      <c r="B496" s="499">
        <v>354264</v>
      </c>
    </row>
    <row r="497" spans="1:2" x14ac:dyDescent="0.2">
      <c r="A497" s="523">
        <v>43061</v>
      </c>
      <c r="B497" s="499">
        <v>357804.55</v>
      </c>
    </row>
    <row r="498" spans="1:2" x14ac:dyDescent="0.2">
      <c r="A498" s="523">
        <v>43062</v>
      </c>
      <c r="B498" s="499">
        <v>357805</v>
      </c>
    </row>
    <row r="499" spans="1:2" x14ac:dyDescent="0.2">
      <c r="A499" s="523">
        <v>43063</v>
      </c>
      <c r="B499" s="499">
        <v>361119.05</v>
      </c>
    </row>
    <row r="500" spans="1:2" x14ac:dyDescent="0.2">
      <c r="A500" s="523">
        <v>43066</v>
      </c>
      <c r="B500" s="499">
        <v>318415.71000000002</v>
      </c>
    </row>
    <row r="501" spans="1:2" x14ac:dyDescent="0.2">
      <c r="A501" s="523">
        <v>43067</v>
      </c>
      <c r="B501" s="499">
        <v>320237.53999999998</v>
      </c>
    </row>
    <row r="502" spans="1:2" x14ac:dyDescent="0.2">
      <c r="A502" s="523">
        <v>43068</v>
      </c>
      <c r="B502" s="499">
        <v>320237.53999999998</v>
      </c>
    </row>
    <row r="503" spans="1:2" x14ac:dyDescent="0.2">
      <c r="A503" s="523">
        <v>43069</v>
      </c>
      <c r="B503" s="499">
        <v>325286.46999999997</v>
      </c>
    </row>
    <row r="504" spans="1:2" x14ac:dyDescent="0.2">
      <c r="A504" s="523">
        <v>43070</v>
      </c>
      <c r="B504" s="499">
        <v>334247.03000000003</v>
      </c>
    </row>
    <row r="505" spans="1:2" x14ac:dyDescent="0.2">
      <c r="A505" s="523">
        <v>43073</v>
      </c>
      <c r="B505" s="499">
        <v>334247</v>
      </c>
    </row>
    <row r="506" spans="1:2" x14ac:dyDescent="0.2">
      <c r="A506" s="523">
        <v>43074</v>
      </c>
      <c r="B506" s="499">
        <v>334247.03000000003</v>
      </c>
    </row>
    <row r="507" spans="1:2" x14ac:dyDescent="0.2">
      <c r="A507" s="523">
        <v>43075</v>
      </c>
      <c r="B507" s="499">
        <v>334247</v>
      </c>
    </row>
    <row r="508" spans="1:2" x14ac:dyDescent="0.2">
      <c r="A508" s="523">
        <v>43076</v>
      </c>
      <c r="B508" s="499">
        <v>323171.46000000002</v>
      </c>
    </row>
    <row r="509" spans="1:2" x14ac:dyDescent="0.2">
      <c r="A509" s="523">
        <v>43077</v>
      </c>
      <c r="B509" s="499">
        <v>324229.90999999997</v>
      </c>
    </row>
    <row r="510" spans="1:2" x14ac:dyDescent="0.2">
      <c r="A510" s="523">
        <v>43080</v>
      </c>
      <c r="B510" s="499">
        <v>324230</v>
      </c>
    </row>
    <row r="511" spans="1:2" x14ac:dyDescent="0.2">
      <c r="A511" s="523">
        <v>43081</v>
      </c>
      <c r="B511" s="499">
        <v>286030.39</v>
      </c>
    </row>
    <row r="512" spans="1:2" x14ac:dyDescent="0.2">
      <c r="A512" s="523">
        <v>43082</v>
      </c>
      <c r="B512" s="499">
        <v>286197.44</v>
      </c>
    </row>
    <row r="513" spans="1:14" x14ac:dyDescent="0.2">
      <c r="A513" s="523">
        <v>43083</v>
      </c>
      <c r="B513" s="499">
        <v>280065.2</v>
      </c>
    </row>
    <row r="514" spans="1:14" x14ac:dyDescent="0.2">
      <c r="A514" s="523">
        <v>43084</v>
      </c>
      <c r="B514" s="499">
        <v>284409.09999999998</v>
      </c>
    </row>
    <row r="515" spans="1:14" x14ac:dyDescent="0.2">
      <c r="A515" s="523">
        <v>43087</v>
      </c>
      <c r="B515" s="499">
        <v>285119.09999999998</v>
      </c>
    </row>
    <row r="516" spans="1:14" x14ac:dyDescent="0.2">
      <c r="A516" s="523">
        <v>43088</v>
      </c>
      <c r="B516" s="499">
        <v>285395.49</v>
      </c>
    </row>
    <row r="517" spans="1:14" x14ac:dyDescent="0.2">
      <c r="A517" s="523">
        <v>43089</v>
      </c>
      <c r="B517" s="499">
        <v>285395</v>
      </c>
    </row>
    <row r="518" spans="1:14" x14ac:dyDescent="0.2">
      <c r="A518" s="523">
        <v>43090</v>
      </c>
      <c r="B518" s="499">
        <v>285542.49</v>
      </c>
    </row>
    <row r="519" spans="1:14" x14ac:dyDescent="0.2">
      <c r="A519" s="523">
        <v>43091</v>
      </c>
      <c r="B519" s="499">
        <v>285542</v>
      </c>
    </row>
    <row r="520" spans="1:14" x14ac:dyDescent="0.2">
      <c r="A520" s="523">
        <v>43094</v>
      </c>
      <c r="B520" s="499">
        <v>285542</v>
      </c>
    </row>
    <row r="521" spans="1:14" x14ac:dyDescent="0.2">
      <c r="A521" s="523">
        <v>43095</v>
      </c>
      <c r="B521" s="499">
        <v>248584.72</v>
      </c>
    </row>
    <row r="522" spans="1:14" x14ac:dyDescent="0.2">
      <c r="A522" s="523">
        <v>43096</v>
      </c>
      <c r="B522" s="499">
        <v>248585</v>
      </c>
    </row>
    <row r="523" spans="1:14" x14ac:dyDescent="0.2">
      <c r="A523" s="523">
        <v>43097</v>
      </c>
      <c r="B523" s="499">
        <v>270685.83</v>
      </c>
    </row>
    <row r="524" spans="1:14" x14ac:dyDescent="0.2">
      <c r="A524" s="523">
        <v>43098</v>
      </c>
      <c r="B524" s="499">
        <v>282558.58</v>
      </c>
    </row>
    <row r="525" spans="1:14" x14ac:dyDescent="0.2">
      <c r="A525" s="523">
        <v>43101</v>
      </c>
      <c r="B525" s="499">
        <v>282559</v>
      </c>
      <c r="F525" s="501"/>
      <c r="G525" t="s">
        <v>189</v>
      </c>
      <c r="H525" t="s">
        <v>218</v>
      </c>
      <c r="J525" t="s">
        <v>376</v>
      </c>
      <c r="K525" t="s">
        <v>218</v>
      </c>
      <c r="N525">
        <v>6.5000000000000002E-2</v>
      </c>
    </row>
    <row r="526" spans="1:14" x14ac:dyDescent="0.2">
      <c r="A526" s="523">
        <v>43102</v>
      </c>
      <c r="B526" s="499">
        <v>282508.58</v>
      </c>
      <c r="F526" s="501">
        <v>42370</v>
      </c>
      <c r="G526" s="502">
        <v>369484</v>
      </c>
      <c r="H526" s="613">
        <v>31036</v>
      </c>
      <c r="J526" s="501">
        <v>42461</v>
      </c>
      <c r="K526" s="613">
        <v>151036</v>
      </c>
      <c r="N526" s="714">
        <f>K526*N525/12 +K526</f>
        <v>151854.11166666666</v>
      </c>
    </row>
    <row r="527" spans="1:14" x14ac:dyDescent="0.2">
      <c r="A527" s="523">
        <v>43103</v>
      </c>
      <c r="B527" s="499">
        <v>282509</v>
      </c>
      <c r="F527" s="501">
        <v>42401</v>
      </c>
      <c r="G527" s="502">
        <v>295493.53000000003</v>
      </c>
      <c r="H527" s="613">
        <v>31035.72</v>
      </c>
      <c r="J527" s="501">
        <v>42491</v>
      </c>
      <c r="K527" s="613">
        <v>151087.09</v>
      </c>
      <c r="N527" s="714">
        <f>N$525*N526/12 +N526</f>
        <v>152676.65477152777</v>
      </c>
    </row>
    <row r="528" spans="1:14" x14ac:dyDescent="0.2">
      <c r="A528" s="523">
        <v>43104</v>
      </c>
      <c r="B528" s="499">
        <v>283213.14</v>
      </c>
      <c r="F528" s="501">
        <v>42430</v>
      </c>
      <c r="G528" s="502">
        <v>255865.07</v>
      </c>
      <c r="H528" s="613">
        <v>151035.72</v>
      </c>
      <c r="J528" s="501">
        <v>42551</v>
      </c>
      <c r="K528" s="613">
        <v>151336.84</v>
      </c>
      <c r="N528" s="714">
        <f t="shared" ref="N528:N584" si="3">N$525*N527/12 +N527</f>
        <v>153503.65331820687</v>
      </c>
    </row>
    <row r="529" spans="1:14" x14ac:dyDescent="0.2">
      <c r="A529" s="523">
        <v>43105</v>
      </c>
      <c r="B529" s="499">
        <v>297779.06</v>
      </c>
      <c r="F529" s="501">
        <v>42461</v>
      </c>
      <c r="G529" s="502">
        <v>294098.96000000002</v>
      </c>
      <c r="H529" s="613">
        <v>151036</v>
      </c>
      <c r="J529" s="501">
        <v>42582</v>
      </c>
      <c r="K529" s="613">
        <v>151611.29999999999</v>
      </c>
      <c r="N529" s="714">
        <f t="shared" si="3"/>
        <v>154335.13144034715</v>
      </c>
    </row>
    <row r="530" spans="1:14" x14ac:dyDescent="0.2">
      <c r="A530" s="523">
        <v>43108</v>
      </c>
      <c r="B530" s="499">
        <v>263886.2</v>
      </c>
      <c r="F530" s="501">
        <v>42491</v>
      </c>
      <c r="G530" s="502">
        <v>333922.02</v>
      </c>
      <c r="H530" s="613">
        <v>151087.09</v>
      </c>
      <c r="J530" s="501">
        <v>42583</v>
      </c>
      <c r="K530" s="613">
        <v>151776.70000000001</v>
      </c>
      <c r="N530" s="714">
        <f t="shared" si="3"/>
        <v>155171.11340231571</v>
      </c>
    </row>
    <row r="531" spans="1:14" x14ac:dyDescent="0.2">
      <c r="A531" s="523">
        <v>43109</v>
      </c>
      <c r="B531" s="499">
        <v>277030.96999999997</v>
      </c>
      <c r="F531" s="501">
        <v>42551</v>
      </c>
      <c r="G531" s="502">
        <v>384005.8</v>
      </c>
      <c r="H531" s="613">
        <v>151336.84</v>
      </c>
      <c r="J531" s="501">
        <v>42614</v>
      </c>
      <c r="K531" s="613">
        <v>151844.44</v>
      </c>
      <c r="N531" s="714">
        <f t="shared" si="3"/>
        <v>156011.62359991157</v>
      </c>
    </row>
    <row r="532" spans="1:14" x14ac:dyDescent="0.2">
      <c r="A532" s="523">
        <v>43110</v>
      </c>
      <c r="B532" s="499">
        <v>277031</v>
      </c>
      <c r="F532" s="501">
        <v>42582</v>
      </c>
      <c r="G532" s="502">
        <v>292004.15999999997</v>
      </c>
      <c r="H532" s="613">
        <v>151611.29999999999</v>
      </c>
      <c r="J532" s="501">
        <v>42644</v>
      </c>
      <c r="K532" s="613">
        <v>152036.04</v>
      </c>
      <c r="N532" s="714">
        <f t="shared" si="3"/>
        <v>156856.68656107777</v>
      </c>
    </row>
    <row r="533" spans="1:14" x14ac:dyDescent="0.2">
      <c r="A533" s="523">
        <v>43111</v>
      </c>
      <c r="B533" s="499">
        <v>281394.14</v>
      </c>
      <c r="F533" s="501">
        <v>42583</v>
      </c>
      <c r="G533" s="502">
        <v>182562.29</v>
      </c>
      <c r="H533" s="613">
        <v>151776.70000000001</v>
      </c>
      <c r="J533" s="501">
        <v>42675</v>
      </c>
      <c r="K533" s="613">
        <v>152464.91</v>
      </c>
      <c r="N533" s="714">
        <f t="shared" si="3"/>
        <v>157706.32694661696</v>
      </c>
    </row>
    <row r="534" spans="1:14" x14ac:dyDescent="0.2">
      <c r="A534" s="523">
        <v>43112</v>
      </c>
      <c r="B534" s="499">
        <v>281470.18</v>
      </c>
      <c r="F534" s="501">
        <v>42614</v>
      </c>
      <c r="G534" s="502">
        <v>242442.87</v>
      </c>
      <c r="H534" s="613">
        <v>151844.44</v>
      </c>
      <c r="J534" s="501">
        <v>42705</v>
      </c>
      <c r="K534" s="613">
        <v>154533.13</v>
      </c>
      <c r="N534" s="714">
        <f t="shared" si="3"/>
        <v>158560.56955091114</v>
      </c>
    </row>
    <row r="535" spans="1:14" x14ac:dyDescent="0.2">
      <c r="A535" s="523">
        <v>43115</v>
      </c>
      <c r="B535" s="499">
        <v>281470</v>
      </c>
      <c r="F535" s="501">
        <v>42644</v>
      </c>
      <c r="G535" s="502">
        <v>247104.37</v>
      </c>
      <c r="H535" s="613">
        <v>152036.04</v>
      </c>
      <c r="J535" s="501">
        <v>42736</v>
      </c>
      <c r="K535" s="613">
        <v>155633.59</v>
      </c>
      <c r="N535" s="714">
        <f t="shared" si="3"/>
        <v>159419.43930264525</v>
      </c>
    </row>
    <row r="536" spans="1:14" x14ac:dyDescent="0.2">
      <c r="A536" s="523">
        <v>43116</v>
      </c>
      <c r="B536" s="499">
        <v>284325.94</v>
      </c>
      <c r="F536" s="501">
        <v>42675</v>
      </c>
      <c r="G536" s="502">
        <v>246462.95</v>
      </c>
      <c r="H536" s="613">
        <v>152464.91</v>
      </c>
      <c r="J536" s="501">
        <v>42767</v>
      </c>
      <c r="K536" s="613">
        <v>158448.25</v>
      </c>
      <c r="N536" s="714">
        <f t="shared" si="3"/>
        <v>160282.96126553457</v>
      </c>
    </row>
    <row r="537" spans="1:14" x14ac:dyDescent="0.2">
      <c r="A537" s="523">
        <v>43117</v>
      </c>
      <c r="B537" s="499">
        <v>305911.78000000003</v>
      </c>
      <c r="F537" s="501">
        <v>42705</v>
      </c>
      <c r="G537" s="502">
        <v>249839.51</v>
      </c>
      <c r="H537" s="613">
        <v>154533.13</v>
      </c>
      <c r="J537" s="501">
        <v>42795</v>
      </c>
      <c r="K537" s="613">
        <v>159113.29</v>
      </c>
      <c r="N537" s="714">
        <f t="shared" si="3"/>
        <v>161151.16063905621</v>
      </c>
    </row>
    <row r="538" spans="1:14" x14ac:dyDescent="0.2">
      <c r="A538" s="523">
        <v>43118</v>
      </c>
      <c r="B538" s="499">
        <v>305752.93</v>
      </c>
      <c r="F538" s="501">
        <v>42736</v>
      </c>
      <c r="G538" s="502">
        <v>351420</v>
      </c>
      <c r="H538" s="613">
        <v>155633.59</v>
      </c>
      <c r="J538" s="501">
        <v>42826</v>
      </c>
      <c r="K538" s="613">
        <v>159614.53</v>
      </c>
      <c r="N538" s="714">
        <f t="shared" si="3"/>
        <v>162024.06275918442</v>
      </c>
    </row>
    <row r="539" spans="1:14" x14ac:dyDescent="0.2">
      <c r="A539" s="523">
        <v>43119</v>
      </c>
      <c r="B539" s="499">
        <v>332730.14</v>
      </c>
      <c r="F539" s="501">
        <v>42767</v>
      </c>
      <c r="G539" s="502">
        <v>253330</v>
      </c>
      <c r="H539" s="613">
        <v>158448.25</v>
      </c>
      <c r="J539" s="501">
        <v>42856</v>
      </c>
      <c r="K539" s="613">
        <v>160436.21</v>
      </c>
      <c r="N539" s="714">
        <f t="shared" si="3"/>
        <v>162901.69309913</v>
      </c>
    </row>
    <row r="540" spans="1:14" x14ac:dyDescent="0.2">
      <c r="A540" s="523">
        <v>43122</v>
      </c>
      <c r="B540" s="499">
        <v>291419.49</v>
      </c>
      <c r="F540" s="501">
        <v>42795</v>
      </c>
      <c r="G540" s="502">
        <v>280744</v>
      </c>
      <c r="H540" s="613">
        <v>159113.29</v>
      </c>
      <c r="J540" s="501">
        <v>42887</v>
      </c>
      <c r="K540" s="613">
        <v>160443.22</v>
      </c>
      <c r="N540" s="714">
        <f t="shared" si="3"/>
        <v>163784.07727008362</v>
      </c>
    </row>
    <row r="541" spans="1:14" x14ac:dyDescent="0.2">
      <c r="A541" s="523">
        <v>43123</v>
      </c>
      <c r="B541" s="499">
        <v>293419.65000000002</v>
      </c>
      <c r="F541" s="501">
        <v>42826</v>
      </c>
      <c r="G541" s="502">
        <v>319478.15999999997</v>
      </c>
      <c r="H541" s="613">
        <v>159614.53</v>
      </c>
      <c r="J541" s="501">
        <v>42917</v>
      </c>
      <c r="K541" s="613">
        <v>161526.35999999999</v>
      </c>
      <c r="N541" s="714">
        <f t="shared" si="3"/>
        <v>164671.24102196324</v>
      </c>
    </row>
    <row r="542" spans="1:14" x14ac:dyDescent="0.2">
      <c r="A542" s="523">
        <v>43124</v>
      </c>
      <c r="B542" s="499">
        <v>293420</v>
      </c>
      <c r="F542" s="501">
        <v>42856</v>
      </c>
      <c r="G542" s="502">
        <v>241828.1</v>
      </c>
      <c r="H542" s="613">
        <v>160436.21</v>
      </c>
      <c r="J542" s="501">
        <v>42948</v>
      </c>
      <c r="K542" s="613">
        <v>162013.01</v>
      </c>
      <c r="N542" s="714">
        <f t="shared" si="3"/>
        <v>165563.21024416556</v>
      </c>
    </row>
    <row r="543" spans="1:14" x14ac:dyDescent="0.2">
      <c r="A543" s="523">
        <v>43125</v>
      </c>
      <c r="B543" s="499">
        <v>301331.82</v>
      </c>
      <c r="F543" s="501">
        <v>42887</v>
      </c>
      <c r="G543" s="502">
        <v>248981.18</v>
      </c>
      <c r="H543" s="613">
        <v>160443.22</v>
      </c>
      <c r="J543" s="501">
        <v>42979</v>
      </c>
      <c r="K543" s="613">
        <v>163493.49</v>
      </c>
      <c r="M543" s="613"/>
      <c r="N543" s="714">
        <f t="shared" si="3"/>
        <v>166460.01096632145</v>
      </c>
    </row>
    <row r="544" spans="1:14" x14ac:dyDescent="0.2">
      <c r="A544" s="523">
        <v>43126</v>
      </c>
      <c r="B544" s="499">
        <v>327084.28999999998</v>
      </c>
      <c r="F544" s="501">
        <v>42917</v>
      </c>
      <c r="G544" s="502">
        <v>268937.63</v>
      </c>
      <c r="H544" s="613">
        <v>161526.35999999999</v>
      </c>
      <c r="J544" s="501">
        <v>43009</v>
      </c>
      <c r="K544" s="613">
        <v>164090.28</v>
      </c>
      <c r="M544" s="244"/>
      <c r="N544" s="714">
        <f t="shared" si="3"/>
        <v>167361.6693590557</v>
      </c>
    </row>
    <row r="545" spans="1:14" x14ac:dyDescent="0.2">
      <c r="A545" s="523">
        <v>43129</v>
      </c>
      <c r="B545" s="499">
        <v>327084</v>
      </c>
      <c r="F545" s="501">
        <v>42948</v>
      </c>
      <c r="G545" s="502">
        <v>198251.6</v>
      </c>
      <c r="H545" s="613">
        <v>162013.01</v>
      </c>
      <c r="J545" s="501">
        <v>43040</v>
      </c>
      <c r="K545" s="613">
        <v>164908.01</v>
      </c>
      <c r="M545" s="244"/>
      <c r="N545" s="714">
        <f t="shared" si="3"/>
        <v>168268.21173475057</v>
      </c>
    </row>
    <row r="546" spans="1:14" x14ac:dyDescent="0.2">
      <c r="A546" s="523">
        <v>43130</v>
      </c>
      <c r="B546" s="499">
        <v>327084</v>
      </c>
      <c r="F546" s="501">
        <v>42979</v>
      </c>
      <c r="G546" s="502">
        <v>178964.63</v>
      </c>
      <c r="H546" s="613">
        <v>163493.49</v>
      </c>
      <c r="J546" s="501">
        <v>43070</v>
      </c>
      <c r="K546" s="613">
        <v>164937.87</v>
      </c>
      <c r="M546" s="244"/>
      <c r="N546" s="714">
        <f t="shared" si="3"/>
        <v>169179.6645483138</v>
      </c>
    </row>
    <row r="547" spans="1:14" x14ac:dyDescent="0.2">
      <c r="A547" s="523">
        <v>43131</v>
      </c>
      <c r="B547" s="499">
        <v>337130.63</v>
      </c>
      <c r="F547" s="501">
        <v>43009</v>
      </c>
      <c r="G547" s="502">
        <v>199171.39</v>
      </c>
      <c r="H547" s="613">
        <v>164090.28</v>
      </c>
      <c r="J547" s="501">
        <v>43101</v>
      </c>
      <c r="K547" s="613">
        <v>167966.33</v>
      </c>
      <c r="M547" s="244"/>
      <c r="N547" s="714">
        <f t="shared" si="3"/>
        <v>170096.0543979505</v>
      </c>
    </row>
    <row r="548" spans="1:14" x14ac:dyDescent="0.2">
      <c r="A548" s="523">
        <v>43132</v>
      </c>
      <c r="B548" s="499">
        <v>334292.59999999998</v>
      </c>
      <c r="F548" s="501">
        <v>43040</v>
      </c>
      <c r="G548" s="502">
        <v>180584.58</v>
      </c>
      <c r="H548" s="613">
        <v>164908.01</v>
      </c>
      <c r="J548" s="501">
        <v>43132</v>
      </c>
      <c r="K548" s="613">
        <v>164746.72</v>
      </c>
      <c r="M548" s="244"/>
      <c r="N548" s="714">
        <f t="shared" si="3"/>
        <v>171017.4080259394</v>
      </c>
    </row>
    <row r="549" spans="1:14" x14ac:dyDescent="0.2">
      <c r="A549" s="523">
        <v>43133</v>
      </c>
      <c r="B549" s="499">
        <v>335977.23</v>
      </c>
      <c r="F549" s="501">
        <v>43070</v>
      </c>
      <c r="G549" s="502">
        <v>258260.86</v>
      </c>
      <c r="H549" s="613">
        <v>164937.87</v>
      </c>
      <c r="J549" s="501">
        <v>43160</v>
      </c>
      <c r="K549" s="613">
        <v>163400.39000000001</v>
      </c>
      <c r="N549" s="714">
        <f t="shared" si="3"/>
        <v>171943.75231941324</v>
      </c>
    </row>
    <row r="550" spans="1:14" x14ac:dyDescent="0.2">
      <c r="A550" s="523">
        <v>43136</v>
      </c>
      <c r="B550" s="499">
        <v>300614.99</v>
      </c>
      <c r="F550" s="501">
        <v>43101</v>
      </c>
      <c r="G550" s="502">
        <v>297556.56</v>
      </c>
      <c r="H550" s="613">
        <v>167966.33</v>
      </c>
      <c r="J550" s="501">
        <v>43191</v>
      </c>
      <c r="K550" s="613">
        <v>163874.63</v>
      </c>
      <c r="N550" s="714">
        <f t="shared" si="3"/>
        <v>172875.11431114341</v>
      </c>
    </row>
    <row r="551" spans="1:14" x14ac:dyDescent="0.2">
      <c r="A551" s="523">
        <v>43137</v>
      </c>
      <c r="B551" s="499">
        <v>295509.53999999998</v>
      </c>
      <c r="F551" s="501">
        <v>43132</v>
      </c>
      <c r="G551" s="502">
        <v>287550</v>
      </c>
      <c r="H551" s="613">
        <v>164746.72</v>
      </c>
      <c r="J551" s="501">
        <v>43221</v>
      </c>
      <c r="K551" s="613">
        <v>165109.67000000001</v>
      </c>
      <c r="N551" s="714">
        <f t="shared" si="3"/>
        <v>173811.52118032877</v>
      </c>
    </row>
    <row r="552" spans="1:14" x14ac:dyDescent="0.2">
      <c r="A552" s="523">
        <v>43138</v>
      </c>
      <c r="B552" s="499">
        <v>295510</v>
      </c>
      <c r="F552" s="501">
        <v>43160</v>
      </c>
      <c r="G552" s="502">
        <v>277699.34999999998</v>
      </c>
      <c r="H552" s="613">
        <v>163400.39000000001</v>
      </c>
      <c r="J552" s="501">
        <v>43252</v>
      </c>
      <c r="K552" s="613">
        <v>164894.5</v>
      </c>
      <c r="M552" s="613"/>
      <c r="N552" s="714">
        <f t="shared" si="3"/>
        <v>174753.00025338889</v>
      </c>
    </row>
    <row r="553" spans="1:14" x14ac:dyDescent="0.2">
      <c r="A553" s="523">
        <v>43139</v>
      </c>
      <c r="B553" s="499">
        <v>295623.09999999998</v>
      </c>
      <c r="F553" s="501">
        <v>43191</v>
      </c>
      <c r="G553" s="502">
        <v>310068.02</v>
      </c>
      <c r="H553" s="613">
        <v>163874.63</v>
      </c>
      <c r="J553" s="501">
        <v>43282</v>
      </c>
      <c r="K553" s="613">
        <v>168308.43</v>
      </c>
      <c r="N553" s="714">
        <f t="shared" si="3"/>
        <v>175699.57900476141</v>
      </c>
    </row>
    <row r="554" spans="1:14" x14ac:dyDescent="0.2">
      <c r="A554" s="523">
        <v>43140</v>
      </c>
      <c r="B554" s="499">
        <v>295623</v>
      </c>
      <c r="F554" s="501">
        <v>43221</v>
      </c>
      <c r="G554" s="502">
        <v>338828.68</v>
      </c>
      <c r="H554" s="613">
        <v>165109.67000000001</v>
      </c>
      <c r="J554" s="501">
        <v>43313</v>
      </c>
      <c r="K554" s="613">
        <v>169314.31</v>
      </c>
      <c r="M554" s="502"/>
      <c r="N554" s="714">
        <f t="shared" si="3"/>
        <v>176651.28505770388</v>
      </c>
    </row>
    <row r="555" spans="1:14" x14ac:dyDescent="0.2">
      <c r="A555" s="523">
        <v>43143</v>
      </c>
      <c r="B555" s="499">
        <v>299232.09999999998</v>
      </c>
      <c r="F555" s="501">
        <v>43252</v>
      </c>
      <c r="G555" s="502">
        <v>316601.96000000002</v>
      </c>
      <c r="H555" s="613">
        <v>164894.5</v>
      </c>
      <c r="J555" s="501">
        <v>43344</v>
      </c>
      <c r="K555" s="613">
        <v>170138.99</v>
      </c>
      <c r="N555" s="714">
        <f t="shared" si="3"/>
        <v>177608.14618509979</v>
      </c>
    </row>
    <row r="556" spans="1:14" x14ac:dyDescent="0.2">
      <c r="A556" s="523">
        <v>43144</v>
      </c>
      <c r="B556" s="499">
        <v>304422.01</v>
      </c>
      <c r="F556" s="501">
        <v>43282</v>
      </c>
      <c r="G556" s="502">
        <v>282196.90999999997</v>
      </c>
      <c r="H556" s="613">
        <v>168308.43</v>
      </c>
      <c r="J556" s="501">
        <v>43374</v>
      </c>
      <c r="K556" s="613">
        <v>164332.01</v>
      </c>
      <c r="M556" s="633"/>
      <c r="N556" s="714">
        <f t="shared" si="3"/>
        <v>178570.19031026907</v>
      </c>
    </row>
    <row r="557" spans="1:14" x14ac:dyDescent="0.2">
      <c r="A557" s="523">
        <v>43145</v>
      </c>
      <c r="B557" s="499">
        <v>330191.24</v>
      </c>
      <c r="F557" s="501">
        <v>43313</v>
      </c>
      <c r="G557" s="502">
        <v>287391.71999999997</v>
      </c>
      <c r="H557" s="613">
        <v>169314.31</v>
      </c>
      <c r="J557" s="501">
        <v>43405</v>
      </c>
      <c r="K557" s="613">
        <v>166031.76999999999</v>
      </c>
      <c r="N557" s="714">
        <f t="shared" si="3"/>
        <v>179537.44550778304</v>
      </c>
    </row>
    <row r="558" spans="1:14" x14ac:dyDescent="0.2">
      <c r="A558" s="523">
        <v>43146</v>
      </c>
      <c r="B558" s="499">
        <v>313471.64</v>
      </c>
      <c r="F558" s="501">
        <v>43344</v>
      </c>
      <c r="G558" s="502">
        <v>327095.84000000003</v>
      </c>
      <c r="H558" s="613">
        <v>170138.99</v>
      </c>
      <c r="J558" s="501">
        <v>43435</v>
      </c>
      <c r="K558" s="613">
        <v>159621.23000000001</v>
      </c>
      <c r="N558" s="714">
        <f t="shared" si="3"/>
        <v>180509.94000428353</v>
      </c>
    </row>
    <row r="559" spans="1:14" x14ac:dyDescent="0.2">
      <c r="A559" s="523">
        <v>43147</v>
      </c>
      <c r="B559" s="499">
        <v>313472</v>
      </c>
      <c r="F559" s="501">
        <v>43374</v>
      </c>
      <c r="G559" s="502">
        <v>233504.28</v>
      </c>
      <c r="H559" s="613">
        <v>164332.01</v>
      </c>
      <c r="J559" s="501">
        <v>43466</v>
      </c>
      <c r="K559" s="613">
        <v>166873.93</v>
      </c>
      <c r="N559" s="714">
        <f t="shared" si="3"/>
        <v>181487.70217930674</v>
      </c>
    </row>
    <row r="560" spans="1:14" x14ac:dyDescent="0.2">
      <c r="A560" s="523">
        <v>43150</v>
      </c>
      <c r="B560" s="499">
        <v>313472</v>
      </c>
      <c r="F560" s="501">
        <v>43405</v>
      </c>
      <c r="G560" s="502">
        <v>166530.44</v>
      </c>
      <c r="H560" s="613">
        <v>166031.76999999999</v>
      </c>
      <c r="J560" s="501">
        <v>43497</v>
      </c>
      <c r="K560" s="613">
        <v>170486.28</v>
      </c>
      <c r="N560" s="714">
        <f t="shared" si="3"/>
        <v>182470.7605661113</v>
      </c>
    </row>
    <row r="561" spans="1:14" x14ac:dyDescent="0.2">
      <c r="A561" s="523">
        <v>43151</v>
      </c>
      <c r="B561" s="499">
        <v>277471.58</v>
      </c>
      <c r="F561" s="501">
        <v>43435</v>
      </c>
      <c r="G561" s="502">
        <v>245292.72</v>
      </c>
      <c r="H561" s="613">
        <v>159621.23000000001</v>
      </c>
      <c r="J561" s="501">
        <v>43525</v>
      </c>
      <c r="K561" s="613">
        <v>171537.16</v>
      </c>
      <c r="N561" s="714">
        <f t="shared" si="3"/>
        <v>183459.14385251107</v>
      </c>
    </row>
    <row r="562" spans="1:14" x14ac:dyDescent="0.2">
      <c r="A562" s="523">
        <v>43152</v>
      </c>
      <c r="B562" s="499">
        <v>287526.92</v>
      </c>
      <c r="F562" s="501">
        <v>43466</v>
      </c>
      <c r="G562" s="502">
        <v>322895</v>
      </c>
      <c r="H562" s="613">
        <v>166873.93</v>
      </c>
      <c r="J562" s="501">
        <v>43556</v>
      </c>
      <c r="K562" s="613">
        <v>174601.21</v>
      </c>
      <c r="N562" s="714">
        <f t="shared" si="3"/>
        <v>184452.88088171216</v>
      </c>
    </row>
    <row r="563" spans="1:14" x14ac:dyDescent="0.2">
      <c r="A563" s="523">
        <v>43153</v>
      </c>
      <c r="B563" s="499">
        <v>296486.64</v>
      </c>
      <c r="F563" s="501">
        <v>43497</v>
      </c>
      <c r="G563" s="502">
        <v>388590.24</v>
      </c>
      <c r="H563" s="613">
        <v>170486.28</v>
      </c>
      <c r="J563" s="501">
        <v>43586</v>
      </c>
      <c r="K563" s="613">
        <v>169831.32</v>
      </c>
      <c r="N563" s="714">
        <f t="shared" si="3"/>
        <v>185452.00065315477</v>
      </c>
    </row>
    <row r="564" spans="1:14" x14ac:dyDescent="0.2">
      <c r="A564" s="523">
        <v>43154</v>
      </c>
      <c r="B564" s="499">
        <v>296487</v>
      </c>
      <c r="F564" s="501">
        <v>43525</v>
      </c>
      <c r="G564" s="502">
        <v>244069.19</v>
      </c>
      <c r="H564" s="613">
        <v>171537.16</v>
      </c>
      <c r="J564" s="501">
        <v>43617</v>
      </c>
      <c r="K564" s="613">
        <v>175962.43</v>
      </c>
      <c r="N564" s="714">
        <f t="shared" si="3"/>
        <v>186456.53232335937</v>
      </c>
    </row>
    <row r="565" spans="1:14" x14ac:dyDescent="0.2">
      <c r="A565" s="523">
        <v>43157</v>
      </c>
      <c r="B565" s="499">
        <v>296487</v>
      </c>
      <c r="F565" s="501">
        <v>43556</v>
      </c>
      <c r="G565" s="502">
        <v>265093.77</v>
      </c>
      <c r="H565" s="613">
        <v>174601.21</v>
      </c>
      <c r="J565" s="501">
        <v>43647</v>
      </c>
      <c r="K565" s="613">
        <v>176392.07</v>
      </c>
      <c r="N565" s="714">
        <f t="shared" si="3"/>
        <v>187466.50520677757</v>
      </c>
    </row>
    <row r="566" spans="1:14" x14ac:dyDescent="0.2">
      <c r="A566" s="523">
        <v>43158</v>
      </c>
      <c r="B566" s="499">
        <v>335911.5</v>
      </c>
      <c r="F566" s="501">
        <v>43586</v>
      </c>
      <c r="G566" s="502">
        <v>218979.44</v>
      </c>
      <c r="H566" s="613">
        <v>169831.32</v>
      </c>
      <c r="J566" s="501">
        <v>43678</v>
      </c>
      <c r="K566" s="613">
        <v>174581</v>
      </c>
      <c r="N566" s="714">
        <f t="shared" si="3"/>
        <v>188481.94877664762</v>
      </c>
    </row>
    <row r="567" spans="1:14" x14ac:dyDescent="0.2">
      <c r="A567" s="523">
        <v>43159</v>
      </c>
      <c r="B567" s="499">
        <v>335912</v>
      </c>
      <c r="F567" s="501">
        <v>43617</v>
      </c>
      <c r="G567" s="502">
        <v>271553.78999999998</v>
      </c>
      <c r="H567" s="613">
        <v>175962.43</v>
      </c>
      <c r="J567" s="501">
        <v>43709</v>
      </c>
      <c r="K567" s="613">
        <v>175832.82</v>
      </c>
      <c r="N567" s="714">
        <f t="shared" si="3"/>
        <v>189502.89266585445</v>
      </c>
    </row>
    <row r="568" spans="1:14" x14ac:dyDescent="0.2">
      <c r="A568" s="523">
        <v>43160</v>
      </c>
      <c r="B568" s="499">
        <v>330042.21999999997</v>
      </c>
      <c r="F568" s="501">
        <v>43647</v>
      </c>
      <c r="G568" s="502">
        <v>272625.19</v>
      </c>
      <c r="H568" s="613">
        <v>176392.07</v>
      </c>
      <c r="J568" s="501">
        <v>43739</v>
      </c>
      <c r="K568" s="613">
        <v>176684.91</v>
      </c>
      <c r="N568" s="714">
        <f t="shared" si="3"/>
        <v>190529.3666677945</v>
      </c>
    </row>
    <row r="569" spans="1:14" x14ac:dyDescent="0.2">
      <c r="A569" s="523">
        <v>43161</v>
      </c>
      <c r="B569" s="560">
        <v>367034.5</v>
      </c>
      <c r="F569" s="501">
        <v>43678</v>
      </c>
      <c r="G569" s="502">
        <v>249105.04</v>
      </c>
      <c r="H569" s="613">
        <v>174581.16</v>
      </c>
      <c r="J569" s="501">
        <v>43770</v>
      </c>
      <c r="K569" s="613">
        <v>180686.55</v>
      </c>
      <c r="N569" s="714">
        <f t="shared" si="3"/>
        <v>191561.40073724504</v>
      </c>
    </row>
    <row r="570" spans="1:14" x14ac:dyDescent="0.2">
      <c r="A570" s="523">
        <v>43164</v>
      </c>
      <c r="B570" s="499">
        <v>330990.42</v>
      </c>
      <c r="F570" s="501">
        <v>43709</v>
      </c>
      <c r="G570" s="502">
        <v>224675.57</v>
      </c>
      <c r="H570" s="613">
        <v>175832.82</v>
      </c>
      <c r="J570" s="501">
        <v>43800</v>
      </c>
      <c r="K570" s="613">
        <v>184417.26</v>
      </c>
      <c r="N570" s="714">
        <f t="shared" si="3"/>
        <v>192599.02499123846</v>
      </c>
    </row>
    <row r="571" spans="1:14" x14ac:dyDescent="0.2">
      <c r="A571" s="523">
        <v>43165</v>
      </c>
      <c r="B571" s="499">
        <v>333065.89</v>
      </c>
      <c r="F571" s="501">
        <v>43739</v>
      </c>
      <c r="G571" s="502">
        <f>250597.51-10616</f>
        <v>239981.51</v>
      </c>
      <c r="H571" s="613">
        <v>176684.91</v>
      </c>
      <c r="J571" s="501">
        <v>43831</v>
      </c>
      <c r="K571" s="613">
        <v>186588.03</v>
      </c>
      <c r="N571" s="714">
        <f t="shared" si="3"/>
        <v>193642.269709941</v>
      </c>
    </row>
    <row r="572" spans="1:14" x14ac:dyDescent="0.2">
      <c r="A572" s="523">
        <v>43166</v>
      </c>
      <c r="B572" s="499">
        <v>331065.89</v>
      </c>
      <c r="F572" s="501">
        <v>43770</v>
      </c>
      <c r="G572" s="502">
        <f>213081.72-10616</f>
        <v>202465.72</v>
      </c>
      <c r="H572" s="613">
        <v>180686.55</v>
      </c>
      <c r="J572" s="501">
        <v>43862</v>
      </c>
      <c r="K572" s="613">
        <v>177685.24</v>
      </c>
      <c r="N572" s="714">
        <f t="shared" si="3"/>
        <v>194691.16533753651</v>
      </c>
    </row>
    <row r="573" spans="1:14" x14ac:dyDescent="0.2">
      <c r="A573" s="523">
        <v>43167</v>
      </c>
      <c r="B573" s="499">
        <v>331092.17</v>
      </c>
      <c r="F573" s="501">
        <v>43800</v>
      </c>
      <c r="G573" s="502">
        <v>298881.24</v>
      </c>
      <c r="H573" s="613">
        <v>184417.26</v>
      </c>
      <c r="J573" s="501">
        <v>43891</v>
      </c>
      <c r="K573" s="613">
        <v>162398.81</v>
      </c>
      <c r="N573" s="714">
        <f t="shared" si="3"/>
        <v>195745.74248311482</v>
      </c>
    </row>
    <row r="574" spans="1:14" x14ac:dyDescent="0.2">
      <c r="A574" s="523">
        <v>43168</v>
      </c>
      <c r="B574" s="499">
        <v>311733.17</v>
      </c>
      <c r="F574" s="501">
        <v>43831</v>
      </c>
      <c r="G574" s="502">
        <v>326352.59000000003</v>
      </c>
      <c r="H574" s="613">
        <v>186588.03</v>
      </c>
      <c r="J574" s="501">
        <v>43922</v>
      </c>
      <c r="K574" s="613">
        <v>175055.83</v>
      </c>
      <c r="N574" s="714">
        <f t="shared" si="3"/>
        <v>196806.03192156504</v>
      </c>
    </row>
    <row r="575" spans="1:14" x14ac:dyDescent="0.2">
      <c r="A575" s="523">
        <v>43171</v>
      </c>
      <c r="B575" s="499">
        <v>317116.19</v>
      </c>
      <c r="F575" s="501">
        <v>43862</v>
      </c>
      <c r="G575" s="502">
        <v>247842.14</v>
      </c>
      <c r="H575" s="613">
        <v>177685.24</v>
      </c>
      <c r="J575" s="501">
        <v>43952</v>
      </c>
      <c r="K575" s="613">
        <v>180640.71</v>
      </c>
      <c r="N575" s="714">
        <f t="shared" si="3"/>
        <v>197872.06459447352</v>
      </c>
    </row>
    <row r="576" spans="1:14" x14ac:dyDescent="0.2">
      <c r="A576" s="523">
        <v>43172</v>
      </c>
      <c r="B576" s="499">
        <v>317116</v>
      </c>
      <c r="F576" s="501">
        <v>43891</v>
      </c>
      <c r="G576" s="502">
        <v>256001.05</v>
      </c>
      <c r="H576" s="613">
        <v>162398.81</v>
      </c>
      <c r="J576" s="501">
        <v>43983</v>
      </c>
      <c r="K576" s="613">
        <v>183627.14</v>
      </c>
      <c r="N576" s="714">
        <f t="shared" si="3"/>
        <v>198943.8716110269</v>
      </c>
    </row>
    <row r="577" spans="1:18" x14ac:dyDescent="0.2">
      <c r="A577" s="523">
        <v>43173</v>
      </c>
      <c r="B577" s="499">
        <v>317496.19</v>
      </c>
      <c r="F577" s="501">
        <v>43922</v>
      </c>
      <c r="G577" s="502">
        <v>319553.11</v>
      </c>
      <c r="H577" s="613">
        <v>175055.83</v>
      </c>
      <c r="J577" s="501">
        <v>44013</v>
      </c>
      <c r="K577" s="613">
        <v>191310.14</v>
      </c>
      <c r="L577" s="244"/>
      <c r="N577" s="714">
        <f t="shared" si="3"/>
        <v>200021.48424891997</v>
      </c>
      <c r="O577" s="244"/>
      <c r="P577" s="244"/>
      <c r="Q577" s="244"/>
      <c r="R577" s="244"/>
    </row>
    <row r="578" spans="1:18" x14ac:dyDescent="0.2">
      <c r="A578" s="523">
        <v>43174</v>
      </c>
      <c r="B578" s="499">
        <v>317772.45</v>
      </c>
      <c r="F578" s="501">
        <v>43952</v>
      </c>
      <c r="G578" s="502">
        <v>373887.89</v>
      </c>
      <c r="H578" s="613">
        <v>180640.71</v>
      </c>
      <c r="J578" s="501">
        <v>44044</v>
      </c>
      <c r="K578" s="613">
        <v>196731.42</v>
      </c>
      <c r="L578" s="244"/>
      <c r="N578" s="714">
        <f t="shared" si="3"/>
        <v>201104.93395526829</v>
      </c>
      <c r="P578" s="244"/>
      <c r="Q578" s="244"/>
      <c r="R578" s="244"/>
    </row>
    <row r="579" spans="1:18" x14ac:dyDescent="0.2">
      <c r="A579" s="523">
        <v>43175</v>
      </c>
      <c r="B579" s="499">
        <v>317772</v>
      </c>
      <c r="C579" s="523"/>
      <c r="D579" s="499"/>
      <c r="F579" s="501">
        <v>43983</v>
      </c>
      <c r="G579" s="502">
        <v>387259.9</v>
      </c>
      <c r="H579" s="613">
        <v>183627.14</v>
      </c>
      <c r="J579" s="501">
        <v>44075</v>
      </c>
      <c r="K579" s="613">
        <v>192424.98</v>
      </c>
      <c r="L579" s="244"/>
      <c r="N579" s="714">
        <f t="shared" si="3"/>
        <v>202194.25234752599</v>
      </c>
      <c r="P579" s="244"/>
      <c r="Q579" s="244"/>
      <c r="R579" s="244"/>
    </row>
    <row r="580" spans="1:18" x14ac:dyDescent="0.2">
      <c r="A580" s="523">
        <v>43178</v>
      </c>
      <c r="B580" s="499">
        <v>279446.55</v>
      </c>
      <c r="C580" s="523"/>
      <c r="D580" s="499"/>
      <c r="F580" s="501">
        <v>44013</v>
      </c>
      <c r="G580" s="502">
        <v>393896.48</v>
      </c>
      <c r="H580" s="613">
        <v>191310.14</v>
      </c>
      <c r="J580" s="501">
        <v>44105</v>
      </c>
      <c r="K580" s="613">
        <v>189044.54</v>
      </c>
      <c r="L580" s="244"/>
      <c r="N580" s="714">
        <f t="shared" si="3"/>
        <v>203289.47121440843</v>
      </c>
      <c r="P580" s="244"/>
      <c r="Q580" s="244"/>
      <c r="R580" s="244"/>
    </row>
    <row r="581" spans="1:18" x14ac:dyDescent="0.2">
      <c r="A581" s="523">
        <v>43179</v>
      </c>
      <c r="B581" s="499">
        <v>272785.62</v>
      </c>
      <c r="C581" s="523"/>
      <c r="D581" s="499"/>
      <c r="F581" s="501">
        <v>44044</v>
      </c>
      <c r="G581" s="502">
        <v>318622.86</v>
      </c>
      <c r="H581" s="613">
        <v>196731.42</v>
      </c>
      <c r="J581" s="501">
        <v>44136</v>
      </c>
      <c r="K581" s="613">
        <v>201253.81</v>
      </c>
      <c r="L581" s="244"/>
      <c r="N581" s="714">
        <f t="shared" si="3"/>
        <v>204390.6225168198</v>
      </c>
      <c r="P581" s="244"/>
      <c r="Q581" s="244"/>
      <c r="R581" s="244"/>
    </row>
    <row r="582" spans="1:18" x14ac:dyDescent="0.2">
      <c r="A582" s="523">
        <v>43180</v>
      </c>
      <c r="B582" s="499">
        <v>288240.15999999997</v>
      </c>
      <c r="C582" s="523"/>
      <c r="D582" s="499"/>
      <c r="F582" s="501">
        <v>44075</v>
      </c>
      <c r="G582" s="502">
        <v>310792.11</v>
      </c>
      <c r="H582" s="613">
        <v>192424.98</v>
      </c>
      <c r="J582" s="501">
        <v>44166</v>
      </c>
      <c r="K582" s="613">
        <v>206549.06</v>
      </c>
      <c r="L582" s="244"/>
      <c r="N582" s="714">
        <f t="shared" si="3"/>
        <v>205497.73838878592</v>
      </c>
      <c r="O582" s="244"/>
      <c r="P582" s="244"/>
      <c r="Q582" s="244"/>
      <c r="R582" s="244"/>
    </row>
    <row r="583" spans="1:18" x14ac:dyDescent="0.2">
      <c r="A583" s="523">
        <v>43181</v>
      </c>
      <c r="B583" s="499">
        <v>278742.74</v>
      </c>
      <c r="C583" s="523"/>
      <c r="D583" s="499"/>
      <c r="F583" s="501">
        <v>44105</v>
      </c>
      <c r="G583" s="502">
        <v>337545.3</v>
      </c>
      <c r="H583" s="613">
        <v>189044.54</v>
      </c>
      <c r="J583" s="501">
        <v>44197</v>
      </c>
      <c r="K583" s="613">
        <v>204163.62</v>
      </c>
      <c r="L583" s="244"/>
      <c r="N583" s="714">
        <f t="shared" si="3"/>
        <v>206610.85113839185</v>
      </c>
      <c r="O583" s="244"/>
      <c r="P583" s="244"/>
      <c r="Q583" s="244"/>
      <c r="R583" s="244"/>
    </row>
    <row r="584" spans="1:18" x14ac:dyDescent="0.2">
      <c r="A584" s="523">
        <v>43182</v>
      </c>
      <c r="B584" s="499">
        <v>278840.24</v>
      </c>
      <c r="C584" s="523"/>
      <c r="D584" s="499"/>
      <c r="F584" s="501">
        <v>44136</v>
      </c>
      <c r="G584" s="502">
        <v>407385.79</v>
      </c>
      <c r="H584" s="613">
        <v>201253.81</v>
      </c>
      <c r="J584" s="501">
        <v>44228</v>
      </c>
      <c r="K584" s="613">
        <v>207045.8</v>
      </c>
      <c r="L584" s="244"/>
      <c r="N584" s="714">
        <f t="shared" si="3"/>
        <v>207729.99324872482</v>
      </c>
      <c r="O584" s="244"/>
      <c r="P584" s="244"/>
      <c r="Q584" s="244"/>
      <c r="R584" s="244"/>
    </row>
    <row r="585" spans="1:18" x14ac:dyDescent="0.2">
      <c r="A585" s="523">
        <v>43185</v>
      </c>
      <c r="B585" s="499">
        <v>278942.24</v>
      </c>
      <c r="C585" s="523"/>
      <c r="D585" s="499"/>
      <c r="F585" s="501">
        <v>44166</v>
      </c>
      <c r="G585" s="502">
        <v>325944.61</v>
      </c>
      <c r="H585" s="613">
        <v>206549.06</v>
      </c>
      <c r="J585" s="501">
        <v>44256</v>
      </c>
      <c r="K585" s="704"/>
      <c r="L585" s="244"/>
      <c r="O585" s="244"/>
      <c r="P585" s="244"/>
      <c r="Q585" s="244"/>
      <c r="R585" s="244"/>
    </row>
    <row r="586" spans="1:18" x14ac:dyDescent="0.2">
      <c r="A586" s="523">
        <v>43186</v>
      </c>
      <c r="B586" s="499">
        <v>257048.49</v>
      </c>
      <c r="C586" s="523"/>
      <c r="D586" s="499"/>
      <c r="F586" s="501">
        <v>44197</v>
      </c>
      <c r="G586" s="502">
        <v>414815.15</v>
      </c>
      <c r="H586" s="613">
        <v>204163.62</v>
      </c>
      <c r="J586" s="501">
        <v>44287</v>
      </c>
      <c r="K586" s="704"/>
      <c r="L586" s="244"/>
      <c r="O586" s="244"/>
      <c r="P586" s="244"/>
      <c r="Q586" s="244"/>
      <c r="R586" s="244"/>
    </row>
    <row r="587" spans="1:18" x14ac:dyDescent="0.2">
      <c r="A587" s="523">
        <v>43187</v>
      </c>
      <c r="B587" s="499">
        <v>252662.47</v>
      </c>
      <c r="C587" s="523"/>
      <c r="D587" s="499"/>
      <c r="F587" s="501">
        <v>44228</v>
      </c>
      <c r="G587" s="502">
        <v>399071.21</v>
      </c>
      <c r="H587" s="613">
        <v>207045.8</v>
      </c>
      <c r="J587" s="501">
        <v>44317</v>
      </c>
      <c r="K587" s="704"/>
      <c r="L587" s="244"/>
      <c r="O587" s="244"/>
      <c r="P587" s="244"/>
      <c r="Q587" s="244"/>
      <c r="R587" s="244"/>
    </row>
    <row r="588" spans="1:18" x14ac:dyDescent="0.2">
      <c r="A588" s="523">
        <v>43188</v>
      </c>
      <c r="B588" s="499">
        <v>254708.73</v>
      </c>
      <c r="C588" s="523"/>
      <c r="D588" s="499"/>
      <c r="K588" s="704"/>
      <c r="L588" s="244"/>
      <c r="O588" s="244"/>
      <c r="P588" s="244"/>
      <c r="Q588" s="244"/>
      <c r="R588" s="244"/>
    </row>
    <row r="589" spans="1:18" x14ac:dyDescent="0.2">
      <c r="A589" s="523">
        <v>43189</v>
      </c>
      <c r="B589" s="499">
        <v>281702.86</v>
      </c>
      <c r="C589" s="523"/>
      <c r="D589" s="499"/>
      <c r="K589" s="704"/>
      <c r="L589" s="244"/>
      <c r="O589" s="244"/>
      <c r="P589" s="244"/>
      <c r="Q589" s="244"/>
      <c r="R589" s="244"/>
    </row>
    <row r="590" spans="1:18" x14ac:dyDescent="0.2">
      <c r="A590" s="523">
        <v>43192</v>
      </c>
      <c r="B590" s="499">
        <v>244220.77</v>
      </c>
      <c r="C590" s="523"/>
      <c r="D590" s="499"/>
      <c r="K590" s="704"/>
      <c r="L590" s="244"/>
    </row>
    <row r="591" spans="1:18" x14ac:dyDescent="0.2">
      <c r="A591" s="523">
        <v>43193</v>
      </c>
      <c r="B591" s="499">
        <v>244221</v>
      </c>
      <c r="C591" s="523"/>
      <c r="D591" s="499"/>
      <c r="F591" t="s">
        <v>420</v>
      </c>
      <c r="K591" s="704"/>
      <c r="L591" s="244"/>
    </row>
    <row r="592" spans="1:18" x14ac:dyDescent="0.2">
      <c r="A592" s="523">
        <v>43194</v>
      </c>
      <c r="B592" s="499">
        <v>244221</v>
      </c>
      <c r="C592" s="523"/>
      <c r="D592" s="499"/>
      <c r="F592" t="s">
        <v>372</v>
      </c>
      <c r="G592">
        <v>50000</v>
      </c>
      <c r="K592" s="704"/>
      <c r="L592" s="244"/>
    </row>
    <row r="593" spans="1:12" x14ac:dyDescent="0.2">
      <c r="A593" s="523">
        <v>43195</v>
      </c>
      <c r="B593" s="499">
        <v>225503.87</v>
      </c>
      <c r="C593" s="523"/>
      <c r="D593" s="499"/>
      <c r="F593" t="s">
        <v>74</v>
      </c>
      <c r="G593" s="561">
        <v>158720.91</v>
      </c>
      <c r="K593" s="704"/>
      <c r="L593" s="244"/>
    </row>
    <row r="594" spans="1:12" x14ac:dyDescent="0.2">
      <c r="A594" s="523">
        <v>43196</v>
      </c>
      <c r="B594" s="499">
        <v>225504</v>
      </c>
      <c r="C594" s="523"/>
      <c r="D594" s="499"/>
      <c r="F594" t="s">
        <v>362</v>
      </c>
      <c r="G594" s="561">
        <v>820788.58</v>
      </c>
      <c r="K594" s="704"/>
      <c r="L594" s="244"/>
    </row>
    <row r="595" spans="1:12" x14ac:dyDescent="0.2">
      <c r="A595" s="523">
        <v>43199</v>
      </c>
      <c r="B595" s="499">
        <v>225503.8</v>
      </c>
      <c r="C595" s="523"/>
      <c r="D595" s="499"/>
      <c r="F595" t="s">
        <v>334</v>
      </c>
      <c r="G595" s="561"/>
      <c r="K595" s="704"/>
      <c r="L595" s="244"/>
    </row>
    <row r="596" spans="1:12" x14ac:dyDescent="0.2">
      <c r="A596" s="523">
        <v>43200</v>
      </c>
      <c r="B596" s="499">
        <v>227389.96</v>
      </c>
      <c r="C596" s="523"/>
      <c r="D596" s="499"/>
      <c r="F596" t="s">
        <v>363</v>
      </c>
      <c r="G596" s="561">
        <v>248821.26</v>
      </c>
      <c r="K596" s="704"/>
      <c r="L596" s="244"/>
    </row>
    <row r="597" spans="1:12" x14ac:dyDescent="0.2">
      <c r="A597" s="523">
        <v>43201</v>
      </c>
      <c r="B597" s="499">
        <v>235472.53</v>
      </c>
      <c r="C597" s="523"/>
      <c r="D597" s="499"/>
      <c r="F597" t="s">
        <v>364</v>
      </c>
      <c r="G597" s="561">
        <v>2000</v>
      </c>
      <c r="H597" t="s">
        <v>365</v>
      </c>
      <c r="K597" s="704"/>
      <c r="L597" s="244"/>
    </row>
    <row r="598" spans="1:12" x14ac:dyDescent="0.2">
      <c r="A598" s="523">
        <v>43202</v>
      </c>
      <c r="B598" s="499">
        <v>222207.84</v>
      </c>
      <c r="C598" s="523"/>
      <c r="D598" s="499"/>
      <c r="F598" t="s">
        <v>370</v>
      </c>
      <c r="G598" s="561">
        <f>51000+19000</f>
        <v>70000</v>
      </c>
      <c r="K598" s="704"/>
      <c r="L598" s="244"/>
    </row>
    <row r="599" spans="1:12" x14ac:dyDescent="0.2">
      <c r="A599" s="523">
        <v>43203</v>
      </c>
      <c r="B599" s="499">
        <v>222287.93</v>
      </c>
      <c r="C599" s="523"/>
      <c r="D599" s="499"/>
      <c r="E599" t="s">
        <v>366</v>
      </c>
      <c r="G599" s="561">
        <f>SUM(G592:G598)</f>
        <v>1350330.75</v>
      </c>
      <c r="K599" s="704"/>
      <c r="L599" s="244"/>
    </row>
    <row r="600" spans="1:12" x14ac:dyDescent="0.2">
      <c r="A600" s="523">
        <v>43206</v>
      </c>
      <c r="B600" s="499">
        <v>186664.28</v>
      </c>
      <c r="C600" s="523"/>
      <c r="D600" s="499"/>
      <c r="G600" s="561"/>
      <c r="K600" s="704"/>
      <c r="L600" s="244"/>
    </row>
    <row r="601" spans="1:12" x14ac:dyDescent="0.2">
      <c r="A601" s="523">
        <v>43207</v>
      </c>
      <c r="B601" s="499">
        <v>188484.95</v>
      </c>
      <c r="C601" s="523"/>
      <c r="D601" s="499"/>
      <c r="E601" t="s">
        <v>367</v>
      </c>
      <c r="G601" s="561">
        <f>AVERAGE(G561:G573)</f>
        <v>264939.10923076922</v>
      </c>
      <c r="K601" s="704"/>
      <c r="L601" s="244"/>
    </row>
    <row r="602" spans="1:12" x14ac:dyDescent="0.2">
      <c r="A602" s="523">
        <v>43208</v>
      </c>
      <c r="B602" s="499">
        <v>188485</v>
      </c>
      <c r="C602" s="523"/>
      <c r="D602" s="499"/>
      <c r="G602" s="561"/>
      <c r="K602" s="704"/>
      <c r="L602" s="244"/>
    </row>
    <row r="603" spans="1:12" x14ac:dyDescent="0.2">
      <c r="A603" s="523">
        <v>43209</v>
      </c>
      <c r="B603" s="499">
        <v>180474.73</v>
      </c>
      <c r="C603" s="523"/>
      <c r="D603" s="499"/>
      <c r="E603" t="s">
        <v>368</v>
      </c>
      <c r="G603" s="562">
        <f>G599/G601</f>
        <v>5.0967588511963511</v>
      </c>
      <c r="K603" s="704"/>
      <c r="L603" s="244"/>
    </row>
    <row r="604" spans="1:12" x14ac:dyDescent="0.2">
      <c r="A604" s="523">
        <v>43210</v>
      </c>
      <c r="B604" s="499">
        <v>188207.38</v>
      </c>
      <c r="C604" s="523"/>
      <c r="D604" s="499"/>
      <c r="G604" s="561"/>
      <c r="K604" s="704"/>
      <c r="L604" s="244"/>
    </row>
    <row r="605" spans="1:12" x14ac:dyDescent="0.2">
      <c r="A605" s="523">
        <v>43213</v>
      </c>
      <c r="B605" s="499">
        <v>198618.83</v>
      </c>
      <c r="C605" s="523"/>
      <c r="D605" s="499"/>
      <c r="E605" t="s">
        <v>369</v>
      </c>
      <c r="G605" s="561">
        <v>365</v>
      </c>
      <c r="K605" s="704"/>
      <c r="L605" s="244"/>
    </row>
    <row r="606" spans="1:12" x14ac:dyDescent="0.2">
      <c r="A606" s="523">
        <v>43214</v>
      </c>
      <c r="B606" s="499">
        <v>198619</v>
      </c>
      <c r="C606" s="523"/>
      <c r="D606" s="499"/>
      <c r="G606" s="561">
        <f>G605/G603</f>
        <v>71.614139624111189</v>
      </c>
      <c r="K606" s="704"/>
      <c r="L606" s="244"/>
    </row>
    <row r="607" spans="1:12" x14ac:dyDescent="0.2">
      <c r="A607" s="523">
        <v>43215</v>
      </c>
      <c r="B607" s="499">
        <v>198619</v>
      </c>
      <c r="C607" s="523"/>
      <c r="D607" s="499"/>
      <c r="K607" s="704"/>
      <c r="L607" s="244"/>
    </row>
    <row r="608" spans="1:12" x14ac:dyDescent="0.2">
      <c r="A608" s="523">
        <v>43216</v>
      </c>
      <c r="B608" s="499">
        <v>189089.55</v>
      </c>
      <c r="C608" s="523"/>
      <c r="D608" s="499"/>
      <c r="K608" s="704"/>
      <c r="L608" s="244"/>
    </row>
    <row r="609" spans="1:12" x14ac:dyDescent="0.2">
      <c r="A609" s="523">
        <v>43217</v>
      </c>
      <c r="B609" s="499">
        <v>216053.77</v>
      </c>
      <c r="C609" s="523"/>
      <c r="D609" s="499"/>
      <c r="K609" s="704"/>
      <c r="L609" s="244"/>
    </row>
    <row r="610" spans="1:12" x14ac:dyDescent="0.2">
      <c r="A610" s="523">
        <v>43220</v>
      </c>
      <c r="B610" s="499">
        <v>179849.52</v>
      </c>
      <c r="C610" s="523"/>
      <c r="D610" s="499"/>
      <c r="K610" s="704"/>
      <c r="L610" s="244"/>
    </row>
    <row r="611" spans="1:12" x14ac:dyDescent="0.2">
      <c r="A611" s="523">
        <v>43221</v>
      </c>
      <c r="B611" s="499">
        <v>179850</v>
      </c>
      <c r="C611" s="523"/>
      <c r="D611" s="499"/>
      <c r="K611" s="704"/>
      <c r="L611" s="244"/>
    </row>
    <row r="612" spans="1:12" x14ac:dyDescent="0.2">
      <c r="A612" s="523">
        <v>43222</v>
      </c>
      <c r="B612" s="499">
        <v>173749.01</v>
      </c>
      <c r="C612" s="523"/>
      <c r="D612" s="499"/>
      <c r="K612" s="704"/>
      <c r="L612" s="244"/>
    </row>
    <row r="613" spans="1:12" x14ac:dyDescent="0.2">
      <c r="A613" s="523">
        <v>43223</v>
      </c>
      <c r="B613" s="499">
        <v>200792.85</v>
      </c>
      <c r="C613" s="523"/>
      <c r="D613" s="499"/>
      <c r="K613" s="704"/>
      <c r="L613" s="244"/>
    </row>
    <row r="614" spans="1:12" x14ac:dyDescent="0.2">
      <c r="A614" s="523">
        <v>43224</v>
      </c>
      <c r="B614" s="499">
        <v>202331.91</v>
      </c>
      <c r="C614" s="523"/>
      <c r="D614" s="499"/>
      <c r="K614" s="704"/>
      <c r="L614" s="244"/>
    </row>
    <row r="615" spans="1:12" x14ac:dyDescent="0.2">
      <c r="A615" s="523">
        <v>43227</v>
      </c>
      <c r="B615" s="499">
        <v>203517.87</v>
      </c>
      <c r="C615" s="523"/>
      <c r="D615" s="499"/>
      <c r="K615" s="704"/>
      <c r="L615" s="244"/>
    </row>
    <row r="616" spans="1:12" x14ac:dyDescent="0.2">
      <c r="A616" s="523">
        <v>43228</v>
      </c>
      <c r="B616" s="499">
        <v>203518</v>
      </c>
      <c r="C616" s="523"/>
      <c r="D616" s="499"/>
      <c r="L616" s="244"/>
    </row>
    <row r="617" spans="1:12" x14ac:dyDescent="0.2">
      <c r="A617" s="523">
        <v>43229</v>
      </c>
      <c r="B617" s="499">
        <v>203518</v>
      </c>
      <c r="C617" s="523"/>
      <c r="D617" s="499"/>
      <c r="L617" s="244"/>
    </row>
    <row r="618" spans="1:12" x14ac:dyDescent="0.2">
      <c r="A618" s="523">
        <v>43230</v>
      </c>
      <c r="B618" s="499">
        <v>191114.58</v>
      </c>
      <c r="C618" s="523"/>
      <c r="D618" s="499"/>
      <c r="L618" s="244"/>
    </row>
    <row r="619" spans="1:12" x14ac:dyDescent="0.2">
      <c r="A619" s="523">
        <v>43231</v>
      </c>
      <c r="B619" s="560">
        <v>153114.57999999999</v>
      </c>
      <c r="C619" s="523"/>
      <c r="D619" s="499"/>
      <c r="L619" s="244"/>
    </row>
    <row r="620" spans="1:12" x14ac:dyDescent="0.2">
      <c r="A620" s="523">
        <v>43234</v>
      </c>
      <c r="B620" s="560">
        <v>153115</v>
      </c>
      <c r="C620" s="523"/>
      <c r="D620" s="499"/>
      <c r="L620" s="244"/>
    </row>
    <row r="621" spans="1:12" x14ac:dyDescent="0.2">
      <c r="A621" s="523">
        <v>43235</v>
      </c>
      <c r="B621" s="499">
        <v>182792.08</v>
      </c>
      <c r="C621" s="523"/>
      <c r="D621" s="499"/>
      <c r="L621" s="244"/>
    </row>
    <row r="622" spans="1:12" x14ac:dyDescent="0.2">
      <c r="A622" s="523">
        <v>43236</v>
      </c>
      <c r="B622" s="499">
        <v>182792</v>
      </c>
      <c r="C622" s="523"/>
      <c r="D622" s="499"/>
      <c r="L622" s="244"/>
    </row>
    <row r="623" spans="1:12" x14ac:dyDescent="0.2">
      <c r="A623" s="523">
        <v>43237</v>
      </c>
      <c r="B623" s="499">
        <v>222152.66</v>
      </c>
      <c r="C623" s="523"/>
      <c r="D623" s="499"/>
      <c r="L623" s="244"/>
    </row>
    <row r="624" spans="1:12" x14ac:dyDescent="0.2">
      <c r="A624" s="523">
        <v>43238</v>
      </c>
      <c r="B624" s="499">
        <v>222153</v>
      </c>
      <c r="C624" s="523"/>
      <c r="D624" s="499"/>
      <c r="L624" s="244"/>
    </row>
    <row r="625" spans="1:12" x14ac:dyDescent="0.2">
      <c r="A625" s="523">
        <v>43241</v>
      </c>
      <c r="B625" s="499">
        <v>222153</v>
      </c>
      <c r="C625" s="523"/>
      <c r="D625" s="499"/>
      <c r="L625" s="244"/>
    </row>
    <row r="626" spans="1:12" x14ac:dyDescent="0.2">
      <c r="A626" s="523">
        <v>43242</v>
      </c>
      <c r="B626" s="499">
        <v>222153</v>
      </c>
      <c r="C626" s="523"/>
      <c r="D626" s="499"/>
      <c r="L626" s="244"/>
    </row>
    <row r="627" spans="1:12" x14ac:dyDescent="0.2">
      <c r="A627" s="523">
        <v>43243</v>
      </c>
      <c r="B627" s="499">
        <v>222152</v>
      </c>
      <c r="C627" s="523"/>
      <c r="D627" s="499"/>
      <c r="L627" s="244"/>
    </row>
    <row r="628" spans="1:12" x14ac:dyDescent="0.2">
      <c r="A628" s="523">
        <v>43244</v>
      </c>
      <c r="B628" s="499">
        <v>211720.43</v>
      </c>
      <c r="C628" s="523"/>
      <c r="D628" s="499"/>
    </row>
    <row r="629" spans="1:12" x14ac:dyDescent="0.2">
      <c r="A629" s="523">
        <v>43245</v>
      </c>
      <c r="B629" s="499">
        <v>211720</v>
      </c>
      <c r="C629" s="523"/>
      <c r="D629" s="499"/>
    </row>
    <row r="630" spans="1:12" x14ac:dyDescent="0.2">
      <c r="A630" s="523">
        <v>43248</v>
      </c>
      <c r="B630" s="499">
        <v>211720</v>
      </c>
      <c r="C630" s="523"/>
      <c r="D630" s="499"/>
    </row>
    <row r="631" spans="1:12" x14ac:dyDescent="0.2">
      <c r="A631" s="523">
        <v>43249</v>
      </c>
      <c r="B631" s="499">
        <v>176327.95</v>
      </c>
      <c r="C631" s="523"/>
      <c r="D631" s="499"/>
    </row>
    <row r="632" spans="1:12" x14ac:dyDescent="0.2">
      <c r="A632" s="523">
        <v>43250</v>
      </c>
      <c r="B632" s="499">
        <v>176328</v>
      </c>
      <c r="C632" s="523"/>
      <c r="D632" s="499"/>
    </row>
    <row r="633" spans="1:12" x14ac:dyDescent="0.2">
      <c r="A633" s="523">
        <v>43251</v>
      </c>
      <c r="B633" s="499">
        <v>169004.5</v>
      </c>
      <c r="C633" s="523"/>
      <c r="D633" s="499"/>
    </row>
    <row r="634" spans="1:12" x14ac:dyDescent="0.2">
      <c r="A634" s="523">
        <v>43252</v>
      </c>
      <c r="B634" s="499">
        <v>261992.26</v>
      </c>
      <c r="C634" s="523"/>
      <c r="D634" s="499"/>
    </row>
    <row r="635" spans="1:12" x14ac:dyDescent="0.2">
      <c r="A635" s="523">
        <v>43255</v>
      </c>
      <c r="B635" s="499">
        <v>270521.09000000003</v>
      </c>
      <c r="C635" s="523"/>
      <c r="D635" s="499"/>
    </row>
    <row r="636" spans="1:12" x14ac:dyDescent="0.2">
      <c r="A636" s="523">
        <v>43256</v>
      </c>
      <c r="B636" s="499">
        <v>285365.09000000003</v>
      </c>
      <c r="C636" s="523"/>
      <c r="D636" s="499"/>
    </row>
    <row r="637" spans="1:12" x14ac:dyDescent="0.2">
      <c r="A637" s="523">
        <v>43257</v>
      </c>
      <c r="B637" s="499">
        <v>285365</v>
      </c>
      <c r="C637" s="523"/>
      <c r="D637" s="499"/>
    </row>
    <row r="638" spans="1:12" x14ac:dyDescent="0.2">
      <c r="A638" s="523">
        <v>43258</v>
      </c>
      <c r="B638" s="499">
        <v>287246.65999999997</v>
      </c>
      <c r="C638" s="523"/>
      <c r="D638" s="499"/>
    </row>
    <row r="639" spans="1:12" x14ac:dyDescent="0.2">
      <c r="A639" s="523">
        <v>43259</v>
      </c>
      <c r="B639" s="499">
        <v>287247</v>
      </c>
      <c r="C639" s="523"/>
      <c r="D639" s="499"/>
    </row>
    <row r="640" spans="1:12" x14ac:dyDescent="0.2">
      <c r="A640" s="523">
        <v>43262</v>
      </c>
      <c r="B640" s="499">
        <v>287247</v>
      </c>
      <c r="C640" s="523"/>
      <c r="D640" s="499"/>
    </row>
    <row r="641" spans="1:4" x14ac:dyDescent="0.2">
      <c r="A641" s="523">
        <v>43263</v>
      </c>
      <c r="B641" s="499">
        <v>253042.79</v>
      </c>
      <c r="C641" s="523"/>
      <c r="D641" s="499"/>
    </row>
    <row r="642" spans="1:4" x14ac:dyDescent="0.2">
      <c r="A642" s="523">
        <v>43264</v>
      </c>
      <c r="B642" s="499">
        <v>253043</v>
      </c>
      <c r="C642" s="523"/>
      <c r="D642" s="499"/>
    </row>
    <row r="643" spans="1:4" x14ac:dyDescent="0.2">
      <c r="A643" s="523">
        <v>43265</v>
      </c>
      <c r="B643" s="499">
        <v>246521.36</v>
      </c>
      <c r="C643" s="523"/>
      <c r="D643" s="499"/>
    </row>
    <row r="644" spans="1:4" x14ac:dyDescent="0.2">
      <c r="A644" s="523">
        <v>43266</v>
      </c>
      <c r="B644" s="499">
        <v>246593.56</v>
      </c>
      <c r="C644" s="523"/>
      <c r="D644" s="499"/>
    </row>
    <row r="645" spans="1:4" x14ac:dyDescent="0.2">
      <c r="A645" s="523">
        <v>43269</v>
      </c>
      <c r="B645" s="499">
        <v>246594</v>
      </c>
      <c r="C645" s="523"/>
      <c r="D645" s="499"/>
    </row>
    <row r="646" spans="1:4" x14ac:dyDescent="0.2">
      <c r="A646" s="523">
        <v>43270</v>
      </c>
      <c r="B646" s="499">
        <v>246594</v>
      </c>
      <c r="C646" s="523"/>
      <c r="D646" s="499"/>
    </row>
    <row r="647" spans="1:4" x14ac:dyDescent="0.2">
      <c r="A647" s="523">
        <v>43271</v>
      </c>
      <c r="B647" s="499">
        <v>246594</v>
      </c>
      <c r="C647" s="523"/>
      <c r="D647" s="499"/>
    </row>
    <row r="648" spans="1:4" x14ac:dyDescent="0.2">
      <c r="A648" s="523">
        <v>43272</v>
      </c>
      <c r="B648" s="499">
        <v>228395.48</v>
      </c>
      <c r="C648" s="523"/>
      <c r="D648" s="499"/>
    </row>
    <row r="649" spans="1:4" x14ac:dyDescent="0.2">
      <c r="A649" s="523">
        <v>43273</v>
      </c>
      <c r="B649" s="499">
        <v>228395</v>
      </c>
      <c r="C649" s="523"/>
      <c r="D649" s="499"/>
    </row>
    <row r="650" spans="1:4" x14ac:dyDescent="0.2">
      <c r="A650" s="523">
        <v>43276</v>
      </c>
      <c r="B650" s="499">
        <v>192627.9</v>
      </c>
      <c r="C650" s="523"/>
      <c r="D650" s="499"/>
    </row>
    <row r="651" spans="1:4" x14ac:dyDescent="0.2">
      <c r="A651" s="523">
        <v>43277</v>
      </c>
      <c r="B651" s="499">
        <v>192628</v>
      </c>
      <c r="C651" s="523"/>
      <c r="D651" s="499"/>
    </row>
    <row r="652" spans="1:4" x14ac:dyDescent="0.2">
      <c r="A652" s="523">
        <v>43278</v>
      </c>
      <c r="B652" s="499">
        <v>192628</v>
      </c>
      <c r="C652" s="523"/>
      <c r="D652" s="499"/>
    </row>
    <row r="653" spans="1:4" x14ac:dyDescent="0.2">
      <c r="A653" s="523">
        <v>43279</v>
      </c>
      <c r="B653" s="499">
        <v>193904.61</v>
      </c>
      <c r="C653" s="523"/>
      <c r="D653" s="499"/>
    </row>
    <row r="654" spans="1:4" x14ac:dyDescent="0.2">
      <c r="A654" s="523">
        <v>43280</v>
      </c>
      <c r="B654" s="499">
        <v>195328.48</v>
      </c>
      <c r="C654" s="523"/>
      <c r="D654" s="499"/>
    </row>
    <row r="655" spans="1:4" x14ac:dyDescent="0.2">
      <c r="A655" s="523">
        <v>43283</v>
      </c>
      <c r="B655" s="499">
        <v>199304.09</v>
      </c>
      <c r="C655" s="523"/>
      <c r="D655" s="499"/>
    </row>
    <row r="656" spans="1:4" x14ac:dyDescent="0.2">
      <c r="A656" s="523">
        <v>43284</v>
      </c>
      <c r="B656" s="499">
        <v>201071.11</v>
      </c>
      <c r="C656" s="523"/>
      <c r="D656" s="499"/>
    </row>
    <row r="657" spans="1:4" x14ac:dyDescent="0.2">
      <c r="A657" s="523">
        <v>43285</v>
      </c>
      <c r="B657" s="499">
        <v>201071</v>
      </c>
      <c r="C657" s="523"/>
      <c r="D657" s="499"/>
    </row>
    <row r="658" spans="1:4" x14ac:dyDescent="0.2">
      <c r="A658" s="523">
        <v>43286</v>
      </c>
      <c r="B658" s="499">
        <v>223298.16</v>
      </c>
      <c r="C658" s="523"/>
      <c r="D658" s="499"/>
    </row>
    <row r="659" spans="1:4" x14ac:dyDescent="0.2">
      <c r="A659" s="523">
        <v>43287</v>
      </c>
      <c r="B659" s="499">
        <v>238962.66</v>
      </c>
      <c r="C659" s="523"/>
      <c r="D659" s="499"/>
    </row>
    <row r="660" spans="1:4" x14ac:dyDescent="0.2">
      <c r="A660" s="523">
        <v>43290</v>
      </c>
      <c r="B660" s="499">
        <v>203086.22</v>
      </c>
      <c r="C660" s="523"/>
      <c r="D660" s="499"/>
    </row>
    <row r="661" spans="1:4" x14ac:dyDescent="0.2">
      <c r="A661" s="523">
        <v>43291</v>
      </c>
      <c r="B661" s="499">
        <v>226930.31</v>
      </c>
      <c r="C661" s="523"/>
      <c r="D661" s="499"/>
    </row>
    <row r="662" spans="1:4" x14ac:dyDescent="0.2">
      <c r="A662" s="523">
        <v>43292</v>
      </c>
      <c r="B662" s="499">
        <v>226930</v>
      </c>
      <c r="C662" s="523"/>
      <c r="D662" s="499"/>
    </row>
    <row r="663" spans="1:4" x14ac:dyDescent="0.2">
      <c r="A663" s="523">
        <v>43293</v>
      </c>
      <c r="B663" s="499">
        <v>220822.05</v>
      </c>
      <c r="C663" s="523"/>
      <c r="D663" s="499"/>
    </row>
    <row r="664" spans="1:4" x14ac:dyDescent="0.2">
      <c r="A664" s="523">
        <v>43294</v>
      </c>
      <c r="B664" s="499">
        <v>220986.35</v>
      </c>
      <c r="C664" s="523"/>
      <c r="D664" s="499"/>
    </row>
    <row r="665" spans="1:4" x14ac:dyDescent="0.2">
      <c r="A665" s="523">
        <v>43297</v>
      </c>
      <c r="B665" s="499">
        <v>220986</v>
      </c>
      <c r="C665" s="523"/>
      <c r="D665" s="499"/>
    </row>
    <row r="666" spans="1:4" x14ac:dyDescent="0.2">
      <c r="A666" s="523">
        <v>43298</v>
      </c>
      <c r="B666" s="499">
        <v>220986</v>
      </c>
      <c r="C666" s="523"/>
      <c r="D666" s="499"/>
    </row>
    <row r="667" spans="1:4" x14ac:dyDescent="0.2">
      <c r="A667" s="523">
        <v>43299</v>
      </c>
      <c r="B667" s="499">
        <v>197995.27</v>
      </c>
      <c r="C667" s="523"/>
      <c r="D667" s="499"/>
    </row>
    <row r="668" spans="1:4" x14ac:dyDescent="0.2">
      <c r="A668" s="523">
        <v>43300</v>
      </c>
      <c r="B668" s="499">
        <v>202931.61</v>
      </c>
      <c r="C668" s="523"/>
      <c r="D668" s="499"/>
    </row>
    <row r="669" spans="1:4" x14ac:dyDescent="0.2">
      <c r="A669" s="523">
        <v>43301</v>
      </c>
      <c r="B669" s="499">
        <v>202932</v>
      </c>
      <c r="C669" s="523"/>
      <c r="D669" s="499"/>
    </row>
    <row r="670" spans="1:4" x14ac:dyDescent="0.2">
      <c r="A670" s="523">
        <v>43304</v>
      </c>
      <c r="B670" s="499">
        <v>167839.6</v>
      </c>
      <c r="C670" s="523"/>
      <c r="D670" s="499"/>
    </row>
    <row r="671" spans="1:4" x14ac:dyDescent="0.2">
      <c r="A671" s="523">
        <v>43305</v>
      </c>
      <c r="B671" s="499">
        <v>167840</v>
      </c>
      <c r="C671" s="523"/>
      <c r="D671" s="499"/>
    </row>
    <row r="672" spans="1:4" x14ac:dyDescent="0.2">
      <c r="A672" s="523">
        <v>43306</v>
      </c>
      <c r="B672" s="499">
        <v>167840</v>
      </c>
      <c r="C672" s="523"/>
      <c r="D672" s="499"/>
    </row>
    <row r="673" spans="1:4" x14ac:dyDescent="0.2">
      <c r="A673" s="523">
        <v>43307</v>
      </c>
      <c r="B673" s="499">
        <v>180485.58</v>
      </c>
      <c r="C673" s="523"/>
      <c r="D673" s="499"/>
    </row>
    <row r="674" spans="1:4" x14ac:dyDescent="0.2">
      <c r="A674" s="523">
        <v>43308</v>
      </c>
      <c r="B674" s="499">
        <v>205676.09</v>
      </c>
      <c r="C674" s="523"/>
      <c r="D674" s="499"/>
    </row>
    <row r="675" spans="1:4" x14ac:dyDescent="0.2">
      <c r="A675" s="523">
        <v>43311</v>
      </c>
      <c r="B675" s="499">
        <v>199229.46</v>
      </c>
      <c r="C675" s="523"/>
      <c r="D675" s="499"/>
    </row>
    <row r="676" spans="1:4" x14ac:dyDescent="0.2">
      <c r="A676" s="523">
        <v>43312</v>
      </c>
      <c r="B676" s="499">
        <v>199612.46</v>
      </c>
      <c r="C676" s="523"/>
      <c r="D676" s="499"/>
    </row>
    <row r="677" spans="1:4" x14ac:dyDescent="0.2">
      <c r="A677" s="523">
        <v>43313</v>
      </c>
      <c r="B677" s="499">
        <v>327321.84000000003</v>
      </c>
      <c r="C677" s="523"/>
      <c r="D677" s="499"/>
    </row>
    <row r="678" spans="1:4" x14ac:dyDescent="0.2">
      <c r="A678" s="523">
        <v>43314</v>
      </c>
      <c r="B678" s="499">
        <v>328551.67</v>
      </c>
      <c r="C678" s="523"/>
      <c r="D678" s="499"/>
    </row>
    <row r="679" spans="1:4" x14ac:dyDescent="0.2">
      <c r="A679" s="523">
        <v>43315</v>
      </c>
      <c r="B679" s="499">
        <v>328552</v>
      </c>
      <c r="C679" s="523"/>
      <c r="D679" s="499"/>
    </row>
    <row r="680" spans="1:4" x14ac:dyDescent="0.2">
      <c r="A680" s="523">
        <v>43318</v>
      </c>
      <c r="B680" s="499">
        <v>293600.95</v>
      </c>
      <c r="C680" s="523"/>
      <c r="D680" s="499"/>
    </row>
    <row r="681" spans="1:4" x14ac:dyDescent="0.2">
      <c r="A681" s="523">
        <v>43319</v>
      </c>
      <c r="B681" s="499">
        <v>298153.56</v>
      </c>
      <c r="C681" s="523"/>
      <c r="D681" s="499"/>
    </row>
    <row r="682" spans="1:4" x14ac:dyDescent="0.2">
      <c r="A682" s="523">
        <v>43320</v>
      </c>
      <c r="B682" s="499">
        <v>298154</v>
      </c>
      <c r="C682" s="523"/>
      <c r="D682" s="499"/>
    </row>
    <row r="683" spans="1:4" x14ac:dyDescent="0.2">
      <c r="A683" s="523">
        <v>43321</v>
      </c>
      <c r="B683" s="499">
        <v>294180.65999999997</v>
      </c>
      <c r="C683" s="523"/>
      <c r="D683" s="499"/>
    </row>
    <row r="684" spans="1:4" x14ac:dyDescent="0.2">
      <c r="A684" s="523">
        <v>43322</v>
      </c>
      <c r="B684" s="499">
        <v>294181</v>
      </c>
      <c r="C684" s="523"/>
      <c r="D684" s="499"/>
    </row>
    <row r="685" spans="1:4" x14ac:dyDescent="0.2">
      <c r="A685" s="523">
        <v>43325</v>
      </c>
      <c r="B685" s="499">
        <v>294679.65999999997</v>
      </c>
      <c r="C685" s="523"/>
      <c r="D685" s="499"/>
    </row>
    <row r="686" spans="1:4" x14ac:dyDescent="0.2">
      <c r="A686" s="523">
        <v>43326</v>
      </c>
      <c r="B686" s="499">
        <v>294680</v>
      </c>
      <c r="C686" s="523"/>
      <c r="D686" s="499"/>
    </row>
    <row r="687" spans="1:4" x14ac:dyDescent="0.2">
      <c r="A687" s="523">
        <v>43327</v>
      </c>
      <c r="B687" s="499">
        <v>294761.65000000002</v>
      </c>
      <c r="C687" s="523"/>
      <c r="D687" s="499"/>
    </row>
    <row r="688" spans="1:4" x14ac:dyDescent="0.2">
      <c r="A688" s="523">
        <v>43328</v>
      </c>
      <c r="B688" s="499">
        <v>290632.52</v>
      </c>
      <c r="C688" s="523"/>
      <c r="D688" s="499"/>
    </row>
    <row r="689" spans="1:4" x14ac:dyDescent="0.2">
      <c r="A689" s="523">
        <v>43329</v>
      </c>
      <c r="B689" s="499">
        <v>290633</v>
      </c>
      <c r="C689" s="523"/>
      <c r="D689" s="499"/>
    </row>
    <row r="690" spans="1:4" x14ac:dyDescent="0.2">
      <c r="A690" s="523">
        <v>43332</v>
      </c>
      <c r="B690" s="499">
        <v>254427.11</v>
      </c>
      <c r="C690" s="523"/>
      <c r="D690" s="499"/>
    </row>
    <row r="691" spans="1:4" x14ac:dyDescent="0.2">
      <c r="A691" s="523">
        <v>43333</v>
      </c>
      <c r="B691" s="499">
        <v>255823.93</v>
      </c>
      <c r="C691" s="523"/>
      <c r="D691" s="499"/>
    </row>
    <row r="692" spans="1:4" x14ac:dyDescent="0.2">
      <c r="A692" s="523">
        <v>43334</v>
      </c>
      <c r="B692" s="499">
        <v>255419.13</v>
      </c>
      <c r="C692" s="523"/>
      <c r="D692" s="499"/>
    </row>
    <row r="693" spans="1:4" x14ac:dyDescent="0.2">
      <c r="A693" s="523">
        <v>43335</v>
      </c>
      <c r="B693" s="499">
        <v>272759.37</v>
      </c>
      <c r="C693" s="523"/>
      <c r="D693" s="499"/>
    </row>
    <row r="694" spans="1:4" x14ac:dyDescent="0.2">
      <c r="A694" s="523">
        <v>43336</v>
      </c>
      <c r="B694" s="499">
        <v>272846.37</v>
      </c>
      <c r="C694" s="523"/>
      <c r="D694" s="499"/>
    </row>
    <row r="695" spans="1:4" x14ac:dyDescent="0.2">
      <c r="A695" s="523">
        <v>43339</v>
      </c>
      <c r="B695" s="499">
        <v>272846</v>
      </c>
      <c r="C695" s="523"/>
      <c r="D695" s="499"/>
    </row>
    <row r="696" spans="1:4" x14ac:dyDescent="0.2">
      <c r="A696" s="523">
        <v>43340</v>
      </c>
      <c r="B696" s="499">
        <v>272846</v>
      </c>
      <c r="C696" s="523"/>
      <c r="D696" s="499"/>
    </row>
    <row r="697" spans="1:4" x14ac:dyDescent="0.2">
      <c r="A697" s="523">
        <v>43341</v>
      </c>
      <c r="B697" s="499">
        <v>276622.58</v>
      </c>
      <c r="C697" s="523"/>
      <c r="D697" s="499"/>
    </row>
    <row r="698" spans="1:4" x14ac:dyDescent="0.2">
      <c r="A698" s="523">
        <v>43342</v>
      </c>
      <c r="B698" s="499">
        <v>276623</v>
      </c>
      <c r="C698" s="523"/>
      <c r="D698" s="499"/>
    </row>
    <row r="699" spans="1:4" x14ac:dyDescent="0.2">
      <c r="A699" s="523">
        <v>43343</v>
      </c>
      <c r="B699" s="499">
        <v>276773.33</v>
      </c>
      <c r="C699" s="523"/>
      <c r="D699" s="499"/>
    </row>
    <row r="700" spans="1:4" x14ac:dyDescent="0.2">
      <c r="A700" s="523">
        <v>43346</v>
      </c>
      <c r="B700" s="499">
        <v>276773</v>
      </c>
      <c r="C700" s="523"/>
      <c r="D700" s="499"/>
    </row>
    <row r="701" spans="1:4" x14ac:dyDescent="0.2">
      <c r="A701" s="523">
        <v>43347</v>
      </c>
      <c r="B701" s="499">
        <v>240090.56</v>
      </c>
      <c r="C701" s="523"/>
      <c r="D701" s="499"/>
    </row>
    <row r="702" spans="1:4" x14ac:dyDescent="0.2">
      <c r="A702" s="523">
        <v>43348</v>
      </c>
      <c r="B702" s="499">
        <v>240091</v>
      </c>
      <c r="C702" s="523"/>
      <c r="D702" s="499"/>
    </row>
    <row r="703" spans="1:4" x14ac:dyDescent="0.2">
      <c r="A703" s="523">
        <v>43349</v>
      </c>
      <c r="B703" s="499">
        <v>237779.31</v>
      </c>
      <c r="C703" s="523"/>
      <c r="D703" s="499"/>
    </row>
    <row r="704" spans="1:4" x14ac:dyDescent="0.2">
      <c r="A704" s="523">
        <v>43350</v>
      </c>
      <c r="B704" s="499">
        <v>237779</v>
      </c>
      <c r="C704" s="523"/>
      <c r="D704" s="499"/>
    </row>
    <row r="705" spans="1:4" x14ac:dyDescent="0.2">
      <c r="A705" s="523">
        <v>43353</v>
      </c>
      <c r="B705" s="499">
        <v>243552.34</v>
      </c>
      <c r="C705" s="523"/>
      <c r="D705" s="499"/>
    </row>
    <row r="706" spans="1:4" x14ac:dyDescent="0.2">
      <c r="A706" s="523">
        <v>43354</v>
      </c>
      <c r="B706" s="499">
        <v>243552</v>
      </c>
      <c r="C706" s="523"/>
      <c r="D706" s="499"/>
    </row>
    <row r="707" spans="1:4" x14ac:dyDescent="0.2">
      <c r="A707" s="523">
        <v>43355</v>
      </c>
      <c r="B707" s="499">
        <v>243552</v>
      </c>
      <c r="C707" s="523"/>
      <c r="D707" s="499"/>
    </row>
    <row r="708" spans="1:4" x14ac:dyDescent="0.2">
      <c r="A708" s="523">
        <v>43356</v>
      </c>
      <c r="B708" s="499">
        <v>266009.96000000002</v>
      </c>
      <c r="C708" s="523"/>
      <c r="D708" s="499"/>
    </row>
    <row r="709" spans="1:4" x14ac:dyDescent="0.2">
      <c r="A709" s="523">
        <v>43357</v>
      </c>
      <c r="B709" s="499">
        <v>266087.59999999998</v>
      </c>
      <c r="C709" s="523"/>
      <c r="D709" s="499"/>
    </row>
    <row r="710" spans="1:4" x14ac:dyDescent="0.2">
      <c r="A710" s="523">
        <v>43360</v>
      </c>
      <c r="B710" s="499">
        <v>229939.6</v>
      </c>
      <c r="C710" s="523"/>
      <c r="D710" s="499"/>
    </row>
    <row r="711" spans="1:4" x14ac:dyDescent="0.2">
      <c r="A711" s="523">
        <v>43361</v>
      </c>
      <c r="B711" s="499">
        <v>229940</v>
      </c>
      <c r="C711" s="523"/>
      <c r="D711" s="499"/>
    </row>
    <row r="712" spans="1:4" x14ac:dyDescent="0.2">
      <c r="A712" s="523">
        <v>43362</v>
      </c>
      <c r="B712" s="499">
        <v>229940</v>
      </c>
      <c r="C712" s="523"/>
      <c r="D712" s="499"/>
    </row>
    <row r="713" spans="1:4" x14ac:dyDescent="0.2">
      <c r="A713" s="523">
        <v>43363</v>
      </c>
      <c r="B713" s="499">
        <v>226983.82</v>
      </c>
      <c r="C713" s="523"/>
      <c r="D713" s="499"/>
    </row>
    <row r="714" spans="1:4" x14ac:dyDescent="0.2">
      <c r="A714" s="523">
        <v>43364</v>
      </c>
      <c r="B714" s="499">
        <v>226983.82</v>
      </c>
      <c r="C714" s="523"/>
      <c r="D714" s="499"/>
    </row>
    <row r="715" spans="1:4" x14ac:dyDescent="0.2">
      <c r="A715" s="523">
        <v>43367</v>
      </c>
      <c r="B715" s="499">
        <v>231167.41</v>
      </c>
      <c r="C715" s="523"/>
      <c r="D715" s="499"/>
    </row>
    <row r="716" spans="1:4" x14ac:dyDescent="0.2">
      <c r="A716" s="523">
        <v>43368</v>
      </c>
      <c r="B716" s="499">
        <v>231298.26</v>
      </c>
      <c r="C716" s="523"/>
      <c r="D716" s="499"/>
    </row>
    <row r="717" spans="1:4" x14ac:dyDescent="0.2">
      <c r="A717" s="523">
        <v>43369</v>
      </c>
      <c r="B717" s="499">
        <v>231298</v>
      </c>
      <c r="C717" s="523"/>
      <c r="D717" s="499"/>
    </row>
    <row r="718" spans="1:4" x14ac:dyDescent="0.2">
      <c r="A718" s="523">
        <v>43370</v>
      </c>
      <c r="B718" s="499">
        <v>218195.44</v>
      </c>
      <c r="C718" s="523"/>
      <c r="D718" s="499"/>
    </row>
    <row r="719" spans="1:4" x14ac:dyDescent="0.2">
      <c r="A719" s="523">
        <v>43371</v>
      </c>
      <c r="B719" s="499">
        <v>218195</v>
      </c>
      <c r="C719" s="523"/>
      <c r="D719" s="499"/>
    </row>
    <row r="720" spans="1:4" x14ac:dyDescent="0.2">
      <c r="A720" s="523">
        <v>43374</v>
      </c>
      <c r="B720" s="499">
        <v>181738.47</v>
      </c>
      <c r="C720" s="523"/>
      <c r="D720" s="499"/>
    </row>
    <row r="721" spans="1:4" x14ac:dyDescent="0.2">
      <c r="A721" s="523">
        <v>43375</v>
      </c>
      <c r="B721" s="499">
        <v>175674.86</v>
      </c>
      <c r="C721" s="523"/>
      <c r="D721" s="499"/>
    </row>
    <row r="722" spans="1:4" x14ac:dyDescent="0.2">
      <c r="A722" s="523">
        <v>43376</v>
      </c>
      <c r="B722" s="499">
        <v>175890.11</v>
      </c>
      <c r="C722" s="523"/>
      <c r="D722" s="499"/>
    </row>
    <row r="723" spans="1:4" x14ac:dyDescent="0.2">
      <c r="A723" s="523">
        <v>43377</v>
      </c>
      <c r="B723" s="499">
        <v>176908.84</v>
      </c>
      <c r="C723" s="523"/>
      <c r="D723" s="499"/>
    </row>
    <row r="724" spans="1:4" x14ac:dyDescent="0.2">
      <c r="A724" s="523">
        <v>43378</v>
      </c>
      <c r="B724" s="499">
        <v>176909</v>
      </c>
      <c r="C724" s="523"/>
      <c r="D724" s="499"/>
    </row>
    <row r="725" spans="1:4" x14ac:dyDescent="0.2">
      <c r="A725" s="523">
        <v>43381</v>
      </c>
      <c r="B725" s="499">
        <v>176909</v>
      </c>
      <c r="C725" s="523"/>
      <c r="D725" s="499"/>
    </row>
    <row r="726" spans="1:4" x14ac:dyDescent="0.2">
      <c r="A726" s="523">
        <v>43382</v>
      </c>
      <c r="B726" s="499">
        <v>226038.22</v>
      </c>
      <c r="C726" s="523"/>
      <c r="D726" s="499"/>
    </row>
    <row r="727" spans="1:4" x14ac:dyDescent="0.2">
      <c r="A727" s="523">
        <v>43383</v>
      </c>
      <c r="B727" s="499">
        <v>226038</v>
      </c>
      <c r="C727" s="523"/>
      <c r="D727" s="499"/>
    </row>
    <row r="728" spans="1:4" x14ac:dyDescent="0.2">
      <c r="A728" s="523">
        <v>43384</v>
      </c>
      <c r="B728" s="499">
        <v>223293.31</v>
      </c>
      <c r="C728" s="523"/>
      <c r="D728" s="499"/>
    </row>
    <row r="729" spans="1:4" x14ac:dyDescent="0.2">
      <c r="A729" s="523">
        <v>43385</v>
      </c>
      <c r="B729" s="499">
        <v>272327.27</v>
      </c>
      <c r="C729" s="523"/>
      <c r="D729" s="499"/>
    </row>
    <row r="730" spans="1:4" x14ac:dyDescent="0.2">
      <c r="A730" s="523">
        <v>43388</v>
      </c>
      <c r="B730" s="499">
        <v>236397.34</v>
      </c>
      <c r="C730" s="523"/>
      <c r="D730" s="499"/>
    </row>
    <row r="731" spans="1:4" x14ac:dyDescent="0.2">
      <c r="A731" s="523">
        <v>43389</v>
      </c>
      <c r="B731" s="499">
        <v>236553.84</v>
      </c>
      <c r="C731" s="523"/>
      <c r="D731" s="499"/>
    </row>
    <row r="732" spans="1:4" x14ac:dyDescent="0.2">
      <c r="A732" s="523">
        <v>43390</v>
      </c>
      <c r="B732" s="499">
        <v>249133.92</v>
      </c>
      <c r="C732" s="523"/>
      <c r="D732" s="499"/>
    </row>
    <row r="733" spans="1:4" x14ac:dyDescent="0.2">
      <c r="A733" s="523">
        <v>43391</v>
      </c>
      <c r="B733" s="499">
        <v>254043.68</v>
      </c>
      <c r="C733" s="523"/>
      <c r="D733" s="499"/>
    </row>
    <row r="734" spans="1:4" x14ac:dyDescent="0.2">
      <c r="A734" s="523">
        <v>43392</v>
      </c>
      <c r="B734" s="499">
        <v>254064.5</v>
      </c>
      <c r="C734" s="523"/>
      <c r="D734" s="499"/>
    </row>
    <row r="735" spans="1:4" x14ac:dyDescent="0.2">
      <c r="A735" s="523">
        <v>43395</v>
      </c>
      <c r="B735" s="499">
        <v>290142.09999999998</v>
      </c>
      <c r="C735" s="523"/>
      <c r="D735" s="499"/>
    </row>
    <row r="736" spans="1:4" x14ac:dyDescent="0.2">
      <c r="A736" s="523">
        <v>43396</v>
      </c>
      <c r="B736" s="499">
        <v>290142</v>
      </c>
      <c r="C736" s="523"/>
      <c r="D736" s="499"/>
    </row>
    <row r="737" spans="1:4" x14ac:dyDescent="0.2">
      <c r="A737" s="523">
        <v>43397</v>
      </c>
      <c r="B737" s="499">
        <v>290034.38</v>
      </c>
      <c r="C737" s="523"/>
      <c r="D737" s="499"/>
    </row>
    <row r="738" spans="1:4" x14ac:dyDescent="0.2">
      <c r="A738" s="523">
        <v>43398</v>
      </c>
      <c r="B738" s="499">
        <v>291747.36</v>
      </c>
      <c r="C738" s="523"/>
      <c r="D738" s="499"/>
    </row>
    <row r="739" spans="1:4" x14ac:dyDescent="0.2">
      <c r="A739" s="523">
        <v>43399</v>
      </c>
      <c r="B739" s="499">
        <v>306637.48</v>
      </c>
      <c r="C739" s="523"/>
      <c r="D739" s="499"/>
    </row>
    <row r="740" spans="1:4" x14ac:dyDescent="0.2">
      <c r="A740" s="523">
        <v>43402</v>
      </c>
      <c r="B740" s="499">
        <v>270401.28999999998</v>
      </c>
      <c r="C740" s="523"/>
      <c r="D740" s="499"/>
    </row>
    <row r="741" spans="1:4" x14ac:dyDescent="0.2">
      <c r="A741" s="523">
        <v>43403</v>
      </c>
      <c r="B741" s="499">
        <v>278028.58</v>
      </c>
      <c r="C741" s="523"/>
      <c r="D741" s="499"/>
    </row>
    <row r="742" spans="1:4" x14ac:dyDescent="0.2">
      <c r="A742" s="523">
        <v>43404</v>
      </c>
      <c r="B742" s="499">
        <v>278029</v>
      </c>
      <c r="C742" s="523"/>
      <c r="D742" s="499"/>
    </row>
    <row r="743" spans="1:4" x14ac:dyDescent="0.2">
      <c r="A743" s="523">
        <v>43405</v>
      </c>
      <c r="B743" s="499">
        <v>279523.53000000003</v>
      </c>
      <c r="C743" s="523"/>
      <c r="D743" s="499"/>
    </row>
    <row r="744" spans="1:4" x14ac:dyDescent="0.2">
      <c r="A744" s="523">
        <v>43406</v>
      </c>
      <c r="B744" s="499">
        <v>303100.06</v>
      </c>
      <c r="C744" s="523"/>
      <c r="D744" s="499"/>
    </row>
    <row r="745" spans="1:4" x14ac:dyDescent="0.2">
      <c r="A745" s="523">
        <v>43409</v>
      </c>
      <c r="B745" s="499">
        <v>303100.06</v>
      </c>
      <c r="C745" s="523"/>
      <c r="D745" s="499"/>
    </row>
    <row r="746" spans="1:4" x14ac:dyDescent="0.2">
      <c r="A746" s="523">
        <v>43410</v>
      </c>
      <c r="B746" s="499">
        <v>303100.06</v>
      </c>
      <c r="C746" s="523"/>
      <c r="D746" s="499"/>
    </row>
    <row r="747" spans="1:4" x14ac:dyDescent="0.2">
      <c r="A747" s="523">
        <v>43411</v>
      </c>
      <c r="B747" s="499">
        <v>303954.14</v>
      </c>
      <c r="C747" s="523"/>
      <c r="D747" s="499"/>
    </row>
    <row r="748" spans="1:4" x14ac:dyDescent="0.2">
      <c r="A748" s="523">
        <v>43412</v>
      </c>
      <c r="B748" s="499">
        <v>294843.14</v>
      </c>
      <c r="C748" s="523"/>
      <c r="D748" s="499"/>
    </row>
    <row r="749" spans="1:4" x14ac:dyDescent="0.2">
      <c r="A749" s="523">
        <v>43413</v>
      </c>
      <c r="B749" s="499">
        <v>294843</v>
      </c>
      <c r="C749" s="523"/>
      <c r="D749" s="499"/>
    </row>
    <row r="750" spans="1:4" x14ac:dyDescent="0.2">
      <c r="A750" s="523">
        <v>43416</v>
      </c>
      <c r="B750" s="499">
        <v>294843</v>
      </c>
      <c r="C750" s="523"/>
      <c r="D750" s="499"/>
    </row>
    <row r="751" spans="1:4" x14ac:dyDescent="0.2">
      <c r="A751" s="523">
        <v>43417</v>
      </c>
      <c r="B751" s="499">
        <v>294843</v>
      </c>
      <c r="C751" s="523"/>
      <c r="D751" s="499"/>
    </row>
    <row r="752" spans="1:4" x14ac:dyDescent="0.2">
      <c r="A752" s="523">
        <v>43418</v>
      </c>
      <c r="B752" s="499">
        <v>259514.47</v>
      </c>
      <c r="C752" s="523"/>
      <c r="D752" s="499"/>
    </row>
    <row r="753" spans="1:4" x14ac:dyDescent="0.2">
      <c r="A753" s="523">
        <v>43419</v>
      </c>
      <c r="B753" s="499">
        <v>255987.45</v>
      </c>
      <c r="C753" s="523"/>
      <c r="D753" s="499"/>
    </row>
    <row r="754" spans="1:4" x14ac:dyDescent="0.2">
      <c r="A754" s="523">
        <v>43420</v>
      </c>
      <c r="B754" s="499">
        <v>255987.45</v>
      </c>
      <c r="C754" s="523"/>
      <c r="D754" s="499"/>
    </row>
    <row r="755" spans="1:4" x14ac:dyDescent="0.2">
      <c r="A755" s="523">
        <v>43423</v>
      </c>
      <c r="B755" s="499">
        <v>255987.45</v>
      </c>
      <c r="C755" s="523"/>
      <c r="D755" s="499"/>
    </row>
    <row r="756" spans="1:4" x14ac:dyDescent="0.2">
      <c r="A756" s="523">
        <v>43424</v>
      </c>
      <c r="B756" s="499">
        <v>254650.75</v>
      </c>
      <c r="C756" s="523"/>
      <c r="D756" s="499"/>
    </row>
    <row r="757" spans="1:4" x14ac:dyDescent="0.2">
      <c r="A757" s="523">
        <v>43425</v>
      </c>
      <c r="B757" s="499">
        <v>298403.21000000002</v>
      </c>
      <c r="C757" s="523"/>
      <c r="D757" s="499"/>
    </row>
    <row r="758" spans="1:4" x14ac:dyDescent="0.2">
      <c r="A758" s="523">
        <v>43426</v>
      </c>
      <c r="B758" s="499">
        <v>300529.64</v>
      </c>
      <c r="C758" s="523"/>
      <c r="D758" s="499"/>
    </row>
    <row r="759" spans="1:4" x14ac:dyDescent="0.2">
      <c r="A759" s="523">
        <v>43427</v>
      </c>
      <c r="B759" s="499">
        <v>300229.64</v>
      </c>
      <c r="C759" s="523"/>
      <c r="D759" s="499"/>
    </row>
    <row r="760" spans="1:4" x14ac:dyDescent="0.2">
      <c r="A760" s="523">
        <v>43430</v>
      </c>
      <c r="B760" s="499">
        <v>300230</v>
      </c>
      <c r="C760" s="523"/>
      <c r="D760" s="499"/>
    </row>
    <row r="761" spans="1:4" x14ac:dyDescent="0.2">
      <c r="A761" s="523">
        <v>43431</v>
      </c>
      <c r="B761" s="499">
        <v>267674.82</v>
      </c>
      <c r="C761" s="523"/>
      <c r="D761" s="499"/>
    </row>
    <row r="762" spans="1:4" x14ac:dyDescent="0.2">
      <c r="A762" s="523">
        <v>43432</v>
      </c>
      <c r="B762" s="499">
        <v>273448.82</v>
      </c>
      <c r="C762" s="523"/>
      <c r="D762" s="499"/>
    </row>
    <row r="763" spans="1:4" x14ac:dyDescent="0.2">
      <c r="A763" s="523">
        <v>43433</v>
      </c>
      <c r="B763" s="499">
        <v>252527.09</v>
      </c>
      <c r="C763" s="523"/>
      <c r="D763" s="499"/>
    </row>
    <row r="764" spans="1:4" x14ac:dyDescent="0.2">
      <c r="A764" s="523">
        <v>43434</v>
      </c>
      <c r="B764" s="499">
        <v>321968.59000000003</v>
      </c>
      <c r="C764" s="523"/>
      <c r="D764" s="499"/>
    </row>
    <row r="765" spans="1:4" x14ac:dyDescent="0.2">
      <c r="A765" s="523">
        <v>43437</v>
      </c>
      <c r="B765" s="499">
        <v>321969</v>
      </c>
      <c r="C765" s="523"/>
      <c r="D765" s="499"/>
    </row>
    <row r="766" spans="1:4" x14ac:dyDescent="0.2">
      <c r="A766" s="523">
        <v>43438</v>
      </c>
      <c r="B766" s="499">
        <v>321969</v>
      </c>
      <c r="C766" s="523"/>
      <c r="D766" s="499"/>
    </row>
    <row r="767" spans="1:4" x14ac:dyDescent="0.2">
      <c r="A767" s="523">
        <v>43439</v>
      </c>
      <c r="B767" s="499">
        <v>321969</v>
      </c>
      <c r="C767" s="523"/>
      <c r="D767" s="499"/>
    </row>
    <row r="768" spans="1:4" x14ac:dyDescent="0.2">
      <c r="A768" s="523">
        <v>43440</v>
      </c>
      <c r="B768" s="499">
        <v>314251.55</v>
      </c>
      <c r="C768" s="523"/>
      <c r="D768" s="499"/>
    </row>
    <row r="769" spans="1:4" x14ac:dyDescent="0.2">
      <c r="A769" s="523">
        <v>43441</v>
      </c>
      <c r="B769" s="499">
        <v>315739.42</v>
      </c>
      <c r="C769" s="523"/>
      <c r="D769" s="499"/>
    </row>
    <row r="770" spans="1:4" x14ac:dyDescent="0.2">
      <c r="A770" s="523">
        <v>43444</v>
      </c>
      <c r="B770" s="499">
        <v>315739</v>
      </c>
      <c r="C770" s="523"/>
      <c r="D770" s="499"/>
    </row>
    <row r="771" spans="1:4" x14ac:dyDescent="0.2">
      <c r="A771" s="523">
        <v>43445</v>
      </c>
      <c r="B771" s="499">
        <v>275506.94</v>
      </c>
      <c r="C771" s="523"/>
      <c r="D771" s="499"/>
    </row>
    <row r="772" spans="1:4" x14ac:dyDescent="0.2">
      <c r="A772" s="523">
        <v>43446</v>
      </c>
      <c r="B772" s="499">
        <v>275507</v>
      </c>
      <c r="C772" s="523"/>
      <c r="D772" s="499"/>
    </row>
    <row r="773" spans="1:4" x14ac:dyDescent="0.2">
      <c r="A773" s="523">
        <v>43447</v>
      </c>
      <c r="B773" s="499">
        <v>289896.89</v>
      </c>
      <c r="C773" s="523"/>
      <c r="D773" s="499"/>
    </row>
    <row r="774" spans="1:4" x14ac:dyDescent="0.2">
      <c r="A774" s="523">
        <v>43448</v>
      </c>
      <c r="B774" s="499">
        <v>313281.34999999998</v>
      </c>
      <c r="C774" s="523"/>
      <c r="D774" s="499"/>
    </row>
    <row r="775" spans="1:4" x14ac:dyDescent="0.2">
      <c r="A775" s="523">
        <v>43451</v>
      </c>
      <c r="B775" s="499">
        <v>313281</v>
      </c>
      <c r="C775" s="523"/>
      <c r="D775" s="499"/>
    </row>
    <row r="776" spans="1:4" x14ac:dyDescent="0.2">
      <c r="A776" s="523">
        <v>43452</v>
      </c>
      <c r="B776" s="499">
        <v>317556.84999999998</v>
      </c>
      <c r="C776" s="523"/>
      <c r="D776" s="499"/>
    </row>
    <row r="777" spans="1:4" x14ac:dyDescent="0.2">
      <c r="A777" s="523">
        <v>43453</v>
      </c>
      <c r="B777" s="499">
        <v>317557</v>
      </c>
      <c r="C777" s="523"/>
      <c r="D777" s="499"/>
    </row>
    <row r="778" spans="1:4" x14ac:dyDescent="0.2">
      <c r="A778" s="523">
        <v>43454</v>
      </c>
      <c r="B778" s="499">
        <v>297159.33</v>
      </c>
      <c r="C778" s="523"/>
      <c r="D778" s="499"/>
    </row>
    <row r="779" spans="1:4" x14ac:dyDescent="0.2">
      <c r="A779" s="523">
        <v>43455</v>
      </c>
      <c r="B779" s="499">
        <v>297159</v>
      </c>
      <c r="C779" s="523"/>
      <c r="D779" s="499"/>
    </row>
    <row r="780" spans="1:4" x14ac:dyDescent="0.2">
      <c r="A780" s="523">
        <v>43458</v>
      </c>
      <c r="B780" s="499">
        <v>260233.37</v>
      </c>
      <c r="C780" s="523"/>
      <c r="D780" s="499"/>
    </row>
    <row r="781" spans="1:4" x14ac:dyDescent="0.2">
      <c r="A781" s="523">
        <v>43459</v>
      </c>
      <c r="B781" s="499">
        <v>260233</v>
      </c>
      <c r="C781" s="523"/>
      <c r="D781" s="499"/>
    </row>
    <row r="782" spans="1:4" x14ac:dyDescent="0.2">
      <c r="A782" s="523">
        <v>43460</v>
      </c>
      <c r="B782" s="499">
        <v>261845.78</v>
      </c>
      <c r="C782" s="523"/>
      <c r="D782" s="499"/>
    </row>
    <row r="783" spans="1:4" x14ac:dyDescent="0.2">
      <c r="A783" s="523">
        <v>43461</v>
      </c>
      <c r="B783" s="499">
        <v>261846</v>
      </c>
      <c r="C783" s="523"/>
      <c r="D783" s="499"/>
    </row>
    <row r="784" spans="1:4" x14ac:dyDescent="0.2">
      <c r="A784" s="523">
        <v>43462</v>
      </c>
      <c r="B784" s="499">
        <v>273805.40000000002</v>
      </c>
      <c r="C784" s="523"/>
      <c r="D784" s="499"/>
    </row>
    <row r="785" spans="1:4" x14ac:dyDescent="0.2">
      <c r="A785" s="523">
        <v>43465</v>
      </c>
      <c r="B785" s="499">
        <v>274101.40000000002</v>
      </c>
      <c r="C785" s="523"/>
      <c r="D785" s="499"/>
    </row>
    <row r="786" spans="1:4" x14ac:dyDescent="0.2">
      <c r="A786" s="523">
        <v>43466</v>
      </c>
      <c r="B786" s="499">
        <v>274101</v>
      </c>
      <c r="C786" s="523"/>
      <c r="D786" s="499"/>
    </row>
    <row r="787" spans="1:4" x14ac:dyDescent="0.2">
      <c r="A787" s="523">
        <v>43467</v>
      </c>
      <c r="B787" s="499">
        <v>299108.40000000002</v>
      </c>
      <c r="C787" s="523"/>
      <c r="D787" s="499"/>
    </row>
    <row r="788" spans="1:4" x14ac:dyDescent="0.2">
      <c r="A788" s="523">
        <v>43468</v>
      </c>
      <c r="B788" s="499">
        <v>298070.78000000003</v>
      </c>
      <c r="C788" s="523"/>
      <c r="D788" s="499"/>
    </row>
    <row r="789" spans="1:4" x14ac:dyDescent="0.2">
      <c r="A789" s="523">
        <v>43469</v>
      </c>
      <c r="B789" s="499">
        <v>298071</v>
      </c>
      <c r="C789" s="523"/>
      <c r="D789" s="499"/>
    </row>
    <row r="790" spans="1:4" x14ac:dyDescent="0.2">
      <c r="A790" s="523">
        <v>43472</v>
      </c>
      <c r="B790" s="499">
        <v>298430.78000000003</v>
      </c>
      <c r="C790" s="523"/>
      <c r="D790" s="499"/>
    </row>
    <row r="791" spans="1:4" x14ac:dyDescent="0.2">
      <c r="A791" s="523">
        <v>43473</v>
      </c>
      <c r="B791" s="499">
        <v>264835.63</v>
      </c>
      <c r="C791" s="523"/>
      <c r="D791" s="499"/>
    </row>
    <row r="792" spans="1:4" x14ac:dyDescent="0.2">
      <c r="A792" s="523">
        <v>43474</v>
      </c>
      <c r="B792" s="499">
        <v>303664.65999999997</v>
      </c>
      <c r="C792" s="523"/>
      <c r="D792" s="499"/>
    </row>
    <row r="793" spans="1:4" x14ac:dyDescent="0.2">
      <c r="A793" s="523">
        <v>43475</v>
      </c>
      <c r="B793" s="499">
        <v>299790.71999999997</v>
      </c>
      <c r="C793" s="523"/>
      <c r="D793" s="499"/>
    </row>
    <row r="794" spans="1:4" x14ac:dyDescent="0.2">
      <c r="A794" s="523">
        <v>43476</v>
      </c>
      <c r="B794" s="560">
        <v>309881.71999999997</v>
      </c>
      <c r="C794" s="523"/>
      <c r="D794" s="499"/>
    </row>
    <row r="795" spans="1:4" x14ac:dyDescent="0.2">
      <c r="A795" s="523">
        <v>43479</v>
      </c>
      <c r="B795" s="499">
        <v>284374.78999999998</v>
      </c>
      <c r="C795" s="523"/>
      <c r="D795" s="499"/>
    </row>
    <row r="796" spans="1:4" x14ac:dyDescent="0.2">
      <c r="A796" s="523">
        <v>43480</v>
      </c>
      <c r="B796" s="499">
        <v>284494.75</v>
      </c>
      <c r="C796" s="523"/>
      <c r="D796" s="499"/>
    </row>
    <row r="797" spans="1:4" x14ac:dyDescent="0.2">
      <c r="A797" s="523">
        <v>43481</v>
      </c>
      <c r="B797" s="499">
        <v>277370.03000000003</v>
      </c>
      <c r="C797" s="523"/>
      <c r="D797" s="499"/>
    </row>
    <row r="798" spans="1:4" x14ac:dyDescent="0.2">
      <c r="A798" s="523">
        <v>43482</v>
      </c>
      <c r="B798" s="499">
        <v>266103.65999999997</v>
      </c>
      <c r="C798" s="523"/>
      <c r="D798" s="499"/>
    </row>
    <row r="799" spans="1:4" x14ac:dyDescent="0.2">
      <c r="A799" s="523">
        <v>43483</v>
      </c>
      <c r="B799" s="499">
        <v>266189.65999999997</v>
      </c>
      <c r="C799" s="523"/>
      <c r="D799" s="499"/>
    </row>
    <row r="800" spans="1:4" x14ac:dyDescent="0.2">
      <c r="A800" s="523">
        <v>43486</v>
      </c>
      <c r="B800" s="499">
        <v>266190</v>
      </c>
      <c r="C800" s="523"/>
      <c r="D800" s="499"/>
    </row>
    <row r="801" spans="1:4" x14ac:dyDescent="0.2">
      <c r="A801" s="523">
        <v>43487</v>
      </c>
      <c r="B801" s="499">
        <v>228832.05</v>
      </c>
      <c r="C801" s="523"/>
      <c r="D801" s="499"/>
    </row>
    <row r="802" spans="1:4" x14ac:dyDescent="0.2">
      <c r="A802" s="523">
        <v>43488</v>
      </c>
      <c r="B802" s="499">
        <v>229285.41</v>
      </c>
      <c r="C802" s="523"/>
      <c r="D802" s="499"/>
    </row>
    <row r="803" spans="1:4" x14ac:dyDescent="0.2">
      <c r="A803" s="523">
        <v>43489</v>
      </c>
      <c r="B803" s="499">
        <v>236709.42</v>
      </c>
      <c r="C803" s="523"/>
      <c r="D803" s="499"/>
    </row>
    <row r="804" spans="1:4" x14ac:dyDescent="0.2">
      <c r="A804" s="523">
        <v>43490</v>
      </c>
      <c r="B804" s="499">
        <v>236709</v>
      </c>
      <c r="C804" s="523"/>
      <c r="D804" s="499"/>
    </row>
    <row r="805" spans="1:4" x14ac:dyDescent="0.2">
      <c r="A805" s="523">
        <v>43493</v>
      </c>
      <c r="B805" s="499">
        <v>236400.88</v>
      </c>
      <c r="C805" s="523"/>
      <c r="D805" s="499"/>
    </row>
    <row r="806" spans="1:4" x14ac:dyDescent="0.2">
      <c r="A806" s="523">
        <v>43494</v>
      </c>
      <c r="B806" s="499">
        <v>236401</v>
      </c>
      <c r="C806" s="523"/>
      <c r="D806" s="499"/>
    </row>
    <row r="807" spans="1:4" x14ac:dyDescent="0.2">
      <c r="A807" s="523">
        <v>43495</v>
      </c>
      <c r="B807" s="499">
        <v>236401</v>
      </c>
      <c r="C807" s="523"/>
      <c r="D807" s="499"/>
    </row>
    <row r="808" spans="1:4" x14ac:dyDescent="0.2">
      <c r="A808" s="523">
        <v>43496</v>
      </c>
      <c r="B808" s="499">
        <v>237605.71</v>
      </c>
      <c r="C808" s="523"/>
      <c r="D808" s="499"/>
    </row>
    <row r="809" spans="1:4" x14ac:dyDescent="0.2">
      <c r="A809" s="523">
        <v>43497</v>
      </c>
      <c r="B809" s="499">
        <v>237728.71</v>
      </c>
      <c r="C809" s="523"/>
      <c r="D809" s="499"/>
    </row>
    <row r="810" spans="1:4" x14ac:dyDescent="0.2">
      <c r="A810" s="523">
        <v>43500</v>
      </c>
      <c r="B810" s="499">
        <v>201980</v>
      </c>
      <c r="C810" s="523"/>
      <c r="D810" s="499"/>
    </row>
    <row r="811" spans="1:4" x14ac:dyDescent="0.2">
      <c r="A811" s="523">
        <v>43501</v>
      </c>
      <c r="B811" s="499">
        <v>225615.34</v>
      </c>
      <c r="C811" s="523"/>
      <c r="D811" s="499"/>
    </row>
    <row r="812" spans="1:4" x14ac:dyDescent="0.2">
      <c r="A812" s="523">
        <v>43502</v>
      </c>
      <c r="B812" s="499">
        <v>225615</v>
      </c>
      <c r="C812" s="523"/>
      <c r="D812" s="499"/>
    </row>
    <row r="813" spans="1:4" x14ac:dyDescent="0.2">
      <c r="A813" s="523">
        <v>43503</v>
      </c>
      <c r="B813" s="499">
        <v>219151.3</v>
      </c>
      <c r="C813" s="523"/>
      <c r="D813" s="499"/>
    </row>
    <row r="814" spans="1:4" x14ac:dyDescent="0.2">
      <c r="A814" s="523">
        <v>43504</v>
      </c>
      <c r="B814" s="499">
        <v>219351.3</v>
      </c>
      <c r="C814" s="523"/>
      <c r="D814" s="499"/>
    </row>
    <row r="815" spans="1:4" x14ac:dyDescent="0.2">
      <c r="A815" s="523">
        <v>43507</v>
      </c>
      <c r="B815" s="499">
        <v>219351</v>
      </c>
      <c r="C815" s="523"/>
      <c r="D815" s="499"/>
    </row>
    <row r="816" spans="1:4" x14ac:dyDescent="0.2">
      <c r="A816" s="523">
        <v>43508</v>
      </c>
      <c r="B816" s="499">
        <v>219351</v>
      </c>
      <c r="C816" s="523"/>
      <c r="D816" s="499"/>
    </row>
    <row r="817" spans="1:4" x14ac:dyDescent="0.2">
      <c r="A817" s="523">
        <v>43509</v>
      </c>
      <c r="B817" s="499">
        <v>219351</v>
      </c>
      <c r="C817" s="523"/>
      <c r="D817" s="499"/>
    </row>
    <row r="818" spans="1:4" x14ac:dyDescent="0.2">
      <c r="A818" s="523">
        <v>43510</v>
      </c>
      <c r="B818" s="499">
        <v>206758.66</v>
      </c>
      <c r="C818" s="523"/>
      <c r="D818" s="499"/>
    </row>
    <row r="819" spans="1:4" x14ac:dyDescent="0.2">
      <c r="A819" s="523">
        <v>43511</v>
      </c>
      <c r="B819" s="499">
        <v>234837.55</v>
      </c>
      <c r="C819" s="523"/>
      <c r="D819" s="499"/>
    </row>
    <row r="820" spans="1:4" x14ac:dyDescent="0.2">
      <c r="A820" s="523">
        <v>43514</v>
      </c>
      <c r="B820" s="499">
        <v>234838</v>
      </c>
      <c r="C820" s="523"/>
      <c r="D820" s="499"/>
    </row>
    <row r="821" spans="1:4" x14ac:dyDescent="0.2">
      <c r="A821" s="523">
        <v>43515</v>
      </c>
      <c r="B821" s="499">
        <v>199113.26</v>
      </c>
      <c r="C821" s="523"/>
      <c r="D821" s="499"/>
    </row>
    <row r="822" spans="1:4" x14ac:dyDescent="0.2">
      <c r="A822" s="523">
        <v>43516</v>
      </c>
      <c r="B822" s="719">
        <v>199113</v>
      </c>
      <c r="C822" s="523"/>
      <c r="D822" s="499"/>
    </row>
    <row r="823" spans="1:4" x14ac:dyDescent="0.2">
      <c r="A823" s="523">
        <v>43517</v>
      </c>
      <c r="B823" s="499">
        <v>205400.17</v>
      </c>
      <c r="C823" s="523"/>
      <c r="D823" s="499"/>
    </row>
    <row r="824" spans="1:4" x14ac:dyDescent="0.2">
      <c r="A824" s="523">
        <v>43518</v>
      </c>
      <c r="B824" s="499">
        <v>220161.91</v>
      </c>
      <c r="C824" s="523"/>
      <c r="D824" s="499"/>
    </row>
    <row r="825" spans="1:4" x14ac:dyDescent="0.2">
      <c r="A825" s="523">
        <v>43521</v>
      </c>
      <c r="B825" s="499">
        <v>220161.91</v>
      </c>
      <c r="C825" s="523"/>
      <c r="D825" s="499"/>
    </row>
    <row r="826" spans="1:4" x14ac:dyDescent="0.2">
      <c r="A826" s="523">
        <v>43522</v>
      </c>
      <c r="B826" s="499">
        <v>220161.91</v>
      </c>
      <c r="C826" s="523"/>
      <c r="D826" s="499"/>
    </row>
    <row r="827" spans="1:4" x14ac:dyDescent="0.2">
      <c r="A827" s="523">
        <v>43523</v>
      </c>
      <c r="B827" s="499">
        <v>220161.91</v>
      </c>
      <c r="C827" s="523"/>
      <c r="D827" s="499"/>
    </row>
    <row r="828" spans="1:4" x14ac:dyDescent="0.2">
      <c r="A828" s="523">
        <v>43524</v>
      </c>
      <c r="B828" s="499">
        <v>224635.26</v>
      </c>
      <c r="C828" s="523"/>
      <c r="D828" s="499"/>
    </row>
    <row r="829" spans="1:4" x14ac:dyDescent="0.2">
      <c r="A829" s="523">
        <v>43525</v>
      </c>
      <c r="B829" s="499">
        <v>298900.61</v>
      </c>
      <c r="C829" s="523"/>
      <c r="D829" s="499"/>
    </row>
    <row r="830" spans="1:4" x14ac:dyDescent="0.2">
      <c r="A830" s="523">
        <v>43528</v>
      </c>
      <c r="B830" s="499">
        <v>262246.8</v>
      </c>
      <c r="C830" s="523"/>
      <c r="D830" s="499"/>
    </row>
    <row r="831" spans="1:4" x14ac:dyDescent="0.2">
      <c r="A831" s="523">
        <v>43529</v>
      </c>
      <c r="B831" s="499">
        <v>262247</v>
      </c>
      <c r="C831" s="523"/>
      <c r="D831" s="499"/>
    </row>
    <row r="832" spans="1:4" x14ac:dyDescent="0.2">
      <c r="A832" s="523">
        <v>43530</v>
      </c>
      <c r="B832" s="499">
        <v>262247</v>
      </c>
      <c r="C832" s="523"/>
      <c r="D832" s="499"/>
    </row>
    <row r="833" spans="1:4" x14ac:dyDescent="0.2">
      <c r="A833" s="523">
        <v>43531</v>
      </c>
      <c r="B833" s="499">
        <v>275395.15000000002</v>
      </c>
      <c r="C833" s="523"/>
      <c r="D833" s="499"/>
    </row>
    <row r="834" spans="1:4" x14ac:dyDescent="0.2">
      <c r="A834" s="523">
        <v>43532</v>
      </c>
      <c r="B834" s="499">
        <v>275395</v>
      </c>
      <c r="C834" s="523"/>
      <c r="D834" s="499"/>
    </row>
    <row r="835" spans="1:4" x14ac:dyDescent="0.2">
      <c r="A835" s="523">
        <v>43535</v>
      </c>
      <c r="B835" s="499">
        <v>275395</v>
      </c>
      <c r="C835" s="523"/>
      <c r="D835" s="499"/>
    </row>
    <row r="836" spans="1:4" x14ac:dyDescent="0.2">
      <c r="A836" s="523">
        <v>43536</v>
      </c>
      <c r="B836" s="499">
        <v>275395</v>
      </c>
      <c r="C836" s="523"/>
      <c r="D836" s="499"/>
    </row>
    <row r="837" spans="1:4" x14ac:dyDescent="0.2">
      <c r="A837" s="523">
        <v>43537</v>
      </c>
      <c r="B837" s="499">
        <v>316802.46999999997</v>
      </c>
      <c r="C837" s="523"/>
      <c r="D837" s="499"/>
    </row>
    <row r="838" spans="1:4" x14ac:dyDescent="0.2">
      <c r="A838" s="523">
        <v>43538</v>
      </c>
      <c r="B838" s="499">
        <v>297067.40000000002</v>
      </c>
      <c r="C838" s="523"/>
      <c r="D838" s="499"/>
    </row>
    <row r="839" spans="1:4" x14ac:dyDescent="0.2">
      <c r="A839" s="523">
        <v>43539</v>
      </c>
      <c r="B839" s="499">
        <v>300574.83</v>
      </c>
      <c r="C839" s="523"/>
      <c r="D839" s="499"/>
    </row>
    <row r="840" spans="1:4" x14ac:dyDescent="0.2">
      <c r="A840" s="523">
        <v>43542</v>
      </c>
      <c r="B840" s="499">
        <v>264695.24</v>
      </c>
      <c r="C840" s="523"/>
      <c r="D840" s="499"/>
    </row>
    <row r="841" spans="1:4" x14ac:dyDescent="0.2">
      <c r="A841" s="523">
        <v>43543</v>
      </c>
      <c r="B841" s="499">
        <v>264695</v>
      </c>
      <c r="C841" s="523"/>
      <c r="D841" s="499"/>
    </row>
    <row r="842" spans="1:4" x14ac:dyDescent="0.2">
      <c r="A842" s="523">
        <v>43544</v>
      </c>
      <c r="B842" s="499">
        <v>264695</v>
      </c>
      <c r="C842" s="523"/>
      <c r="D842" s="499"/>
    </row>
    <row r="843" spans="1:4" x14ac:dyDescent="0.2">
      <c r="A843" s="523">
        <v>43545</v>
      </c>
      <c r="B843" s="499">
        <v>282838.67</v>
      </c>
      <c r="C843" s="523"/>
      <c r="D843" s="499"/>
    </row>
    <row r="844" spans="1:4" x14ac:dyDescent="0.2">
      <c r="A844" s="523">
        <v>43546</v>
      </c>
      <c r="B844" s="499">
        <v>282839</v>
      </c>
      <c r="C844" s="523"/>
      <c r="D844" s="499"/>
    </row>
    <row r="845" spans="1:4" x14ac:dyDescent="0.2">
      <c r="A845" s="523">
        <v>43549</v>
      </c>
      <c r="B845" s="560">
        <v>333807.26</v>
      </c>
      <c r="C845" s="523"/>
      <c r="D845" s="499"/>
    </row>
    <row r="846" spans="1:4" x14ac:dyDescent="0.2">
      <c r="A846" s="523">
        <v>43550</v>
      </c>
      <c r="B846" s="499">
        <v>332295.96000000002</v>
      </c>
      <c r="C846" s="523"/>
      <c r="D846" s="499"/>
    </row>
    <row r="847" spans="1:4" x14ac:dyDescent="0.2">
      <c r="A847" s="523">
        <v>43551</v>
      </c>
      <c r="B847" s="499">
        <v>325401.01</v>
      </c>
      <c r="C847" s="523"/>
      <c r="D847" s="499"/>
    </row>
    <row r="848" spans="1:4" x14ac:dyDescent="0.2">
      <c r="A848" s="523">
        <v>43552</v>
      </c>
      <c r="B848" s="499">
        <v>328793.55</v>
      </c>
      <c r="C848" s="523"/>
      <c r="D848" s="499"/>
    </row>
    <row r="849" spans="1:4" x14ac:dyDescent="0.2">
      <c r="A849" s="523">
        <v>43553</v>
      </c>
      <c r="B849" s="499">
        <v>329088.55</v>
      </c>
      <c r="C849" s="523"/>
      <c r="D849" s="499"/>
    </row>
    <row r="850" spans="1:4" x14ac:dyDescent="0.2">
      <c r="A850" s="523">
        <v>43556</v>
      </c>
      <c r="B850" s="499">
        <v>328488.55</v>
      </c>
      <c r="C850" s="523"/>
      <c r="D850" s="499"/>
    </row>
    <row r="851" spans="1:4" x14ac:dyDescent="0.2">
      <c r="A851" s="523">
        <v>43557</v>
      </c>
      <c r="B851" s="499">
        <v>292528.71999999997</v>
      </c>
      <c r="C851" s="523"/>
      <c r="D851" s="499"/>
    </row>
    <row r="852" spans="1:4" x14ac:dyDescent="0.2">
      <c r="A852" s="523">
        <v>43558</v>
      </c>
      <c r="B852" s="499">
        <v>294672.43</v>
      </c>
      <c r="C852" s="523"/>
      <c r="D852" s="499"/>
    </row>
    <row r="853" spans="1:4" x14ac:dyDescent="0.2">
      <c r="A853" s="523">
        <v>43559</v>
      </c>
      <c r="B853" s="499">
        <v>292850.33</v>
      </c>
      <c r="C853" s="523"/>
      <c r="D853" s="499"/>
    </row>
    <row r="854" spans="1:4" x14ac:dyDescent="0.2">
      <c r="A854" s="523">
        <v>43560</v>
      </c>
      <c r="B854" s="499">
        <v>284702.78999999998</v>
      </c>
      <c r="C854" s="523"/>
      <c r="D854" s="499"/>
    </row>
    <row r="855" spans="1:4" x14ac:dyDescent="0.2">
      <c r="A855" s="523">
        <v>43563</v>
      </c>
      <c r="B855" s="499">
        <v>284703</v>
      </c>
      <c r="C855" s="523"/>
      <c r="D855" s="499"/>
    </row>
    <row r="856" spans="1:4" x14ac:dyDescent="0.2">
      <c r="A856" s="523">
        <v>43564</v>
      </c>
      <c r="B856" s="499">
        <v>284775.52</v>
      </c>
      <c r="C856" s="523"/>
      <c r="D856" s="499"/>
    </row>
    <row r="857" spans="1:4" x14ac:dyDescent="0.2">
      <c r="A857" s="523">
        <v>43565</v>
      </c>
      <c r="B857" s="499">
        <v>284776</v>
      </c>
      <c r="C857" s="523"/>
      <c r="D857" s="499"/>
    </row>
    <row r="858" spans="1:4" x14ac:dyDescent="0.2">
      <c r="A858" s="523">
        <v>43566</v>
      </c>
      <c r="B858" s="499">
        <v>277335.02</v>
      </c>
      <c r="C858" s="523"/>
      <c r="D858" s="499"/>
    </row>
    <row r="859" spans="1:4" x14ac:dyDescent="0.2">
      <c r="A859" s="523">
        <v>43567</v>
      </c>
      <c r="B859" s="499">
        <v>277335</v>
      </c>
      <c r="C859" s="523"/>
      <c r="D859" s="499"/>
    </row>
    <row r="860" spans="1:4" x14ac:dyDescent="0.2">
      <c r="A860" s="523">
        <v>43570</v>
      </c>
      <c r="B860" s="499">
        <v>277462.90999999997</v>
      </c>
      <c r="C860" s="523"/>
      <c r="D860" s="499"/>
    </row>
    <row r="861" spans="1:4" x14ac:dyDescent="0.2">
      <c r="A861" s="523">
        <v>43571</v>
      </c>
      <c r="B861" s="499">
        <v>241180.07</v>
      </c>
      <c r="C861" s="523"/>
      <c r="D861" s="499"/>
    </row>
    <row r="862" spans="1:4" x14ac:dyDescent="0.2">
      <c r="A862" s="523">
        <v>43572</v>
      </c>
      <c r="B862" s="499">
        <v>257634.61</v>
      </c>
      <c r="C862" s="523"/>
      <c r="D862" s="499"/>
    </row>
    <row r="863" spans="1:4" x14ac:dyDescent="0.2">
      <c r="A863" s="523">
        <v>43573</v>
      </c>
      <c r="B863" s="499">
        <v>241154.55</v>
      </c>
      <c r="C863" s="523"/>
      <c r="D863" s="499"/>
    </row>
    <row r="864" spans="1:4" x14ac:dyDescent="0.2">
      <c r="A864" s="523">
        <v>43574</v>
      </c>
      <c r="B864" s="499">
        <v>243162.78</v>
      </c>
      <c r="C864" s="523"/>
      <c r="D864" s="499"/>
    </row>
    <row r="865" spans="1:4" x14ac:dyDescent="0.2">
      <c r="A865" s="523">
        <v>43577</v>
      </c>
      <c r="B865" s="499">
        <v>243003.93</v>
      </c>
      <c r="C865" s="523"/>
      <c r="D865" s="499"/>
    </row>
    <row r="866" spans="1:4" x14ac:dyDescent="0.2">
      <c r="A866" s="523">
        <v>43578</v>
      </c>
      <c r="B866" s="499">
        <v>243004</v>
      </c>
      <c r="C866" s="523"/>
      <c r="D866" s="499"/>
    </row>
    <row r="867" spans="1:4" x14ac:dyDescent="0.2">
      <c r="A867" s="523">
        <v>43579</v>
      </c>
      <c r="B867" s="499">
        <v>243060.55</v>
      </c>
      <c r="C867" s="523"/>
      <c r="D867" s="499"/>
    </row>
    <row r="868" spans="1:4" x14ac:dyDescent="0.2">
      <c r="A868" s="523">
        <v>43580</v>
      </c>
      <c r="B868" s="499">
        <v>245074.5</v>
      </c>
      <c r="C868" s="523"/>
      <c r="D868" s="499"/>
    </row>
    <row r="869" spans="1:4" x14ac:dyDescent="0.2">
      <c r="A869" s="523">
        <v>43581</v>
      </c>
      <c r="B869" s="499">
        <v>274493.84000000003</v>
      </c>
      <c r="C869" s="523"/>
      <c r="D869" s="499"/>
    </row>
    <row r="870" spans="1:4" x14ac:dyDescent="0.2">
      <c r="A870" s="523">
        <v>43584</v>
      </c>
      <c r="B870" s="499">
        <v>274494</v>
      </c>
      <c r="C870" s="523"/>
      <c r="D870" s="499"/>
    </row>
    <row r="871" spans="1:4" x14ac:dyDescent="0.2">
      <c r="A871" s="523">
        <v>43585</v>
      </c>
      <c r="B871" s="499">
        <v>268536.75</v>
      </c>
      <c r="C871" s="523"/>
      <c r="D871" s="499"/>
    </row>
    <row r="872" spans="1:4" x14ac:dyDescent="0.2">
      <c r="A872" s="523">
        <v>43586</v>
      </c>
      <c r="B872" s="499">
        <v>249086.1</v>
      </c>
      <c r="C872" s="523"/>
      <c r="D872" s="499"/>
    </row>
    <row r="873" spans="1:4" x14ac:dyDescent="0.2">
      <c r="A873" s="523">
        <v>43587</v>
      </c>
      <c r="B873" s="499">
        <v>253347.36</v>
      </c>
      <c r="C873" s="523"/>
      <c r="D873" s="499"/>
    </row>
    <row r="874" spans="1:4" x14ac:dyDescent="0.2">
      <c r="A874" s="523">
        <v>43588</v>
      </c>
      <c r="B874" s="499">
        <v>253347</v>
      </c>
      <c r="C874" s="523"/>
      <c r="D874" s="499"/>
    </row>
    <row r="875" spans="1:4" x14ac:dyDescent="0.2">
      <c r="A875" s="523">
        <v>43591</v>
      </c>
      <c r="B875" s="499">
        <v>253347</v>
      </c>
      <c r="C875" s="523"/>
      <c r="D875" s="499"/>
    </row>
    <row r="876" spans="1:4" x14ac:dyDescent="0.2">
      <c r="A876" s="523">
        <v>43592</v>
      </c>
      <c r="B876" s="499">
        <v>253347</v>
      </c>
      <c r="C876" s="523"/>
      <c r="D876" s="499"/>
    </row>
    <row r="877" spans="1:4" x14ac:dyDescent="0.2">
      <c r="A877" s="523">
        <v>43593</v>
      </c>
      <c r="B877" s="499">
        <v>253347</v>
      </c>
      <c r="C877" s="523"/>
      <c r="D877" s="499"/>
    </row>
    <row r="878" spans="1:4" x14ac:dyDescent="0.2">
      <c r="A878" s="523">
        <v>43594</v>
      </c>
      <c r="B878" s="499">
        <v>256363.47</v>
      </c>
      <c r="C878" s="523"/>
      <c r="D878" s="499"/>
    </row>
    <row r="879" spans="1:4" x14ac:dyDescent="0.2">
      <c r="A879" s="523">
        <v>43595</v>
      </c>
      <c r="B879" s="499">
        <v>256363</v>
      </c>
      <c r="C879" s="523"/>
      <c r="D879" s="499"/>
    </row>
    <row r="880" spans="1:4" x14ac:dyDescent="0.2">
      <c r="A880" s="523">
        <v>43598</v>
      </c>
      <c r="B880" s="499">
        <v>256363</v>
      </c>
      <c r="C880" s="523"/>
      <c r="D880" s="499"/>
    </row>
    <row r="881" spans="1:4" x14ac:dyDescent="0.2">
      <c r="A881" s="523">
        <v>43599</v>
      </c>
      <c r="B881" s="499">
        <v>220671.47</v>
      </c>
      <c r="C881" s="523"/>
      <c r="D881" s="499"/>
    </row>
    <row r="882" spans="1:4" x14ac:dyDescent="0.2">
      <c r="A882" s="523">
        <v>43600</v>
      </c>
      <c r="B882" s="499">
        <v>248680.89</v>
      </c>
      <c r="C882" s="523"/>
      <c r="D882" s="499"/>
    </row>
    <row r="883" spans="1:4" x14ac:dyDescent="0.2">
      <c r="A883" s="523">
        <v>43601</v>
      </c>
      <c r="B883" s="499">
        <v>254567.98</v>
      </c>
      <c r="C883" s="523"/>
      <c r="D883" s="499"/>
    </row>
    <row r="884" spans="1:4" x14ac:dyDescent="0.2">
      <c r="A884" s="523">
        <v>43602</v>
      </c>
      <c r="B884" s="499">
        <v>310563.12</v>
      </c>
      <c r="C884" s="523"/>
      <c r="D884" s="499"/>
    </row>
    <row r="885" spans="1:4" x14ac:dyDescent="0.2">
      <c r="A885" s="523">
        <v>43605</v>
      </c>
      <c r="B885" s="499">
        <v>310000.12</v>
      </c>
      <c r="C885" s="523"/>
      <c r="D885" s="499"/>
    </row>
    <row r="886" spans="1:4" x14ac:dyDescent="0.2">
      <c r="A886" s="523">
        <v>43606</v>
      </c>
      <c r="B886" s="499">
        <v>310000.12</v>
      </c>
      <c r="C886" s="523"/>
      <c r="D886" s="499"/>
    </row>
    <row r="887" spans="1:4" x14ac:dyDescent="0.2">
      <c r="A887" s="523">
        <v>43607</v>
      </c>
      <c r="B887" s="499">
        <v>310000.12</v>
      </c>
      <c r="C887" s="523"/>
      <c r="D887" s="499"/>
    </row>
    <row r="888" spans="1:4" x14ac:dyDescent="0.2">
      <c r="A888" s="523">
        <v>43608</v>
      </c>
      <c r="B888" s="499">
        <v>300109.28999999998</v>
      </c>
      <c r="C888" s="523"/>
      <c r="D888" s="499"/>
    </row>
    <row r="889" spans="1:4" x14ac:dyDescent="0.2">
      <c r="A889" s="523">
        <v>43609</v>
      </c>
      <c r="B889" s="499">
        <v>297396.90999999997</v>
      </c>
      <c r="C889" s="523"/>
      <c r="D889" s="499"/>
    </row>
    <row r="890" spans="1:4" x14ac:dyDescent="0.2">
      <c r="A890" s="523">
        <v>43612</v>
      </c>
      <c r="B890" s="499">
        <v>297397</v>
      </c>
      <c r="C890" s="523"/>
      <c r="D890" s="499"/>
    </row>
    <row r="891" spans="1:4" x14ac:dyDescent="0.2">
      <c r="A891" s="523">
        <v>43613</v>
      </c>
      <c r="B891" s="499">
        <v>309520.18</v>
      </c>
      <c r="C891" s="523"/>
      <c r="D891" s="499"/>
    </row>
    <row r="892" spans="1:4" x14ac:dyDescent="0.2">
      <c r="A892" s="523">
        <v>43614</v>
      </c>
      <c r="B892" s="499">
        <v>309520</v>
      </c>
      <c r="C892" s="523"/>
      <c r="D892" s="499"/>
    </row>
    <row r="893" spans="1:4" x14ac:dyDescent="0.2">
      <c r="A893" s="523">
        <v>43615</v>
      </c>
      <c r="B893" s="499">
        <v>306153.90000000002</v>
      </c>
      <c r="C893" s="523"/>
      <c r="D893" s="499"/>
    </row>
    <row r="894" spans="1:4" x14ac:dyDescent="0.2">
      <c r="A894" s="523">
        <v>43616</v>
      </c>
      <c r="B894" s="499">
        <v>307621.78000000003</v>
      </c>
      <c r="C894" s="523"/>
      <c r="D894" s="499"/>
    </row>
    <row r="895" spans="1:4" x14ac:dyDescent="0.2">
      <c r="A895" s="523">
        <v>43619</v>
      </c>
      <c r="B895" s="499">
        <v>307288.12</v>
      </c>
      <c r="C895" s="523"/>
      <c r="D895" s="499"/>
    </row>
    <row r="896" spans="1:4" x14ac:dyDescent="0.2">
      <c r="A896" s="523">
        <v>43620</v>
      </c>
      <c r="B896" s="499">
        <v>307288</v>
      </c>
      <c r="C896" s="523"/>
      <c r="D896" s="499"/>
    </row>
    <row r="897" spans="1:4" x14ac:dyDescent="0.2">
      <c r="A897" s="523">
        <v>43621</v>
      </c>
      <c r="B897" s="499">
        <v>307288</v>
      </c>
      <c r="C897" s="523"/>
      <c r="D897" s="499"/>
    </row>
    <row r="898" spans="1:4" x14ac:dyDescent="0.2">
      <c r="A898" s="523">
        <v>43622</v>
      </c>
      <c r="B898" s="499">
        <v>296580.19</v>
      </c>
      <c r="C898" s="523"/>
      <c r="D898" s="499"/>
    </row>
    <row r="899" spans="1:4" x14ac:dyDescent="0.2">
      <c r="A899" s="523">
        <v>43623</v>
      </c>
      <c r="B899" s="499">
        <v>295981.95</v>
      </c>
      <c r="C899" s="523"/>
      <c r="D899" s="499"/>
    </row>
    <row r="900" spans="1:4" x14ac:dyDescent="0.2">
      <c r="A900" s="523">
        <v>43626</v>
      </c>
      <c r="B900" s="499">
        <v>260513.06</v>
      </c>
      <c r="C900" s="523"/>
      <c r="D900" s="499"/>
    </row>
    <row r="901" spans="1:4" x14ac:dyDescent="0.2">
      <c r="A901" s="523">
        <v>43627</v>
      </c>
      <c r="B901" s="499">
        <v>260513</v>
      </c>
      <c r="C901" s="523"/>
      <c r="D901" s="499"/>
    </row>
    <row r="902" spans="1:4" x14ac:dyDescent="0.2">
      <c r="A902" s="523">
        <v>43628</v>
      </c>
      <c r="B902" s="499">
        <v>260513</v>
      </c>
      <c r="C902" s="523"/>
      <c r="D902" s="499"/>
    </row>
    <row r="903" spans="1:4" x14ac:dyDescent="0.2">
      <c r="A903" s="523">
        <v>43629</v>
      </c>
      <c r="B903" s="499">
        <v>255966.98</v>
      </c>
      <c r="C903" s="523"/>
      <c r="D903" s="499"/>
    </row>
    <row r="904" spans="1:4" x14ac:dyDescent="0.2">
      <c r="A904" s="523">
        <v>43630</v>
      </c>
      <c r="B904" s="499">
        <v>257507.94</v>
      </c>
      <c r="C904" s="523"/>
      <c r="D904" s="499"/>
    </row>
    <row r="905" spans="1:4" x14ac:dyDescent="0.2">
      <c r="A905" s="523">
        <v>43633</v>
      </c>
      <c r="B905" s="499">
        <v>257508</v>
      </c>
      <c r="C905" s="523"/>
      <c r="D905" s="499"/>
    </row>
    <row r="906" spans="1:4" x14ac:dyDescent="0.2">
      <c r="A906" s="523">
        <v>43634</v>
      </c>
      <c r="B906" s="499">
        <v>257508</v>
      </c>
      <c r="C906" s="523"/>
      <c r="D906" s="499"/>
    </row>
    <row r="907" spans="1:4" x14ac:dyDescent="0.2">
      <c r="A907" s="523">
        <v>43635</v>
      </c>
      <c r="B907" s="499">
        <v>257508</v>
      </c>
      <c r="C907" s="523"/>
      <c r="D907" s="499"/>
    </row>
    <row r="908" spans="1:4" x14ac:dyDescent="0.2">
      <c r="A908" s="523">
        <v>43636</v>
      </c>
      <c r="B908" s="499">
        <v>245601.94</v>
      </c>
      <c r="C908" s="523"/>
      <c r="D908" s="499"/>
    </row>
    <row r="909" spans="1:4" x14ac:dyDescent="0.2">
      <c r="A909" s="523">
        <v>43637</v>
      </c>
      <c r="B909" s="499">
        <v>245768.94</v>
      </c>
      <c r="C909" s="523"/>
      <c r="D909" s="499"/>
    </row>
    <row r="910" spans="1:4" x14ac:dyDescent="0.2">
      <c r="A910" s="523">
        <v>43640</v>
      </c>
      <c r="B910" s="499">
        <v>245769</v>
      </c>
      <c r="C910" s="523"/>
      <c r="D910" s="499"/>
    </row>
    <row r="911" spans="1:4" x14ac:dyDescent="0.2">
      <c r="A911" s="523">
        <v>43641</v>
      </c>
      <c r="B911" s="499">
        <v>209143.06</v>
      </c>
      <c r="C911" s="523"/>
      <c r="D911" s="499"/>
    </row>
    <row r="912" spans="1:4" x14ac:dyDescent="0.2">
      <c r="A912" s="523">
        <v>43642</v>
      </c>
      <c r="B912" s="499">
        <v>216087.16</v>
      </c>
      <c r="C912" s="523"/>
      <c r="D912" s="499"/>
    </row>
    <row r="913" spans="1:4" x14ac:dyDescent="0.2">
      <c r="A913" s="523">
        <v>43643</v>
      </c>
      <c r="B913" s="499">
        <v>218399.34</v>
      </c>
      <c r="C913" s="523"/>
      <c r="D913" s="499"/>
    </row>
    <row r="914" spans="1:4" x14ac:dyDescent="0.2">
      <c r="A914" s="523">
        <v>43644</v>
      </c>
      <c r="B914" s="499">
        <v>246675.15</v>
      </c>
      <c r="C914" s="523"/>
      <c r="D914" s="499"/>
    </row>
    <row r="915" spans="1:4" x14ac:dyDescent="0.2">
      <c r="A915" s="523">
        <v>43647</v>
      </c>
      <c r="B915" s="499">
        <v>246675</v>
      </c>
      <c r="C915" s="523"/>
      <c r="D915" s="499"/>
    </row>
    <row r="916" spans="1:4" x14ac:dyDescent="0.2">
      <c r="A916" s="523">
        <v>43648</v>
      </c>
      <c r="B916" s="499">
        <v>248377.32</v>
      </c>
      <c r="C916" s="523"/>
      <c r="D916" s="499"/>
    </row>
    <row r="917" spans="1:4" x14ac:dyDescent="0.2">
      <c r="A917" s="523">
        <v>43649</v>
      </c>
      <c r="B917" s="499">
        <v>277944.71000000002</v>
      </c>
      <c r="C917" s="523"/>
      <c r="D917" s="499"/>
    </row>
    <row r="918" spans="1:4" x14ac:dyDescent="0.2">
      <c r="A918" s="523">
        <v>43650</v>
      </c>
      <c r="B918" s="499">
        <v>277945</v>
      </c>
      <c r="C918" s="523"/>
      <c r="D918" s="499"/>
    </row>
    <row r="919" spans="1:4" x14ac:dyDescent="0.2">
      <c r="A919" s="523">
        <v>43651</v>
      </c>
      <c r="B919" s="499">
        <v>278046.71000000002</v>
      </c>
      <c r="C919" s="523"/>
      <c r="D919" s="499"/>
    </row>
    <row r="920" spans="1:4" x14ac:dyDescent="0.2">
      <c r="A920" s="523">
        <v>43654</v>
      </c>
      <c r="B920" s="499">
        <v>282590.19</v>
      </c>
      <c r="C920" s="523"/>
      <c r="D920" s="499"/>
    </row>
    <row r="921" spans="1:4" x14ac:dyDescent="0.2">
      <c r="A921" s="523">
        <v>43655</v>
      </c>
      <c r="B921" s="499">
        <v>247195.73</v>
      </c>
      <c r="C921" s="523"/>
      <c r="D921" s="499"/>
    </row>
    <row r="922" spans="1:4" x14ac:dyDescent="0.2">
      <c r="A922" s="523">
        <v>43656</v>
      </c>
      <c r="B922" s="499">
        <v>247195.73</v>
      </c>
      <c r="C922" s="523"/>
      <c r="D922" s="499"/>
    </row>
    <row r="923" spans="1:4" x14ac:dyDescent="0.2">
      <c r="A923" s="523">
        <v>43657</v>
      </c>
      <c r="B923" s="499">
        <v>235813.1</v>
      </c>
      <c r="C923" s="523"/>
      <c r="D923" s="499"/>
    </row>
    <row r="924" spans="1:4" x14ac:dyDescent="0.2">
      <c r="A924" s="523">
        <v>43658</v>
      </c>
      <c r="B924" s="499">
        <v>237210.07</v>
      </c>
      <c r="C924" s="523"/>
      <c r="D924" s="499"/>
    </row>
    <row r="925" spans="1:4" x14ac:dyDescent="0.2">
      <c r="A925" s="523">
        <v>43661</v>
      </c>
      <c r="B925" s="499">
        <v>237490.39</v>
      </c>
      <c r="C925" s="523"/>
      <c r="D925" s="499"/>
    </row>
    <row r="926" spans="1:4" x14ac:dyDescent="0.2">
      <c r="A926" s="523">
        <v>43662</v>
      </c>
      <c r="B926" s="499">
        <v>237490</v>
      </c>
      <c r="C926" s="523"/>
      <c r="D926" s="499"/>
    </row>
    <row r="927" spans="1:4" x14ac:dyDescent="0.2">
      <c r="A927" s="523">
        <v>43663</v>
      </c>
      <c r="B927" s="499">
        <v>237490.39</v>
      </c>
      <c r="C927" s="523"/>
      <c r="D927" s="499"/>
    </row>
    <row r="928" spans="1:4" x14ac:dyDescent="0.2">
      <c r="A928" s="523">
        <v>43664</v>
      </c>
      <c r="B928" s="499">
        <v>232593.57</v>
      </c>
      <c r="C928" s="523"/>
      <c r="D928" s="499"/>
    </row>
    <row r="929" spans="1:4" x14ac:dyDescent="0.2">
      <c r="A929" s="523">
        <v>43665</v>
      </c>
      <c r="B929" s="499">
        <v>232923.06</v>
      </c>
      <c r="C929" s="523"/>
      <c r="D929" s="499"/>
    </row>
    <row r="930" spans="1:4" x14ac:dyDescent="0.2">
      <c r="A930" s="523">
        <v>43668</v>
      </c>
      <c r="B930" s="499">
        <v>196798.51</v>
      </c>
      <c r="C930" s="523"/>
      <c r="D930" s="499"/>
    </row>
    <row r="931" spans="1:4" x14ac:dyDescent="0.2">
      <c r="A931" s="523">
        <v>43669</v>
      </c>
      <c r="B931" s="499">
        <v>199629.38</v>
      </c>
      <c r="C931" s="523"/>
      <c r="D931" s="499"/>
    </row>
    <row r="932" spans="1:4" x14ac:dyDescent="0.2">
      <c r="A932" s="523">
        <v>43670</v>
      </c>
      <c r="B932" s="499">
        <v>199629</v>
      </c>
      <c r="C932" s="523"/>
      <c r="D932" s="499"/>
    </row>
    <row r="933" spans="1:4" x14ac:dyDescent="0.2">
      <c r="A933" s="523">
        <v>43671</v>
      </c>
      <c r="B933" s="499">
        <v>195151.45</v>
      </c>
      <c r="C933" s="523"/>
      <c r="D933" s="499"/>
    </row>
    <row r="934" spans="1:4" x14ac:dyDescent="0.2">
      <c r="A934" s="523">
        <v>43672</v>
      </c>
      <c r="B934" s="499">
        <v>228843.78</v>
      </c>
      <c r="C934" s="523"/>
      <c r="D934" s="499"/>
    </row>
    <row r="935" spans="1:4" x14ac:dyDescent="0.2">
      <c r="A935" s="523">
        <v>43675</v>
      </c>
      <c r="B935" s="499">
        <v>228844</v>
      </c>
      <c r="C935" s="523"/>
      <c r="D935" s="499"/>
    </row>
    <row r="936" spans="1:4" x14ac:dyDescent="0.2">
      <c r="A936" s="523">
        <v>43676</v>
      </c>
      <c r="B936" s="499">
        <v>228844</v>
      </c>
      <c r="C936" s="523"/>
      <c r="D936" s="499"/>
    </row>
    <row r="937" spans="1:4" x14ac:dyDescent="0.2">
      <c r="A937" s="523">
        <v>43677</v>
      </c>
      <c r="B937" s="499">
        <v>229051.78</v>
      </c>
      <c r="C937" s="523"/>
      <c r="D937" s="499"/>
    </row>
    <row r="938" spans="1:4" x14ac:dyDescent="0.2">
      <c r="A938" s="523">
        <v>43678</v>
      </c>
      <c r="B938" s="499">
        <v>234767.17</v>
      </c>
      <c r="C938" s="523"/>
      <c r="D938" s="499"/>
    </row>
    <row r="939" spans="1:4" x14ac:dyDescent="0.2">
      <c r="A939" s="523">
        <v>43679</v>
      </c>
      <c r="B939" s="499">
        <v>236117.76000000001</v>
      </c>
      <c r="C939" s="523"/>
      <c r="D939" s="499"/>
    </row>
    <row r="940" spans="1:4" x14ac:dyDescent="0.2">
      <c r="A940" s="523">
        <v>43682</v>
      </c>
      <c r="B940" s="499">
        <v>236118</v>
      </c>
      <c r="C940" s="523"/>
      <c r="D940" s="499"/>
    </row>
    <row r="941" spans="1:4" x14ac:dyDescent="0.2">
      <c r="A941" s="523">
        <v>43683</v>
      </c>
      <c r="B941" s="499">
        <v>208888.5</v>
      </c>
      <c r="C941" s="523"/>
      <c r="D941" s="499"/>
    </row>
    <row r="942" spans="1:4" x14ac:dyDescent="0.2">
      <c r="A942" s="523">
        <v>43684</v>
      </c>
      <c r="B942" s="499">
        <v>208792.5</v>
      </c>
      <c r="C942" s="523"/>
      <c r="D942" s="499"/>
    </row>
    <row r="943" spans="1:4" x14ac:dyDescent="0.2">
      <c r="A943" s="523">
        <v>43685</v>
      </c>
      <c r="B943" s="499">
        <v>203219.37</v>
      </c>
      <c r="C943" s="523"/>
      <c r="D943" s="499"/>
    </row>
    <row r="944" spans="1:4" x14ac:dyDescent="0.2">
      <c r="A944" s="523">
        <v>43686</v>
      </c>
      <c r="B944" s="499">
        <v>205639.37</v>
      </c>
      <c r="C944" s="523"/>
      <c r="D944" s="499"/>
    </row>
    <row r="945" spans="1:4" x14ac:dyDescent="0.2">
      <c r="A945" s="523">
        <v>43689</v>
      </c>
      <c r="B945" s="499">
        <v>205639.37</v>
      </c>
      <c r="C945" s="523"/>
      <c r="D945" s="499"/>
    </row>
    <row r="946" spans="1:4" x14ac:dyDescent="0.2">
      <c r="A946" s="523">
        <v>43690</v>
      </c>
      <c r="B946" s="499">
        <v>232145.73</v>
      </c>
      <c r="C946" s="523"/>
      <c r="D946" s="499"/>
    </row>
    <row r="947" spans="1:4" x14ac:dyDescent="0.2">
      <c r="A947" s="523">
        <v>43691</v>
      </c>
      <c r="B947" s="499">
        <v>233325.32</v>
      </c>
      <c r="C947" s="523"/>
      <c r="D947" s="499"/>
    </row>
    <row r="948" spans="1:4" x14ac:dyDescent="0.2">
      <c r="A948" s="523">
        <v>43692</v>
      </c>
      <c r="B948" s="499">
        <v>225375.98</v>
      </c>
      <c r="C948" s="523"/>
      <c r="D948" s="499"/>
    </row>
    <row r="949" spans="1:4" x14ac:dyDescent="0.2">
      <c r="A949" s="523">
        <v>43693</v>
      </c>
      <c r="B949" s="499">
        <v>225424.1</v>
      </c>
      <c r="C949" s="523"/>
      <c r="D949" s="499"/>
    </row>
    <row r="950" spans="1:4" x14ac:dyDescent="0.2">
      <c r="A950" s="523">
        <v>43696</v>
      </c>
      <c r="B950" s="499">
        <v>187365.06</v>
      </c>
      <c r="C950" s="523"/>
      <c r="D950" s="499"/>
    </row>
    <row r="951" spans="1:4" x14ac:dyDescent="0.2">
      <c r="A951" s="523">
        <v>43697</v>
      </c>
      <c r="B951" s="499">
        <v>187365</v>
      </c>
      <c r="C951" s="523"/>
      <c r="D951" s="499"/>
    </row>
    <row r="952" spans="1:4" x14ac:dyDescent="0.2">
      <c r="A952" s="523">
        <v>43698</v>
      </c>
      <c r="B952" s="499">
        <v>187365</v>
      </c>
      <c r="C952" s="523"/>
      <c r="D952" s="499"/>
    </row>
    <row r="953" spans="1:4" x14ac:dyDescent="0.2">
      <c r="A953" s="523">
        <v>43699</v>
      </c>
      <c r="B953" s="560">
        <v>172667.6</v>
      </c>
      <c r="C953" s="523"/>
      <c r="D953" s="499"/>
    </row>
    <row r="954" spans="1:4" x14ac:dyDescent="0.2">
      <c r="A954" s="523">
        <v>43700</v>
      </c>
      <c r="B954" s="499">
        <v>172668</v>
      </c>
      <c r="C954" s="523"/>
      <c r="D954" s="499"/>
    </row>
    <row r="955" spans="1:4" x14ac:dyDescent="0.2">
      <c r="A955" s="523">
        <v>43703</v>
      </c>
      <c r="B955" s="499">
        <v>236616.35</v>
      </c>
      <c r="C955" s="523"/>
      <c r="D955" s="499"/>
    </row>
    <row r="956" spans="1:4" x14ac:dyDescent="0.2">
      <c r="A956" s="523">
        <v>43704</v>
      </c>
      <c r="B956" s="499">
        <v>237913.62</v>
      </c>
      <c r="C956" s="523"/>
      <c r="D956" s="499"/>
    </row>
    <row r="957" spans="1:4" x14ac:dyDescent="0.2">
      <c r="A957" s="523">
        <v>43705</v>
      </c>
      <c r="B957" s="499">
        <v>237914</v>
      </c>
      <c r="C957" s="523"/>
      <c r="D957" s="499"/>
    </row>
    <row r="958" spans="1:4" x14ac:dyDescent="0.2">
      <c r="A958" s="523">
        <v>43706</v>
      </c>
      <c r="B958" s="499">
        <v>244708.19</v>
      </c>
      <c r="C958" s="523"/>
      <c r="D958" s="499"/>
    </row>
    <row r="959" spans="1:4" x14ac:dyDescent="0.2">
      <c r="A959" s="523">
        <v>43707</v>
      </c>
      <c r="B959" s="499">
        <v>249899.19</v>
      </c>
      <c r="C959" s="523"/>
      <c r="D959" s="499"/>
    </row>
    <row r="960" spans="1:4" x14ac:dyDescent="0.2">
      <c r="A960" s="523">
        <v>43710</v>
      </c>
      <c r="B960" s="499">
        <v>249899</v>
      </c>
      <c r="C960" s="523"/>
      <c r="D960" s="499"/>
    </row>
    <row r="961" spans="1:4" x14ac:dyDescent="0.2">
      <c r="A961" s="523">
        <v>43711</v>
      </c>
      <c r="B961" s="499">
        <v>215930.73</v>
      </c>
      <c r="C961" s="523"/>
      <c r="D961" s="499"/>
    </row>
    <row r="962" spans="1:4" x14ac:dyDescent="0.2">
      <c r="A962" s="523">
        <v>43712</v>
      </c>
      <c r="B962" s="499">
        <v>215931</v>
      </c>
      <c r="C962" s="523"/>
      <c r="D962" s="499"/>
    </row>
    <row r="963" spans="1:4" x14ac:dyDescent="0.2">
      <c r="A963" s="523">
        <v>43713</v>
      </c>
      <c r="B963" s="499">
        <v>205664.34</v>
      </c>
      <c r="C963" s="523"/>
      <c r="D963" s="499"/>
    </row>
    <row r="964" spans="1:4" x14ac:dyDescent="0.2">
      <c r="A964" s="523">
        <v>43714</v>
      </c>
      <c r="B964" s="499">
        <v>205830.34</v>
      </c>
      <c r="C964" s="523"/>
      <c r="D964" s="499"/>
    </row>
    <row r="965" spans="1:4" x14ac:dyDescent="0.2">
      <c r="A965" s="523">
        <v>43717</v>
      </c>
      <c r="B965" s="499">
        <v>205830</v>
      </c>
      <c r="C965" s="523"/>
      <c r="D965" s="499"/>
    </row>
    <row r="966" spans="1:4" x14ac:dyDescent="0.2">
      <c r="A966" s="523">
        <v>43718</v>
      </c>
      <c r="B966" s="499">
        <v>205830</v>
      </c>
      <c r="C966" s="523"/>
      <c r="D966" s="499"/>
    </row>
    <row r="967" spans="1:4" x14ac:dyDescent="0.2">
      <c r="A967" s="523">
        <v>43719</v>
      </c>
      <c r="B967" s="499">
        <v>205830</v>
      </c>
      <c r="C967" s="523"/>
      <c r="D967" s="499"/>
    </row>
    <row r="968" spans="1:4" x14ac:dyDescent="0.2">
      <c r="A968" s="523">
        <v>43720</v>
      </c>
      <c r="B968" s="499">
        <v>207654.61</v>
      </c>
      <c r="C968" s="523"/>
      <c r="D968" s="499"/>
    </row>
    <row r="969" spans="1:4" x14ac:dyDescent="0.2">
      <c r="A969" s="523">
        <v>43721</v>
      </c>
      <c r="B969" s="499">
        <v>207743.24</v>
      </c>
      <c r="C969" s="523"/>
      <c r="D969" s="499"/>
    </row>
    <row r="970" spans="1:4" x14ac:dyDescent="0.2">
      <c r="A970" s="523">
        <v>43724</v>
      </c>
      <c r="B970" s="499">
        <v>207845.42</v>
      </c>
      <c r="C970" s="523"/>
      <c r="D970" s="499"/>
    </row>
    <row r="971" spans="1:4" x14ac:dyDescent="0.2">
      <c r="A971" s="523">
        <v>43725</v>
      </c>
      <c r="B971" s="499">
        <v>173840.8</v>
      </c>
      <c r="C971" s="523"/>
      <c r="D971" s="499"/>
    </row>
    <row r="972" spans="1:4" x14ac:dyDescent="0.2">
      <c r="A972" s="523">
        <v>43726</v>
      </c>
      <c r="B972" s="499">
        <v>212383.95</v>
      </c>
      <c r="C972" s="523"/>
      <c r="D972" s="499"/>
    </row>
    <row r="973" spans="1:4" x14ac:dyDescent="0.2">
      <c r="A973" s="523">
        <v>43727</v>
      </c>
      <c r="B973" s="499">
        <v>205191.98</v>
      </c>
      <c r="C973" s="523"/>
      <c r="D973" s="499"/>
    </row>
    <row r="974" spans="1:4" x14ac:dyDescent="0.2">
      <c r="A974" s="523">
        <v>43728</v>
      </c>
      <c r="B974" s="499">
        <v>205884.98</v>
      </c>
      <c r="C974" s="523"/>
      <c r="D974" s="499"/>
    </row>
    <row r="975" spans="1:4" x14ac:dyDescent="0.2">
      <c r="A975" s="523">
        <v>43731</v>
      </c>
      <c r="B975" s="499">
        <v>205884.98</v>
      </c>
      <c r="C975" s="523"/>
      <c r="D975" s="499"/>
    </row>
    <row r="976" spans="1:4" x14ac:dyDescent="0.2">
      <c r="A976" s="523">
        <v>43732</v>
      </c>
      <c r="B976" s="499">
        <v>205884.98</v>
      </c>
      <c r="C976" s="523"/>
      <c r="D976" s="499"/>
    </row>
    <row r="977" spans="1:4" x14ac:dyDescent="0.2">
      <c r="A977" s="523">
        <v>43733</v>
      </c>
      <c r="B977" s="499">
        <v>231641.34</v>
      </c>
      <c r="C977" s="523"/>
      <c r="D977" s="499"/>
    </row>
    <row r="978" spans="1:4" x14ac:dyDescent="0.2">
      <c r="A978" s="523">
        <v>43734</v>
      </c>
      <c r="B978" s="499">
        <v>236338.62</v>
      </c>
      <c r="C978" s="523"/>
      <c r="D978" s="499"/>
    </row>
    <row r="979" spans="1:4" x14ac:dyDescent="0.2">
      <c r="A979" s="523">
        <v>43735</v>
      </c>
      <c r="B979" s="499">
        <v>269514.5</v>
      </c>
      <c r="C979" s="523"/>
      <c r="D979" s="499"/>
    </row>
    <row r="980" spans="1:4" x14ac:dyDescent="0.2">
      <c r="A980" s="523">
        <v>43738</v>
      </c>
      <c r="B980" s="499">
        <v>287654.26</v>
      </c>
      <c r="C980" s="523"/>
      <c r="D980" s="499"/>
    </row>
    <row r="981" spans="1:4" x14ac:dyDescent="0.2">
      <c r="A981" s="523">
        <v>43739</v>
      </c>
      <c r="B981" s="499">
        <v>254047.41</v>
      </c>
      <c r="C981" s="523"/>
      <c r="D981" s="499"/>
    </row>
    <row r="982" spans="1:4" x14ac:dyDescent="0.2">
      <c r="A982" s="523">
        <v>43740</v>
      </c>
      <c r="B982" s="499">
        <v>254047</v>
      </c>
      <c r="C982" s="523"/>
      <c r="D982" s="499"/>
    </row>
    <row r="983" spans="1:4" x14ac:dyDescent="0.2">
      <c r="A983" s="523">
        <v>43741</v>
      </c>
      <c r="B983" s="499">
        <v>244596.04</v>
      </c>
      <c r="C983" s="523"/>
      <c r="D983" s="499"/>
    </row>
    <row r="984" spans="1:4" x14ac:dyDescent="0.2">
      <c r="A984" s="523">
        <v>43742</v>
      </c>
      <c r="B984" s="499">
        <v>244881.04</v>
      </c>
      <c r="C984" s="523"/>
      <c r="D984" s="499"/>
    </row>
    <row r="985" spans="1:4" x14ac:dyDescent="0.2">
      <c r="A985" s="523">
        <v>43745</v>
      </c>
      <c r="B985" s="499">
        <v>244881</v>
      </c>
      <c r="C985" s="523"/>
      <c r="D985" s="499"/>
    </row>
    <row r="986" spans="1:4" x14ac:dyDescent="0.2">
      <c r="A986" s="523">
        <v>43746</v>
      </c>
      <c r="B986" s="499">
        <v>244881</v>
      </c>
      <c r="C986" s="523"/>
      <c r="D986" s="499"/>
    </row>
    <row r="987" spans="1:4" x14ac:dyDescent="0.2">
      <c r="A987" s="523">
        <v>43747</v>
      </c>
      <c r="B987" s="499">
        <v>244881</v>
      </c>
      <c r="C987" s="523"/>
      <c r="D987" s="499"/>
    </row>
    <row r="988" spans="1:4" x14ac:dyDescent="0.2">
      <c r="A988" s="523">
        <v>43748</v>
      </c>
      <c r="B988" s="499">
        <v>247845.59</v>
      </c>
      <c r="C988" s="523"/>
      <c r="D988" s="499"/>
    </row>
    <row r="989" spans="1:4" x14ac:dyDescent="0.2">
      <c r="A989" s="523">
        <v>43749</v>
      </c>
      <c r="B989" s="499">
        <v>247846</v>
      </c>
      <c r="C989" s="523"/>
      <c r="D989" s="499"/>
    </row>
    <row r="990" spans="1:4" x14ac:dyDescent="0.2">
      <c r="A990" s="523">
        <v>43752</v>
      </c>
      <c r="B990" s="499">
        <v>247846</v>
      </c>
      <c r="C990" s="523"/>
      <c r="D990" s="499"/>
    </row>
    <row r="991" spans="1:4" x14ac:dyDescent="0.2">
      <c r="A991" s="523">
        <v>43753</v>
      </c>
      <c r="B991" s="499">
        <v>183161.53</v>
      </c>
      <c r="C991" s="523"/>
      <c r="D991" s="499"/>
    </row>
    <row r="992" spans="1:4" x14ac:dyDescent="0.2">
      <c r="A992" s="523">
        <v>43754</v>
      </c>
      <c r="B992" s="499">
        <v>185786.19</v>
      </c>
      <c r="C992" s="523"/>
      <c r="D992" s="499"/>
    </row>
    <row r="993" spans="1:4" x14ac:dyDescent="0.2">
      <c r="A993" s="523">
        <v>43755</v>
      </c>
      <c r="B993" s="499">
        <v>160581.73000000001</v>
      </c>
      <c r="C993" s="523"/>
      <c r="D993" s="499"/>
    </row>
    <row r="994" spans="1:4" x14ac:dyDescent="0.2">
      <c r="A994" s="523">
        <v>43756</v>
      </c>
      <c r="B994" s="499">
        <v>160581.73000000001</v>
      </c>
      <c r="C994" s="523"/>
      <c r="D994" s="499"/>
    </row>
    <row r="995" spans="1:4" x14ac:dyDescent="0.2">
      <c r="A995" s="523">
        <v>43759</v>
      </c>
      <c r="B995" s="499">
        <v>160581.73000000001</v>
      </c>
      <c r="C995" s="523"/>
      <c r="D995" s="499"/>
    </row>
    <row r="996" spans="1:4" x14ac:dyDescent="0.2">
      <c r="A996" s="523">
        <v>43760</v>
      </c>
      <c r="B996" s="499">
        <v>160581.73000000001</v>
      </c>
      <c r="C996" s="523"/>
      <c r="D996" s="499"/>
    </row>
    <row r="997" spans="1:4" x14ac:dyDescent="0.2">
      <c r="A997" s="523">
        <v>43761</v>
      </c>
      <c r="B997" s="499">
        <v>171996.42</v>
      </c>
      <c r="C997" s="523"/>
      <c r="D997" s="499"/>
    </row>
    <row r="998" spans="1:4" x14ac:dyDescent="0.2">
      <c r="A998" s="523">
        <v>43762</v>
      </c>
      <c r="B998" s="499">
        <v>167352.24</v>
      </c>
      <c r="C998" s="523"/>
      <c r="D998" s="499"/>
    </row>
    <row r="999" spans="1:4" x14ac:dyDescent="0.2">
      <c r="A999" s="523">
        <v>43763</v>
      </c>
      <c r="B999" s="499">
        <v>166766.24</v>
      </c>
      <c r="C999" s="523"/>
      <c r="D999" s="499"/>
    </row>
    <row r="1000" spans="1:4" x14ac:dyDescent="0.2">
      <c r="A1000" s="523">
        <v>43766</v>
      </c>
      <c r="B1000" s="560">
        <v>129051.26</v>
      </c>
      <c r="C1000" s="523"/>
      <c r="D1000" s="499"/>
    </row>
    <row r="1001" spans="1:4" x14ac:dyDescent="0.2">
      <c r="A1001" s="523">
        <v>43767</v>
      </c>
      <c r="B1001" s="499">
        <v>132306.64000000001</v>
      </c>
      <c r="C1001" s="523"/>
      <c r="D1001" s="499"/>
    </row>
    <row r="1002" spans="1:4" x14ac:dyDescent="0.2">
      <c r="A1002" s="523">
        <v>43768</v>
      </c>
      <c r="B1002" s="499">
        <v>181475.08</v>
      </c>
      <c r="C1002" s="523"/>
      <c r="D1002" s="499"/>
    </row>
    <row r="1003" spans="1:4" x14ac:dyDescent="0.2">
      <c r="A1003" s="523">
        <v>43769</v>
      </c>
      <c r="B1003" s="499">
        <v>169335.94</v>
      </c>
      <c r="C1003" s="523"/>
      <c r="D1003" s="499"/>
    </row>
    <row r="1004" spans="1:4" x14ac:dyDescent="0.2">
      <c r="A1004" s="523">
        <v>43770</v>
      </c>
      <c r="B1004" s="499">
        <v>171521.13</v>
      </c>
      <c r="C1004" s="523"/>
      <c r="D1004" s="499"/>
    </row>
    <row r="1005" spans="1:4" x14ac:dyDescent="0.2">
      <c r="A1005" s="523">
        <v>43773</v>
      </c>
      <c r="B1005" s="499">
        <v>171521</v>
      </c>
      <c r="C1005" s="523"/>
      <c r="D1005" s="499"/>
    </row>
    <row r="1006" spans="1:4" x14ac:dyDescent="0.2">
      <c r="A1006" s="523">
        <v>43774</v>
      </c>
      <c r="B1006" s="499">
        <v>171521</v>
      </c>
      <c r="C1006" s="523"/>
      <c r="D1006" s="499"/>
    </row>
    <row r="1007" spans="1:4" x14ac:dyDescent="0.2">
      <c r="A1007" s="523">
        <v>43775</v>
      </c>
      <c r="B1007" s="499">
        <v>201934.13</v>
      </c>
      <c r="C1007" s="523"/>
      <c r="D1007" s="499"/>
    </row>
    <row r="1008" spans="1:4" x14ac:dyDescent="0.2">
      <c r="A1008" s="523">
        <v>43776</v>
      </c>
      <c r="B1008" s="499">
        <v>198457.3</v>
      </c>
      <c r="C1008" s="523"/>
      <c r="D1008" s="499"/>
    </row>
    <row r="1009" spans="1:4" x14ac:dyDescent="0.2">
      <c r="A1009" s="523">
        <v>43777</v>
      </c>
      <c r="B1009" s="499">
        <v>198457</v>
      </c>
      <c r="C1009" s="523"/>
      <c r="D1009" s="499"/>
    </row>
    <row r="1010" spans="1:4" x14ac:dyDescent="0.2">
      <c r="A1010" s="523">
        <v>43780</v>
      </c>
      <c r="B1010" s="499">
        <v>164046.53</v>
      </c>
      <c r="C1010" s="523"/>
      <c r="D1010" s="499"/>
    </row>
    <row r="1011" spans="1:4" x14ac:dyDescent="0.2">
      <c r="A1011" s="523">
        <v>43781</v>
      </c>
      <c r="B1011" s="499">
        <v>164047</v>
      </c>
      <c r="C1011" s="523"/>
      <c r="D1011" s="499"/>
    </row>
    <row r="1012" spans="1:4" x14ac:dyDescent="0.2">
      <c r="A1012" s="523">
        <v>43782</v>
      </c>
      <c r="B1012" s="499">
        <v>198779.19</v>
      </c>
      <c r="C1012" s="523"/>
      <c r="D1012" s="499"/>
    </row>
    <row r="1013" spans="1:4" x14ac:dyDescent="0.2">
      <c r="A1013" s="523">
        <v>43783</v>
      </c>
      <c r="B1013" s="499">
        <v>188221.13</v>
      </c>
      <c r="C1013" s="523"/>
      <c r="D1013" s="499"/>
    </row>
    <row r="1014" spans="1:4" x14ac:dyDescent="0.2">
      <c r="A1014" s="523">
        <v>43784</v>
      </c>
      <c r="B1014" s="499">
        <v>190279.89</v>
      </c>
      <c r="C1014" s="523"/>
      <c r="D1014" s="499"/>
    </row>
    <row r="1015" spans="1:4" x14ac:dyDescent="0.2">
      <c r="A1015" s="523">
        <v>43787</v>
      </c>
      <c r="B1015" s="499">
        <v>190179.89</v>
      </c>
      <c r="C1015" s="523"/>
      <c r="D1015" s="499"/>
    </row>
    <row r="1016" spans="1:4" x14ac:dyDescent="0.2">
      <c r="A1016" s="523">
        <v>43788</v>
      </c>
      <c r="B1016" s="499">
        <v>190180</v>
      </c>
      <c r="C1016" s="523"/>
      <c r="D1016" s="499"/>
    </row>
    <row r="1017" spans="1:4" x14ac:dyDescent="0.2">
      <c r="A1017" s="523">
        <v>43789</v>
      </c>
      <c r="B1017" s="499">
        <v>190180</v>
      </c>
      <c r="C1017" s="523"/>
      <c r="D1017" s="499"/>
    </row>
    <row r="1018" spans="1:4" x14ac:dyDescent="0.2">
      <c r="A1018" s="523">
        <v>43790</v>
      </c>
      <c r="B1018" s="499">
        <v>188919.3</v>
      </c>
      <c r="C1018" s="523"/>
      <c r="D1018" s="499"/>
    </row>
    <row r="1019" spans="1:4" x14ac:dyDescent="0.2">
      <c r="A1019" s="523">
        <v>43791</v>
      </c>
      <c r="B1019" s="499">
        <v>188919</v>
      </c>
      <c r="C1019" s="523"/>
      <c r="D1019" s="499"/>
    </row>
    <row r="1020" spans="1:4" x14ac:dyDescent="0.2">
      <c r="A1020" s="523">
        <v>43794</v>
      </c>
      <c r="B1020" s="499">
        <v>153349.64000000001</v>
      </c>
      <c r="C1020" s="523"/>
      <c r="D1020" s="499"/>
    </row>
    <row r="1021" spans="1:4" x14ac:dyDescent="0.2">
      <c r="A1021" s="523">
        <v>43795</v>
      </c>
      <c r="B1021" s="499">
        <v>153226.64000000001</v>
      </c>
      <c r="C1021" s="523"/>
      <c r="D1021" s="499"/>
    </row>
    <row r="1022" spans="1:4" x14ac:dyDescent="0.2">
      <c r="A1022" s="523">
        <v>43796</v>
      </c>
      <c r="B1022" s="499">
        <v>154369.64000000001</v>
      </c>
      <c r="C1022" s="523"/>
      <c r="D1022" s="499"/>
    </row>
    <row r="1023" spans="1:4" x14ac:dyDescent="0.2">
      <c r="A1023" s="523">
        <v>43797</v>
      </c>
      <c r="B1023" s="499">
        <v>154370</v>
      </c>
      <c r="C1023" s="523"/>
      <c r="D1023" s="499"/>
    </row>
    <row r="1024" spans="1:4" x14ac:dyDescent="0.2">
      <c r="A1024" s="523">
        <v>43798</v>
      </c>
      <c r="B1024" s="499">
        <v>237011.17</v>
      </c>
      <c r="C1024" s="523"/>
      <c r="D1024" s="499"/>
    </row>
    <row r="1025" spans="1:4" x14ac:dyDescent="0.2">
      <c r="A1025" s="523">
        <v>43801</v>
      </c>
      <c r="B1025" s="499">
        <v>237011</v>
      </c>
      <c r="C1025" s="523"/>
      <c r="D1025" s="499"/>
    </row>
    <row r="1026" spans="1:4" x14ac:dyDescent="0.2">
      <c r="A1026" s="523">
        <v>43802</v>
      </c>
      <c r="B1026" s="499">
        <v>237011</v>
      </c>
      <c r="C1026" s="523"/>
      <c r="D1026" s="499"/>
    </row>
    <row r="1027" spans="1:4" x14ac:dyDescent="0.2">
      <c r="A1027" s="523">
        <v>43803</v>
      </c>
      <c r="B1027" s="499">
        <v>237011</v>
      </c>
      <c r="C1027" s="523"/>
      <c r="D1027" s="499"/>
    </row>
    <row r="1028" spans="1:4" x14ac:dyDescent="0.2">
      <c r="A1028" s="523">
        <v>43804</v>
      </c>
      <c r="B1028" s="499">
        <v>229967.75</v>
      </c>
      <c r="C1028" s="523"/>
      <c r="D1028" s="499"/>
    </row>
    <row r="1029" spans="1:4" x14ac:dyDescent="0.2">
      <c r="A1029" s="523">
        <v>43805</v>
      </c>
      <c r="B1029" s="499">
        <v>229968</v>
      </c>
      <c r="C1029" s="523"/>
      <c r="D1029" s="499"/>
    </row>
    <row r="1030" spans="1:4" x14ac:dyDescent="0.2">
      <c r="A1030" s="523">
        <v>43808</v>
      </c>
      <c r="B1030" s="499">
        <v>193352.99</v>
      </c>
      <c r="C1030" s="523"/>
      <c r="D1030" s="499"/>
    </row>
    <row r="1031" spans="1:4" x14ac:dyDescent="0.2">
      <c r="A1031" s="523">
        <v>43809</v>
      </c>
      <c r="B1031" s="499">
        <v>193629.99</v>
      </c>
      <c r="C1031" s="523"/>
      <c r="D1031" s="499"/>
    </row>
    <row r="1032" spans="1:4" x14ac:dyDescent="0.2">
      <c r="A1032" s="523">
        <v>43810</v>
      </c>
      <c r="B1032" s="499">
        <v>193630</v>
      </c>
      <c r="C1032" s="523"/>
      <c r="D1032" s="499"/>
    </row>
    <row r="1033" spans="1:4" x14ac:dyDescent="0.2">
      <c r="A1033" s="523">
        <v>43811</v>
      </c>
      <c r="B1033" s="499">
        <v>193945</v>
      </c>
      <c r="C1033" s="523"/>
      <c r="D1033" s="499"/>
    </row>
    <row r="1034" spans="1:4" x14ac:dyDescent="0.2">
      <c r="A1034" s="523">
        <v>43812</v>
      </c>
      <c r="B1034" s="499">
        <v>196370.92</v>
      </c>
      <c r="C1034" s="523"/>
      <c r="D1034" s="499"/>
    </row>
    <row r="1035" spans="1:4" x14ac:dyDescent="0.2">
      <c r="A1035" s="523">
        <v>43815</v>
      </c>
      <c r="B1035" s="499">
        <v>196370.92</v>
      </c>
      <c r="C1035" s="523"/>
      <c r="D1035" s="499"/>
    </row>
    <row r="1036" spans="1:4" x14ac:dyDescent="0.2">
      <c r="A1036" s="523">
        <v>43816</v>
      </c>
      <c r="B1036" s="499">
        <v>196370.92</v>
      </c>
      <c r="C1036" s="523"/>
      <c r="D1036" s="499"/>
    </row>
    <row r="1037" spans="1:4" x14ac:dyDescent="0.2">
      <c r="A1037" s="523">
        <v>43817</v>
      </c>
      <c r="B1037" s="499">
        <v>196370.92</v>
      </c>
      <c r="C1037" s="523"/>
      <c r="D1037" s="499"/>
    </row>
    <row r="1038" spans="1:4" x14ac:dyDescent="0.2">
      <c r="A1038" s="523">
        <v>43818</v>
      </c>
      <c r="B1038" s="499">
        <v>194997.56</v>
      </c>
      <c r="C1038" s="523"/>
      <c r="D1038" s="499"/>
    </row>
    <row r="1039" spans="1:4" x14ac:dyDescent="0.2">
      <c r="A1039" s="523">
        <v>43819</v>
      </c>
      <c r="B1039" s="499">
        <v>194998</v>
      </c>
      <c r="C1039" s="523"/>
      <c r="D1039" s="499"/>
    </row>
    <row r="1040" spans="1:4" x14ac:dyDescent="0.2">
      <c r="A1040" s="523">
        <v>43822</v>
      </c>
      <c r="B1040" s="499">
        <v>158280.26999999999</v>
      </c>
      <c r="C1040" s="523"/>
      <c r="D1040" s="499"/>
    </row>
    <row r="1041" spans="1:4" x14ac:dyDescent="0.2">
      <c r="A1041" s="523">
        <v>43823</v>
      </c>
      <c r="B1041" s="499">
        <v>163840.26999999999</v>
      </c>
      <c r="C1041" s="523"/>
      <c r="D1041" s="499"/>
    </row>
    <row r="1042" spans="1:4" x14ac:dyDescent="0.2">
      <c r="A1042" s="523">
        <v>43824</v>
      </c>
      <c r="B1042" s="499">
        <v>163840</v>
      </c>
      <c r="C1042" s="523"/>
      <c r="D1042" s="499"/>
    </row>
    <row r="1043" spans="1:4" x14ac:dyDescent="0.2">
      <c r="A1043" s="523">
        <v>43825</v>
      </c>
      <c r="B1043" s="499">
        <v>213174.46</v>
      </c>
      <c r="C1043" s="523"/>
      <c r="D1043" s="499"/>
    </row>
    <row r="1044" spans="1:4" x14ac:dyDescent="0.2">
      <c r="A1044" s="523">
        <v>43826</v>
      </c>
      <c r="B1044" s="499">
        <v>212851.46</v>
      </c>
      <c r="C1044" s="523"/>
      <c r="D1044" s="499"/>
    </row>
    <row r="1045" spans="1:4" x14ac:dyDescent="0.2">
      <c r="A1045" s="523">
        <v>43829</v>
      </c>
      <c r="B1045" s="499">
        <v>212221.74</v>
      </c>
      <c r="C1045" s="523"/>
      <c r="D1045" s="499"/>
    </row>
    <row r="1046" spans="1:4" x14ac:dyDescent="0.2">
      <c r="A1046" s="523">
        <v>43830</v>
      </c>
      <c r="B1046" s="499">
        <v>189055.83</v>
      </c>
      <c r="C1046" s="523"/>
      <c r="D1046" s="499"/>
    </row>
    <row r="1047" spans="1:4" ht="15" x14ac:dyDescent="0.25">
      <c r="A1047" s="780">
        <v>43831</v>
      </c>
      <c r="B1047" s="499">
        <v>189056</v>
      </c>
      <c r="C1047" s="523"/>
      <c r="D1047" s="499"/>
    </row>
    <row r="1048" spans="1:4" ht="15" x14ac:dyDescent="0.25">
      <c r="A1048" s="780">
        <v>43832</v>
      </c>
      <c r="B1048" s="499">
        <v>206403.28</v>
      </c>
      <c r="C1048" s="523"/>
      <c r="D1048" s="499"/>
    </row>
    <row r="1049" spans="1:4" ht="15" x14ac:dyDescent="0.25">
      <c r="A1049" s="780">
        <v>43833</v>
      </c>
      <c r="B1049" s="499">
        <v>206217.28</v>
      </c>
      <c r="C1049" s="523"/>
      <c r="D1049" s="499"/>
    </row>
    <row r="1050" spans="1:4" ht="15" x14ac:dyDescent="0.25">
      <c r="A1050" s="780">
        <v>43836</v>
      </c>
      <c r="B1050" s="499">
        <v>206129.28</v>
      </c>
      <c r="C1050" s="523"/>
      <c r="D1050" s="499"/>
    </row>
    <row r="1051" spans="1:4" ht="15" x14ac:dyDescent="0.25">
      <c r="A1051" s="780">
        <v>43837</v>
      </c>
      <c r="B1051" s="499">
        <v>172858.39</v>
      </c>
      <c r="C1051" s="523"/>
      <c r="D1051" s="499"/>
    </row>
    <row r="1052" spans="1:4" ht="15" x14ac:dyDescent="0.25">
      <c r="A1052" s="780">
        <v>43838</v>
      </c>
      <c r="B1052" s="499">
        <v>172585</v>
      </c>
      <c r="C1052" s="523"/>
      <c r="D1052" s="499"/>
    </row>
    <row r="1053" spans="1:4" ht="15" x14ac:dyDescent="0.25">
      <c r="A1053" s="780">
        <v>43839</v>
      </c>
      <c r="B1053" s="499">
        <v>184752.38</v>
      </c>
      <c r="C1053" s="523"/>
      <c r="D1053" s="499"/>
    </row>
    <row r="1054" spans="1:4" ht="15" x14ac:dyDescent="0.25">
      <c r="A1054" s="780">
        <v>43840</v>
      </c>
      <c r="B1054" s="499">
        <v>199849.93</v>
      </c>
      <c r="C1054" s="523"/>
      <c r="D1054" s="499"/>
    </row>
    <row r="1055" spans="1:4" ht="15" x14ac:dyDescent="0.25">
      <c r="A1055" s="780">
        <v>43843</v>
      </c>
      <c r="B1055" s="499">
        <v>199850</v>
      </c>
      <c r="C1055" s="523"/>
      <c r="D1055" s="499"/>
    </row>
    <row r="1056" spans="1:4" ht="15" x14ac:dyDescent="0.25">
      <c r="A1056" s="780">
        <v>43844</v>
      </c>
      <c r="B1056" s="499">
        <v>199850</v>
      </c>
      <c r="C1056" s="523"/>
      <c r="D1056" s="499"/>
    </row>
    <row r="1057" spans="1:4" ht="15" x14ac:dyDescent="0.25">
      <c r="A1057" s="780">
        <v>43845</v>
      </c>
      <c r="B1057" s="499">
        <v>199942.09</v>
      </c>
      <c r="C1057" s="523"/>
      <c r="D1057" s="499"/>
    </row>
    <row r="1058" spans="1:4" ht="15" x14ac:dyDescent="0.25">
      <c r="A1058" s="780">
        <v>43846</v>
      </c>
      <c r="B1058" s="499">
        <v>197586.14</v>
      </c>
      <c r="C1058" s="523"/>
      <c r="D1058" s="499"/>
    </row>
    <row r="1059" spans="1:4" ht="15" x14ac:dyDescent="0.25">
      <c r="A1059" s="780">
        <v>43847</v>
      </c>
      <c r="B1059" s="499">
        <v>197586</v>
      </c>
      <c r="C1059" s="523"/>
      <c r="D1059" s="499"/>
    </row>
    <row r="1060" spans="1:4" ht="15" x14ac:dyDescent="0.25">
      <c r="A1060" s="780">
        <v>43850</v>
      </c>
      <c r="B1060" s="499">
        <v>197586</v>
      </c>
      <c r="C1060" s="523"/>
      <c r="D1060" s="499"/>
    </row>
    <row r="1061" spans="1:4" ht="15" x14ac:dyDescent="0.25">
      <c r="A1061" s="780">
        <v>43851</v>
      </c>
      <c r="B1061" s="499">
        <v>160213.23000000001</v>
      </c>
      <c r="C1061" s="523"/>
      <c r="D1061" s="719"/>
    </row>
    <row r="1062" spans="1:4" ht="15" x14ac:dyDescent="0.25">
      <c r="A1062" s="780">
        <v>43852</v>
      </c>
      <c r="B1062" s="499">
        <v>160213</v>
      </c>
      <c r="C1062" s="523"/>
      <c r="D1062" s="499"/>
    </row>
    <row r="1063" spans="1:4" ht="15" x14ac:dyDescent="0.25">
      <c r="A1063" s="780">
        <v>43853</v>
      </c>
      <c r="B1063" s="499">
        <v>178835.97</v>
      </c>
      <c r="C1063" s="523"/>
      <c r="D1063" s="499"/>
    </row>
    <row r="1064" spans="1:4" ht="15" x14ac:dyDescent="0.25">
      <c r="A1064" s="780">
        <v>43854</v>
      </c>
      <c r="B1064" s="499">
        <v>177774.06</v>
      </c>
      <c r="C1064" s="523"/>
      <c r="D1064" s="499"/>
    </row>
    <row r="1065" spans="1:4" ht="15" x14ac:dyDescent="0.25">
      <c r="A1065" s="780">
        <v>43857</v>
      </c>
      <c r="B1065" s="499">
        <v>177774</v>
      </c>
      <c r="C1065" s="523"/>
      <c r="D1065" s="499"/>
    </row>
    <row r="1066" spans="1:4" ht="15" x14ac:dyDescent="0.25">
      <c r="A1066" s="780">
        <v>43858</v>
      </c>
      <c r="B1066" s="499">
        <v>177774</v>
      </c>
      <c r="C1066" s="523"/>
      <c r="D1066" s="499"/>
    </row>
    <row r="1067" spans="1:4" ht="15" x14ac:dyDescent="0.25">
      <c r="A1067" s="780">
        <v>43859</v>
      </c>
      <c r="B1067" s="499">
        <v>253459.84</v>
      </c>
      <c r="C1067" s="523"/>
      <c r="D1067" s="499"/>
    </row>
    <row r="1068" spans="1:4" ht="15" x14ac:dyDescent="0.25">
      <c r="A1068" s="780">
        <v>43860</v>
      </c>
      <c r="B1068" s="499">
        <v>235320.22</v>
      </c>
      <c r="C1068" s="523"/>
      <c r="D1068" s="499"/>
    </row>
    <row r="1069" spans="1:4" ht="15" x14ac:dyDescent="0.25">
      <c r="A1069" s="780">
        <v>43861</v>
      </c>
      <c r="B1069" s="499">
        <v>235320</v>
      </c>
      <c r="C1069" s="523"/>
      <c r="D1069" s="499"/>
    </row>
    <row r="1070" spans="1:4" ht="15" x14ac:dyDescent="0.25">
      <c r="A1070" s="780">
        <v>43864</v>
      </c>
      <c r="B1070" s="499">
        <v>198483.96</v>
      </c>
      <c r="C1070" s="523"/>
      <c r="D1070" s="499"/>
    </row>
    <row r="1071" spans="1:4" ht="15" x14ac:dyDescent="0.25">
      <c r="A1071" s="780">
        <v>43865</v>
      </c>
      <c r="B1071" s="499">
        <v>212819.68</v>
      </c>
      <c r="C1071" s="523"/>
      <c r="D1071" s="499"/>
    </row>
    <row r="1072" spans="1:4" ht="15" x14ac:dyDescent="0.25">
      <c r="A1072" s="780">
        <v>43866</v>
      </c>
      <c r="B1072" s="499">
        <v>212820</v>
      </c>
      <c r="C1072" s="523"/>
      <c r="D1072" s="499"/>
    </row>
    <row r="1073" spans="1:4" ht="15" x14ac:dyDescent="0.25">
      <c r="A1073" s="780">
        <v>43867</v>
      </c>
      <c r="B1073" s="499">
        <v>212584.24</v>
      </c>
      <c r="C1073" s="523"/>
      <c r="D1073" s="499"/>
    </row>
    <row r="1074" spans="1:4" ht="15" x14ac:dyDescent="0.25">
      <c r="A1074" s="780">
        <v>43868</v>
      </c>
      <c r="B1074" s="499">
        <v>270092.23</v>
      </c>
      <c r="C1074" s="523"/>
      <c r="D1074" s="499"/>
    </row>
    <row r="1075" spans="1:4" ht="15" x14ac:dyDescent="0.25">
      <c r="A1075" s="780">
        <v>43871</v>
      </c>
      <c r="B1075" s="499">
        <v>270092</v>
      </c>
      <c r="C1075" s="523"/>
      <c r="D1075" s="499"/>
    </row>
    <row r="1076" spans="1:4" ht="15" x14ac:dyDescent="0.25">
      <c r="A1076" s="780">
        <v>43872</v>
      </c>
      <c r="B1076" s="499">
        <v>273133.13</v>
      </c>
      <c r="C1076" s="523"/>
      <c r="D1076" s="499"/>
    </row>
    <row r="1077" spans="1:4" ht="15" x14ac:dyDescent="0.25">
      <c r="A1077" s="780">
        <v>43873</v>
      </c>
      <c r="B1077" s="499">
        <v>273133</v>
      </c>
      <c r="C1077" s="523"/>
      <c r="D1077" s="499"/>
    </row>
    <row r="1078" spans="1:4" ht="15" x14ac:dyDescent="0.25">
      <c r="A1078" s="780">
        <v>43874</v>
      </c>
      <c r="B1078" s="499">
        <v>280484.09000000003</v>
      </c>
      <c r="C1078" s="523"/>
      <c r="D1078" s="499"/>
    </row>
    <row r="1079" spans="1:4" ht="15" x14ac:dyDescent="0.25">
      <c r="A1079" s="780">
        <v>43875</v>
      </c>
      <c r="B1079" s="499">
        <v>279225.67</v>
      </c>
      <c r="C1079" s="523"/>
      <c r="D1079" s="499"/>
    </row>
    <row r="1080" spans="1:4" ht="15" x14ac:dyDescent="0.25">
      <c r="A1080" s="780">
        <v>43878</v>
      </c>
      <c r="B1080" s="499">
        <v>279226</v>
      </c>
      <c r="C1080" s="523"/>
      <c r="D1080" s="499"/>
    </row>
    <row r="1081" spans="1:4" ht="15" x14ac:dyDescent="0.25">
      <c r="A1081" s="780">
        <v>43879</v>
      </c>
      <c r="B1081" s="499">
        <v>241740.68</v>
      </c>
      <c r="C1081" s="523"/>
      <c r="D1081" s="499"/>
    </row>
    <row r="1082" spans="1:4" ht="15" x14ac:dyDescent="0.25">
      <c r="A1082" s="780">
        <v>43880</v>
      </c>
      <c r="B1082" s="499">
        <v>268478</v>
      </c>
      <c r="C1082" s="523"/>
      <c r="D1082" s="499"/>
    </row>
    <row r="1083" spans="1:4" ht="15" x14ac:dyDescent="0.25">
      <c r="A1083" s="780">
        <v>43881</v>
      </c>
      <c r="B1083" s="499">
        <v>258524.93</v>
      </c>
      <c r="C1083" s="523"/>
      <c r="D1083" s="499"/>
    </row>
    <row r="1084" spans="1:4" ht="15" x14ac:dyDescent="0.25">
      <c r="A1084" s="780">
        <v>43882</v>
      </c>
      <c r="B1084" s="499">
        <v>277316.53000000003</v>
      </c>
      <c r="C1084" s="523"/>
      <c r="D1084" s="499"/>
    </row>
    <row r="1085" spans="1:4" ht="15" x14ac:dyDescent="0.25">
      <c r="A1085" s="780">
        <v>43885</v>
      </c>
      <c r="B1085" s="499">
        <v>277317</v>
      </c>
      <c r="C1085" s="523"/>
      <c r="D1085" s="499"/>
    </row>
    <row r="1086" spans="1:4" ht="15" x14ac:dyDescent="0.25">
      <c r="A1086" s="780">
        <v>43886</v>
      </c>
      <c r="B1086" s="499">
        <v>279881.78999999998</v>
      </c>
      <c r="C1086" s="523"/>
      <c r="D1086" s="499"/>
    </row>
    <row r="1087" spans="1:4" ht="15" x14ac:dyDescent="0.25">
      <c r="A1087" s="780">
        <v>43887</v>
      </c>
      <c r="B1087" s="499">
        <v>279882</v>
      </c>
      <c r="C1087" s="523"/>
      <c r="D1087" s="499"/>
    </row>
    <row r="1088" spans="1:4" ht="15" x14ac:dyDescent="0.25">
      <c r="A1088" s="780">
        <v>43888</v>
      </c>
      <c r="B1088" s="499">
        <v>270773.33</v>
      </c>
      <c r="C1088" s="523"/>
      <c r="D1088" s="499"/>
    </row>
    <row r="1089" spans="1:4" ht="15" x14ac:dyDescent="0.25">
      <c r="A1089" s="780">
        <v>43889</v>
      </c>
      <c r="B1089" s="499">
        <v>306133.57</v>
      </c>
      <c r="C1089" s="523"/>
      <c r="D1089" s="719"/>
    </row>
    <row r="1090" spans="1:4" ht="15" x14ac:dyDescent="0.25">
      <c r="A1090" s="780">
        <v>43892</v>
      </c>
      <c r="B1090" s="499">
        <v>267343.68</v>
      </c>
      <c r="C1090" s="523"/>
      <c r="D1090" s="719"/>
    </row>
    <row r="1091" spans="1:4" ht="15" x14ac:dyDescent="0.25">
      <c r="A1091" s="780">
        <v>43893</v>
      </c>
      <c r="B1091" s="499">
        <v>267157.68</v>
      </c>
      <c r="C1091" s="523"/>
      <c r="D1091" s="719"/>
    </row>
    <row r="1092" spans="1:4" ht="15" x14ac:dyDescent="0.25">
      <c r="A1092" s="780">
        <v>43894</v>
      </c>
      <c r="B1092" s="499">
        <v>267157.68</v>
      </c>
      <c r="C1092" s="523"/>
      <c r="D1092" s="719"/>
    </row>
    <row r="1093" spans="1:4" ht="15" x14ac:dyDescent="0.25">
      <c r="A1093" s="780">
        <v>43895</v>
      </c>
      <c r="B1093" s="499">
        <v>264690.95</v>
      </c>
      <c r="C1093" s="523"/>
      <c r="D1093" s="719"/>
    </row>
    <row r="1094" spans="1:4" ht="15" x14ac:dyDescent="0.25">
      <c r="A1094" s="780">
        <v>43896</v>
      </c>
      <c r="B1094" s="499">
        <v>264495.03999999998</v>
      </c>
      <c r="C1094" s="523"/>
      <c r="D1094" s="719"/>
    </row>
    <row r="1095" spans="1:4" ht="15" x14ac:dyDescent="0.25">
      <c r="A1095" s="780">
        <v>43899</v>
      </c>
      <c r="B1095" s="499">
        <v>264495.03999999998</v>
      </c>
      <c r="C1095" s="523"/>
      <c r="D1095" s="719"/>
    </row>
    <row r="1096" spans="1:4" ht="15" x14ac:dyDescent="0.25">
      <c r="A1096" s="780">
        <v>43900</v>
      </c>
      <c r="B1096" s="499">
        <v>267283.63</v>
      </c>
      <c r="C1096" s="523"/>
      <c r="D1096" s="719"/>
    </row>
    <row r="1097" spans="1:4" ht="15" x14ac:dyDescent="0.25">
      <c r="A1097" s="780">
        <v>43901</v>
      </c>
      <c r="B1097" s="499">
        <v>267283.63</v>
      </c>
      <c r="C1097" s="523"/>
      <c r="D1097" s="719"/>
    </row>
    <row r="1098" spans="1:4" ht="15" x14ac:dyDescent="0.25">
      <c r="A1098" s="780">
        <v>43902</v>
      </c>
      <c r="B1098" s="499">
        <v>259537.69</v>
      </c>
      <c r="C1098" s="523"/>
      <c r="D1098" s="719"/>
    </row>
    <row r="1099" spans="1:4" ht="15" x14ac:dyDescent="0.25">
      <c r="A1099" s="780">
        <v>43903</v>
      </c>
      <c r="B1099" s="499">
        <v>259645.65</v>
      </c>
      <c r="C1099" s="523"/>
      <c r="D1099" s="719"/>
    </row>
    <row r="1100" spans="1:4" ht="15" x14ac:dyDescent="0.25">
      <c r="A1100" s="780">
        <v>43906</v>
      </c>
      <c r="B1100" s="499">
        <v>279221.03000000003</v>
      </c>
      <c r="C1100" s="523"/>
      <c r="D1100" s="719"/>
    </row>
    <row r="1101" spans="1:4" ht="15" x14ac:dyDescent="0.25">
      <c r="A1101" s="780">
        <v>43907</v>
      </c>
      <c r="B1101" s="499">
        <v>232150.36</v>
      </c>
      <c r="C1101" s="523"/>
      <c r="D1101" s="719"/>
    </row>
    <row r="1102" spans="1:4" ht="15" x14ac:dyDescent="0.25">
      <c r="A1102" s="780">
        <v>43908</v>
      </c>
      <c r="B1102" s="499">
        <v>274274.51</v>
      </c>
      <c r="C1102" s="523"/>
      <c r="D1102" s="719"/>
    </row>
    <row r="1103" spans="1:4" ht="15" x14ac:dyDescent="0.25">
      <c r="A1103" s="780">
        <v>43909</v>
      </c>
      <c r="B1103" s="499">
        <v>276629.48</v>
      </c>
      <c r="C1103" s="523"/>
      <c r="D1103" s="719"/>
    </row>
    <row r="1104" spans="1:4" ht="15" x14ac:dyDescent="0.25">
      <c r="A1104" s="780">
        <v>43910</v>
      </c>
      <c r="B1104" s="499">
        <v>276629.48</v>
      </c>
      <c r="C1104" s="523"/>
      <c r="D1104" s="719"/>
    </row>
    <row r="1105" spans="1:4" ht="15" x14ac:dyDescent="0.25">
      <c r="A1105" s="780">
        <v>43913</v>
      </c>
      <c r="B1105" s="499">
        <v>292626.55</v>
      </c>
      <c r="C1105" s="523"/>
      <c r="D1105" s="719"/>
    </row>
    <row r="1106" spans="1:4" ht="15" x14ac:dyDescent="0.25">
      <c r="A1106" s="780">
        <v>43914</v>
      </c>
      <c r="B1106" s="499">
        <v>292626.55</v>
      </c>
      <c r="C1106" s="523"/>
      <c r="D1106" s="719"/>
    </row>
    <row r="1107" spans="1:4" ht="15" x14ac:dyDescent="0.25">
      <c r="A1107" s="780">
        <v>43915</v>
      </c>
      <c r="B1107" s="499">
        <v>292626.55</v>
      </c>
      <c r="C1107" s="523"/>
      <c r="D1107" s="719"/>
    </row>
    <row r="1108" spans="1:4" ht="15" x14ac:dyDescent="0.25">
      <c r="A1108" s="780">
        <v>43916</v>
      </c>
      <c r="B1108" s="499">
        <v>292626.55</v>
      </c>
      <c r="C1108" s="523"/>
      <c r="D1108" s="719"/>
    </row>
    <row r="1109" spans="1:4" ht="15" x14ac:dyDescent="0.25">
      <c r="A1109" s="780">
        <v>43917</v>
      </c>
      <c r="B1109" s="499">
        <v>292582.55</v>
      </c>
      <c r="C1109" s="523"/>
      <c r="D1109" s="719"/>
    </row>
    <row r="1110" spans="1:4" ht="15" x14ac:dyDescent="0.25">
      <c r="A1110" s="780">
        <v>43920</v>
      </c>
      <c r="B1110" s="499">
        <v>292582.55</v>
      </c>
      <c r="C1110" s="523"/>
      <c r="D1110" s="719"/>
    </row>
    <row r="1111" spans="1:4" ht="15" x14ac:dyDescent="0.25">
      <c r="A1111" s="780">
        <v>43921</v>
      </c>
      <c r="B1111" s="499">
        <v>292582.55</v>
      </c>
      <c r="C1111" s="523"/>
      <c r="D1111" s="719"/>
    </row>
    <row r="1112" spans="1:4" ht="15" x14ac:dyDescent="0.25">
      <c r="A1112" s="780">
        <v>43922</v>
      </c>
      <c r="B1112" s="499">
        <v>256343.91</v>
      </c>
      <c r="C1112" s="523"/>
      <c r="D1112" s="719"/>
    </row>
    <row r="1113" spans="1:4" ht="15" x14ac:dyDescent="0.25">
      <c r="A1113" s="780">
        <v>43923</v>
      </c>
      <c r="B1113" s="499">
        <v>260066.55</v>
      </c>
      <c r="C1113" s="523"/>
      <c r="D1113" s="719"/>
    </row>
    <row r="1114" spans="1:4" ht="15" x14ac:dyDescent="0.25">
      <c r="A1114" s="780">
        <v>43924</v>
      </c>
      <c r="B1114" s="499">
        <v>259418.64</v>
      </c>
      <c r="C1114" s="523"/>
      <c r="D1114" s="719"/>
    </row>
    <row r="1115" spans="1:4" ht="15" x14ac:dyDescent="0.25">
      <c r="A1115" s="780">
        <v>43927</v>
      </c>
      <c r="B1115" s="499">
        <v>259418.64</v>
      </c>
      <c r="C1115" s="523"/>
      <c r="D1115" s="719"/>
    </row>
    <row r="1116" spans="1:4" ht="15" x14ac:dyDescent="0.25">
      <c r="A1116" s="780">
        <v>43928</v>
      </c>
      <c r="B1116" s="499">
        <v>259418.64</v>
      </c>
      <c r="C1116" s="523"/>
      <c r="D1116" s="719"/>
    </row>
    <row r="1117" spans="1:4" ht="15" x14ac:dyDescent="0.25">
      <c r="A1117" s="780">
        <v>43929</v>
      </c>
      <c r="B1117" s="499">
        <v>259418.64</v>
      </c>
      <c r="C1117" s="523"/>
      <c r="D1117" s="719"/>
    </row>
    <row r="1118" spans="1:4" ht="15" x14ac:dyDescent="0.25">
      <c r="A1118" s="780">
        <v>43930</v>
      </c>
      <c r="B1118" s="499">
        <v>256056.32000000001</v>
      </c>
      <c r="C1118" s="523"/>
      <c r="D1118" s="719"/>
    </row>
    <row r="1119" spans="1:4" ht="15" x14ac:dyDescent="0.25">
      <c r="A1119" s="780">
        <v>43931</v>
      </c>
      <c r="B1119" s="499">
        <v>256056.32000000001</v>
      </c>
      <c r="C1119" s="523"/>
      <c r="D1119" s="719"/>
    </row>
    <row r="1120" spans="1:4" ht="15" x14ac:dyDescent="0.25">
      <c r="A1120" s="780">
        <v>43934</v>
      </c>
      <c r="B1120" s="499">
        <v>256056.32000000001</v>
      </c>
      <c r="C1120" s="523"/>
      <c r="D1120" s="719"/>
    </row>
    <row r="1121" spans="1:4" ht="15" x14ac:dyDescent="0.25">
      <c r="A1121" s="780">
        <v>43935</v>
      </c>
      <c r="B1121" s="499">
        <v>256056.32000000001</v>
      </c>
      <c r="C1121" s="523"/>
      <c r="D1121" s="719"/>
    </row>
    <row r="1122" spans="1:4" ht="15" x14ac:dyDescent="0.25">
      <c r="A1122" s="780">
        <v>43936</v>
      </c>
      <c r="B1122" s="499">
        <v>222877.12</v>
      </c>
      <c r="C1122" s="523"/>
      <c r="D1122" s="719"/>
    </row>
    <row r="1123" spans="1:4" ht="15" x14ac:dyDescent="0.25">
      <c r="A1123" s="780">
        <v>43937</v>
      </c>
      <c r="B1123" s="499">
        <v>222877.12</v>
      </c>
      <c r="C1123" s="523"/>
      <c r="D1123" s="719"/>
    </row>
    <row r="1124" spans="1:4" ht="15" x14ac:dyDescent="0.25">
      <c r="A1124" s="780">
        <v>43938</v>
      </c>
      <c r="B1124" s="499">
        <v>222415.21</v>
      </c>
      <c r="C1124" s="523"/>
      <c r="D1124" s="719"/>
    </row>
    <row r="1125" spans="1:4" ht="15" x14ac:dyDescent="0.25">
      <c r="A1125" s="780">
        <v>43941</v>
      </c>
      <c r="B1125" s="499">
        <v>222415.21</v>
      </c>
      <c r="C1125" s="523"/>
      <c r="D1125" s="719"/>
    </row>
    <row r="1126" spans="1:4" ht="15" x14ac:dyDescent="0.25">
      <c r="A1126" s="780">
        <v>43942</v>
      </c>
      <c r="B1126" s="499">
        <v>222415.21</v>
      </c>
      <c r="C1126" s="523"/>
      <c r="D1126" s="719"/>
    </row>
    <row r="1127" spans="1:4" ht="15" x14ac:dyDescent="0.25">
      <c r="A1127" s="780">
        <v>43943</v>
      </c>
      <c r="B1127" s="499">
        <v>222415.21</v>
      </c>
      <c r="C1127" s="523"/>
      <c r="D1127" s="719"/>
    </row>
    <row r="1128" spans="1:4" ht="15" x14ac:dyDescent="0.25">
      <c r="A1128" s="780">
        <v>43944</v>
      </c>
      <c r="B1128" s="499">
        <v>185658.71</v>
      </c>
      <c r="C1128" s="523"/>
      <c r="D1128" s="719"/>
    </row>
    <row r="1129" spans="1:4" ht="15" x14ac:dyDescent="0.25">
      <c r="A1129" s="780">
        <v>43945</v>
      </c>
      <c r="B1129" s="499">
        <v>185658.71</v>
      </c>
      <c r="C1129" s="523"/>
      <c r="D1129" s="719"/>
    </row>
    <row r="1130" spans="1:4" ht="15" x14ac:dyDescent="0.25">
      <c r="A1130" s="780">
        <v>43948</v>
      </c>
      <c r="B1130" s="499">
        <v>185614.71</v>
      </c>
      <c r="C1130" s="523"/>
      <c r="D1130" s="719"/>
    </row>
    <row r="1131" spans="1:4" ht="15" x14ac:dyDescent="0.25">
      <c r="A1131" s="780">
        <v>43949</v>
      </c>
      <c r="B1131" s="560">
        <v>152434.01999999999</v>
      </c>
      <c r="C1131" s="523"/>
      <c r="D1131" s="560"/>
    </row>
    <row r="1132" spans="1:4" ht="15" x14ac:dyDescent="0.25">
      <c r="A1132" s="780">
        <v>43950</v>
      </c>
      <c r="B1132" s="499">
        <v>152434.01999999999</v>
      </c>
      <c r="C1132" s="523"/>
      <c r="D1132" s="719"/>
    </row>
    <row r="1133" spans="1:4" ht="15" x14ac:dyDescent="0.25">
      <c r="A1133" s="780">
        <v>43951</v>
      </c>
      <c r="B1133" s="499">
        <v>173230.55</v>
      </c>
      <c r="C1133" s="523"/>
      <c r="D1133" s="719"/>
    </row>
    <row r="1134" spans="1:4" ht="15" x14ac:dyDescent="0.25">
      <c r="A1134" s="780">
        <v>43952</v>
      </c>
      <c r="B1134" s="499">
        <f>C1134+D1134</f>
        <v>173492.71000000002</v>
      </c>
      <c r="C1134" s="783">
        <v>172768.64000000001</v>
      </c>
      <c r="D1134" s="784">
        <v>724.07</v>
      </c>
    </row>
    <row r="1135" spans="1:4" ht="15" x14ac:dyDescent="0.25">
      <c r="A1135" s="780">
        <v>43955</v>
      </c>
      <c r="B1135" s="499">
        <f t="shared" ref="B1135:B1198" si="4">C1135+D1135</f>
        <v>173306.64</v>
      </c>
      <c r="C1135" s="783">
        <v>172582.64</v>
      </c>
      <c r="D1135" s="784">
        <v>724</v>
      </c>
    </row>
    <row r="1136" spans="1:4" ht="15" x14ac:dyDescent="0.25">
      <c r="A1136" s="780">
        <v>43956</v>
      </c>
      <c r="B1136" s="499">
        <f t="shared" si="4"/>
        <v>173307</v>
      </c>
      <c r="C1136" s="783">
        <v>172583</v>
      </c>
      <c r="D1136" s="784">
        <f>D1135</f>
        <v>724</v>
      </c>
    </row>
    <row r="1137" spans="1:4" ht="15" x14ac:dyDescent="0.25">
      <c r="A1137" s="780">
        <v>43957</v>
      </c>
      <c r="B1137" s="499">
        <f t="shared" si="4"/>
        <v>173307</v>
      </c>
      <c r="C1137" s="783">
        <v>172583</v>
      </c>
      <c r="D1137" s="784">
        <f t="shared" ref="D1137:D1179" si="5">D1136</f>
        <v>724</v>
      </c>
    </row>
    <row r="1138" spans="1:4" ht="15" x14ac:dyDescent="0.25">
      <c r="A1138" s="780">
        <v>43958</v>
      </c>
      <c r="B1138" s="499">
        <f t="shared" si="4"/>
        <v>173307</v>
      </c>
      <c r="C1138" s="783">
        <v>172583</v>
      </c>
      <c r="D1138" s="784">
        <f t="shared" si="5"/>
        <v>724</v>
      </c>
    </row>
    <row r="1139" spans="1:4" ht="15" x14ac:dyDescent="0.25">
      <c r="A1139" s="780">
        <v>43959</v>
      </c>
      <c r="B1139" s="499">
        <f t="shared" si="4"/>
        <v>385709.68000000005</v>
      </c>
      <c r="C1139" s="783">
        <v>187582.64</v>
      </c>
      <c r="D1139" s="784">
        <v>198127.04</v>
      </c>
    </row>
    <row r="1140" spans="1:4" ht="15" x14ac:dyDescent="0.25">
      <c r="A1140" s="780">
        <v>43962</v>
      </c>
      <c r="B1140" s="499">
        <f t="shared" si="4"/>
        <v>385710.04000000004</v>
      </c>
      <c r="C1140" s="783">
        <v>187583</v>
      </c>
      <c r="D1140" s="784">
        <f t="shared" si="5"/>
        <v>198127.04</v>
      </c>
    </row>
    <row r="1141" spans="1:4" ht="15" x14ac:dyDescent="0.25">
      <c r="A1141" s="780">
        <v>43963</v>
      </c>
      <c r="B1141" s="560">
        <f t="shared" si="4"/>
        <v>385904.98</v>
      </c>
      <c r="C1141" s="783">
        <v>187777.94</v>
      </c>
      <c r="D1141" s="784">
        <f t="shared" si="5"/>
        <v>198127.04</v>
      </c>
    </row>
    <row r="1142" spans="1:4" ht="15" x14ac:dyDescent="0.25">
      <c r="A1142" s="780">
        <v>43964</v>
      </c>
      <c r="B1142" s="499">
        <f t="shared" si="4"/>
        <v>362979.35</v>
      </c>
      <c r="C1142" s="783">
        <v>187778</v>
      </c>
      <c r="D1142" s="784">
        <v>175201.35</v>
      </c>
    </row>
    <row r="1143" spans="1:4" ht="15" x14ac:dyDescent="0.25">
      <c r="A1143" s="780">
        <v>43965</v>
      </c>
      <c r="B1143" s="499">
        <f t="shared" si="4"/>
        <v>362979.35</v>
      </c>
      <c r="C1143" s="783">
        <v>187778</v>
      </c>
      <c r="D1143" s="784">
        <f t="shared" si="5"/>
        <v>175201.35</v>
      </c>
    </row>
    <row r="1144" spans="1:4" ht="15" x14ac:dyDescent="0.25">
      <c r="A1144" s="780">
        <v>43966</v>
      </c>
      <c r="B1144" s="499">
        <f t="shared" si="4"/>
        <v>362624.73</v>
      </c>
      <c r="C1144" s="783">
        <v>187400</v>
      </c>
      <c r="D1144" s="784">
        <v>175224.73</v>
      </c>
    </row>
    <row r="1145" spans="1:4" ht="15" x14ac:dyDescent="0.25">
      <c r="A1145" s="780">
        <v>43969</v>
      </c>
      <c r="B1145" s="499">
        <f t="shared" si="4"/>
        <v>362070.03</v>
      </c>
      <c r="C1145" s="783">
        <v>187400</v>
      </c>
      <c r="D1145" s="784">
        <v>174670.03</v>
      </c>
    </row>
    <row r="1146" spans="1:4" ht="15" x14ac:dyDescent="0.25">
      <c r="A1146" s="780">
        <v>43970</v>
      </c>
      <c r="B1146" s="499">
        <f t="shared" si="4"/>
        <v>352214.86</v>
      </c>
      <c r="C1146" s="783">
        <v>187400</v>
      </c>
      <c r="D1146" s="784">
        <v>164814.85999999999</v>
      </c>
    </row>
    <row r="1147" spans="1:4" ht="15" x14ac:dyDescent="0.25">
      <c r="A1147" s="780">
        <v>43971</v>
      </c>
      <c r="B1147" s="499">
        <f t="shared" si="4"/>
        <v>352214.86</v>
      </c>
      <c r="C1147" s="783">
        <v>187400</v>
      </c>
      <c r="D1147" s="784">
        <f t="shared" si="5"/>
        <v>164814.85999999999</v>
      </c>
    </row>
    <row r="1148" spans="1:4" ht="15" x14ac:dyDescent="0.25">
      <c r="A1148" s="780">
        <v>43972</v>
      </c>
      <c r="B1148" s="499">
        <f t="shared" si="4"/>
        <v>337570.28</v>
      </c>
      <c r="C1148" s="783">
        <v>178152.54</v>
      </c>
      <c r="D1148" s="784">
        <v>159417.74</v>
      </c>
    </row>
    <row r="1149" spans="1:4" ht="15" x14ac:dyDescent="0.25">
      <c r="A1149" s="780">
        <v>43973</v>
      </c>
      <c r="B1149" s="499">
        <f t="shared" si="4"/>
        <v>337570.28</v>
      </c>
      <c r="C1149" s="783">
        <v>178152.54</v>
      </c>
      <c r="D1149" s="784">
        <f t="shared" si="5"/>
        <v>159417.74</v>
      </c>
    </row>
    <row r="1150" spans="1:4" x14ac:dyDescent="0.2">
      <c r="A1150" s="523">
        <v>43976</v>
      </c>
      <c r="B1150" s="499">
        <f t="shared" si="4"/>
        <v>337570.28</v>
      </c>
      <c r="C1150" s="783">
        <v>178152.54</v>
      </c>
      <c r="D1150" s="784">
        <f t="shared" si="5"/>
        <v>159417.74</v>
      </c>
    </row>
    <row r="1151" spans="1:4" x14ac:dyDescent="0.2">
      <c r="A1151" s="523">
        <v>43977</v>
      </c>
      <c r="B1151" s="499">
        <f t="shared" si="4"/>
        <v>337570.28</v>
      </c>
      <c r="C1151" s="783">
        <v>178152.54</v>
      </c>
      <c r="D1151" s="784">
        <f t="shared" si="5"/>
        <v>159417.74</v>
      </c>
    </row>
    <row r="1152" spans="1:4" x14ac:dyDescent="0.2">
      <c r="A1152" s="523">
        <v>43978</v>
      </c>
      <c r="B1152" s="499">
        <f t="shared" si="4"/>
        <v>314828.33999999997</v>
      </c>
      <c r="C1152" s="783">
        <v>178108.54</v>
      </c>
      <c r="D1152" s="784">
        <v>136719.79999999999</v>
      </c>
    </row>
    <row r="1153" spans="1:4" x14ac:dyDescent="0.2">
      <c r="A1153" s="523">
        <v>43979</v>
      </c>
      <c r="B1153" s="499">
        <f t="shared" si="4"/>
        <v>314642.31</v>
      </c>
      <c r="C1153" s="783">
        <v>177922.51</v>
      </c>
      <c r="D1153" s="784">
        <f t="shared" si="5"/>
        <v>136719.79999999999</v>
      </c>
    </row>
    <row r="1154" spans="1:4" x14ac:dyDescent="0.2">
      <c r="A1154" s="523">
        <v>43980</v>
      </c>
      <c r="B1154" s="499">
        <f t="shared" si="4"/>
        <v>314180.40000000002</v>
      </c>
      <c r="C1154" s="783">
        <v>177460.6</v>
      </c>
      <c r="D1154" s="784">
        <f t="shared" si="5"/>
        <v>136719.79999999999</v>
      </c>
    </row>
    <row r="1155" spans="1:4" x14ac:dyDescent="0.2">
      <c r="A1155" s="523">
        <v>43983</v>
      </c>
      <c r="B1155" s="499">
        <f t="shared" si="4"/>
        <v>336211.19</v>
      </c>
      <c r="C1155" s="783">
        <v>201698.93</v>
      </c>
      <c r="D1155" s="784">
        <v>134512.26</v>
      </c>
    </row>
    <row r="1156" spans="1:4" x14ac:dyDescent="0.2">
      <c r="A1156" s="523">
        <v>43984</v>
      </c>
      <c r="B1156" s="499">
        <f t="shared" si="4"/>
        <v>327639.93</v>
      </c>
      <c r="C1156" s="783">
        <v>201512.93</v>
      </c>
      <c r="D1156" s="784">
        <v>126127</v>
      </c>
    </row>
    <row r="1157" spans="1:4" x14ac:dyDescent="0.2">
      <c r="A1157" s="523">
        <v>43985</v>
      </c>
      <c r="B1157" s="499">
        <f t="shared" si="4"/>
        <v>327640</v>
      </c>
      <c r="C1157" s="783">
        <v>201513</v>
      </c>
      <c r="D1157" s="784">
        <f t="shared" si="5"/>
        <v>126127</v>
      </c>
    </row>
    <row r="1158" spans="1:4" x14ac:dyDescent="0.2">
      <c r="A1158" s="523">
        <v>43986</v>
      </c>
      <c r="B1158" s="499">
        <f t="shared" si="4"/>
        <v>332166.29000000004</v>
      </c>
      <c r="C1158" s="783">
        <v>206039.29</v>
      </c>
      <c r="D1158" s="784">
        <f t="shared" si="5"/>
        <v>126127</v>
      </c>
    </row>
    <row r="1159" spans="1:4" x14ac:dyDescent="0.2">
      <c r="A1159" s="523">
        <v>43987</v>
      </c>
      <c r="B1159" s="499">
        <f t="shared" si="4"/>
        <v>332166.29000000004</v>
      </c>
      <c r="C1159" s="783">
        <f>C1158</f>
        <v>206039.29</v>
      </c>
      <c r="D1159" s="784">
        <f t="shared" si="5"/>
        <v>126127</v>
      </c>
    </row>
    <row r="1160" spans="1:4" x14ac:dyDescent="0.2">
      <c r="A1160" s="523">
        <v>43990</v>
      </c>
      <c r="B1160" s="499">
        <f t="shared" si="4"/>
        <v>378580.41000000003</v>
      </c>
      <c r="C1160" s="783">
        <v>252453.41</v>
      </c>
      <c r="D1160" s="784">
        <f t="shared" si="5"/>
        <v>126127</v>
      </c>
    </row>
    <row r="1161" spans="1:4" x14ac:dyDescent="0.2">
      <c r="A1161" s="523">
        <v>43991</v>
      </c>
      <c r="B1161" s="499">
        <f t="shared" si="4"/>
        <v>378580.41000000003</v>
      </c>
      <c r="C1161" s="783">
        <f t="shared" ref="C1161:C1175" si="6">C1160</f>
        <v>252453.41</v>
      </c>
      <c r="D1161" s="784">
        <f t="shared" si="5"/>
        <v>126127</v>
      </c>
    </row>
    <row r="1162" spans="1:4" x14ac:dyDescent="0.2">
      <c r="A1162" s="523">
        <v>43992</v>
      </c>
      <c r="B1162" s="499">
        <f t="shared" si="4"/>
        <v>355599.42</v>
      </c>
      <c r="C1162" s="783">
        <f t="shared" si="6"/>
        <v>252453.41</v>
      </c>
      <c r="D1162" s="784">
        <v>103146.01</v>
      </c>
    </row>
    <row r="1163" spans="1:4" x14ac:dyDescent="0.2">
      <c r="A1163" s="523">
        <v>43993</v>
      </c>
      <c r="B1163" s="499">
        <f t="shared" si="4"/>
        <v>348512.49</v>
      </c>
      <c r="C1163" s="783">
        <v>255461.07</v>
      </c>
      <c r="D1163" s="784">
        <v>93051.42</v>
      </c>
    </row>
    <row r="1164" spans="1:4" x14ac:dyDescent="0.2">
      <c r="A1164" s="523">
        <v>43994</v>
      </c>
      <c r="B1164" s="499">
        <f t="shared" si="4"/>
        <v>351663.19</v>
      </c>
      <c r="C1164" s="783">
        <v>258611.77</v>
      </c>
      <c r="D1164" s="784">
        <f t="shared" si="5"/>
        <v>93051.42</v>
      </c>
    </row>
    <row r="1165" spans="1:4" x14ac:dyDescent="0.2">
      <c r="A1165" s="523">
        <v>43997</v>
      </c>
      <c r="B1165" s="499">
        <f t="shared" si="4"/>
        <v>351097.70999999996</v>
      </c>
      <c r="C1165" s="783">
        <f t="shared" si="6"/>
        <v>258611.77</v>
      </c>
      <c r="D1165" s="784">
        <v>92485.94</v>
      </c>
    </row>
    <row r="1166" spans="1:4" x14ac:dyDescent="0.2">
      <c r="A1166" s="523">
        <v>43998</v>
      </c>
      <c r="B1166" s="499">
        <f t="shared" si="4"/>
        <v>351097.70999999996</v>
      </c>
      <c r="C1166" s="783">
        <f t="shared" si="6"/>
        <v>258611.77</v>
      </c>
      <c r="D1166" s="784">
        <f t="shared" si="5"/>
        <v>92485.94</v>
      </c>
    </row>
    <row r="1167" spans="1:4" x14ac:dyDescent="0.2">
      <c r="A1167" s="523">
        <v>43999</v>
      </c>
      <c r="B1167" s="499">
        <f t="shared" si="4"/>
        <v>342735.58</v>
      </c>
      <c r="C1167" s="783">
        <v>250249.64</v>
      </c>
      <c r="D1167" s="784">
        <f t="shared" si="5"/>
        <v>92485.94</v>
      </c>
    </row>
    <row r="1168" spans="1:4" x14ac:dyDescent="0.2">
      <c r="A1168" s="523">
        <v>44000</v>
      </c>
      <c r="B1168" s="499">
        <f t="shared" si="4"/>
        <v>344495.52</v>
      </c>
      <c r="C1168" s="783">
        <v>252009.58</v>
      </c>
      <c r="D1168" s="784">
        <f t="shared" si="5"/>
        <v>92485.94</v>
      </c>
    </row>
    <row r="1169" spans="1:4" x14ac:dyDescent="0.2">
      <c r="A1169" s="523">
        <v>44001</v>
      </c>
      <c r="B1169" s="499">
        <f t="shared" si="4"/>
        <v>344495.52</v>
      </c>
      <c r="C1169" s="783">
        <f t="shared" si="6"/>
        <v>252009.58</v>
      </c>
      <c r="D1169" s="784">
        <f t="shared" si="5"/>
        <v>92485.94</v>
      </c>
    </row>
    <row r="1170" spans="1:4" x14ac:dyDescent="0.2">
      <c r="A1170" s="523">
        <v>44004</v>
      </c>
      <c r="B1170" s="499">
        <f t="shared" si="4"/>
        <v>344495.52</v>
      </c>
      <c r="C1170" s="783">
        <f t="shared" si="6"/>
        <v>252009.58</v>
      </c>
      <c r="D1170" s="784">
        <f t="shared" si="5"/>
        <v>92485.94</v>
      </c>
    </row>
    <row r="1171" spans="1:4" x14ac:dyDescent="0.2">
      <c r="A1171" s="523">
        <v>44005</v>
      </c>
      <c r="B1171" s="499">
        <f t="shared" si="4"/>
        <v>334324.15000000002</v>
      </c>
      <c r="C1171" s="783">
        <v>241838.21</v>
      </c>
      <c r="D1171" s="784">
        <f t="shared" si="5"/>
        <v>92485.94</v>
      </c>
    </row>
    <row r="1172" spans="1:4" x14ac:dyDescent="0.2">
      <c r="A1172" s="523">
        <v>44006</v>
      </c>
      <c r="B1172" s="499">
        <f t="shared" si="4"/>
        <v>342928.85</v>
      </c>
      <c r="C1172" s="783">
        <v>275398.59999999998</v>
      </c>
      <c r="D1172" s="784">
        <v>67530.25</v>
      </c>
    </row>
    <row r="1173" spans="1:4" x14ac:dyDescent="0.2">
      <c r="A1173" s="523">
        <v>44007</v>
      </c>
      <c r="B1173" s="499">
        <f t="shared" si="4"/>
        <v>325375.87</v>
      </c>
      <c r="C1173" s="783">
        <v>268709.96999999997</v>
      </c>
      <c r="D1173" s="784">
        <v>56665.9</v>
      </c>
    </row>
    <row r="1174" spans="1:4" x14ac:dyDescent="0.2">
      <c r="A1174" s="523">
        <v>44008</v>
      </c>
      <c r="B1174" s="499">
        <f t="shared" si="4"/>
        <v>324225.81</v>
      </c>
      <c r="C1174" s="783">
        <v>268257.68</v>
      </c>
      <c r="D1174" s="784">
        <v>55968.13</v>
      </c>
    </row>
    <row r="1175" spans="1:4" x14ac:dyDescent="0.2">
      <c r="A1175" s="523">
        <v>44011</v>
      </c>
      <c r="B1175" s="499">
        <f t="shared" si="4"/>
        <v>324225.81</v>
      </c>
      <c r="C1175" s="783">
        <f t="shared" si="6"/>
        <v>268257.68</v>
      </c>
      <c r="D1175" s="784">
        <f t="shared" si="5"/>
        <v>55968.13</v>
      </c>
    </row>
    <row r="1176" spans="1:4" x14ac:dyDescent="0.2">
      <c r="A1176" s="523">
        <v>44012</v>
      </c>
      <c r="B1176" s="499">
        <f t="shared" si="4"/>
        <v>332737.41000000003</v>
      </c>
      <c r="C1176" s="783">
        <v>276769.28000000003</v>
      </c>
      <c r="D1176" s="784">
        <f t="shared" si="5"/>
        <v>55968.13</v>
      </c>
    </row>
    <row r="1177" spans="1:4" x14ac:dyDescent="0.2">
      <c r="A1177" s="523">
        <v>44013</v>
      </c>
      <c r="B1177" s="499">
        <f t="shared" si="4"/>
        <v>348287.12</v>
      </c>
      <c r="C1177" s="783">
        <v>292318.99</v>
      </c>
      <c r="D1177" s="784">
        <f t="shared" si="5"/>
        <v>55968.13</v>
      </c>
    </row>
    <row r="1178" spans="1:4" x14ac:dyDescent="0.2">
      <c r="A1178" s="523">
        <v>44014</v>
      </c>
      <c r="B1178" s="499">
        <f t="shared" si="4"/>
        <v>351754.67</v>
      </c>
      <c r="C1178" s="783">
        <v>295786.53999999998</v>
      </c>
      <c r="D1178" s="784">
        <f t="shared" si="5"/>
        <v>55968.13</v>
      </c>
    </row>
    <row r="1179" spans="1:4" x14ac:dyDescent="0.2">
      <c r="A1179" s="523">
        <v>44015</v>
      </c>
      <c r="B1179" s="499">
        <f t="shared" si="4"/>
        <v>352041.67</v>
      </c>
      <c r="C1179" s="783">
        <v>296073.53999999998</v>
      </c>
      <c r="D1179" s="784">
        <f t="shared" si="5"/>
        <v>55968.13</v>
      </c>
    </row>
    <row r="1180" spans="1:4" x14ac:dyDescent="0.2">
      <c r="A1180" s="523">
        <v>44018</v>
      </c>
      <c r="B1180" s="499">
        <f t="shared" si="4"/>
        <v>352042</v>
      </c>
      <c r="C1180" s="783">
        <v>296074</v>
      </c>
      <c r="D1180" s="784">
        <v>55968</v>
      </c>
    </row>
    <row r="1181" spans="1:4" x14ac:dyDescent="0.2">
      <c r="A1181" s="523">
        <v>44019</v>
      </c>
      <c r="B1181" s="499">
        <f t="shared" si="4"/>
        <v>352042</v>
      </c>
      <c r="C1181" s="783">
        <v>296074</v>
      </c>
      <c r="D1181" s="784">
        <v>55968</v>
      </c>
    </row>
    <row r="1182" spans="1:4" x14ac:dyDescent="0.2">
      <c r="A1182" s="523">
        <v>44020</v>
      </c>
      <c r="B1182" s="499">
        <f t="shared" si="4"/>
        <v>326415.09999999998</v>
      </c>
      <c r="C1182" s="783">
        <v>296074</v>
      </c>
      <c r="D1182" s="784">
        <v>30341.1</v>
      </c>
    </row>
    <row r="1183" spans="1:4" x14ac:dyDescent="0.2">
      <c r="A1183" s="523">
        <v>44021</v>
      </c>
      <c r="B1183" s="499">
        <f t="shared" si="4"/>
        <v>312231.88999999996</v>
      </c>
      <c r="C1183" s="783">
        <v>293240.15999999997</v>
      </c>
      <c r="D1183" s="784">
        <v>18991.73</v>
      </c>
    </row>
    <row r="1184" spans="1:4" x14ac:dyDescent="0.2">
      <c r="A1184" s="523">
        <v>44022</v>
      </c>
      <c r="B1184" s="499">
        <f t="shared" si="4"/>
        <v>311779.87</v>
      </c>
      <c r="C1184" s="783">
        <v>292787.87</v>
      </c>
      <c r="D1184" s="784">
        <v>18992</v>
      </c>
    </row>
    <row r="1185" spans="1:4" x14ac:dyDescent="0.2">
      <c r="A1185" s="523">
        <v>44025</v>
      </c>
      <c r="B1185" s="499">
        <f t="shared" si="4"/>
        <v>311474.96999999997</v>
      </c>
      <c r="C1185" s="783">
        <v>293190.87</v>
      </c>
      <c r="D1185" s="784">
        <v>18284.099999999999</v>
      </c>
    </row>
    <row r="1186" spans="1:4" x14ac:dyDescent="0.2">
      <c r="A1186" s="523">
        <v>44026</v>
      </c>
      <c r="B1186" s="499">
        <f t="shared" si="4"/>
        <v>315477.69</v>
      </c>
      <c r="C1186" s="783">
        <v>297193.59000000003</v>
      </c>
      <c r="D1186" s="784">
        <v>18284.099999999999</v>
      </c>
    </row>
    <row r="1187" spans="1:4" x14ac:dyDescent="0.2">
      <c r="A1187" s="523">
        <v>44027</v>
      </c>
      <c r="B1187" s="499">
        <f t="shared" si="4"/>
        <v>315594.98</v>
      </c>
      <c r="C1187" s="783">
        <v>297310.88</v>
      </c>
      <c r="D1187" s="784">
        <v>18284.099999999999</v>
      </c>
    </row>
    <row r="1188" spans="1:4" x14ac:dyDescent="0.2">
      <c r="A1188" s="523">
        <v>44028</v>
      </c>
      <c r="B1188" s="499">
        <f t="shared" si="4"/>
        <v>318211.11</v>
      </c>
      <c r="C1188" s="783">
        <v>299927.01</v>
      </c>
      <c r="D1188" s="784">
        <v>18284.099999999999</v>
      </c>
    </row>
    <row r="1189" spans="1:4" x14ac:dyDescent="0.2">
      <c r="A1189" s="523">
        <v>44029</v>
      </c>
      <c r="B1189" s="499">
        <f t="shared" si="4"/>
        <v>318211.09999999998</v>
      </c>
      <c r="C1189" s="783">
        <v>299927</v>
      </c>
      <c r="D1189" s="784">
        <v>18284.099999999999</v>
      </c>
    </row>
    <row r="1190" spans="1:4" x14ac:dyDescent="0.2">
      <c r="A1190" s="523">
        <v>44032</v>
      </c>
      <c r="B1190" s="499">
        <f t="shared" si="4"/>
        <v>339655.69</v>
      </c>
      <c r="C1190" s="783">
        <v>304374.55</v>
      </c>
      <c r="D1190" s="784">
        <v>35281.14</v>
      </c>
    </row>
    <row r="1191" spans="1:4" x14ac:dyDescent="0.2">
      <c r="A1191" s="523">
        <v>44033</v>
      </c>
      <c r="B1191" s="499">
        <f t="shared" si="4"/>
        <v>328838.90999999997</v>
      </c>
      <c r="C1191" s="783">
        <v>293557.90999999997</v>
      </c>
      <c r="D1191" s="784">
        <v>35281</v>
      </c>
    </row>
    <row r="1192" spans="1:4" x14ac:dyDescent="0.2">
      <c r="A1192" s="523">
        <v>44034</v>
      </c>
      <c r="B1192" s="499">
        <f t="shared" si="4"/>
        <v>315049.81</v>
      </c>
      <c r="C1192" s="783">
        <v>305336.09999999998</v>
      </c>
      <c r="D1192" s="784">
        <v>9713.7099999999991</v>
      </c>
    </row>
    <row r="1193" spans="1:4" x14ac:dyDescent="0.2">
      <c r="A1193" s="523">
        <v>44035</v>
      </c>
      <c r="B1193" s="499">
        <f t="shared" si="4"/>
        <v>308750.14999999997</v>
      </c>
      <c r="C1193" s="783">
        <v>307782.98</v>
      </c>
      <c r="D1193" s="784">
        <v>967.17</v>
      </c>
    </row>
    <row r="1194" spans="1:4" x14ac:dyDescent="0.2">
      <c r="A1194" s="523">
        <v>44036</v>
      </c>
      <c r="B1194" s="499">
        <f t="shared" si="4"/>
        <v>309653.73</v>
      </c>
      <c r="C1194" s="783">
        <v>309453.73</v>
      </c>
      <c r="D1194" s="784">
        <v>200</v>
      </c>
    </row>
    <row r="1195" spans="1:4" x14ac:dyDescent="0.2">
      <c r="A1195" s="523">
        <v>44039</v>
      </c>
      <c r="B1195" s="499">
        <f t="shared" si="4"/>
        <v>300292.32</v>
      </c>
      <c r="C1195" s="783">
        <v>300092.32</v>
      </c>
      <c r="D1195" s="784">
        <v>200</v>
      </c>
    </row>
    <row r="1196" spans="1:4" x14ac:dyDescent="0.2">
      <c r="A1196" s="523">
        <v>44040</v>
      </c>
      <c r="B1196" s="499">
        <f t="shared" si="4"/>
        <v>300248.32000000001</v>
      </c>
      <c r="C1196" s="783">
        <v>300048.32</v>
      </c>
      <c r="D1196" s="784">
        <v>200</v>
      </c>
    </row>
    <row r="1197" spans="1:4" x14ac:dyDescent="0.2">
      <c r="A1197" s="523">
        <v>44041</v>
      </c>
      <c r="B1197" s="499">
        <f t="shared" si="4"/>
        <v>298885.23</v>
      </c>
      <c r="C1197" s="783">
        <v>298685.23</v>
      </c>
      <c r="D1197" s="784">
        <v>200</v>
      </c>
    </row>
    <row r="1198" spans="1:4" x14ac:dyDescent="0.2">
      <c r="A1198" s="523">
        <v>44042</v>
      </c>
      <c r="B1198" s="499">
        <f t="shared" si="4"/>
        <v>298918.89</v>
      </c>
      <c r="C1198" s="783">
        <v>298718.89</v>
      </c>
      <c r="D1198" s="784">
        <v>200</v>
      </c>
    </row>
    <row r="1199" spans="1:4" x14ac:dyDescent="0.2">
      <c r="A1199" s="523">
        <v>44043</v>
      </c>
      <c r="B1199" s="499">
        <f t="shared" ref="B1199:B1262" si="7">C1199+D1199</f>
        <v>298919</v>
      </c>
      <c r="C1199" s="783">
        <v>298719</v>
      </c>
      <c r="D1199" s="784">
        <v>200</v>
      </c>
    </row>
    <row r="1200" spans="1:4" x14ac:dyDescent="0.2">
      <c r="A1200" s="523">
        <v>44046</v>
      </c>
      <c r="B1200" s="499">
        <f t="shared" si="7"/>
        <v>262470.13</v>
      </c>
      <c r="C1200" s="783">
        <v>262270.13</v>
      </c>
      <c r="D1200" s="784">
        <v>200</v>
      </c>
    </row>
    <row r="1201" spans="1:4" x14ac:dyDescent="0.2">
      <c r="A1201" s="523">
        <v>44047</v>
      </c>
      <c r="B1201" s="499">
        <f t="shared" si="7"/>
        <v>254560.85</v>
      </c>
      <c r="C1201" s="783">
        <v>254360.85</v>
      </c>
      <c r="D1201" s="784">
        <v>200</v>
      </c>
    </row>
    <row r="1202" spans="1:4" x14ac:dyDescent="0.2">
      <c r="A1202" s="523">
        <v>44048</v>
      </c>
      <c r="B1202" s="499">
        <f t="shared" si="7"/>
        <v>254561</v>
      </c>
      <c r="C1202" s="783">
        <v>254361</v>
      </c>
      <c r="D1202" s="784">
        <v>200</v>
      </c>
    </row>
    <row r="1203" spans="1:4" x14ac:dyDescent="0.2">
      <c r="A1203" s="523">
        <v>44049</v>
      </c>
      <c r="B1203" s="499">
        <f t="shared" si="7"/>
        <v>256783.26</v>
      </c>
      <c r="C1203" s="783">
        <v>256583.26</v>
      </c>
      <c r="D1203" s="784">
        <v>200</v>
      </c>
    </row>
    <row r="1204" spans="1:4" x14ac:dyDescent="0.2">
      <c r="A1204" s="523">
        <v>44050</v>
      </c>
      <c r="B1204" s="499">
        <f t="shared" si="7"/>
        <v>256330.97</v>
      </c>
      <c r="C1204" s="783">
        <v>256130.97</v>
      </c>
      <c r="D1204" s="784">
        <v>200</v>
      </c>
    </row>
    <row r="1205" spans="1:4" x14ac:dyDescent="0.2">
      <c r="A1205" s="523">
        <v>44053</v>
      </c>
      <c r="B1205" s="499">
        <f t="shared" si="7"/>
        <v>256331</v>
      </c>
      <c r="C1205" s="783">
        <v>256131</v>
      </c>
      <c r="D1205" s="784">
        <v>200</v>
      </c>
    </row>
    <row r="1206" spans="1:4" x14ac:dyDescent="0.2">
      <c r="A1206" s="523">
        <v>44054</v>
      </c>
      <c r="B1206" s="499">
        <f t="shared" si="7"/>
        <v>256331</v>
      </c>
      <c r="C1206" s="783">
        <v>256131</v>
      </c>
      <c r="D1206" s="784">
        <v>200</v>
      </c>
    </row>
    <row r="1207" spans="1:4" x14ac:dyDescent="0.2">
      <c r="A1207" s="523">
        <v>44055</v>
      </c>
      <c r="B1207" s="499">
        <f t="shared" si="7"/>
        <v>256420.97</v>
      </c>
      <c r="C1207" s="783">
        <v>256220.97</v>
      </c>
      <c r="D1207" s="784">
        <v>200</v>
      </c>
    </row>
    <row r="1208" spans="1:4" x14ac:dyDescent="0.2">
      <c r="A1208" s="523">
        <v>44056</v>
      </c>
      <c r="B1208" s="499">
        <f t="shared" si="7"/>
        <v>256421</v>
      </c>
      <c r="C1208" s="783">
        <v>256221</v>
      </c>
      <c r="D1208" s="784">
        <v>200</v>
      </c>
    </row>
    <row r="1209" spans="1:4" x14ac:dyDescent="0.2">
      <c r="A1209" s="523">
        <v>44057</v>
      </c>
      <c r="B1209" s="499">
        <f t="shared" si="7"/>
        <v>296838.09999999998</v>
      </c>
      <c r="C1209" s="783">
        <v>296638.09999999998</v>
      </c>
      <c r="D1209" s="784">
        <v>200</v>
      </c>
    </row>
    <row r="1210" spans="1:4" x14ac:dyDescent="0.2">
      <c r="A1210" s="523">
        <v>44060</v>
      </c>
      <c r="B1210" s="499">
        <f t="shared" si="7"/>
        <v>261012.14</v>
      </c>
      <c r="C1210" s="783">
        <v>260812.14</v>
      </c>
      <c r="D1210" s="784">
        <v>200</v>
      </c>
    </row>
    <row r="1211" spans="1:4" x14ac:dyDescent="0.2">
      <c r="A1211" s="523">
        <v>44061</v>
      </c>
      <c r="B1211" s="499">
        <f t="shared" si="7"/>
        <v>345553.24</v>
      </c>
      <c r="C1211" s="783">
        <v>345353.24</v>
      </c>
      <c r="D1211" s="784">
        <v>200</v>
      </c>
    </row>
    <row r="1212" spans="1:4" x14ac:dyDescent="0.2">
      <c r="A1212" s="523">
        <v>44062</v>
      </c>
      <c r="B1212" s="499">
        <f t="shared" si="7"/>
        <v>345720.24</v>
      </c>
      <c r="C1212" s="783">
        <v>345520.24</v>
      </c>
      <c r="D1212" s="784">
        <v>200</v>
      </c>
    </row>
    <row r="1213" spans="1:4" x14ac:dyDescent="0.2">
      <c r="A1213" s="523">
        <v>44063</v>
      </c>
      <c r="B1213" s="499">
        <f t="shared" si="7"/>
        <v>343380.65</v>
      </c>
      <c r="C1213" s="783">
        <v>343180.65</v>
      </c>
      <c r="D1213" s="784">
        <v>200</v>
      </c>
    </row>
    <row r="1214" spans="1:4" x14ac:dyDescent="0.2">
      <c r="A1214" s="523">
        <v>44064</v>
      </c>
      <c r="B1214" s="499">
        <f t="shared" si="7"/>
        <v>342938.36</v>
      </c>
      <c r="C1214" s="783">
        <v>342738.36</v>
      </c>
      <c r="D1214" s="784">
        <v>200</v>
      </c>
    </row>
    <row r="1215" spans="1:4" x14ac:dyDescent="0.2">
      <c r="A1215" s="523">
        <v>44067</v>
      </c>
      <c r="B1215" s="499">
        <f t="shared" si="7"/>
        <v>342938</v>
      </c>
      <c r="C1215" s="783">
        <v>342738</v>
      </c>
      <c r="D1215" s="784">
        <v>200</v>
      </c>
    </row>
    <row r="1216" spans="1:4" x14ac:dyDescent="0.2">
      <c r="A1216" s="523">
        <v>44068</v>
      </c>
      <c r="B1216" s="499">
        <f t="shared" si="7"/>
        <v>340515.33</v>
      </c>
      <c r="C1216" s="783">
        <v>340315.33</v>
      </c>
      <c r="D1216" s="784">
        <v>200</v>
      </c>
    </row>
    <row r="1217" spans="1:4" x14ac:dyDescent="0.2">
      <c r="A1217" s="523">
        <v>44069</v>
      </c>
      <c r="B1217" s="499">
        <f t="shared" si="7"/>
        <v>359946.57</v>
      </c>
      <c r="C1217" s="783">
        <v>359746.57</v>
      </c>
      <c r="D1217" s="784">
        <v>200</v>
      </c>
    </row>
    <row r="1218" spans="1:4" x14ac:dyDescent="0.2">
      <c r="A1218" s="523">
        <v>44070</v>
      </c>
      <c r="B1218" s="499">
        <f t="shared" si="7"/>
        <v>359946.57</v>
      </c>
      <c r="C1218" s="783">
        <v>359746.57</v>
      </c>
      <c r="D1218" s="784">
        <v>200</v>
      </c>
    </row>
    <row r="1219" spans="1:4" x14ac:dyDescent="0.2">
      <c r="A1219" s="523">
        <v>44071</v>
      </c>
      <c r="B1219" s="499">
        <f t="shared" si="7"/>
        <v>359946.57</v>
      </c>
      <c r="C1219" s="783">
        <v>359746.57</v>
      </c>
      <c r="D1219" s="784">
        <v>200</v>
      </c>
    </row>
    <row r="1220" spans="1:4" x14ac:dyDescent="0.2">
      <c r="A1220" s="523">
        <v>44074</v>
      </c>
      <c r="B1220" s="499">
        <f t="shared" si="7"/>
        <v>359946.57</v>
      </c>
      <c r="C1220" s="783">
        <v>359746.57</v>
      </c>
      <c r="D1220" s="784">
        <v>200</v>
      </c>
    </row>
    <row r="1221" spans="1:4" x14ac:dyDescent="0.2">
      <c r="A1221" s="523">
        <v>44075</v>
      </c>
      <c r="B1221" s="499">
        <f t="shared" si="7"/>
        <v>347126.06</v>
      </c>
      <c r="C1221" s="783">
        <v>346926.06</v>
      </c>
      <c r="D1221" s="784">
        <v>200</v>
      </c>
    </row>
    <row r="1222" spans="1:4" x14ac:dyDescent="0.2">
      <c r="A1222" s="523">
        <v>44076</v>
      </c>
      <c r="B1222" s="499">
        <f t="shared" si="7"/>
        <v>347075.06</v>
      </c>
      <c r="C1222" s="783">
        <v>346875.06</v>
      </c>
      <c r="D1222" s="784">
        <v>200</v>
      </c>
    </row>
    <row r="1223" spans="1:4" x14ac:dyDescent="0.2">
      <c r="A1223" s="523">
        <v>44077</v>
      </c>
      <c r="B1223" s="499">
        <f t="shared" si="7"/>
        <v>350416.44</v>
      </c>
      <c r="C1223" s="783">
        <v>350216.44</v>
      </c>
      <c r="D1223" s="784">
        <v>200</v>
      </c>
    </row>
    <row r="1224" spans="1:4" x14ac:dyDescent="0.2">
      <c r="A1224" s="523">
        <v>44078</v>
      </c>
      <c r="B1224" s="499">
        <f t="shared" si="7"/>
        <v>343258.81</v>
      </c>
      <c r="C1224" s="783">
        <v>343058.81</v>
      </c>
      <c r="D1224" s="784">
        <v>200</v>
      </c>
    </row>
    <row r="1225" spans="1:4" x14ac:dyDescent="0.2">
      <c r="A1225" s="523">
        <v>44081</v>
      </c>
      <c r="B1225" s="499">
        <f t="shared" si="7"/>
        <v>343258.81</v>
      </c>
      <c r="C1225" s="783">
        <v>343058.81</v>
      </c>
      <c r="D1225" s="784">
        <v>200</v>
      </c>
    </row>
    <row r="1226" spans="1:4" x14ac:dyDescent="0.2">
      <c r="A1226" s="523">
        <v>44082</v>
      </c>
      <c r="B1226" s="499">
        <f t="shared" si="7"/>
        <v>343258.81</v>
      </c>
      <c r="C1226" s="783">
        <v>343058.81</v>
      </c>
      <c r="D1226" s="784">
        <v>200</v>
      </c>
    </row>
    <row r="1227" spans="1:4" x14ac:dyDescent="0.2">
      <c r="A1227" s="523">
        <v>44083</v>
      </c>
      <c r="B1227" s="499">
        <f t="shared" si="7"/>
        <v>343258.81</v>
      </c>
      <c r="C1227" s="783">
        <v>343058.81</v>
      </c>
      <c r="D1227" s="784">
        <v>200</v>
      </c>
    </row>
    <row r="1228" spans="1:4" x14ac:dyDescent="0.2">
      <c r="A1228" s="523">
        <v>44084</v>
      </c>
      <c r="B1228" s="499">
        <f t="shared" si="7"/>
        <v>351420.85</v>
      </c>
      <c r="C1228" s="783">
        <v>351220.85</v>
      </c>
      <c r="D1228" s="784">
        <v>200</v>
      </c>
    </row>
    <row r="1229" spans="1:4" x14ac:dyDescent="0.2">
      <c r="A1229" s="523">
        <v>44085</v>
      </c>
      <c r="B1229" s="499">
        <f t="shared" si="7"/>
        <v>351420.85</v>
      </c>
      <c r="C1229" s="783">
        <v>351220.85</v>
      </c>
      <c r="D1229" s="784">
        <v>200</v>
      </c>
    </row>
    <row r="1230" spans="1:4" x14ac:dyDescent="0.2">
      <c r="A1230" s="523">
        <v>44088</v>
      </c>
      <c r="B1230" s="499">
        <f t="shared" si="7"/>
        <v>319295.21000000002</v>
      </c>
      <c r="C1230" s="783">
        <v>319095.21000000002</v>
      </c>
      <c r="D1230" s="784">
        <v>200</v>
      </c>
    </row>
    <row r="1231" spans="1:4" x14ac:dyDescent="0.2">
      <c r="A1231" s="523">
        <v>44089</v>
      </c>
      <c r="B1231" s="499">
        <f t="shared" si="7"/>
        <v>319390.87</v>
      </c>
      <c r="C1231" s="783">
        <v>319190.87</v>
      </c>
      <c r="D1231" s="784">
        <v>200</v>
      </c>
    </row>
    <row r="1232" spans="1:4" x14ac:dyDescent="0.2">
      <c r="A1232" s="523">
        <v>44090</v>
      </c>
      <c r="B1232" s="499">
        <f t="shared" si="7"/>
        <v>318221.31</v>
      </c>
      <c r="C1232" s="783">
        <v>318021.31</v>
      </c>
      <c r="D1232" s="784">
        <v>200</v>
      </c>
    </row>
    <row r="1233" spans="1:4" x14ac:dyDescent="0.2">
      <c r="A1233" s="523">
        <v>44091</v>
      </c>
      <c r="B1233" s="499">
        <f t="shared" si="7"/>
        <v>321494.34000000003</v>
      </c>
      <c r="C1233" s="783">
        <v>321294.34000000003</v>
      </c>
      <c r="D1233" s="784">
        <v>200</v>
      </c>
    </row>
    <row r="1234" spans="1:4" x14ac:dyDescent="0.2">
      <c r="A1234" s="523">
        <v>44092</v>
      </c>
      <c r="B1234" s="499">
        <f t="shared" si="7"/>
        <v>321052.05</v>
      </c>
      <c r="C1234" s="783">
        <v>320852.05</v>
      </c>
      <c r="D1234" s="784">
        <v>200</v>
      </c>
    </row>
    <row r="1235" spans="1:4" x14ac:dyDescent="0.2">
      <c r="A1235" s="523">
        <v>44095</v>
      </c>
      <c r="B1235" s="499">
        <f t="shared" si="7"/>
        <v>321052</v>
      </c>
      <c r="C1235" s="783">
        <v>320852</v>
      </c>
      <c r="D1235" s="784">
        <v>200</v>
      </c>
    </row>
    <row r="1236" spans="1:4" x14ac:dyDescent="0.2">
      <c r="A1236" s="523">
        <v>44096</v>
      </c>
      <c r="B1236" s="499">
        <f t="shared" si="7"/>
        <v>347075.9</v>
      </c>
      <c r="C1236" s="783">
        <v>346875.9</v>
      </c>
      <c r="D1236" s="784">
        <v>200</v>
      </c>
    </row>
    <row r="1237" spans="1:4" x14ac:dyDescent="0.2">
      <c r="A1237" s="523">
        <v>44097</v>
      </c>
      <c r="B1237" s="499">
        <f t="shared" si="7"/>
        <v>348950.3</v>
      </c>
      <c r="C1237" s="783">
        <v>348750.3</v>
      </c>
      <c r="D1237" s="784">
        <v>200</v>
      </c>
    </row>
    <row r="1238" spans="1:4" x14ac:dyDescent="0.2">
      <c r="A1238" s="523">
        <v>44098</v>
      </c>
      <c r="B1238" s="499">
        <f t="shared" si="7"/>
        <v>354130.18</v>
      </c>
      <c r="C1238" s="783">
        <v>353930.18</v>
      </c>
      <c r="D1238" s="784">
        <v>200</v>
      </c>
    </row>
    <row r="1239" spans="1:4" x14ac:dyDescent="0.2">
      <c r="A1239" s="523">
        <v>44099</v>
      </c>
      <c r="B1239" s="499">
        <f t="shared" si="7"/>
        <v>354086.18</v>
      </c>
      <c r="C1239" s="783">
        <v>353886.18</v>
      </c>
      <c r="D1239" s="784">
        <v>200</v>
      </c>
    </row>
    <row r="1240" spans="1:4" x14ac:dyDescent="0.2">
      <c r="A1240" s="523">
        <v>44102</v>
      </c>
      <c r="B1240" s="499">
        <f t="shared" si="7"/>
        <v>348608</v>
      </c>
      <c r="C1240" s="783">
        <v>348408</v>
      </c>
      <c r="D1240" s="784">
        <v>200</v>
      </c>
    </row>
    <row r="1241" spans="1:4" x14ac:dyDescent="0.2">
      <c r="A1241" s="523">
        <v>44103</v>
      </c>
      <c r="B1241" s="499">
        <f t="shared" si="7"/>
        <v>313591.89</v>
      </c>
      <c r="C1241" s="783">
        <v>313391.89</v>
      </c>
      <c r="D1241" s="784">
        <v>200</v>
      </c>
    </row>
    <row r="1242" spans="1:4" x14ac:dyDescent="0.2">
      <c r="A1242" s="523">
        <v>44104</v>
      </c>
      <c r="B1242" s="499">
        <f t="shared" si="7"/>
        <v>348489.68</v>
      </c>
      <c r="C1242" s="783">
        <v>348289.68</v>
      </c>
      <c r="D1242" s="784">
        <v>200</v>
      </c>
    </row>
    <row r="1243" spans="1:4" x14ac:dyDescent="0.2">
      <c r="A1243" s="523">
        <v>44105</v>
      </c>
      <c r="B1243" s="499">
        <f t="shared" si="7"/>
        <v>346634.44</v>
      </c>
      <c r="C1243" s="783">
        <v>346434.44</v>
      </c>
      <c r="D1243" s="784">
        <v>200</v>
      </c>
    </row>
    <row r="1244" spans="1:4" x14ac:dyDescent="0.2">
      <c r="A1244" s="523">
        <v>44106</v>
      </c>
      <c r="B1244" s="499">
        <f t="shared" si="7"/>
        <v>346390.75</v>
      </c>
      <c r="C1244" s="783">
        <v>346190.75</v>
      </c>
      <c r="D1244" s="784">
        <v>200</v>
      </c>
    </row>
    <row r="1245" spans="1:4" x14ac:dyDescent="0.2">
      <c r="A1245" s="523">
        <v>44109</v>
      </c>
      <c r="B1245" s="499">
        <f t="shared" si="7"/>
        <v>346313.83</v>
      </c>
      <c r="C1245" s="783">
        <v>346113.83</v>
      </c>
      <c r="D1245" s="784">
        <v>200</v>
      </c>
    </row>
    <row r="1246" spans="1:4" x14ac:dyDescent="0.2">
      <c r="A1246" s="523">
        <v>44110</v>
      </c>
      <c r="B1246" s="499">
        <f t="shared" si="7"/>
        <v>346084.99</v>
      </c>
      <c r="C1246" s="783">
        <v>345884.99</v>
      </c>
      <c r="D1246" s="784">
        <v>200</v>
      </c>
    </row>
    <row r="1247" spans="1:4" x14ac:dyDescent="0.2">
      <c r="A1247" s="523">
        <v>44111</v>
      </c>
      <c r="B1247" s="499">
        <f t="shared" si="7"/>
        <v>346085</v>
      </c>
      <c r="C1247" s="783">
        <v>345885</v>
      </c>
      <c r="D1247" s="784">
        <v>200</v>
      </c>
    </row>
    <row r="1248" spans="1:4" x14ac:dyDescent="0.2">
      <c r="A1248" s="523">
        <v>44112</v>
      </c>
      <c r="B1248" s="499">
        <f t="shared" si="7"/>
        <v>380839.99</v>
      </c>
      <c r="C1248" s="783">
        <v>380639.99</v>
      </c>
      <c r="D1248" s="784">
        <v>200</v>
      </c>
    </row>
    <row r="1249" spans="1:4" x14ac:dyDescent="0.2">
      <c r="A1249" s="523">
        <v>44113</v>
      </c>
      <c r="B1249" s="499">
        <f t="shared" si="7"/>
        <v>380840</v>
      </c>
      <c r="C1249" s="783">
        <v>380640</v>
      </c>
      <c r="D1249" s="784">
        <v>200</v>
      </c>
    </row>
    <row r="1250" spans="1:4" x14ac:dyDescent="0.2">
      <c r="A1250" s="523">
        <v>44116</v>
      </c>
      <c r="B1250" s="499">
        <f t="shared" si="7"/>
        <v>380840</v>
      </c>
      <c r="C1250" s="783">
        <v>380640</v>
      </c>
      <c r="D1250" s="784">
        <v>200</v>
      </c>
    </row>
    <row r="1251" spans="1:4" x14ac:dyDescent="0.2">
      <c r="A1251" s="523">
        <v>44117</v>
      </c>
      <c r="B1251" s="499">
        <f t="shared" si="7"/>
        <v>346182.3</v>
      </c>
      <c r="C1251" s="783">
        <v>345982.3</v>
      </c>
      <c r="D1251" s="784">
        <v>200</v>
      </c>
    </row>
    <row r="1252" spans="1:4" x14ac:dyDescent="0.2">
      <c r="A1252" s="523">
        <v>44118</v>
      </c>
      <c r="B1252" s="499">
        <f t="shared" si="7"/>
        <v>346103.46</v>
      </c>
      <c r="C1252" s="783">
        <v>345903.46</v>
      </c>
      <c r="D1252" s="784">
        <v>200</v>
      </c>
    </row>
    <row r="1253" spans="1:4" x14ac:dyDescent="0.2">
      <c r="A1253" s="523">
        <v>44119</v>
      </c>
      <c r="B1253" s="499">
        <f t="shared" si="7"/>
        <v>339569.88</v>
      </c>
      <c r="C1253" s="783">
        <v>339369.88</v>
      </c>
      <c r="D1253" s="784">
        <v>200</v>
      </c>
    </row>
    <row r="1254" spans="1:4" x14ac:dyDescent="0.2">
      <c r="A1254" s="523">
        <v>44120</v>
      </c>
      <c r="B1254" s="499">
        <f t="shared" si="7"/>
        <v>364967.49</v>
      </c>
      <c r="C1254" s="783">
        <v>364767.49</v>
      </c>
      <c r="D1254" s="784">
        <v>200</v>
      </c>
    </row>
    <row r="1255" spans="1:4" x14ac:dyDescent="0.2">
      <c r="A1255" s="523">
        <v>44123</v>
      </c>
      <c r="B1255" s="499">
        <f t="shared" si="7"/>
        <v>343525.33</v>
      </c>
      <c r="C1255" s="783">
        <v>343325.33</v>
      </c>
      <c r="D1255" s="784">
        <v>200</v>
      </c>
    </row>
    <row r="1256" spans="1:4" x14ac:dyDescent="0.2">
      <c r="A1256" s="523">
        <v>44124</v>
      </c>
      <c r="B1256" s="499">
        <f t="shared" si="7"/>
        <v>343525</v>
      </c>
      <c r="C1256" s="783">
        <v>343325</v>
      </c>
      <c r="D1256" s="784">
        <v>200</v>
      </c>
    </row>
    <row r="1257" spans="1:4" x14ac:dyDescent="0.2">
      <c r="A1257" s="523">
        <v>44125</v>
      </c>
      <c r="B1257" s="499">
        <f t="shared" si="7"/>
        <v>340413.21</v>
      </c>
      <c r="C1257" s="783">
        <v>340213.21</v>
      </c>
      <c r="D1257" s="784">
        <v>200</v>
      </c>
    </row>
    <row r="1258" spans="1:4" x14ac:dyDescent="0.2">
      <c r="A1258" s="523">
        <v>44126</v>
      </c>
      <c r="B1258" s="499">
        <f t="shared" si="7"/>
        <v>354245.2</v>
      </c>
      <c r="C1258" s="783">
        <v>354045.2</v>
      </c>
      <c r="D1258" s="784">
        <v>200</v>
      </c>
    </row>
    <row r="1259" spans="1:4" x14ac:dyDescent="0.2">
      <c r="A1259" s="523">
        <v>44127</v>
      </c>
      <c r="B1259" s="499">
        <f t="shared" si="7"/>
        <v>354086.35</v>
      </c>
      <c r="C1259" s="783">
        <v>353886.35</v>
      </c>
      <c r="D1259" s="784">
        <v>200</v>
      </c>
    </row>
    <row r="1260" spans="1:4" x14ac:dyDescent="0.2">
      <c r="A1260" s="523">
        <v>44130</v>
      </c>
      <c r="B1260" s="499">
        <f t="shared" si="7"/>
        <v>354086</v>
      </c>
      <c r="C1260" s="783">
        <v>353886</v>
      </c>
      <c r="D1260" s="784">
        <v>200</v>
      </c>
    </row>
    <row r="1261" spans="1:4" x14ac:dyDescent="0.2">
      <c r="A1261" s="523">
        <v>44131</v>
      </c>
      <c r="B1261" s="499">
        <f t="shared" si="7"/>
        <v>312941.49</v>
      </c>
      <c r="C1261" s="783">
        <v>312741.49</v>
      </c>
      <c r="D1261" s="784">
        <v>200</v>
      </c>
    </row>
    <row r="1262" spans="1:4" x14ac:dyDescent="0.2">
      <c r="A1262" s="523">
        <v>44132</v>
      </c>
      <c r="B1262" s="499">
        <f t="shared" si="7"/>
        <v>312941</v>
      </c>
      <c r="C1262" s="783">
        <v>312741</v>
      </c>
      <c r="D1262" s="784">
        <v>200</v>
      </c>
    </row>
    <row r="1263" spans="1:4" x14ac:dyDescent="0.2">
      <c r="A1263" s="523">
        <v>44133</v>
      </c>
      <c r="B1263" s="499">
        <f t="shared" ref="B1263:B1326" si="8">C1263+D1263</f>
        <v>312941</v>
      </c>
      <c r="C1263" s="783">
        <v>312741</v>
      </c>
      <c r="D1263" s="784">
        <v>200</v>
      </c>
    </row>
    <row r="1264" spans="1:4" x14ac:dyDescent="0.2">
      <c r="A1264" s="523">
        <v>44134</v>
      </c>
      <c r="B1264" s="499">
        <f t="shared" si="8"/>
        <v>336359.66</v>
      </c>
      <c r="C1264" s="783">
        <v>336159.66</v>
      </c>
      <c r="D1264" s="784">
        <v>200</v>
      </c>
    </row>
    <row r="1265" spans="1:4" x14ac:dyDescent="0.2">
      <c r="A1265" s="523">
        <v>44137</v>
      </c>
      <c r="B1265" s="499">
        <f t="shared" si="8"/>
        <v>336077.1</v>
      </c>
      <c r="C1265" s="783">
        <v>335877.1</v>
      </c>
      <c r="D1265" s="784">
        <v>200</v>
      </c>
    </row>
    <row r="1266" spans="1:4" x14ac:dyDescent="0.2">
      <c r="A1266" s="523">
        <v>44138</v>
      </c>
      <c r="B1266" s="499">
        <f t="shared" si="8"/>
        <v>336077</v>
      </c>
      <c r="C1266" s="783">
        <v>335877</v>
      </c>
      <c r="D1266" s="784">
        <v>200</v>
      </c>
    </row>
    <row r="1267" spans="1:4" x14ac:dyDescent="0.2">
      <c r="A1267" s="523">
        <v>44139</v>
      </c>
      <c r="B1267" s="499">
        <f t="shared" si="8"/>
        <v>328153.34999999998</v>
      </c>
      <c r="C1267" s="783">
        <v>327953.34999999998</v>
      </c>
      <c r="D1267" s="784">
        <v>200</v>
      </c>
    </row>
    <row r="1268" spans="1:4" x14ac:dyDescent="0.2">
      <c r="A1268" s="523">
        <v>44140</v>
      </c>
      <c r="B1268" s="499">
        <f t="shared" si="8"/>
        <v>328497.34999999998</v>
      </c>
      <c r="C1268" s="783">
        <v>328297.34999999998</v>
      </c>
      <c r="D1268" s="784">
        <v>200</v>
      </c>
    </row>
    <row r="1269" spans="1:4" x14ac:dyDescent="0.2">
      <c r="A1269" s="523">
        <v>44141</v>
      </c>
      <c r="B1269" s="499">
        <f t="shared" si="8"/>
        <v>327078.57</v>
      </c>
      <c r="C1269" s="783">
        <v>326878.57</v>
      </c>
      <c r="D1269" s="784">
        <v>200</v>
      </c>
    </row>
    <row r="1270" spans="1:4" x14ac:dyDescent="0.2">
      <c r="A1270" s="523">
        <v>44144</v>
      </c>
      <c r="B1270" s="499">
        <f t="shared" si="8"/>
        <v>293224.96000000002</v>
      </c>
      <c r="C1270" s="783">
        <v>293024.96000000002</v>
      </c>
      <c r="D1270" s="784">
        <v>200</v>
      </c>
    </row>
    <row r="1271" spans="1:4" x14ac:dyDescent="0.2">
      <c r="A1271" s="523">
        <v>44145</v>
      </c>
      <c r="B1271" s="499">
        <f t="shared" si="8"/>
        <v>297955.08</v>
      </c>
      <c r="C1271" s="783">
        <v>297755.08</v>
      </c>
      <c r="D1271" s="784">
        <v>200</v>
      </c>
    </row>
    <row r="1272" spans="1:4" x14ac:dyDescent="0.2">
      <c r="A1272" s="523">
        <v>44146</v>
      </c>
      <c r="B1272" s="499">
        <f t="shared" si="8"/>
        <v>297955</v>
      </c>
      <c r="C1272" s="783">
        <v>297755</v>
      </c>
      <c r="D1272" s="784">
        <v>200</v>
      </c>
    </row>
    <row r="1273" spans="1:4" x14ac:dyDescent="0.2">
      <c r="A1273" s="523">
        <v>44147</v>
      </c>
      <c r="B1273" s="499">
        <f t="shared" si="8"/>
        <v>301097.59000000003</v>
      </c>
      <c r="C1273" s="783">
        <v>300897.59000000003</v>
      </c>
      <c r="D1273" s="784">
        <v>200</v>
      </c>
    </row>
    <row r="1274" spans="1:4" x14ac:dyDescent="0.2">
      <c r="A1274" s="523">
        <v>44148</v>
      </c>
      <c r="B1274" s="499">
        <f t="shared" si="8"/>
        <v>300720.71000000002</v>
      </c>
      <c r="C1274" s="783">
        <v>300520.71000000002</v>
      </c>
      <c r="D1274" s="784">
        <v>200</v>
      </c>
    </row>
    <row r="1275" spans="1:4" x14ac:dyDescent="0.2">
      <c r="A1275" s="523">
        <v>44151</v>
      </c>
      <c r="B1275" s="499">
        <f t="shared" si="8"/>
        <v>300721</v>
      </c>
      <c r="C1275" s="783">
        <v>300521</v>
      </c>
      <c r="D1275" s="784">
        <v>200</v>
      </c>
    </row>
    <row r="1276" spans="1:4" x14ac:dyDescent="0.2">
      <c r="A1276" s="523">
        <v>44152</v>
      </c>
      <c r="B1276" s="499">
        <f t="shared" si="8"/>
        <v>300721</v>
      </c>
      <c r="C1276" s="783">
        <v>300521</v>
      </c>
      <c r="D1276" s="784">
        <v>200</v>
      </c>
    </row>
    <row r="1277" spans="1:4" x14ac:dyDescent="0.2">
      <c r="A1277" s="523">
        <v>44153</v>
      </c>
      <c r="B1277" s="499">
        <f t="shared" si="8"/>
        <v>298371.37</v>
      </c>
      <c r="C1277" s="783">
        <v>298171.37</v>
      </c>
      <c r="D1277" s="784">
        <v>200</v>
      </c>
    </row>
    <row r="1278" spans="1:4" x14ac:dyDescent="0.2">
      <c r="A1278" s="523">
        <v>44154</v>
      </c>
      <c r="B1278" s="499">
        <f t="shared" si="8"/>
        <v>298371</v>
      </c>
      <c r="C1278" s="783">
        <v>298171</v>
      </c>
      <c r="D1278" s="784">
        <v>200</v>
      </c>
    </row>
    <row r="1279" spans="1:4" x14ac:dyDescent="0.2">
      <c r="A1279" s="523">
        <v>44155</v>
      </c>
      <c r="B1279" s="499">
        <f t="shared" si="8"/>
        <v>297912.75</v>
      </c>
      <c r="C1279" s="783">
        <v>297712.75</v>
      </c>
      <c r="D1279" s="784">
        <v>200</v>
      </c>
    </row>
    <row r="1280" spans="1:4" x14ac:dyDescent="0.2">
      <c r="A1280" s="523">
        <v>44158</v>
      </c>
      <c r="B1280" s="499">
        <f t="shared" si="8"/>
        <v>260100.75</v>
      </c>
      <c r="C1280" s="783">
        <v>259900.75</v>
      </c>
      <c r="D1280" s="784">
        <v>200</v>
      </c>
    </row>
    <row r="1281" spans="1:4" x14ac:dyDescent="0.2">
      <c r="A1281" s="523">
        <v>44159</v>
      </c>
      <c r="B1281" s="499">
        <f t="shared" si="8"/>
        <v>260101</v>
      </c>
      <c r="C1281" s="783">
        <v>259901</v>
      </c>
      <c r="D1281" s="784">
        <v>200</v>
      </c>
    </row>
    <row r="1282" spans="1:4" x14ac:dyDescent="0.2">
      <c r="A1282" s="523">
        <v>44160</v>
      </c>
      <c r="B1282" s="499">
        <f t="shared" si="8"/>
        <v>259952.43</v>
      </c>
      <c r="C1282" s="783">
        <v>259752.43</v>
      </c>
      <c r="D1282" s="784">
        <v>200</v>
      </c>
    </row>
    <row r="1283" spans="1:4" x14ac:dyDescent="0.2">
      <c r="A1283" s="523">
        <v>44161</v>
      </c>
      <c r="B1283" s="499">
        <f t="shared" si="8"/>
        <v>259952</v>
      </c>
      <c r="C1283" s="783">
        <v>259752</v>
      </c>
      <c r="D1283" s="784">
        <v>200</v>
      </c>
    </row>
    <row r="1284" spans="1:4" x14ac:dyDescent="0.2">
      <c r="A1284" s="523">
        <v>44162</v>
      </c>
      <c r="B1284" s="499">
        <f t="shared" si="8"/>
        <v>261011.41</v>
      </c>
      <c r="C1284" s="783">
        <v>260811.41</v>
      </c>
      <c r="D1284" s="784">
        <v>200</v>
      </c>
    </row>
    <row r="1285" spans="1:4" x14ac:dyDescent="0.2">
      <c r="A1285" s="523">
        <v>44165</v>
      </c>
      <c r="B1285" s="499">
        <f t="shared" si="8"/>
        <v>256570.76</v>
      </c>
      <c r="C1285" s="783">
        <v>256370.76</v>
      </c>
      <c r="D1285" s="784">
        <v>200</v>
      </c>
    </row>
    <row r="1286" spans="1:4" x14ac:dyDescent="0.2">
      <c r="A1286" s="523">
        <v>44166</v>
      </c>
      <c r="B1286" s="499">
        <f t="shared" si="8"/>
        <v>256571</v>
      </c>
      <c r="C1286" s="783">
        <v>256371</v>
      </c>
      <c r="D1286" s="784">
        <v>200</v>
      </c>
    </row>
    <row r="1287" spans="1:4" x14ac:dyDescent="0.2">
      <c r="A1287" s="523">
        <v>44167</v>
      </c>
      <c r="B1287" s="499">
        <f t="shared" si="8"/>
        <v>343824.57</v>
      </c>
      <c r="C1287" s="783">
        <v>343624.57</v>
      </c>
      <c r="D1287" s="784">
        <v>200</v>
      </c>
    </row>
    <row r="1288" spans="1:4" x14ac:dyDescent="0.2">
      <c r="A1288" s="523">
        <v>44168</v>
      </c>
      <c r="B1288" s="499">
        <f t="shared" si="8"/>
        <v>348428.77</v>
      </c>
      <c r="C1288" s="783">
        <v>348228.77</v>
      </c>
      <c r="D1288" s="784">
        <v>200</v>
      </c>
    </row>
    <row r="1289" spans="1:4" x14ac:dyDescent="0.2">
      <c r="A1289" s="523">
        <v>44169</v>
      </c>
      <c r="B1289" s="499">
        <f t="shared" si="8"/>
        <v>348429</v>
      </c>
      <c r="C1289" s="783">
        <v>348229</v>
      </c>
      <c r="D1289" s="784">
        <v>200</v>
      </c>
    </row>
    <row r="1290" spans="1:4" x14ac:dyDescent="0.2">
      <c r="A1290" s="523">
        <v>44172</v>
      </c>
      <c r="B1290" s="499">
        <f t="shared" si="8"/>
        <v>313593.81</v>
      </c>
      <c r="C1290" s="783">
        <v>313393.81</v>
      </c>
      <c r="D1290" s="784">
        <v>200</v>
      </c>
    </row>
    <row r="1291" spans="1:4" x14ac:dyDescent="0.2">
      <c r="A1291" s="523">
        <v>44173</v>
      </c>
      <c r="B1291" s="499">
        <f t="shared" si="8"/>
        <v>320775.28999999998</v>
      </c>
      <c r="C1291" s="783">
        <v>320575.28999999998</v>
      </c>
      <c r="D1291" s="784">
        <v>200</v>
      </c>
    </row>
    <row r="1292" spans="1:4" x14ac:dyDescent="0.2">
      <c r="A1292" s="523">
        <v>44174</v>
      </c>
      <c r="B1292" s="499">
        <f t="shared" si="8"/>
        <v>321115.28999999998</v>
      </c>
      <c r="C1292" s="783">
        <v>320915.28999999998</v>
      </c>
      <c r="D1292" s="784">
        <v>200</v>
      </c>
    </row>
    <row r="1293" spans="1:4" x14ac:dyDescent="0.2">
      <c r="A1293" s="523">
        <v>44175</v>
      </c>
      <c r="B1293" s="499">
        <f t="shared" si="8"/>
        <v>314719.49</v>
      </c>
      <c r="C1293" s="783">
        <v>314519.49</v>
      </c>
      <c r="D1293" s="784">
        <v>200</v>
      </c>
    </row>
    <row r="1294" spans="1:4" x14ac:dyDescent="0.2">
      <c r="A1294" s="523">
        <v>44176</v>
      </c>
      <c r="B1294" s="499">
        <f t="shared" si="8"/>
        <v>317009.81</v>
      </c>
      <c r="C1294" s="783">
        <v>316809.81</v>
      </c>
      <c r="D1294" s="784">
        <v>200</v>
      </c>
    </row>
    <row r="1295" spans="1:4" x14ac:dyDescent="0.2">
      <c r="A1295" s="523">
        <v>44179</v>
      </c>
      <c r="B1295" s="499">
        <f t="shared" si="8"/>
        <v>316409.81</v>
      </c>
      <c r="C1295" s="783">
        <v>316209.81</v>
      </c>
      <c r="D1295" s="784">
        <v>200</v>
      </c>
    </row>
    <row r="1296" spans="1:4" x14ac:dyDescent="0.2">
      <c r="A1296" s="523">
        <v>44180</v>
      </c>
      <c r="B1296" s="499">
        <f t="shared" si="8"/>
        <v>316462.65000000002</v>
      </c>
      <c r="C1296" s="783">
        <v>316262.65000000002</v>
      </c>
      <c r="D1296" s="784">
        <v>200</v>
      </c>
    </row>
    <row r="1297" spans="1:4" x14ac:dyDescent="0.2">
      <c r="A1297" s="523">
        <v>44181</v>
      </c>
      <c r="B1297" s="499">
        <f t="shared" si="8"/>
        <v>337790.61</v>
      </c>
      <c r="C1297" s="783">
        <v>337590.61</v>
      </c>
      <c r="D1297" s="784">
        <v>200</v>
      </c>
    </row>
    <row r="1298" spans="1:4" x14ac:dyDescent="0.2">
      <c r="A1298" s="523">
        <v>44182</v>
      </c>
      <c r="B1298" s="499">
        <f t="shared" si="8"/>
        <v>337791</v>
      </c>
      <c r="C1298" s="783">
        <v>337591</v>
      </c>
      <c r="D1298" s="784">
        <v>200</v>
      </c>
    </row>
    <row r="1299" spans="1:4" x14ac:dyDescent="0.2">
      <c r="A1299" s="523">
        <v>44183</v>
      </c>
      <c r="B1299" s="499">
        <f t="shared" si="8"/>
        <v>337791</v>
      </c>
      <c r="C1299" s="783">
        <v>337591</v>
      </c>
      <c r="D1299" s="784">
        <v>200</v>
      </c>
    </row>
    <row r="1300" spans="1:4" x14ac:dyDescent="0.2">
      <c r="A1300" s="523">
        <v>44186</v>
      </c>
      <c r="B1300" s="499">
        <f t="shared" si="8"/>
        <v>304627.44</v>
      </c>
      <c r="C1300" s="783">
        <v>304427.44</v>
      </c>
      <c r="D1300" s="784">
        <v>200</v>
      </c>
    </row>
    <row r="1301" spans="1:4" x14ac:dyDescent="0.2">
      <c r="A1301" s="523">
        <v>44187</v>
      </c>
      <c r="B1301" s="499">
        <f t="shared" si="8"/>
        <v>304802.88</v>
      </c>
      <c r="C1301" s="783">
        <v>304602.88</v>
      </c>
      <c r="D1301" s="784">
        <v>200</v>
      </c>
    </row>
    <row r="1302" spans="1:4" x14ac:dyDescent="0.2">
      <c r="A1302" s="523">
        <v>44188</v>
      </c>
      <c r="B1302" s="499">
        <f t="shared" si="8"/>
        <v>304803</v>
      </c>
      <c r="C1302" s="783">
        <v>304603</v>
      </c>
      <c r="D1302" s="784">
        <v>200</v>
      </c>
    </row>
    <row r="1303" spans="1:4" x14ac:dyDescent="0.2">
      <c r="A1303" s="523">
        <v>44189</v>
      </c>
      <c r="B1303" s="499">
        <f t="shared" si="8"/>
        <v>338461.96</v>
      </c>
      <c r="C1303" s="783">
        <v>338261.96</v>
      </c>
      <c r="D1303" s="784">
        <v>200</v>
      </c>
    </row>
    <row r="1304" spans="1:4" x14ac:dyDescent="0.2">
      <c r="A1304" s="523">
        <v>44190</v>
      </c>
      <c r="B1304" s="499">
        <f t="shared" si="8"/>
        <v>338462</v>
      </c>
      <c r="C1304" s="783">
        <v>338262</v>
      </c>
      <c r="D1304" s="784">
        <v>200</v>
      </c>
    </row>
    <row r="1305" spans="1:4" x14ac:dyDescent="0.2">
      <c r="A1305" s="523">
        <v>44193</v>
      </c>
      <c r="B1305" s="499">
        <f t="shared" si="8"/>
        <v>373533.96</v>
      </c>
      <c r="C1305" s="783">
        <v>373333.96</v>
      </c>
      <c r="D1305" s="784">
        <v>200</v>
      </c>
    </row>
    <row r="1306" spans="1:4" x14ac:dyDescent="0.2">
      <c r="A1306" s="523">
        <v>44194</v>
      </c>
      <c r="B1306" s="499">
        <f t="shared" si="8"/>
        <v>373168.21</v>
      </c>
      <c r="C1306" s="783">
        <v>372968.21</v>
      </c>
      <c r="D1306" s="784">
        <v>200</v>
      </c>
    </row>
    <row r="1307" spans="1:4" x14ac:dyDescent="0.2">
      <c r="A1307" s="523">
        <v>44195</v>
      </c>
      <c r="B1307" s="499">
        <f t="shared" si="8"/>
        <v>375552.7</v>
      </c>
      <c r="C1307" s="783">
        <v>375352.7</v>
      </c>
      <c r="D1307" s="784">
        <v>200</v>
      </c>
    </row>
    <row r="1308" spans="1:4" x14ac:dyDescent="0.2">
      <c r="A1308" s="523">
        <v>44196</v>
      </c>
      <c r="B1308" s="499">
        <f t="shared" si="8"/>
        <v>397543.49</v>
      </c>
      <c r="C1308" s="783">
        <v>397343.49</v>
      </c>
      <c r="D1308" s="784">
        <v>200</v>
      </c>
    </row>
    <row r="1309" spans="1:4" x14ac:dyDescent="0.2">
      <c r="A1309" s="523">
        <v>44197</v>
      </c>
      <c r="B1309" s="499">
        <f t="shared" si="8"/>
        <v>397543</v>
      </c>
      <c r="C1309" s="783">
        <v>397343</v>
      </c>
      <c r="D1309" s="784">
        <v>200</v>
      </c>
    </row>
    <row r="1310" spans="1:4" x14ac:dyDescent="0.2">
      <c r="A1310" s="523">
        <v>44200</v>
      </c>
      <c r="B1310" s="499">
        <f t="shared" si="8"/>
        <v>380539.51</v>
      </c>
      <c r="C1310" s="783">
        <v>380339.51</v>
      </c>
      <c r="D1310" s="784">
        <v>200</v>
      </c>
    </row>
    <row r="1311" spans="1:4" x14ac:dyDescent="0.2">
      <c r="A1311" s="523">
        <v>44201</v>
      </c>
      <c r="B1311" s="499">
        <f t="shared" si="8"/>
        <v>349091.91</v>
      </c>
      <c r="C1311" s="783">
        <v>348891.91</v>
      </c>
      <c r="D1311" s="784">
        <v>200</v>
      </c>
    </row>
    <row r="1312" spans="1:4" x14ac:dyDescent="0.2">
      <c r="A1312" s="523">
        <v>44202</v>
      </c>
      <c r="B1312" s="499">
        <f t="shared" si="8"/>
        <v>349092</v>
      </c>
      <c r="C1312" s="783">
        <v>348892</v>
      </c>
      <c r="D1312" s="784">
        <v>200</v>
      </c>
    </row>
    <row r="1313" spans="1:4" x14ac:dyDescent="0.2">
      <c r="A1313" s="523">
        <v>44203</v>
      </c>
      <c r="B1313" s="499">
        <f t="shared" si="8"/>
        <v>409281.75</v>
      </c>
      <c r="C1313" s="783">
        <v>409081.75</v>
      </c>
      <c r="D1313" s="784">
        <v>200</v>
      </c>
    </row>
    <row r="1314" spans="1:4" x14ac:dyDescent="0.2">
      <c r="A1314" s="523">
        <v>44204</v>
      </c>
      <c r="B1314" s="499">
        <f t="shared" si="8"/>
        <v>408971.69</v>
      </c>
      <c r="C1314" s="783">
        <v>408771.69</v>
      </c>
      <c r="D1314" s="784">
        <v>200</v>
      </c>
    </row>
    <row r="1315" spans="1:4" x14ac:dyDescent="0.2">
      <c r="A1315" s="523">
        <v>44207</v>
      </c>
      <c r="B1315" s="499">
        <f t="shared" si="8"/>
        <v>408739.83</v>
      </c>
      <c r="C1315" s="783">
        <v>408539.83</v>
      </c>
      <c r="D1315" s="784">
        <v>200</v>
      </c>
    </row>
    <row r="1316" spans="1:4" x14ac:dyDescent="0.2">
      <c r="A1316" s="523">
        <v>44208</v>
      </c>
      <c r="B1316" s="499">
        <f t="shared" si="8"/>
        <v>401650.97</v>
      </c>
      <c r="C1316" s="783">
        <v>401450.97</v>
      </c>
      <c r="D1316" s="784">
        <v>200</v>
      </c>
    </row>
    <row r="1317" spans="1:4" x14ac:dyDescent="0.2">
      <c r="A1317" s="523">
        <v>44209</v>
      </c>
      <c r="B1317" s="499">
        <f t="shared" si="8"/>
        <v>413709.67</v>
      </c>
      <c r="C1317" s="783">
        <v>413509.67</v>
      </c>
      <c r="D1317" s="784">
        <v>200</v>
      </c>
    </row>
    <row r="1318" spans="1:4" x14ac:dyDescent="0.2">
      <c r="A1318" s="523">
        <v>44210</v>
      </c>
      <c r="B1318" s="499">
        <f t="shared" si="8"/>
        <v>412321.56</v>
      </c>
      <c r="C1318" s="783">
        <v>412121.56</v>
      </c>
      <c r="D1318" s="784">
        <v>200</v>
      </c>
    </row>
    <row r="1319" spans="1:4" x14ac:dyDescent="0.2">
      <c r="A1319" s="523">
        <v>44211</v>
      </c>
      <c r="B1319" s="499">
        <f t="shared" si="8"/>
        <v>412384.91</v>
      </c>
      <c r="C1319" s="783">
        <v>412184.91</v>
      </c>
      <c r="D1319" s="784">
        <v>200</v>
      </c>
    </row>
    <row r="1320" spans="1:4" x14ac:dyDescent="0.2">
      <c r="A1320" s="523">
        <v>44214</v>
      </c>
      <c r="B1320" s="499">
        <f t="shared" si="8"/>
        <v>412385</v>
      </c>
      <c r="C1320" s="783">
        <v>412185</v>
      </c>
      <c r="D1320" s="784">
        <v>200</v>
      </c>
    </row>
    <row r="1321" spans="1:4" x14ac:dyDescent="0.2">
      <c r="A1321" s="523">
        <v>44215</v>
      </c>
      <c r="B1321" s="499">
        <f t="shared" si="8"/>
        <v>417699.08</v>
      </c>
      <c r="C1321" s="783">
        <v>417499.08</v>
      </c>
      <c r="D1321" s="784">
        <v>200</v>
      </c>
    </row>
    <row r="1322" spans="1:4" x14ac:dyDescent="0.2">
      <c r="A1322" s="523">
        <v>44216</v>
      </c>
      <c r="B1322" s="560">
        <f t="shared" si="8"/>
        <v>417952.08</v>
      </c>
      <c r="C1322" s="783">
        <v>417752.08</v>
      </c>
      <c r="D1322" s="784">
        <v>200</v>
      </c>
    </row>
    <row r="1323" spans="1:4" x14ac:dyDescent="0.2">
      <c r="A1323" s="523">
        <v>44217</v>
      </c>
      <c r="B1323" s="499">
        <f t="shared" si="8"/>
        <v>402996.41</v>
      </c>
      <c r="C1323" s="783">
        <v>402796.41</v>
      </c>
      <c r="D1323" s="784">
        <v>200</v>
      </c>
    </row>
    <row r="1324" spans="1:4" x14ac:dyDescent="0.2">
      <c r="A1324" s="523">
        <v>44218</v>
      </c>
      <c r="B1324" s="499">
        <f t="shared" si="8"/>
        <v>402527.5</v>
      </c>
      <c r="C1324" s="783">
        <v>402327.5</v>
      </c>
      <c r="D1324" s="784">
        <v>200</v>
      </c>
    </row>
    <row r="1325" spans="1:4" x14ac:dyDescent="0.2">
      <c r="A1325" s="523">
        <v>44221</v>
      </c>
      <c r="B1325" s="499">
        <f t="shared" si="8"/>
        <v>402528</v>
      </c>
      <c r="C1325" s="783">
        <v>402328</v>
      </c>
      <c r="D1325" s="784">
        <v>200</v>
      </c>
    </row>
    <row r="1326" spans="1:4" x14ac:dyDescent="0.2">
      <c r="A1326" s="523">
        <v>44222</v>
      </c>
      <c r="B1326" s="499">
        <f t="shared" si="8"/>
        <v>399742.18</v>
      </c>
      <c r="C1326" s="783">
        <v>399542.18</v>
      </c>
      <c r="D1326" s="784">
        <v>200</v>
      </c>
    </row>
    <row r="1327" spans="1:4" x14ac:dyDescent="0.2">
      <c r="A1327" s="523">
        <v>44223</v>
      </c>
      <c r="B1327" s="499">
        <f t="shared" ref="B1327:B1349" si="9">C1327+D1327</f>
        <v>399886.18</v>
      </c>
      <c r="C1327" s="783">
        <v>399686.18</v>
      </c>
      <c r="D1327" s="784">
        <v>200</v>
      </c>
    </row>
    <row r="1328" spans="1:4" x14ac:dyDescent="0.2">
      <c r="A1328" s="523">
        <v>44224</v>
      </c>
      <c r="B1328" s="499">
        <f t="shared" si="9"/>
        <v>393628.47</v>
      </c>
      <c r="C1328" s="783">
        <v>393428.47</v>
      </c>
      <c r="D1328" s="784">
        <v>200</v>
      </c>
    </row>
    <row r="1329" spans="1:4" x14ac:dyDescent="0.2">
      <c r="A1329" s="523">
        <v>44225</v>
      </c>
      <c r="B1329" s="499">
        <f t="shared" si="9"/>
        <v>393628</v>
      </c>
      <c r="C1329" s="783">
        <v>393428</v>
      </c>
      <c r="D1329" s="784">
        <v>200</v>
      </c>
    </row>
    <row r="1330" spans="1:4" x14ac:dyDescent="0.2">
      <c r="A1330" s="523">
        <v>44228</v>
      </c>
      <c r="B1330" s="499">
        <f t="shared" si="9"/>
        <v>393628</v>
      </c>
      <c r="C1330" s="783">
        <v>393428</v>
      </c>
      <c r="D1330" s="784">
        <v>200</v>
      </c>
    </row>
    <row r="1331" spans="1:4" x14ac:dyDescent="0.2">
      <c r="A1331" s="523">
        <v>44229</v>
      </c>
      <c r="B1331" s="499">
        <f t="shared" si="9"/>
        <v>359326.4</v>
      </c>
      <c r="C1331" s="783">
        <v>359126.4</v>
      </c>
      <c r="D1331" s="784">
        <v>200</v>
      </c>
    </row>
    <row r="1332" spans="1:4" x14ac:dyDescent="0.2">
      <c r="A1332" s="523">
        <v>44230</v>
      </c>
      <c r="B1332" s="499">
        <f t="shared" si="9"/>
        <v>359521.7</v>
      </c>
      <c r="C1332" s="783">
        <v>359321.7</v>
      </c>
      <c r="D1332" s="784">
        <v>200</v>
      </c>
    </row>
    <row r="1333" spans="1:4" x14ac:dyDescent="0.2">
      <c r="A1333" s="523">
        <v>44231</v>
      </c>
      <c r="B1333" s="499">
        <f t="shared" si="9"/>
        <v>359522</v>
      </c>
      <c r="C1333" s="783">
        <v>359322</v>
      </c>
      <c r="D1333" s="784">
        <v>200</v>
      </c>
    </row>
    <row r="1334" spans="1:4" x14ac:dyDescent="0.2">
      <c r="A1334" s="523">
        <v>44232</v>
      </c>
      <c r="B1334" s="499">
        <f t="shared" si="9"/>
        <v>347055.28</v>
      </c>
      <c r="C1334" s="783">
        <v>346855.28</v>
      </c>
      <c r="D1334" s="784">
        <v>200</v>
      </c>
    </row>
    <row r="1335" spans="1:4" x14ac:dyDescent="0.2">
      <c r="A1335" s="523">
        <v>44235</v>
      </c>
      <c r="B1335" s="499">
        <f t="shared" si="9"/>
        <v>369629.13</v>
      </c>
      <c r="C1335" s="783">
        <v>369429.13</v>
      </c>
      <c r="D1335" s="784">
        <v>200</v>
      </c>
    </row>
    <row r="1336" spans="1:4" x14ac:dyDescent="0.2">
      <c r="A1336" s="523">
        <v>44236</v>
      </c>
      <c r="B1336" s="499">
        <f t="shared" si="9"/>
        <v>382278.77</v>
      </c>
      <c r="C1336" s="783">
        <v>382078.77</v>
      </c>
      <c r="D1336" s="784">
        <v>200</v>
      </c>
    </row>
    <row r="1337" spans="1:4" x14ac:dyDescent="0.2">
      <c r="A1337" s="523">
        <v>44237</v>
      </c>
      <c r="B1337" s="499">
        <f t="shared" si="9"/>
        <v>382279</v>
      </c>
      <c r="C1337" s="783">
        <v>382079</v>
      </c>
      <c r="D1337" s="784">
        <v>200</v>
      </c>
    </row>
    <row r="1338" spans="1:4" x14ac:dyDescent="0.2">
      <c r="A1338" s="523">
        <v>44238</v>
      </c>
      <c r="B1338" s="499">
        <f t="shared" si="9"/>
        <v>378310.6</v>
      </c>
      <c r="C1338" s="783">
        <v>378110.6</v>
      </c>
      <c r="D1338" s="784">
        <v>200</v>
      </c>
    </row>
    <row r="1339" spans="1:4" x14ac:dyDescent="0.2">
      <c r="A1339" s="523">
        <v>44239</v>
      </c>
      <c r="B1339" s="499">
        <f t="shared" si="9"/>
        <v>378369.91</v>
      </c>
      <c r="C1339" s="783">
        <v>378169.91</v>
      </c>
      <c r="D1339" s="784">
        <v>200</v>
      </c>
    </row>
    <row r="1340" spans="1:4" x14ac:dyDescent="0.2">
      <c r="A1340" s="523">
        <v>44242</v>
      </c>
      <c r="B1340" s="499">
        <f t="shared" si="9"/>
        <v>378370</v>
      </c>
      <c r="C1340" s="783">
        <v>378170</v>
      </c>
      <c r="D1340" s="784">
        <v>200</v>
      </c>
    </row>
    <row r="1341" spans="1:4" x14ac:dyDescent="0.2">
      <c r="A1341" s="523">
        <v>44243</v>
      </c>
      <c r="B1341" s="560">
        <f t="shared" si="9"/>
        <v>345442.81</v>
      </c>
      <c r="C1341" s="783">
        <v>345242.81</v>
      </c>
      <c r="D1341" s="784">
        <v>200</v>
      </c>
    </row>
    <row r="1342" spans="1:4" x14ac:dyDescent="0.2">
      <c r="A1342" s="523">
        <v>44244</v>
      </c>
      <c r="B1342" s="499">
        <f t="shared" si="9"/>
        <v>345443</v>
      </c>
      <c r="C1342" s="783">
        <v>345243</v>
      </c>
      <c r="D1342" s="784">
        <v>200</v>
      </c>
    </row>
    <row r="1343" spans="1:4" x14ac:dyDescent="0.2">
      <c r="A1343" s="523">
        <v>44245</v>
      </c>
      <c r="B1343" s="499">
        <f t="shared" si="9"/>
        <v>345443</v>
      </c>
      <c r="C1343" s="783">
        <v>345243</v>
      </c>
      <c r="D1343" s="784">
        <v>200</v>
      </c>
    </row>
    <row r="1344" spans="1:4" x14ac:dyDescent="0.2">
      <c r="A1344" s="523">
        <v>44246</v>
      </c>
      <c r="B1344" s="499">
        <f t="shared" si="9"/>
        <v>364859.97</v>
      </c>
      <c r="C1344" s="783">
        <v>364659.97</v>
      </c>
      <c r="D1344" s="784">
        <v>200</v>
      </c>
    </row>
    <row r="1345" spans="1:4" x14ac:dyDescent="0.2">
      <c r="A1345" s="523">
        <v>44249</v>
      </c>
      <c r="B1345" s="499">
        <f t="shared" si="9"/>
        <v>368452.97</v>
      </c>
      <c r="C1345" s="783">
        <v>368252.97</v>
      </c>
      <c r="D1345" s="784">
        <v>200</v>
      </c>
    </row>
    <row r="1346" spans="1:4" x14ac:dyDescent="0.2">
      <c r="A1346" s="523">
        <v>44250</v>
      </c>
      <c r="B1346" s="499">
        <f t="shared" si="9"/>
        <v>368407.65</v>
      </c>
      <c r="C1346" s="783">
        <v>368207.65</v>
      </c>
      <c r="D1346" s="784">
        <v>200</v>
      </c>
    </row>
    <row r="1347" spans="1:4" x14ac:dyDescent="0.2">
      <c r="A1347" s="523">
        <v>44251</v>
      </c>
      <c r="B1347" s="499">
        <f t="shared" si="9"/>
        <v>373249.01</v>
      </c>
      <c r="C1347" s="783">
        <v>373049.01</v>
      </c>
      <c r="D1347" s="784">
        <v>200</v>
      </c>
    </row>
    <row r="1348" spans="1:4" x14ac:dyDescent="0.2">
      <c r="A1348" s="523">
        <v>44252</v>
      </c>
      <c r="B1348" s="499">
        <f t="shared" si="9"/>
        <v>373249.01</v>
      </c>
      <c r="C1348" s="783">
        <v>373049.01</v>
      </c>
      <c r="D1348" s="784">
        <v>200</v>
      </c>
    </row>
    <row r="1349" spans="1:4" x14ac:dyDescent="0.2">
      <c r="A1349" s="523">
        <v>44253</v>
      </c>
      <c r="B1349" s="499">
        <f t="shared" si="9"/>
        <v>404359.4</v>
      </c>
      <c r="C1349" s="783">
        <v>404159.4</v>
      </c>
      <c r="D1349" s="784">
        <v>200</v>
      </c>
    </row>
    <row r="1350" spans="1:4" x14ac:dyDescent="0.2">
      <c r="A1350" s="523"/>
      <c r="C1350" s="783"/>
      <c r="D1350" s="784"/>
    </row>
    <row r="1351" spans="1:4" x14ac:dyDescent="0.2">
      <c r="A1351" s="523"/>
    </row>
    <row r="1352" spans="1:4" x14ac:dyDescent="0.2">
      <c r="A1352" s="528" t="s">
        <v>275</v>
      </c>
      <c r="B1352" s="499">
        <f>MAX(B$1309:B1351)</f>
        <v>417952.08</v>
      </c>
    </row>
    <row r="1353" spans="1:4" x14ac:dyDescent="0.2">
      <c r="A1353" s="528" t="s">
        <v>276</v>
      </c>
      <c r="B1353" s="499">
        <f>MIN(B1309:B1351)</f>
        <v>345442.81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453</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454</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112</v>
      </c>
      <c r="B5" s="64"/>
      <c r="C5" s="64"/>
      <c r="D5" s="64"/>
      <c r="E5" s="64"/>
      <c r="F5" s="64"/>
      <c r="G5" s="885" t="s">
        <v>53</v>
      </c>
      <c r="H5" s="885"/>
      <c r="I5" s="885"/>
      <c r="J5" s="885"/>
      <c r="K5" s="885"/>
      <c r="L5" s="418" t="s">
        <v>185</v>
      </c>
      <c r="M5" s="415" t="s">
        <v>198</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104</v>
      </c>
      <c r="C7" s="87"/>
      <c r="D7" s="87"/>
      <c r="E7" s="87"/>
      <c r="F7" s="87"/>
      <c r="G7" s="781" t="s">
        <v>449</v>
      </c>
      <c r="H7" s="782" t="s">
        <v>450</v>
      </c>
      <c r="I7" s="782" t="s">
        <v>455</v>
      </c>
      <c r="J7" s="782"/>
      <c r="K7" s="781" t="s">
        <v>456</v>
      </c>
      <c r="L7" s="886" t="s">
        <v>457</v>
      </c>
      <c r="M7" s="886"/>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3" t="s">
        <v>105</v>
      </c>
      <c r="D8" s="423"/>
      <c r="E8" s="423"/>
      <c r="F8" s="73"/>
      <c r="G8" s="327">
        <v>360098</v>
      </c>
      <c r="H8" s="327">
        <v>315760.04333000001</v>
      </c>
      <c r="I8" s="327">
        <v>675858.04333000001</v>
      </c>
      <c r="J8" s="327"/>
      <c r="K8" s="264">
        <v>811777</v>
      </c>
      <c r="L8" s="381">
        <v>-135918.95666999999</v>
      </c>
      <c r="M8" s="416">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3" t="s">
        <v>154</v>
      </c>
      <c r="D9" s="423"/>
      <c r="E9" s="423"/>
      <c r="F9" s="73"/>
      <c r="G9" s="323">
        <v>41504</v>
      </c>
      <c r="H9" s="323">
        <v>25300</v>
      </c>
      <c r="I9" s="323">
        <v>66804</v>
      </c>
      <c r="J9" s="323"/>
      <c r="K9" s="265">
        <v>175000</v>
      </c>
      <c r="L9" s="515">
        <v>-108196</v>
      </c>
      <c r="M9" s="416">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3" t="s">
        <v>183</v>
      </c>
      <c r="D10" s="423"/>
      <c r="E10" s="423"/>
      <c r="F10" s="73"/>
      <c r="G10" s="323">
        <v>14147</v>
      </c>
      <c r="H10" s="323">
        <v>24011.0864</v>
      </c>
      <c r="I10" s="323">
        <v>38158.0864</v>
      </c>
      <c r="J10" s="323"/>
      <c r="K10" s="265">
        <v>49619</v>
      </c>
      <c r="L10" s="515">
        <v>-11460.9136</v>
      </c>
      <c r="M10" s="416">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3" t="s">
        <v>106</v>
      </c>
      <c r="D11" s="423"/>
      <c r="E11" s="423"/>
      <c r="F11" s="73"/>
      <c r="G11" s="323"/>
      <c r="H11" s="323"/>
      <c r="I11" s="323">
        <v>0</v>
      </c>
      <c r="J11" s="323"/>
      <c r="K11" s="265"/>
      <c r="L11" s="515"/>
      <c r="M11" s="416"/>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3" t="s">
        <v>143</v>
      </c>
      <c r="E12" s="423"/>
      <c r="F12" s="73"/>
      <c r="G12" s="323">
        <v>103487</v>
      </c>
      <c r="H12" s="323">
        <v>87197.56</v>
      </c>
      <c r="I12" s="323">
        <v>190684.56</v>
      </c>
      <c r="J12" s="323"/>
      <c r="K12" s="265">
        <v>196175</v>
      </c>
      <c r="L12" s="515">
        <v>-5490.4400000000023</v>
      </c>
      <c r="M12" s="416">
        <v>-2.7987460175863399E-2</v>
      </c>
      <c r="N12" s="68"/>
      <c r="O12" s="475"/>
      <c r="P12" s="474"/>
      <c r="Q12" s="474"/>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3" t="s">
        <v>163</v>
      </c>
      <c r="E13" s="423"/>
      <c r="F13" s="73"/>
      <c r="G13" s="323">
        <v>9000</v>
      </c>
      <c r="H13" s="323">
        <v>9000</v>
      </c>
      <c r="I13" s="323">
        <v>18000</v>
      </c>
      <c r="J13" s="323"/>
      <c r="K13" s="265">
        <v>18000</v>
      </c>
      <c r="L13" s="515">
        <v>0</v>
      </c>
      <c r="M13" s="416">
        <v>0</v>
      </c>
      <c r="N13" s="68"/>
      <c r="O13" s="390"/>
      <c r="P13" s="476"/>
      <c r="Q13" s="363"/>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3"/>
      <c r="D14" s="423" t="s">
        <v>443</v>
      </c>
      <c r="E14" s="423"/>
      <c r="F14" s="73"/>
      <c r="G14" s="323">
        <v>48393</v>
      </c>
      <c r="H14" s="323">
        <v>58479.097600000001</v>
      </c>
      <c r="I14" s="323">
        <v>106872.09760000001</v>
      </c>
      <c r="J14" s="323"/>
      <c r="K14" s="265">
        <v>169400</v>
      </c>
      <c r="L14" s="515">
        <v>-62527.902399999992</v>
      </c>
      <c r="M14" s="416">
        <v>-0.36911394569067291</v>
      </c>
      <c r="N14" s="68"/>
      <c r="O14" s="390"/>
      <c r="P14" s="476"/>
      <c r="Q14" s="363"/>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3" t="s">
        <v>394</v>
      </c>
      <c r="D15" s="423"/>
      <c r="E15" s="423"/>
      <c r="F15" s="73"/>
      <c r="G15" s="323">
        <v>5140</v>
      </c>
      <c r="H15" s="323">
        <v>5045</v>
      </c>
      <c r="I15" s="323">
        <v>10185</v>
      </c>
      <c r="J15" s="323"/>
      <c r="K15" s="265">
        <v>17000</v>
      </c>
      <c r="L15" s="515">
        <v>-6815</v>
      </c>
      <c r="M15" s="416">
        <v>-0.40088235294117647</v>
      </c>
      <c r="N15" s="68"/>
      <c r="O15" s="390"/>
      <c r="P15" s="476"/>
      <c r="Q15" s="363"/>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3" t="s">
        <v>114</v>
      </c>
      <c r="D16" s="423"/>
      <c r="E16" s="423"/>
      <c r="F16" s="73"/>
      <c r="G16" s="323">
        <v>701</v>
      </c>
      <c r="H16" s="323">
        <v>592.29</v>
      </c>
      <c r="I16" s="323">
        <v>1293.29</v>
      </c>
      <c r="J16" s="323"/>
      <c r="K16" s="265">
        <v>1200</v>
      </c>
      <c r="L16" s="515">
        <v>93.289999999999964</v>
      </c>
      <c r="M16" s="416">
        <v>7.7741666666666639E-2</v>
      </c>
      <c r="N16" s="68"/>
      <c r="O16" s="390"/>
      <c r="P16" s="476"/>
      <c r="Q16" s="363"/>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3" t="s">
        <v>243</v>
      </c>
      <c r="D17" s="423"/>
      <c r="E17" s="423"/>
      <c r="F17" s="73"/>
      <c r="G17" s="323">
        <v>2152</v>
      </c>
      <c r="H17" s="323">
        <v>1900</v>
      </c>
      <c r="I17" s="323">
        <v>4052</v>
      </c>
      <c r="J17" s="323"/>
      <c r="K17" s="265">
        <v>4200</v>
      </c>
      <c r="L17" s="515">
        <v>-148</v>
      </c>
      <c r="M17" s="416">
        <v>-3.5238095238095235E-2</v>
      </c>
      <c r="N17" s="68"/>
      <c r="O17" s="390"/>
      <c r="P17" s="476"/>
      <c r="Q17" s="363"/>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3" t="s">
        <v>329</v>
      </c>
      <c r="D18" s="423"/>
      <c r="E18" s="423"/>
      <c r="F18" s="73"/>
      <c r="G18" s="323">
        <v>-2942</v>
      </c>
      <c r="H18" s="323">
        <v>0</v>
      </c>
      <c r="I18" s="323">
        <v>-2942</v>
      </c>
      <c r="J18" s="323"/>
      <c r="K18" s="265">
        <v>1500</v>
      </c>
      <c r="L18" s="515">
        <v>-4442</v>
      </c>
      <c r="M18" s="416">
        <v>-2.9613333333333332</v>
      </c>
      <c r="N18" s="68"/>
      <c r="O18" s="390"/>
      <c r="P18" s="476"/>
      <c r="Q18" s="363"/>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3" t="s">
        <v>458</v>
      </c>
      <c r="D19" s="423"/>
      <c r="E19" s="423"/>
      <c r="F19" s="73"/>
      <c r="G19" s="323"/>
      <c r="H19" s="323"/>
      <c r="I19" s="323">
        <v>0</v>
      </c>
      <c r="J19" s="323"/>
      <c r="K19" s="265"/>
      <c r="L19" s="515">
        <v>0</v>
      </c>
      <c r="M19" s="416"/>
      <c r="N19" s="68"/>
      <c r="O19" s="390"/>
      <c r="P19" s="476"/>
      <c r="Q19" s="363"/>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3"/>
      <c r="D20" s="423" t="s">
        <v>11</v>
      </c>
      <c r="E20" s="423"/>
      <c r="F20" s="73"/>
      <c r="G20" s="323">
        <v>15479.72</v>
      </c>
      <c r="H20" s="323">
        <v>16194.880000000001</v>
      </c>
      <c r="I20" s="323">
        <v>31674.6</v>
      </c>
      <c r="J20" s="323"/>
      <c r="K20" s="265">
        <v>29543</v>
      </c>
      <c r="L20" s="515">
        <v>2131.5999999999985</v>
      </c>
      <c r="M20" s="416">
        <v>7.2152455742477015E-2</v>
      </c>
      <c r="N20" s="68"/>
      <c r="O20" s="390"/>
      <c r="P20" s="476"/>
      <c r="Q20" s="363"/>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3"/>
      <c r="D21" s="423" t="s">
        <v>422</v>
      </c>
      <c r="E21" s="423"/>
      <c r="F21" s="423"/>
      <c r="G21" s="323">
        <v>4073</v>
      </c>
      <c r="H21" s="323">
        <v>1960.0200000000002</v>
      </c>
      <c r="I21" s="323">
        <v>6033.02</v>
      </c>
      <c r="J21" s="323"/>
      <c r="K21" s="265">
        <v>5000</v>
      </c>
      <c r="L21" s="515">
        <v>1033.0200000000004</v>
      </c>
      <c r="M21" s="416">
        <v>0.20660400000000009</v>
      </c>
      <c r="N21" s="68"/>
      <c r="O21" s="390"/>
      <c r="P21" s="476"/>
      <c r="Q21" s="363"/>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77"/>
      <c r="D22" s="423" t="s">
        <v>17</v>
      </c>
      <c r="E22" s="777"/>
      <c r="F22" s="777"/>
      <c r="G22" s="323">
        <v>25000</v>
      </c>
      <c r="H22" s="323">
        <v>25000</v>
      </c>
      <c r="I22" s="323">
        <v>50000</v>
      </c>
      <c r="J22" s="323"/>
      <c r="K22" s="265">
        <v>50000</v>
      </c>
      <c r="L22" s="515">
        <v>0</v>
      </c>
      <c r="M22" s="416">
        <v>0</v>
      </c>
      <c r="N22" s="68"/>
      <c r="O22" s="390"/>
      <c r="P22" s="476"/>
      <c r="Q22" s="3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77"/>
      <c r="D23" s="423" t="s">
        <v>459</v>
      </c>
      <c r="E23" s="777"/>
      <c r="F23" s="777"/>
      <c r="G23" s="323">
        <v>15000</v>
      </c>
      <c r="H23" s="323">
        <v>0</v>
      </c>
      <c r="I23" s="323">
        <v>15000</v>
      </c>
      <c r="J23" s="323"/>
      <c r="K23" s="265">
        <v>0</v>
      </c>
      <c r="L23" s="515">
        <v>15000</v>
      </c>
      <c r="M23" s="416"/>
      <c r="N23" s="68"/>
      <c r="O23" s="390"/>
      <c r="P23" s="476"/>
      <c r="Q23" s="3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77"/>
      <c r="D24" s="423" t="s">
        <v>460</v>
      </c>
      <c r="E24" s="777"/>
      <c r="F24" s="777"/>
      <c r="G24" s="323">
        <v>5488</v>
      </c>
      <c r="H24" s="323">
        <v>0</v>
      </c>
      <c r="I24" s="323">
        <v>5488</v>
      </c>
      <c r="J24" s="323"/>
      <c r="K24" s="265">
        <v>0</v>
      </c>
      <c r="L24" s="515">
        <v>5488</v>
      </c>
      <c r="M24" s="416"/>
      <c r="N24" s="68"/>
      <c r="O24" s="390"/>
      <c r="P24" s="476"/>
      <c r="Q24" s="363"/>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3" t="s">
        <v>331</v>
      </c>
      <c r="D25" s="777"/>
      <c r="E25" s="777"/>
      <c r="F25" s="777"/>
      <c r="G25" s="323">
        <v>0</v>
      </c>
      <c r="H25" s="323">
        <v>0</v>
      </c>
      <c r="I25" s="323">
        <v>0</v>
      </c>
      <c r="J25" s="323"/>
      <c r="K25" s="265">
        <v>2000</v>
      </c>
      <c r="L25" s="515">
        <v>-2000</v>
      </c>
      <c r="M25" s="416">
        <v>-1</v>
      </c>
      <c r="N25" s="68"/>
      <c r="O25" s="390"/>
      <c r="P25" s="476"/>
      <c r="Q25" s="363"/>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3" t="s">
        <v>113</v>
      </c>
      <c r="D26" s="777"/>
      <c r="E26" s="777"/>
      <c r="F26" s="777"/>
      <c r="G26" s="323">
        <v>23288</v>
      </c>
      <c r="H26" s="323">
        <v>23288</v>
      </c>
      <c r="I26" s="323">
        <v>46576</v>
      </c>
      <c r="J26" s="323"/>
      <c r="K26" s="323">
        <v>46576</v>
      </c>
      <c r="L26" s="515">
        <v>0</v>
      </c>
      <c r="M26" s="416">
        <v>0</v>
      </c>
      <c r="N26" s="68"/>
      <c r="O26" s="390"/>
      <c r="P26" s="476"/>
      <c r="Q26" s="363"/>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3" t="s">
        <v>461</v>
      </c>
      <c r="D27" s="777"/>
      <c r="E27" s="777"/>
      <c r="F27" s="777"/>
      <c r="G27" s="323">
        <v>11328.2</v>
      </c>
      <c r="H27" s="323">
        <v>10450</v>
      </c>
      <c r="I27" s="323">
        <v>21778.2</v>
      </c>
      <c r="J27" s="323"/>
      <c r="K27" s="323">
        <v>3500</v>
      </c>
      <c r="L27" s="515">
        <v>18278.2</v>
      </c>
      <c r="M27" s="416">
        <v>5.2223428571428574</v>
      </c>
      <c r="N27" s="68"/>
      <c r="O27" s="390"/>
      <c r="P27" s="476"/>
      <c r="Q27" s="363"/>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3" t="s">
        <v>106</v>
      </c>
      <c r="D28" s="777"/>
      <c r="E28" s="777"/>
      <c r="F28" s="777"/>
      <c r="G28" s="323">
        <v>9500</v>
      </c>
      <c r="H28" s="323">
        <v>9499.7799999999988</v>
      </c>
      <c r="I28" s="323">
        <v>18999.78</v>
      </c>
      <c r="J28" s="323"/>
      <c r="K28" s="323">
        <v>19000</v>
      </c>
      <c r="L28" s="515">
        <v>-0.22000000000116415</v>
      </c>
      <c r="M28" s="416">
        <v>-1.1578947368482324E-5</v>
      </c>
      <c r="N28" s="68"/>
      <c r="O28" s="390"/>
      <c r="P28" s="476"/>
      <c r="Q28" s="363"/>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3" t="s">
        <v>328</v>
      </c>
      <c r="D29" s="777"/>
      <c r="E29" s="777"/>
      <c r="F29" s="777"/>
      <c r="G29" s="323">
        <v>26000</v>
      </c>
      <c r="H29" s="323">
        <v>20800.019999999997</v>
      </c>
      <c r="I29" s="323">
        <v>46800.02</v>
      </c>
      <c r="J29" s="323"/>
      <c r="K29" s="323">
        <v>53000</v>
      </c>
      <c r="L29" s="515">
        <v>-6199.9800000000032</v>
      </c>
      <c r="M29" s="416">
        <v>-0.11698075471698119</v>
      </c>
      <c r="N29" s="68"/>
      <c r="O29" s="390"/>
      <c r="P29" s="476"/>
      <c r="Q29" s="363"/>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3" t="s">
        <v>330</v>
      </c>
      <c r="D30" s="777"/>
      <c r="E30" s="777"/>
      <c r="F30" s="777"/>
      <c r="G30" s="323">
        <v>5764.37</v>
      </c>
      <c r="H30" s="323">
        <v>5781</v>
      </c>
      <c r="I30" s="323">
        <v>11545.369999999999</v>
      </c>
      <c r="J30" s="323"/>
      <c r="K30" s="323">
        <v>16835</v>
      </c>
      <c r="L30" s="515">
        <v>-5289.630000000001</v>
      </c>
      <c r="M30" s="416">
        <v>-0.31420433620433624</v>
      </c>
      <c r="N30" s="68"/>
      <c r="O30" s="390"/>
      <c r="P30" s="476"/>
      <c r="Q30" s="363"/>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3"/>
      <c r="D31" s="73" t="s">
        <v>109</v>
      </c>
      <c r="E31" s="423"/>
      <c r="F31" s="73"/>
      <c r="G31" s="786">
        <v>722601.28999999992</v>
      </c>
      <c r="H31" s="786">
        <v>640258.77733000007</v>
      </c>
      <c r="I31" s="786">
        <v>1362860.0673300002</v>
      </c>
      <c r="J31" s="786"/>
      <c r="K31" s="786">
        <v>1669325</v>
      </c>
      <c r="L31" s="787">
        <v>-306464.93267000001</v>
      </c>
      <c r="M31" s="788">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3"/>
      <c r="D32" s="73"/>
      <c r="E32" s="423"/>
      <c r="F32" s="73"/>
      <c r="G32" s="323"/>
      <c r="H32" s="323"/>
      <c r="I32" s="323"/>
      <c r="J32" s="323"/>
      <c r="K32" s="603"/>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115</v>
      </c>
      <c r="C33" s="87"/>
      <c r="D33" s="87"/>
      <c r="E33" s="87"/>
      <c r="F33" s="87"/>
      <c r="G33" s="323"/>
      <c r="H33" s="323"/>
      <c r="I33" s="323"/>
      <c r="J33" s="323"/>
      <c r="K33" s="370"/>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116</v>
      </c>
      <c r="D34" s="79"/>
      <c r="E34" s="79"/>
      <c r="F34" s="79"/>
      <c r="G34" s="233">
        <v>447013.99</v>
      </c>
      <c r="H34" s="323">
        <v>440623.07</v>
      </c>
      <c r="I34" s="323">
        <v>887637.06</v>
      </c>
      <c r="J34" s="323"/>
      <c r="K34" s="789">
        <v>1102996</v>
      </c>
      <c r="L34" s="515">
        <v>-215358.93999999994</v>
      </c>
      <c r="M34" s="441">
        <v>-0.19524906708637196</v>
      </c>
    </row>
    <row r="35" spans="1:57" s="68" customFormat="1" ht="20.25" x14ac:dyDescent="0.2">
      <c r="A35" s="67"/>
      <c r="B35" s="67"/>
      <c r="C35" s="79" t="s">
        <v>117</v>
      </c>
      <c r="D35" s="79"/>
      <c r="E35" s="79"/>
      <c r="F35" s="79"/>
      <c r="G35" s="233">
        <v>102132.08</v>
      </c>
      <c r="H35" s="323">
        <v>85992.050000000017</v>
      </c>
      <c r="I35" s="323">
        <v>188124.13</v>
      </c>
      <c r="J35" s="323"/>
      <c r="K35" s="790">
        <v>224967</v>
      </c>
      <c r="L35" s="515">
        <v>-36842.869999999995</v>
      </c>
      <c r="M35" s="441">
        <v>-0.16377010850480292</v>
      </c>
    </row>
    <row r="36" spans="1:57" s="68" customFormat="1" ht="20.25" x14ac:dyDescent="0.2">
      <c r="A36" s="67"/>
      <c r="B36" s="67"/>
      <c r="C36" s="79" t="s">
        <v>118</v>
      </c>
      <c r="D36" s="79"/>
      <c r="E36" s="79"/>
      <c r="F36" s="79"/>
      <c r="G36" s="233">
        <v>900</v>
      </c>
      <c r="H36" s="323">
        <v>900</v>
      </c>
      <c r="I36" s="323">
        <v>1800</v>
      </c>
      <c r="J36" s="323"/>
      <c r="K36" s="790">
        <v>1800</v>
      </c>
      <c r="L36" s="515">
        <v>0</v>
      </c>
      <c r="M36" s="441">
        <v>0</v>
      </c>
    </row>
    <row r="37" spans="1:57" s="68" customFormat="1" ht="20.25" x14ac:dyDescent="0.2">
      <c r="A37" s="67"/>
      <c r="B37" s="67"/>
      <c r="C37" s="79" t="s">
        <v>108</v>
      </c>
      <c r="D37" s="79"/>
      <c r="E37" s="79"/>
      <c r="F37" s="79"/>
      <c r="G37" s="233">
        <v>23288</v>
      </c>
      <c r="H37" s="323">
        <v>23288</v>
      </c>
      <c r="I37" s="323">
        <v>46576</v>
      </c>
      <c r="J37" s="323"/>
      <c r="K37" s="790">
        <v>46576</v>
      </c>
      <c r="L37" s="515">
        <v>0</v>
      </c>
      <c r="M37" s="441">
        <v>0</v>
      </c>
    </row>
    <row r="38" spans="1:57" s="68" customFormat="1" ht="20.25" x14ac:dyDescent="0.2">
      <c r="A38" s="67"/>
      <c r="B38" s="67"/>
      <c r="C38" s="79" t="s">
        <v>119</v>
      </c>
      <c r="D38" s="79"/>
      <c r="E38" s="79"/>
      <c r="F38" s="79"/>
      <c r="G38" s="233">
        <v>10831.87</v>
      </c>
      <c r="H38" s="323">
        <v>10418.370000000001</v>
      </c>
      <c r="I38" s="323">
        <v>21250.240000000002</v>
      </c>
      <c r="J38" s="323"/>
      <c r="K38" s="790">
        <v>19050</v>
      </c>
      <c r="L38" s="515">
        <v>2200.2400000000016</v>
      </c>
      <c r="M38" s="441">
        <v>0.11549816272965888</v>
      </c>
    </row>
    <row r="39" spans="1:57" s="68" customFormat="1" ht="20.25" x14ac:dyDescent="0.2">
      <c r="A39" s="67"/>
      <c r="B39" s="67"/>
      <c r="C39" s="79" t="s">
        <v>120</v>
      </c>
      <c r="D39" s="79"/>
      <c r="E39" s="79"/>
      <c r="F39" s="79"/>
      <c r="G39" s="233">
        <v>1224.3499999999999</v>
      </c>
      <c r="H39" s="323">
        <v>1207.24</v>
      </c>
      <c r="I39" s="323">
        <v>2431.59</v>
      </c>
      <c r="J39" s="323"/>
      <c r="K39" s="790">
        <v>3377</v>
      </c>
      <c r="L39" s="515">
        <v>-945.40999999999985</v>
      </c>
      <c r="M39" s="441">
        <v>-0.27995558187740593</v>
      </c>
    </row>
    <row r="40" spans="1:57" s="68" customFormat="1" ht="20.25" x14ac:dyDescent="0.2">
      <c r="A40" s="67"/>
      <c r="B40" s="67"/>
      <c r="C40" s="79" t="s">
        <v>121</v>
      </c>
      <c r="D40" s="79"/>
      <c r="E40" s="79"/>
      <c r="F40" s="79"/>
      <c r="G40" s="233">
        <v>1941.95</v>
      </c>
      <c r="H40" s="323">
        <v>1791.4500000000003</v>
      </c>
      <c r="I40" s="323">
        <v>3733.4000000000005</v>
      </c>
      <c r="J40" s="323"/>
      <c r="K40" s="790">
        <v>4254</v>
      </c>
      <c r="L40" s="515">
        <v>-520.59999999999945</v>
      </c>
      <c r="M40" s="441">
        <v>-0.12237893747061576</v>
      </c>
    </row>
    <row r="41" spans="1:57" s="68" customFormat="1" ht="20.25" x14ac:dyDescent="0.2">
      <c r="A41" s="67"/>
      <c r="B41" s="67"/>
      <c r="C41" s="79" t="s">
        <v>122</v>
      </c>
      <c r="D41" s="79"/>
      <c r="E41" s="79"/>
      <c r="F41" s="79"/>
      <c r="G41" s="233">
        <v>525.84</v>
      </c>
      <c r="H41" s="323">
        <v>1029.27</v>
      </c>
      <c r="I41" s="323">
        <v>1555.1100000000001</v>
      </c>
      <c r="J41" s="323"/>
      <c r="K41" s="790">
        <v>12334</v>
      </c>
      <c r="L41" s="515">
        <v>-10778.89</v>
      </c>
      <c r="M41" s="441">
        <v>-0.8739168153072806</v>
      </c>
    </row>
    <row r="42" spans="1:57" s="68" customFormat="1" ht="20.25" x14ac:dyDescent="0.2">
      <c r="A42" s="67"/>
      <c r="B42" s="67"/>
      <c r="C42" s="79" t="s">
        <v>123</v>
      </c>
      <c r="D42" s="79"/>
      <c r="E42" s="79"/>
      <c r="F42" s="79"/>
      <c r="G42" s="233">
        <v>18906.52</v>
      </c>
      <c r="H42" s="323">
        <v>15450</v>
      </c>
      <c r="I42" s="323">
        <v>34356.520000000004</v>
      </c>
      <c r="J42" s="323"/>
      <c r="K42" s="790">
        <v>38115</v>
      </c>
      <c r="L42" s="515">
        <v>-3758.4799999999959</v>
      </c>
      <c r="M42" s="441">
        <v>-9.8608946608946507E-2</v>
      </c>
    </row>
    <row r="43" spans="1:57" s="68" customFormat="1" ht="20.25" x14ac:dyDescent="0.2">
      <c r="A43" s="67"/>
      <c r="B43" s="67"/>
      <c r="C43" s="79" t="s">
        <v>124</v>
      </c>
      <c r="D43" s="79"/>
      <c r="E43" s="79"/>
      <c r="F43" s="79"/>
      <c r="G43" s="233">
        <v>672.76</v>
      </c>
      <c r="H43" s="323">
        <v>828.07</v>
      </c>
      <c r="I43" s="323">
        <v>1500.83</v>
      </c>
      <c r="J43" s="323"/>
      <c r="K43" s="790">
        <v>5448</v>
      </c>
      <c r="L43" s="515">
        <v>-3947.17</v>
      </c>
      <c r="M43" s="441">
        <v>-0.72451725403817913</v>
      </c>
    </row>
    <row r="44" spans="1:57" s="68" customFormat="1" ht="20.25" x14ac:dyDescent="0.2">
      <c r="A44" s="67"/>
      <c r="B44" s="67"/>
      <c r="C44" s="79" t="s">
        <v>125</v>
      </c>
      <c r="D44" s="79"/>
      <c r="E44" s="79"/>
      <c r="F44" s="79"/>
      <c r="G44" s="233">
        <v>419</v>
      </c>
      <c r="H44" s="323">
        <v>588.96333333333337</v>
      </c>
      <c r="I44" s="323">
        <v>1007.9633333333334</v>
      </c>
      <c r="J44" s="323"/>
      <c r="K44" s="790">
        <v>1262</v>
      </c>
      <c r="L44" s="515">
        <v>-254.03666666666663</v>
      </c>
      <c r="M44" s="441">
        <v>-0.20129688325409401</v>
      </c>
    </row>
    <row r="45" spans="1:57" s="68" customFormat="1" ht="20.25" x14ac:dyDescent="0.2">
      <c r="A45" s="67"/>
      <c r="B45" s="67"/>
      <c r="C45" s="79" t="s">
        <v>170</v>
      </c>
      <c r="D45" s="79"/>
      <c r="E45" s="79"/>
      <c r="F45" s="79"/>
      <c r="G45" s="233">
        <v>7425</v>
      </c>
      <c r="H45" s="323">
        <v>2735</v>
      </c>
      <c r="I45" s="323">
        <v>10160</v>
      </c>
      <c r="J45" s="323"/>
      <c r="K45" s="790">
        <v>12600</v>
      </c>
      <c r="L45" s="515">
        <v>-2440</v>
      </c>
      <c r="M45" s="441">
        <v>-0.19365079365079366</v>
      </c>
    </row>
    <row r="46" spans="1:57" s="68" customFormat="1" ht="20.25" x14ac:dyDescent="0.2">
      <c r="A46" s="67"/>
      <c r="B46" s="67"/>
      <c r="C46" s="887" t="s">
        <v>333</v>
      </c>
      <c r="D46" s="887"/>
      <c r="E46" s="887"/>
      <c r="F46" s="887"/>
      <c r="G46" s="233">
        <v>67</v>
      </c>
      <c r="H46" s="323">
        <v>0</v>
      </c>
      <c r="I46" s="323">
        <v>67</v>
      </c>
      <c r="J46" s="323"/>
      <c r="K46" s="790">
        <v>0</v>
      </c>
      <c r="L46" s="515">
        <v>67</v>
      </c>
      <c r="M46" s="441"/>
      <c r="O46" s="768"/>
    </row>
    <row r="47" spans="1:57" s="68" customFormat="1" ht="20.25" x14ac:dyDescent="0.2">
      <c r="A47" s="67"/>
      <c r="B47" s="67"/>
      <c r="C47" s="79" t="s">
        <v>126</v>
      </c>
      <c r="D47" s="79"/>
      <c r="E47" s="79"/>
      <c r="F47" s="79"/>
      <c r="G47" s="323">
        <v>9698.2999999999993</v>
      </c>
      <c r="H47" s="323">
        <v>6282.170000000001</v>
      </c>
      <c r="I47" s="323">
        <v>15980.470000000001</v>
      </c>
      <c r="J47" s="323"/>
      <c r="K47" s="790">
        <v>12425</v>
      </c>
      <c r="L47" s="515">
        <v>3555.4700000000012</v>
      </c>
      <c r="M47" s="441">
        <v>0.28615452716297796</v>
      </c>
    </row>
    <row r="48" spans="1:57" s="68" customFormat="1" ht="20.25" x14ac:dyDescent="0.2">
      <c r="A48" s="67"/>
      <c r="B48" s="67"/>
      <c r="C48" s="79" t="s">
        <v>127</v>
      </c>
      <c r="D48" s="79"/>
      <c r="E48" s="79"/>
      <c r="F48" s="79"/>
      <c r="G48" s="323">
        <v>5409.5</v>
      </c>
      <c r="H48" s="323">
        <v>6493.7800000000007</v>
      </c>
      <c r="I48" s="323">
        <v>11903.28</v>
      </c>
      <c r="J48" s="323"/>
      <c r="K48" s="790">
        <v>11716</v>
      </c>
      <c r="L48" s="515">
        <v>187.28000000000065</v>
      </c>
      <c r="M48" s="441">
        <v>1.5984977808125696E-2</v>
      </c>
      <c r="O48" s="768"/>
    </row>
    <row r="49" spans="1:17" s="68" customFormat="1" ht="20.25" x14ac:dyDescent="0.2">
      <c r="A49" s="67"/>
      <c r="B49" s="67"/>
      <c r="C49" s="79" t="s">
        <v>134</v>
      </c>
      <c r="D49" s="79"/>
      <c r="E49" s="79"/>
      <c r="F49" s="79"/>
      <c r="G49" s="233">
        <v>733.4</v>
      </c>
      <c r="H49" s="323">
        <v>410</v>
      </c>
      <c r="I49" s="323">
        <v>1143.4000000000001</v>
      </c>
      <c r="J49" s="323"/>
      <c r="K49" s="790">
        <v>1280</v>
      </c>
      <c r="L49" s="515">
        <v>-136.59999999999991</v>
      </c>
      <c r="M49" s="441">
        <v>-0.10671874999999993</v>
      </c>
    </row>
    <row r="50" spans="1:17" s="68" customFormat="1" ht="20.25" x14ac:dyDescent="0.2">
      <c r="A50" s="67"/>
      <c r="B50" s="67"/>
      <c r="C50" s="79" t="s">
        <v>128</v>
      </c>
      <c r="D50" s="79"/>
      <c r="E50" s="79"/>
      <c r="F50" s="79"/>
      <c r="G50" s="323">
        <v>540.31999999999994</v>
      </c>
      <c r="H50" s="323">
        <v>0</v>
      </c>
      <c r="I50" s="323">
        <v>540.31999999999994</v>
      </c>
      <c r="J50" s="323"/>
      <c r="K50" s="790">
        <v>10470</v>
      </c>
      <c r="L50" s="515">
        <v>-9929.68</v>
      </c>
      <c r="M50" s="441">
        <v>-0.94839350525310417</v>
      </c>
      <c r="O50" s="768"/>
    </row>
    <row r="51" spans="1:17" s="68" customFormat="1" ht="20.25" customHeight="1" x14ac:dyDescent="0.2">
      <c r="A51" s="67"/>
      <c r="B51" s="67"/>
      <c r="C51" s="79" t="s">
        <v>205</v>
      </c>
      <c r="D51" s="79"/>
      <c r="E51" s="79"/>
      <c r="F51" s="79"/>
      <c r="G51" s="233">
        <v>2381.4</v>
      </c>
      <c r="H51" s="323">
        <v>300</v>
      </c>
      <c r="I51" s="323">
        <v>2681.4</v>
      </c>
      <c r="J51" s="323"/>
      <c r="K51" s="790">
        <v>20850</v>
      </c>
      <c r="L51" s="515">
        <v>-18168.599999999999</v>
      </c>
      <c r="M51" s="441">
        <v>-0.87139568345323737</v>
      </c>
    </row>
    <row r="52" spans="1:17" s="76" customFormat="1" ht="20.25" x14ac:dyDescent="0.2">
      <c r="A52" s="79"/>
      <c r="B52" s="79"/>
      <c r="C52" s="79" t="s">
        <v>130</v>
      </c>
      <c r="D52" s="79"/>
      <c r="E52" s="79"/>
      <c r="F52" s="79"/>
      <c r="G52" s="323">
        <v>23932</v>
      </c>
      <c r="H52" s="323">
        <v>4454</v>
      </c>
      <c r="I52" s="323">
        <v>28386</v>
      </c>
      <c r="J52" s="323"/>
      <c r="K52" s="790">
        <v>12937</v>
      </c>
      <c r="L52" s="515">
        <v>15449</v>
      </c>
      <c r="M52" s="441">
        <v>1.1941717554301616</v>
      </c>
    </row>
    <row r="53" spans="1:17" s="68" customFormat="1" ht="20.25" x14ac:dyDescent="0.2">
      <c r="A53" s="67"/>
      <c r="B53" s="67"/>
      <c r="C53" s="79" t="s">
        <v>169</v>
      </c>
      <c r="D53" s="79"/>
      <c r="E53" s="79"/>
      <c r="F53" s="79"/>
      <c r="G53" s="233">
        <v>31384.95</v>
      </c>
      <c r="H53" s="323">
        <v>23455</v>
      </c>
      <c r="I53" s="323">
        <v>54839.95</v>
      </c>
      <c r="J53" s="323"/>
      <c r="K53" s="790">
        <v>60011</v>
      </c>
      <c r="L53" s="515">
        <v>-5171.0500000000029</v>
      </c>
      <c r="M53" s="441">
        <v>-8.6168369132325784E-2</v>
      </c>
      <c r="Q53" s="342"/>
    </row>
    <row r="54" spans="1:17" s="68" customFormat="1" ht="20.25" x14ac:dyDescent="0.2">
      <c r="A54" s="67"/>
      <c r="B54" s="67"/>
      <c r="C54" s="79" t="s">
        <v>131</v>
      </c>
      <c r="D54" s="79"/>
      <c r="E54" s="79"/>
      <c r="F54" s="79"/>
      <c r="G54" s="233">
        <v>31753.16</v>
      </c>
      <c r="H54" s="323">
        <v>14675</v>
      </c>
      <c r="I54" s="323">
        <v>46428.160000000003</v>
      </c>
      <c r="J54" s="323"/>
      <c r="K54" s="790">
        <v>61119</v>
      </c>
      <c r="L54" s="515">
        <v>-14690.839999999997</v>
      </c>
      <c r="M54" s="441">
        <v>-0.2403645347600582</v>
      </c>
    </row>
    <row r="55" spans="1:17" s="68" customFormat="1" ht="21" thickBot="1" x14ac:dyDescent="0.25">
      <c r="A55" s="67"/>
      <c r="B55" s="67"/>
      <c r="C55" s="79" t="s">
        <v>447</v>
      </c>
      <c r="D55" s="79"/>
      <c r="E55" s="79"/>
      <c r="F55" s="79"/>
      <c r="G55" s="242">
        <v>297</v>
      </c>
      <c r="H55" s="401">
        <v>990</v>
      </c>
      <c r="I55" s="401">
        <v>1287</v>
      </c>
      <c r="J55" s="401"/>
      <c r="K55" s="791">
        <v>0</v>
      </c>
      <c r="L55" s="518">
        <v>1287</v>
      </c>
      <c r="M55" s="517"/>
    </row>
    <row r="56" spans="1:17" s="76" customFormat="1" ht="20.25" x14ac:dyDescent="0.2">
      <c r="A56" s="79"/>
      <c r="B56" s="79"/>
      <c r="C56" s="67"/>
      <c r="D56" s="67"/>
      <c r="G56" s="323">
        <v>721478.3899999999</v>
      </c>
      <c r="H56" s="323">
        <v>641911.43333333335</v>
      </c>
      <c r="I56" s="323">
        <v>1363389.8233333332</v>
      </c>
      <c r="J56" s="323"/>
      <c r="K56" s="323">
        <v>1663587</v>
      </c>
      <c r="L56" s="323">
        <v>-300197.17666666652</v>
      </c>
      <c r="M56" s="788">
        <v>-0.18045174473391926</v>
      </c>
    </row>
    <row r="57" spans="1:17" s="76" customFormat="1" ht="8.25" customHeight="1" x14ac:dyDescent="0.2">
      <c r="A57" s="79"/>
      <c r="B57" s="79"/>
      <c r="C57" s="67"/>
      <c r="D57" s="67"/>
      <c r="G57" s="323"/>
      <c r="H57" s="323"/>
      <c r="I57" s="323"/>
      <c r="J57" s="323"/>
      <c r="K57" s="323"/>
    </row>
    <row r="58" spans="1:17" s="76" customFormat="1" ht="20.25" x14ac:dyDescent="0.2">
      <c r="A58" s="79"/>
      <c r="B58" s="79"/>
      <c r="C58" s="792" t="s">
        <v>462</v>
      </c>
      <c r="D58"/>
      <c r="E58" s="67"/>
      <c r="F58" s="67"/>
      <c r="G58" s="243">
        <v>1122.9000000000233</v>
      </c>
      <c r="H58" s="243">
        <v>-1652.6560033332789</v>
      </c>
      <c r="I58" s="243">
        <v>-529.75600333325565</v>
      </c>
      <c r="J58" s="233"/>
      <c r="K58" s="243">
        <v>5738</v>
      </c>
      <c r="L58" s="793">
        <v>-6267.7560033332556</v>
      </c>
      <c r="M58" s="788">
        <v>-1.0923241553386642</v>
      </c>
    </row>
    <row r="59" spans="1:17" s="76" customFormat="1" ht="9" customHeight="1" x14ac:dyDescent="0.2">
      <c r="A59" s="79"/>
      <c r="B59" s="79"/>
      <c r="C59" s="79"/>
      <c r="D59" s="79"/>
      <c r="E59" s="79"/>
      <c r="F59" s="79"/>
      <c r="G59" s="233"/>
      <c r="H59" s="233"/>
      <c r="I59" s="233"/>
      <c r="J59" s="233"/>
      <c r="K59" s="233"/>
    </row>
    <row r="60" spans="1:17" s="76" customFormat="1" ht="20.25" x14ac:dyDescent="0.2">
      <c r="A60" s="79"/>
      <c r="B60" s="79"/>
      <c r="C60" s="79" t="s">
        <v>129</v>
      </c>
      <c r="D60" s="79"/>
      <c r="F60" s="79"/>
      <c r="G60" s="233">
        <v>19500</v>
      </c>
      <c r="H60" s="233">
        <v>19720</v>
      </c>
      <c r="I60" s="233">
        <v>39220</v>
      </c>
      <c r="J60" s="233"/>
      <c r="K60" s="233">
        <v>39797</v>
      </c>
    </row>
    <row r="61" spans="1:17" s="76" customFormat="1" ht="9" customHeight="1" x14ac:dyDescent="0.2">
      <c r="A61" s="79"/>
      <c r="B61" s="79"/>
      <c r="C61" s="79"/>
      <c r="D61" s="79"/>
      <c r="E61" s="79"/>
      <c r="F61" s="79"/>
      <c r="G61" s="233"/>
      <c r="H61" s="233"/>
      <c r="I61" s="233"/>
      <c r="J61" s="233"/>
      <c r="K61" s="233"/>
    </row>
    <row r="62" spans="1:17" s="68" customFormat="1" ht="21" thickBot="1" x14ac:dyDescent="0.25">
      <c r="A62" s="67"/>
      <c r="B62" s="67"/>
      <c r="C62" s="792" t="s">
        <v>463</v>
      </c>
      <c r="D62"/>
      <c r="E62"/>
      <c r="F62"/>
      <c r="G62" s="794">
        <v>-18377.099999999977</v>
      </c>
      <c r="H62" s="794">
        <v>-21372.656003333279</v>
      </c>
      <c r="I62" s="794">
        <v>-39749.756003333256</v>
      </c>
      <c r="J62" s="238"/>
      <c r="K62" s="794">
        <v>-34059</v>
      </c>
    </row>
    <row r="63" spans="1:17" s="68" customFormat="1" ht="21" thickTop="1" x14ac:dyDescent="0.2">
      <c r="A63" s="67"/>
      <c r="B63" s="67"/>
      <c r="C63" s="67"/>
      <c r="D63" s="67"/>
      <c r="E63" s="67"/>
      <c r="F63" s="67"/>
      <c r="G63" s="238"/>
      <c r="H63" s="238"/>
      <c r="I63" s="238"/>
      <c r="J63" s="238"/>
      <c r="K63" s="238"/>
    </row>
    <row r="64" spans="1:17" s="68" customFormat="1" ht="23.25" x14ac:dyDescent="0.2">
      <c r="A64" s="67"/>
      <c r="B64" s="272"/>
      <c r="C64" s="67"/>
      <c r="D64" s="67"/>
      <c r="E64" s="67"/>
      <c r="F64" s="67" t="s">
        <v>464</v>
      </c>
      <c r="G64" s="233"/>
      <c r="H64" s="233"/>
      <c r="I64" s="233"/>
      <c r="J64" s="233"/>
      <c r="K64" s="233"/>
    </row>
    <row r="65" spans="1:11" s="76" customFormat="1" ht="20.25" x14ac:dyDescent="0.2">
      <c r="A65" s="79"/>
      <c r="B65" s="79"/>
      <c r="D65" s="79"/>
      <c r="E65" s="79"/>
      <c r="F65" s="796" t="s">
        <v>465</v>
      </c>
      <c r="G65" s="233"/>
      <c r="H65" s="233"/>
      <c r="I65" s="233"/>
      <c r="J65" s="233"/>
      <c r="K65" s="233"/>
    </row>
    <row r="66" spans="1:11" s="76" customFormat="1" ht="20.25" x14ac:dyDescent="0.2">
      <c r="A66" s="79"/>
      <c r="B66" s="79"/>
      <c r="D66" s="79"/>
      <c r="E66" s="79"/>
      <c r="F66" s="796" t="s">
        <v>470</v>
      </c>
      <c r="G66" s="233"/>
      <c r="H66" s="233"/>
      <c r="I66" s="233"/>
      <c r="J66" s="233"/>
      <c r="K66" s="233"/>
    </row>
    <row r="67" spans="1:11" s="68" customFormat="1" ht="20.25" x14ac:dyDescent="0.2">
      <c r="A67" s="67"/>
      <c r="B67" s="67"/>
      <c r="D67" s="79"/>
      <c r="E67" s="67"/>
      <c r="F67" s="796" t="s">
        <v>466</v>
      </c>
      <c r="G67" s="233"/>
      <c r="H67" s="233"/>
      <c r="I67" s="233"/>
      <c r="J67" s="233"/>
      <c r="K67" s="233"/>
    </row>
    <row r="68" spans="1:11" s="68" customFormat="1" ht="23.25" x14ac:dyDescent="0.2">
      <c r="A68" s="67"/>
      <c r="B68" s="272"/>
      <c r="C68" s="67"/>
      <c r="D68" s="67"/>
      <c r="E68" s="67"/>
      <c r="F68" s="796" t="s">
        <v>467</v>
      </c>
      <c r="G68" s="238"/>
      <c r="H68" s="238"/>
      <c r="I68" s="238"/>
      <c r="J68" s="238"/>
      <c r="K68" s="238"/>
    </row>
    <row r="69" spans="1:11" s="68" customFormat="1" ht="20.25" x14ac:dyDescent="0.2">
      <c r="A69" s="67"/>
      <c r="B69" s="67"/>
      <c r="C69" s="67"/>
      <c r="D69" s="67"/>
      <c r="E69" s="67"/>
      <c r="F69" s="796" t="s">
        <v>468</v>
      </c>
      <c r="G69" s="233"/>
      <c r="H69" s="233"/>
      <c r="I69" s="233"/>
      <c r="J69" s="233"/>
      <c r="K69" s="233"/>
    </row>
    <row r="70" spans="1:11" s="82" customFormat="1" ht="26.25" x14ac:dyDescent="0.2">
      <c r="A70" s="269"/>
      <c r="B70" s="269"/>
      <c r="C70" s="269"/>
      <c r="D70" s="269"/>
      <c r="E70" s="269"/>
      <c r="F70" s="796" t="s">
        <v>469</v>
      </c>
      <c r="G70" s="238"/>
      <c r="H70" s="238"/>
      <c r="I70" s="238"/>
      <c r="J70" s="238"/>
      <c r="K70" s="238"/>
    </row>
    <row r="71" spans="1:11" s="18" customFormat="1" ht="20.25" x14ac:dyDescent="0.3">
      <c r="A71" s="122"/>
      <c r="B71" s="122"/>
      <c r="C71" s="122"/>
      <c r="D71" s="122"/>
      <c r="E71" s="122"/>
      <c r="F71" s="797"/>
      <c r="G71" s="278"/>
      <c r="H71" s="278"/>
      <c r="I71" s="278"/>
      <c r="J71" s="278"/>
      <c r="K71" s="278"/>
    </row>
    <row r="72" spans="1:11" ht="20.25" x14ac:dyDescent="0.3">
      <c r="F72" s="798"/>
      <c r="G72" s="278"/>
      <c r="H72" s="278"/>
      <c r="I72" s="278"/>
      <c r="J72" s="278"/>
      <c r="K72" s="278"/>
    </row>
    <row r="73" spans="1:11" ht="20.25" x14ac:dyDescent="0.3">
      <c r="F73" s="798"/>
      <c r="G73" s="795"/>
      <c r="H73" s="278"/>
      <c r="I73" s="278"/>
      <c r="J73" s="278"/>
      <c r="K73" s="278"/>
    </row>
    <row r="74" spans="1:11" ht="20.25" x14ac:dyDescent="0.3">
      <c r="F74" s="798"/>
      <c r="G74" s="275"/>
      <c r="H74" s="275"/>
      <c r="I74" s="275"/>
      <c r="J74" s="275"/>
      <c r="K74" s="275"/>
    </row>
    <row r="75" spans="1:11" ht="18" x14ac:dyDescent="0.25">
      <c r="F75" s="798"/>
    </row>
    <row r="76" spans="1:11" ht="18" x14ac:dyDescent="0.25">
      <c r="F76" s="798"/>
    </row>
    <row r="77" spans="1:11" ht="18" x14ac:dyDescent="0.25">
      <c r="F77" s="798"/>
    </row>
    <row r="78" spans="1:11" ht="18" x14ac:dyDescent="0.25">
      <c r="F78" s="798"/>
    </row>
    <row r="79" spans="1:11" ht="18" x14ac:dyDescent="0.25">
      <c r="F79" s="798"/>
    </row>
    <row r="80" spans="1:11" ht="18" x14ac:dyDescent="0.25">
      <c r="F80" s="798"/>
    </row>
    <row r="81" spans="6:6" ht="18" x14ac:dyDescent="0.25">
      <c r="F81" s="798"/>
    </row>
    <row r="82" spans="6:6" ht="18" x14ac:dyDescent="0.25">
      <c r="F82" s="798"/>
    </row>
    <row r="83" spans="6:6" ht="18" x14ac:dyDescent="0.25">
      <c r="F83" s="799"/>
    </row>
    <row r="84" spans="6:6" ht="18" x14ac:dyDescent="0.25">
      <c r="F84" s="799"/>
    </row>
  </sheetData>
  <mergeCells count="3">
    <mergeCell ref="G5:K5"/>
    <mergeCell ref="L7:M7"/>
    <mergeCell ref="C46:F4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8"/>
  <sheetViews>
    <sheetView zoomScale="85" zoomScaleNormal="85" workbookViewId="0"/>
  </sheetViews>
  <sheetFormatPr defaultRowHeight="14.25" x14ac:dyDescent="0.2"/>
  <cols>
    <col min="1" max="1" width="45.625" style="4" customWidth="1"/>
    <col min="2" max="2" width="26" style="4" customWidth="1"/>
    <col min="3" max="3" width="17.25" style="815" customWidth="1"/>
    <col min="4" max="4" width="13.625" style="815" customWidth="1"/>
    <col min="5" max="5" width="12.75" style="815"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516</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4" t="s">
        <v>162</v>
      </c>
      <c r="B5" s="255"/>
      <c r="C5" s="255"/>
      <c r="D5" s="255"/>
      <c r="E5" s="255"/>
      <c r="F5" s="255"/>
      <c r="G5" s="255"/>
      <c r="H5" s="255"/>
      <c r="I5" s="255"/>
      <c r="J5" s="255"/>
      <c r="K5" s="256"/>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15" t="s">
        <v>22</v>
      </c>
      <c r="B6" s="315" t="s">
        <v>12</v>
      </c>
      <c r="C6" s="315" t="s">
        <v>1</v>
      </c>
      <c r="D6" s="315" t="s">
        <v>2</v>
      </c>
      <c r="E6" s="315" t="s">
        <v>3</v>
      </c>
      <c r="F6" s="320" t="s">
        <v>9</v>
      </c>
      <c r="G6" s="320" t="s">
        <v>27</v>
      </c>
      <c r="H6" s="802" t="s">
        <v>202</v>
      </c>
      <c r="I6" s="320" t="s">
        <v>26</v>
      </c>
      <c r="J6" s="802" t="s">
        <v>19</v>
      </c>
      <c r="K6" s="320" t="s">
        <v>97</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t="15" hidden="1" thickBot="1" x14ac:dyDescent="0.25">
      <c r="A7" s="738" t="s">
        <v>336</v>
      </c>
      <c r="B7" s="630" t="s">
        <v>14</v>
      </c>
      <c r="C7" s="292" t="s">
        <v>353</v>
      </c>
      <c r="D7" s="291">
        <v>43466</v>
      </c>
      <c r="E7" s="291">
        <v>43830</v>
      </c>
      <c r="F7" s="308"/>
      <c r="G7" s="294"/>
      <c r="H7" s="309"/>
      <c r="I7" s="294"/>
      <c r="J7" s="801"/>
      <c r="K7" s="303"/>
      <c r="L7" s="46"/>
      <c r="M7" s="29"/>
      <c r="N7" s="29"/>
    </row>
    <row r="8" spans="1:48" ht="15" hidden="1" thickBot="1" x14ac:dyDescent="0.25">
      <c r="A8" s="738" t="s">
        <v>435</v>
      </c>
      <c r="B8" s="770" t="s">
        <v>14</v>
      </c>
      <c r="C8" s="292"/>
      <c r="D8" s="291"/>
      <c r="E8" s="291"/>
      <c r="F8" s="308"/>
      <c r="G8" s="294"/>
      <c r="H8" s="309"/>
      <c r="I8" s="772"/>
      <c r="J8" s="807">
        <f>F8-I8</f>
        <v>0</v>
      </c>
      <c r="K8" s="303"/>
      <c r="L8" s="46"/>
      <c r="M8" s="29"/>
      <c r="N8" s="29"/>
    </row>
    <row r="9" spans="1:48" x14ac:dyDescent="0.2">
      <c r="A9" s="809" t="s">
        <v>488</v>
      </c>
      <c r="B9" s="770" t="s">
        <v>14</v>
      </c>
      <c r="C9" s="822" t="s">
        <v>353</v>
      </c>
      <c r="D9" s="7">
        <v>43831</v>
      </c>
      <c r="E9" s="810">
        <v>44196</v>
      </c>
      <c r="F9" s="801">
        <v>153251</v>
      </c>
      <c r="G9" s="772">
        <f>I9-H9</f>
        <v>130579.49</v>
      </c>
      <c r="H9" s="309">
        <f>'February''21 AR Aging '!G6</f>
        <v>22671.51</v>
      </c>
      <c r="I9" s="772">
        <v>153251</v>
      </c>
      <c r="J9" s="814">
        <f>F9-I9</f>
        <v>0</v>
      </c>
      <c r="K9" s="828"/>
      <c r="L9" s="249"/>
      <c r="M9" s="283"/>
      <c r="N9" s="29"/>
    </row>
    <row r="10" spans="1:48" ht="15" x14ac:dyDescent="0.25">
      <c r="A10" s="739" t="s">
        <v>517</v>
      </c>
      <c r="B10" s="631" t="s">
        <v>13</v>
      </c>
      <c r="C10" s="747" t="s">
        <v>353</v>
      </c>
      <c r="D10" s="823">
        <v>44197</v>
      </c>
      <c r="E10" s="755">
        <v>44561</v>
      </c>
      <c r="F10" s="829">
        <v>141001</v>
      </c>
      <c r="G10" s="307"/>
      <c r="H10" s="803">
        <f>'February''21 AR Aging '!G7</f>
        <v>16562.57</v>
      </c>
      <c r="I10" s="307">
        <f>H10</f>
        <v>16562.57</v>
      </c>
      <c r="J10" s="842">
        <f>F10-I10</f>
        <v>124438.43</v>
      </c>
      <c r="K10" s="307"/>
      <c r="L10" s="830"/>
      <c r="M10" s="283"/>
      <c r="N10" s="29"/>
    </row>
    <row r="11" spans="1:48" x14ac:dyDescent="0.2">
      <c r="A11" s="287" t="s">
        <v>351</v>
      </c>
      <c r="B11" s="630" t="s">
        <v>13</v>
      </c>
      <c r="C11" s="292" t="s">
        <v>352</v>
      </c>
      <c r="D11" s="7">
        <v>43647</v>
      </c>
      <c r="E11" s="291">
        <v>44012</v>
      </c>
      <c r="F11" s="801">
        <v>300000</v>
      </c>
      <c r="G11" s="294">
        <f>I11-H11</f>
        <v>225570.94</v>
      </c>
      <c r="H11" s="309">
        <f>'February''21 AR Aging '!G12</f>
        <v>15571.18</v>
      </c>
      <c r="I11" s="294">
        <v>241142.12</v>
      </c>
      <c r="J11" s="308">
        <f>F11-I11</f>
        <v>58857.880000000005</v>
      </c>
      <c r="K11" s="303"/>
      <c r="L11" s="830"/>
      <c r="M11" s="283"/>
      <c r="N11" s="29"/>
    </row>
    <row r="12" spans="1:48" ht="15" x14ac:dyDescent="0.25">
      <c r="A12" s="739" t="s">
        <v>521</v>
      </c>
      <c r="B12" s="631" t="s">
        <v>13</v>
      </c>
      <c r="C12" s="747" t="s">
        <v>352</v>
      </c>
      <c r="D12" s="823">
        <v>44013</v>
      </c>
      <c r="E12" s="755">
        <v>44377</v>
      </c>
      <c r="F12" s="832">
        <v>300000</v>
      </c>
      <c r="G12" s="307">
        <v>0</v>
      </c>
      <c r="H12" s="803">
        <f>'February''21 AR Aging '!G13</f>
        <v>111150.53</v>
      </c>
      <c r="I12" s="307">
        <v>111150.53</v>
      </c>
      <c r="J12" s="842">
        <f>240000-I12</f>
        <v>128849.47</v>
      </c>
      <c r="K12" s="359"/>
      <c r="L12" s="830"/>
      <c r="M12" s="283"/>
      <c r="N12" s="29"/>
    </row>
    <row r="13" spans="1:48" hidden="1" x14ac:dyDescent="0.2">
      <c r="A13" s="287" t="s">
        <v>354</v>
      </c>
      <c r="B13" s="630" t="s">
        <v>13</v>
      </c>
      <c r="C13" s="292" t="s">
        <v>159</v>
      </c>
      <c r="D13" s="7">
        <v>43374</v>
      </c>
      <c r="E13" s="291">
        <v>43585</v>
      </c>
      <c r="F13" s="801"/>
      <c r="G13" s="294"/>
      <c r="H13" s="309"/>
      <c r="I13" s="294"/>
      <c r="J13" s="308"/>
      <c r="K13" s="303"/>
      <c r="L13" s="830"/>
      <c r="M13" s="283"/>
      <c r="N13" s="29"/>
    </row>
    <row r="14" spans="1:48" hidden="1" x14ac:dyDescent="0.2">
      <c r="A14" s="287" t="s">
        <v>338</v>
      </c>
      <c r="B14" s="630" t="s">
        <v>13</v>
      </c>
      <c r="C14" s="292" t="s">
        <v>379</v>
      </c>
      <c r="D14" s="7">
        <v>43678</v>
      </c>
      <c r="E14" s="291">
        <v>44042</v>
      </c>
      <c r="F14" s="801"/>
      <c r="G14" s="294"/>
      <c r="H14" s="309"/>
      <c r="I14" s="294"/>
      <c r="J14" s="308"/>
      <c r="K14" s="294"/>
      <c r="L14" s="830"/>
      <c r="M14" s="283"/>
      <c r="N14" s="29"/>
    </row>
    <row r="15" spans="1:48" x14ac:dyDescent="0.2">
      <c r="A15" s="739" t="s">
        <v>511</v>
      </c>
      <c r="B15" s="631" t="s">
        <v>13</v>
      </c>
      <c r="C15" s="747" t="s">
        <v>379</v>
      </c>
      <c r="D15" s="823">
        <v>44044</v>
      </c>
      <c r="E15" s="755">
        <v>44407</v>
      </c>
      <c r="F15" s="804">
        <v>330000</v>
      </c>
      <c r="G15" s="307">
        <f>I15-H15</f>
        <v>89870.59</v>
      </c>
      <c r="H15" s="803">
        <f>'February''21 AR Aging '!G31</f>
        <v>68241.06</v>
      </c>
      <c r="I15" s="307">
        <v>158111.65</v>
      </c>
      <c r="J15" s="842">
        <f>F15-I15</f>
        <v>171888.35</v>
      </c>
      <c r="K15" s="307"/>
      <c r="L15" s="831"/>
      <c r="M15" s="283"/>
      <c r="N15" s="29"/>
    </row>
    <row r="16" spans="1:48" s="3" customFormat="1" x14ac:dyDescent="0.2">
      <c r="A16" s="740" t="s">
        <v>436</v>
      </c>
      <c r="B16" s="736" t="s">
        <v>16</v>
      </c>
      <c r="C16" s="748" t="s">
        <v>5</v>
      </c>
      <c r="D16" s="824">
        <v>43831</v>
      </c>
      <c r="E16" s="756">
        <v>44196</v>
      </c>
      <c r="F16" s="805">
        <v>45000</v>
      </c>
      <c r="G16" s="737">
        <f>I16-H16</f>
        <v>41250</v>
      </c>
      <c r="H16" s="309">
        <f>'February''21 AR Aging '!E39</f>
        <v>3750</v>
      </c>
      <c r="I16" s="737">
        <f>3750*12</f>
        <v>45000</v>
      </c>
      <c r="J16" s="843">
        <f>F16-I16</f>
        <v>0</v>
      </c>
      <c r="K16" s="737"/>
      <c r="L16" s="830"/>
      <c r="M16" s="283"/>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
      <c r="A17" s="287" t="s">
        <v>518</v>
      </c>
      <c r="B17" s="630" t="s">
        <v>16</v>
      </c>
      <c r="C17" s="292" t="s">
        <v>5</v>
      </c>
      <c r="D17" s="7">
        <v>44197</v>
      </c>
      <c r="E17" s="291">
        <v>44561</v>
      </c>
      <c r="F17" s="801">
        <v>45500</v>
      </c>
      <c r="G17" s="294">
        <f>I17-H17</f>
        <v>0</v>
      </c>
      <c r="H17" s="309">
        <f>'February''21 AR Aging '!D39+'February''21 AR Aging '!C39</f>
        <v>7583.34</v>
      </c>
      <c r="I17" s="294">
        <f>H17</f>
        <v>7583.34</v>
      </c>
      <c r="J17" s="308">
        <f>F17-I17</f>
        <v>37916.660000000003</v>
      </c>
      <c r="K17" s="294"/>
      <c r="L17" s="249"/>
      <c r="M17" s="283"/>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x14ac:dyDescent="0.2">
      <c r="A18" s="741" t="s">
        <v>519</v>
      </c>
      <c r="B18" s="630" t="s">
        <v>16</v>
      </c>
      <c r="C18" s="292" t="s">
        <v>21</v>
      </c>
      <c r="D18" s="7">
        <v>44287</v>
      </c>
      <c r="E18" s="291">
        <v>44468</v>
      </c>
      <c r="F18" s="801">
        <v>3405</v>
      </c>
      <c r="G18" s="294"/>
      <c r="H18" s="309"/>
      <c r="I18" s="294"/>
      <c r="J18" s="308"/>
      <c r="K18" s="294"/>
      <c r="L18" s="249"/>
      <c r="M18" s="283"/>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7"/>
      <c r="B19" s="630" t="s">
        <v>16</v>
      </c>
      <c r="C19" s="292" t="s">
        <v>21</v>
      </c>
      <c r="D19" s="7">
        <v>42644</v>
      </c>
      <c r="E19" s="291">
        <v>43008</v>
      </c>
      <c r="F19" s="801"/>
      <c r="G19" s="294"/>
      <c r="H19" s="801"/>
      <c r="I19" s="294"/>
      <c r="J19" s="308"/>
      <c r="K19" s="467"/>
      <c r="L19" s="249"/>
      <c r="M19" s="283"/>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7" t="s">
        <v>200</v>
      </c>
      <c r="B20" s="630" t="s">
        <v>16</v>
      </c>
      <c r="C20" s="292" t="s">
        <v>21</v>
      </c>
      <c r="D20" s="7">
        <v>43556</v>
      </c>
      <c r="E20" s="291">
        <v>43921</v>
      </c>
      <c r="F20" s="801"/>
      <c r="G20" s="294"/>
      <c r="H20" s="801"/>
      <c r="I20" s="294"/>
      <c r="J20" s="308"/>
      <c r="K20" s="467"/>
      <c r="L20" s="249"/>
      <c r="M20" s="283"/>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customHeight="1" x14ac:dyDescent="0.2">
      <c r="A21" s="287" t="s">
        <v>200</v>
      </c>
      <c r="B21" s="630" t="s">
        <v>16</v>
      </c>
      <c r="C21" s="292" t="s">
        <v>21</v>
      </c>
      <c r="D21" s="7">
        <v>43922</v>
      </c>
      <c r="E21" s="291">
        <v>44286</v>
      </c>
      <c r="F21" s="821">
        <v>147911</v>
      </c>
      <c r="G21" s="294">
        <f>I21-H21</f>
        <v>80397.34</v>
      </c>
      <c r="H21" s="801">
        <f>'February''21 AR Aging '!G49</f>
        <v>35644.559999999998</v>
      </c>
      <c r="I21" s="294">
        <v>116041.9</v>
      </c>
      <c r="J21" s="308">
        <f t="shared" ref="J21:J26" si="0">F21-I21</f>
        <v>31869.100000000006</v>
      </c>
      <c r="K21" s="294"/>
      <c r="L21" s="249"/>
      <c r="M21" s="283"/>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t="12.75" customHeight="1" x14ac:dyDescent="0.25">
      <c r="A22" s="739" t="s">
        <v>512</v>
      </c>
      <c r="B22" s="631" t="s">
        <v>16</v>
      </c>
      <c r="C22" s="747" t="s">
        <v>21</v>
      </c>
      <c r="D22" s="823">
        <v>44105</v>
      </c>
      <c r="E22" s="755">
        <v>44469</v>
      </c>
      <c r="F22" s="825">
        <v>14828</v>
      </c>
      <c r="G22" s="307"/>
      <c r="H22" s="804">
        <f>'February''21 AR Aging '!G48</f>
        <v>2259.9899999999998</v>
      </c>
      <c r="I22" s="307">
        <f>H22</f>
        <v>2259.9899999999998</v>
      </c>
      <c r="J22" s="842">
        <f t="shared" si="0"/>
        <v>12568.01</v>
      </c>
      <c r="K22" s="307"/>
      <c r="L22" s="249"/>
      <c r="M22" s="283"/>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t="12.75" customHeight="1" x14ac:dyDescent="0.2">
      <c r="A23" s="845" t="s">
        <v>437</v>
      </c>
      <c r="B23" s="846" t="s">
        <v>415</v>
      </c>
      <c r="C23" s="847" t="s">
        <v>21</v>
      </c>
      <c r="D23" s="841">
        <v>43831</v>
      </c>
      <c r="E23" s="848">
        <v>44196</v>
      </c>
      <c r="F23" s="821">
        <v>171400</v>
      </c>
      <c r="G23" s="294">
        <f>I23-H23</f>
        <v>96578.03</v>
      </c>
      <c r="H23" s="801">
        <f>'February''21 AR Aging '!E68</f>
        <v>10189.35</v>
      </c>
      <c r="I23" s="294">
        <v>106767.38</v>
      </c>
      <c r="J23" s="308">
        <f t="shared" si="0"/>
        <v>64632.619999999995</v>
      </c>
      <c r="K23" s="294"/>
      <c r="L23" s="249"/>
      <c r="M23" s="283"/>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746" customFormat="1" ht="15.75" customHeight="1" x14ac:dyDescent="0.2">
      <c r="A24" s="833" t="s">
        <v>437</v>
      </c>
      <c r="B24" s="834" t="s">
        <v>415</v>
      </c>
      <c r="C24" s="835" t="s">
        <v>21</v>
      </c>
      <c r="D24" s="836">
        <v>44197</v>
      </c>
      <c r="E24" s="837">
        <v>44561</v>
      </c>
      <c r="F24" s="838">
        <v>119886</v>
      </c>
      <c r="G24" s="839">
        <f>I24-H24</f>
        <v>0</v>
      </c>
      <c r="H24" s="840">
        <f>'February''21 AR Aging '!C68+'February''21 AR Aging '!D68</f>
        <v>18812.32</v>
      </c>
      <c r="I24" s="839">
        <f>H24</f>
        <v>18812.32</v>
      </c>
      <c r="J24" s="844">
        <f t="shared" si="0"/>
        <v>101073.68</v>
      </c>
      <c r="K24" s="839"/>
      <c r="L24" s="742"/>
      <c r="M24" s="743"/>
      <c r="N24" s="744"/>
      <c r="O24" s="744"/>
      <c r="P24" s="744"/>
      <c r="Q24" s="744"/>
      <c r="R24" s="744"/>
      <c r="S24" s="744"/>
      <c r="T24" s="744"/>
      <c r="U24" s="744"/>
      <c r="V24" s="744"/>
      <c r="W24" s="744"/>
      <c r="X24" s="744"/>
      <c r="Y24" s="744"/>
      <c r="Z24" s="744"/>
      <c r="AA24" s="744"/>
      <c r="AB24" s="745"/>
      <c r="AC24" s="745"/>
      <c r="AD24" s="745"/>
      <c r="AE24" s="745"/>
      <c r="AF24" s="745"/>
      <c r="AG24" s="745"/>
      <c r="AH24" s="745"/>
      <c r="AI24" s="745"/>
      <c r="AJ24" s="745"/>
      <c r="AK24" s="745"/>
      <c r="AL24" s="745"/>
      <c r="AM24" s="370"/>
      <c r="AN24" s="370"/>
      <c r="AO24" s="370"/>
      <c r="AP24" s="370"/>
      <c r="AQ24" s="370"/>
      <c r="AR24" s="370"/>
      <c r="AS24" s="370"/>
      <c r="AT24" s="370"/>
      <c r="AU24" s="370"/>
      <c r="AV24" s="370"/>
    </row>
    <row r="25" spans="1:48" s="3" customFormat="1" x14ac:dyDescent="0.2">
      <c r="A25" s="287" t="s">
        <v>286</v>
      </c>
      <c r="B25" s="630" t="s">
        <v>314</v>
      </c>
      <c r="C25" s="292" t="s">
        <v>21</v>
      </c>
      <c r="D25" s="7">
        <v>43831</v>
      </c>
      <c r="E25" s="291">
        <v>44196</v>
      </c>
      <c r="F25" s="801">
        <v>18000</v>
      </c>
      <c r="G25" s="294">
        <f>I25-H25</f>
        <v>13500</v>
      </c>
      <c r="H25" s="801">
        <f>'[2]December''20 AR Aging '!G40</f>
        <v>4500</v>
      </c>
      <c r="I25" s="294">
        <v>18000</v>
      </c>
      <c r="J25" s="308">
        <f t="shared" si="0"/>
        <v>0</v>
      </c>
      <c r="K25" s="294"/>
      <c r="L25" s="249"/>
      <c r="M25" s="283"/>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t="15" x14ac:dyDescent="0.25">
      <c r="A26" s="739" t="s">
        <v>520</v>
      </c>
      <c r="B26" s="631" t="s">
        <v>314</v>
      </c>
      <c r="C26" s="747" t="s">
        <v>21</v>
      </c>
      <c r="D26" s="823">
        <v>44197</v>
      </c>
      <c r="E26" s="755">
        <v>44561</v>
      </c>
      <c r="F26" s="804">
        <v>18000</v>
      </c>
      <c r="G26" s="307"/>
      <c r="H26" s="804">
        <f>'February''21 AR Aging '!D40+'February''21 AR Aging '!C40</f>
        <v>3000</v>
      </c>
      <c r="I26" s="307">
        <f>H26</f>
        <v>3000</v>
      </c>
      <c r="J26" s="842">
        <f t="shared" si="0"/>
        <v>15000</v>
      </c>
      <c r="K26" s="307"/>
      <c r="L26" s="729"/>
      <c r="M26" s="283"/>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idden="1" x14ac:dyDescent="0.2">
      <c r="A27" s="740" t="s">
        <v>411</v>
      </c>
      <c r="B27" s="736" t="s">
        <v>409</v>
      </c>
      <c r="C27" s="748" t="s">
        <v>21</v>
      </c>
      <c r="D27" s="824">
        <v>43739</v>
      </c>
      <c r="E27" s="756">
        <v>43951</v>
      </c>
      <c r="F27" s="805"/>
      <c r="G27" s="737"/>
      <c r="H27" s="805"/>
      <c r="I27" s="737"/>
      <c r="J27" s="843"/>
      <c r="K27" s="737"/>
      <c r="L27" s="249"/>
      <c r="M27" s="283"/>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x14ac:dyDescent="0.2">
      <c r="A28" s="739" t="s">
        <v>411</v>
      </c>
      <c r="B28" s="631" t="s">
        <v>409</v>
      </c>
      <c r="C28" s="747" t="s">
        <v>21</v>
      </c>
      <c r="D28" s="823">
        <v>43952</v>
      </c>
      <c r="E28" s="755">
        <v>44316</v>
      </c>
      <c r="F28" s="804">
        <v>17510</v>
      </c>
      <c r="G28" s="307">
        <f>I28-H28</f>
        <v>12803.57</v>
      </c>
      <c r="H28" s="804">
        <f>'February''21 AR Aging '!G62</f>
        <v>2165.8199999999997</v>
      </c>
      <c r="I28" s="307">
        <v>14969.39</v>
      </c>
      <c r="J28" s="842">
        <f>F28-I28</f>
        <v>2540.6100000000006</v>
      </c>
      <c r="K28" s="307"/>
      <c r="L28" s="249"/>
      <c r="M28" s="283"/>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idden="1" x14ac:dyDescent="0.2">
      <c r="A29" s="618" t="s">
        <v>481</v>
      </c>
      <c r="B29" s="618" t="s">
        <v>183</v>
      </c>
      <c r="C29" s="292" t="s">
        <v>21</v>
      </c>
      <c r="D29" s="7">
        <v>43717</v>
      </c>
      <c r="E29" s="291">
        <v>44072</v>
      </c>
      <c r="F29" s="826"/>
      <c r="G29" s="294"/>
      <c r="H29" s="801"/>
      <c r="I29" s="294"/>
      <c r="J29" s="308"/>
      <c r="K29" s="294"/>
      <c r="L29" s="249"/>
      <c r="M29" s="283"/>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ht="15" thickBot="1" x14ac:dyDescent="0.25">
      <c r="A30" s="384" t="s">
        <v>481</v>
      </c>
      <c r="B30" s="384" t="s">
        <v>183</v>
      </c>
      <c r="C30" s="749" t="s">
        <v>21</v>
      </c>
      <c r="D30" s="811">
        <v>44075</v>
      </c>
      <c r="E30" s="385">
        <v>44309</v>
      </c>
      <c r="F30" s="827">
        <v>41764</v>
      </c>
      <c r="G30" s="295">
        <f>I30-H30</f>
        <v>20644.95</v>
      </c>
      <c r="H30" s="806">
        <f>'February''21 AR Aging '!C60</f>
        <v>3811.19</v>
      </c>
      <c r="I30" s="295">
        <v>24456.14</v>
      </c>
      <c r="J30" s="304">
        <f>F30-I30</f>
        <v>17307.86</v>
      </c>
      <c r="K30" s="295"/>
      <c r="L30" s="249"/>
      <c r="M30" s="283"/>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17" customFormat="1" ht="16.5" thickBot="1" x14ac:dyDescent="0.3">
      <c r="A31" s="258" t="s">
        <v>37</v>
      </c>
      <c r="B31" s="259"/>
      <c r="C31" s="260"/>
      <c r="D31" s="261"/>
      <c r="E31" s="261"/>
      <c r="F31" s="285"/>
      <c r="G31" s="285">
        <f>SUM(G9:G30)</f>
        <v>711194.90999999992</v>
      </c>
      <c r="H31" s="285">
        <f>SUM(H7:H30)</f>
        <v>325913.42</v>
      </c>
      <c r="I31" s="285">
        <f>SUM(I9:I30)</f>
        <v>1037108.33</v>
      </c>
      <c r="J31" s="285">
        <f>SUM(J9:J30)</f>
        <v>766942.66999999993</v>
      </c>
      <c r="K31" s="285">
        <f>SUM(K9:K30)</f>
        <v>0</v>
      </c>
      <c r="L31" s="47"/>
      <c r="M31" s="37"/>
      <c r="N31" s="37"/>
      <c r="O31" s="37"/>
      <c r="P31" s="37"/>
      <c r="Q31" s="37"/>
      <c r="R31" s="37"/>
      <c r="S31" s="37"/>
      <c r="T31" s="37"/>
      <c r="U31" s="37"/>
      <c r="V31" s="37"/>
      <c r="W31" s="37"/>
      <c r="X31" s="37"/>
      <c r="Y31" s="37"/>
      <c r="Z31" s="37"/>
      <c r="AA31" s="37"/>
      <c r="AB31" s="38"/>
      <c r="AC31" s="38"/>
      <c r="AD31" s="38"/>
      <c r="AE31" s="38"/>
      <c r="AF31" s="38"/>
      <c r="AG31" s="38"/>
      <c r="AH31" s="38"/>
      <c r="AI31" s="38"/>
      <c r="AJ31" s="38"/>
      <c r="AK31" s="38"/>
      <c r="AL31" s="38"/>
      <c r="AM31" s="39"/>
      <c r="AN31" s="39"/>
      <c r="AO31" s="39"/>
      <c r="AP31" s="39"/>
      <c r="AQ31" s="39"/>
      <c r="AR31" s="39"/>
      <c r="AS31" s="39"/>
      <c r="AT31" s="39"/>
      <c r="AU31" s="39"/>
      <c r="AV31" s="39"/>
    </row>
    <row r="32" spans="1:48" s="18" customFormat="1" x14ac:dyDescent="0.2">
      <c r="A32" s="819"/>
      <c r="B32" s="819"/>
      <c r="C32" s="19"/>
      <c r="D32" s="819"/>
      <c r="E32" s="284"/>
      <c r="F32" s="29"/>
      <c r="G32" s="29"/>
      <c r="I32" s="29"/>
      <c r="J32" s="29"/>
      <c r="K32" s="29"/>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18" customFormat="1" ht="10.5" customHeight="1" thickBot="1" x14ac:dyDescent="0.25">
      <c r="A33" s="1"/>
      <c r="B33" s="44"/>
      <c r="C33" s="6"/>
      <c r="D33" s="6"/>
      <c r="E33" s="6"/>
      <c r="F33" s="29"/>
      <c r="G33" s="29"/>
      <c r="H33" s="29"/>
      <c r="I33" s="29"/>
      <c r="J33" s="29"/>
      <c r="K33" s="29"/>
      <c r="L33" s="29"/>
      <c r="M33" s="2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22" customFormat="1" ht="16.5" thickBot="1" x14ac:dyDescent="0.3">
      <c r="A34" s="299" t="s">
        <v>39</v>
      </c>
      <c r="B34" s="156"/>
      <c r="C34" s="157"/>
      <c r="D34" s="157"/>
      <c r="E34" s="157"/>
      <c r="F34" s="158"/>
      <c r="G34" s="158"/>
      <c r="H34" s="158"/>
      <c r="I34" s="158"/>
      <c r="J34" s="158"/>
      <c r="K34" s="159"/>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20" customFormat="1" ht="45.75" thickBot="1" x14ac:dyDescent="0.25">
      <c r="A35" s="315" t="s">
        <v>22</v>
      </c>
      <c r="B35" s="888" t="s">
        <v>12</v>
      </c>
      <c r="C35" s="889"/>
      <c r="D35" s="315" t="s">
        <v>2</v>
      </c>
      <c r="E35" s="315" t="s">
        <v>3</v>
      </c>
      <c r="F35" s="320" t="s">
        <v>23</v>
      </c>
      <c r="G35" s="320" t="s">
        <v>523</v>
      </c>
      <c r="H35" s="320" t="s">
        <v>167</v>
      </c>
      <c r="I35" s="320" t="s">
        <v>19</v>
      </c>
      <c r="J35" s="320" t="s">
        <v>341</v>
      </c>
      <c r="K35" s="320" t="s">
        <v>4</v>
      </c>
      <c r="L35" s="35"/>
      <c r="M35" s="35"/>
      <c r="N35" s="35"/>
      <c r="O35" s="35"/>
      <c r="P35" s="35"/>
      <c r="Q35" s="35"/>
      <c r="R35" s="35"/>
      <c r="S35" s="35"/>
      <c r="T35" s="35"/>
      <c r="U35" s="6"/>
      <c r="V35" s="35"/>
      <c r="W35" s="35"/>
      <c r="X35" s="35"/>
      <c r="Y35" s="35"/>
      <c r="Z35" s="35"/>
      <c r="AA35" s="35"/>
      <c r="AB35" s="36"/>
      <c r="AC35" s="36"/>
      <c r="AD35" s="36"/>
      <c r="AE35" s="36"/>
      <c r="AF35" s="36"/>
      <c r="AG35" s="36"/>
      <c r="AH35" s="36"/>
      <c r="AI35" s="36"/>
      <c r="AJ35" s="36"/>
      <c r="AK35" s="36"/>
      <c r="AL35" s="36"/>
      <c r="AM35" s="6"/>
      <c r="AN35" s="6"/>
      <c r="AO35" s="6"/>
      <c r="AP35" s="6"/>
      <c r="AQ35" s="6"/>
      <c r="AR35" s="6"/>
      <c r="AS35" s="6"/>
      <c r="AT35" s="6"/>
      <c r="AU35" s="6"/>
      <c r="AV35" s="6"/>
    </row>
    <row r="36" spans="1:48" ht="15" hidden="1" thickBot="1" x14ac:dyDescent="0.25">
      <c r="A36" s="287" t="s">
        <v>15</v>
      </c>
      <c r="B36" s="894" t="s">
        <v>11</v>
      </c>
      <c r="C36" s="895"/>
      <c r="D36" s="291">
        <v>41275</v>
      </c>
      <c r="E36" s="291">
        <v>41639</v>
      </c>
      <c r="F36" s="294"/>
      <c r="G36" s="294">
        <v>0</v>
      </c>
      <c r="H36" s="294"/>
      <c r="I36" s="294">
        <f>F36-H36</f>
        <v>0</v>
      </c>
      <c r="J36" s="294">
        <v>0</v>
      </c>
      <c r="K36" s="294">
        <f t="shared" ref="K36:K42" si="1">I36</f>
        <v>0</v>
      </c>
      <c r="L36" s="29"/>
      <c r="M36" s="29"/>
      <c r="N36" s="29"/>
    </row>
    <row r="37" spans="1:48" ht="15" hidden="1" thickBot="1" x14ac:dyDescent="0.25">
      <c r="A37" s="287" t="s">
        <v>268</v>
      </c>
      <c r="B37" s="894" t="s">
        <v>11</v>
      </c>
      <c r="C37" s="895"/>
      <c r="D37" s="291">
        <v>42736</v>
      </c>
      <c r="E37" s="291">
        <v>43100</v>
      </c>
      <c r="F37" s="294"/>
      <c r="G37" s="294">
        <v>0</v>
      </c>
      <c r="H37" s="294">
        <v>25000</v>
      </c>
      <c r="I37" s="294">
        <f>25000-H37</f>
        <v>0</v>
      </c>
      <c r="J37" s="294"/>
      <c r="K37" s="383">
        <f t="shared" si="1"/>
        <v>0</v>
      </c>
      <c r="L37" s="29"/>
      <c r="M37" s="29"/>
      <c r="N37" s="29"/>
    </row>
    <row r="38" spans="1:48" ht="15" hidden="1" thickBot="1" x14ac:dyDescent="0.25">
      <c r="A38" s="287" t="s">
        <v>325</v>
      </c>
      <c r="B38" s="894" t="s">
        <v>11</v>
      </c>
      <c r="C38" s="895"/>
      <c r="D38" s="291">
        <v>43466</v>
      </c>
      <c r="E38" s="291">
        <v>43830</v>
      </c>
      <c r="F38" s="294"/>
      <c r="G38" s="294"/>
      <c r="H38" s="294"/>
      <c r="I38" s="294"/>
      <c r="J38" s="294"/>
      <c r="K38" s="735"/>
      <c r="L38" s="29"/>
      <c r="M38" s="29"/>
      <c r="N38" s="29"/>
    </row>
    <row r="39" spans="1:48" ht="15" hidden="1" x14ac:dyDescent="0.25">
      <c r="A39" s="809" t="s">
        <v>438</v>
      </c>
      <c r="B39" s="900" t="s">
        <v>11</v>
      </c>
      <c r="C39" s="895"/>
      <c r="D39" s="810">
        <v>43831</v>
      </c>
      <c r="E39" s="7">
        <v>44196</v>
      </c>
      <c r="F39" s="772"/>
      <c r="G39" s="309"/>
      <c r="H39" s="772"/>
      <c r="I39" s="309">
        <f>F39-H39</f>
        <v>0</v>
      </c>
      <c r="J39" s="772"/>
      <c r="K39" s="814">
        <f>I39</f>
        <v>0</v>
      </c>
      <c r="L39" s="29"/>
      <c r="M39" s="29"/>
      <c r="N39" s="29"/>
    </row>
    <row r="40" spans="1:48" ht="15" x14ac:dyDescent="0.25">
      <c r="A40" s="287" t="s">
        <v>522</v>
      </c>
      <c r="B40" s="900" t="s">
        <v>11</v>
      </c>
      <c r="C40" s="895"/>
      <c r="D40" s="291">
        <v>44197</v>
      </c>
      <c r="E40" s="7">
        <v>44561</v>
      </c>
      <c r="F40" s="294">
        <v>25000</v>
      </c>
      <c r="G40" s="309">
        <v>25000</v>
      </c>
      <c r="H40" s="294">
        <v>3977.6</v>
      </c>
      <c r="I40" s="309">
        <f>G40-H40</f>
        <v>21022.400000000001</v>
      </c>
      <c r="J40" s="294"/>
      <c r="K40" s="308">
        <f>I40</f>
        <v>21022.400000000001</v>
      </c>
      <c r="L40" s="29"/>
      <c r="M40" s="29"/>
      <c r="N40" s="29"/>
    </row>
    <row r="41" spans="1:48" x14ac:dyDescent="0.2">
      <c r="A41" s="287" t="s">
        <v>524</v>
      </c>
      <c r="B41" s="900" t="s">
        <v>11</v>
      </c>
      <c r="C41" s="895"/>
      <c r="D41" s="291">
        <v>44105</v>
      </c>
      <c r="E41" s="7" t="s">
        <v>442</v>
      </c>
      <c r="F41" s="294">
        <v>3500</v>
      </c>
      <c r="G41" s="309">
        <v>1568.86</v>
      </c>
      <c r="H41" s="294">
        <v>614.55999999999995</v>
      </c>
      <c r="I41" s="309">
        <f>G41-H41</f>
        <v>954.3</v>
      </c>
      <c r="J41" s="294"/>
      <c r="K41" s="308">
        <f t="shared" si="1"/>
        <v>954.3</v>
      </c>
      <c r="L41" s="29"/>
      <c r="M41" s="29"/>
      <c r="N41" s="29"/>
    </row>
    <row r="42" spans="1:48" x14ac:dyDescent="0.2">
      <c r="A42" s="287" t="s">
        <v>527</v>
      </c>
      <c r="B42" s="900" t="s">
        <v>11</v>
      </c>
      <c r="C42" s="895"/>
      <c r="D42" s="291">
        <v>44228</v>
      </c>
      <c r="E42" s="7">
        <v>44227</v>
      </c>
      <c r="F42" s="294">
        <v>3000</v>
      </c>
      <c r="G42" s="309">
        <v>0</v>
      </c>
      <c r="H42" s="294"/>
      <c r="I42" s="309">
        <f>3000+G42-H42</f>
        <v>3000</v>
      </c>
      <c r="J42" s="294"/>
      <c r="K42" s="308">
        <f t="shared" si="1"/>
        <v>3000</v>
      </c>
      <c r="L42" s="29"/>
      <c r="M42" s="29"/>
      <c r="N42" s="29"/>
    </row>
    <row r="43" spans="1:48" s="4" customFormat="1" x14ac:dyDescent="0.2">
      <c r="A43" s="287" t="s">
        <v>401</v>
      </c>
      <c r="B43" s="898" t="s">
        <v>17</v>
      </c>
      <c r="C43" s="899"/>
      <c r="D43" s="291">
        <v>44197</v>
      </c>
      <c r="E43" s="7">
        <v>44561</v>
      </c>
      <c r="F43" s="294">
        <v>48000</v>
      </c>
      <c r="G43" s="309">
        <v>0</v>
      </c>
      <c r="H43" s="294">
        <v>8000</v>
      </c>
      <c r="I43" s="309">
        <f>48000-H43</f>
        <v>40000</v>
      </c>
      <c r="J43" s="294"/>
      <c r="K43" s="308">
        <f>I43</f>
        <v>40000</v>
      </c>
      <c r="L43" s="29"/>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4" customFormat="1" ht="15" hidden="1" x14ac:dyDescent="0.25">
      <c r="A44" s="287" t="s">
        <v>430</v>
      </c>
      <c r="B44" s="891" t="s">
        <v>429</v>
      </c>
      <c r="C44" s="891"/>
      <c r="D44" s="630"/>
      <c r="E44" s="819"/>
      <c r="F44" s="294"/>
      <c r="G44" s="309"/>
      <c r="H44" s="294"/>
      <c r="I44" s="309"/>
      <c r="J44" s="308"/>
      <c r="K44" s="383"/>
      <c r="L44" s="29"/>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2" customFormat="1" ht="15" thickBot="1" x14ac:dyDescent="0.25">
      <c r="A45" s="287" t="s">
        <v>18</v>
      </c>
      <c r="B45" s="891" t="s">
        <v>43</v>
      </c>
      <c r="C45" s="891"/>
      <c r="D45" s="291">
        <v>40226</v>
      </c>
      <c r="E45" s="6" t="s">
        <v>25</v>
      </c>
      <c r="F45" s="294">
        <f>8007.78+5000+50</f>
        <v>13057.779999999999</v>
      </c>
      <c r="G45" s="309">
        <v>1898.7</v>
      </c>
      <c r="H45" s="294">
        <v>0</v>
      </c>
      <c r="I45" s="309">
        <f>+G45-H45</f>
        <v>1898.7</v>
      </c>
      <c r="J45" s="294">
        <f>I45</f>
        <v>1898.7</v>
      </c>
      <c r="K45" s="308">
        <v>0</v>
      </c>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 customFormat="1" ht="15" hidden="1" thickBot="1" x14ac:dyDescent="0.25">
      <c r="A46" s="287" t="s">
        <v>402</v>
      </c>
      <c r="B46" s="891" t="s">
        <v>439</v>
      </c>
      <c r="C46" s="891"/>
      <c r="D46" s="291">
        <v>43770</v>
      </c>
      <c r="E46" s="7">
        <v>44196</v>
      </c>
      <c r="F46" s="294"/>
      <c r="G46" s="309"/>
      <c r="H46" s="294"/>
      <c r="I46" s="309"/>
      <c r="J46" s="294"/>
      <c r="K46" s="308"/>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 customFormat="1" ht="15.75" thickBot="1" x14ac:dyDescent="0.3">
      <c r="A47" s="288" t="s">
        <v>547</v>
      </c>
      <c r="B47" s="896" t="s">
        <v>528</v>
      </c>
      <c r="C47" s="897"/>
      <c r="D47" s="385">
        <v>44197</v>
      </c>
      <c r="E47" s="811">
        <v>44561</v>
      </c>
      <c r="F47" s="771">
        <v>15000</v>
      </c>
      <c r="G47" s="812"/>
      <c r="H47" s="295">
        <f>15000/12*2</f>
        <v>2500</v>
      </c>
      <c r="I47" s="309">
        <f>15000+G47-H47</f>
        <v>12500</v>
      </c>
      <c r="J47" s="295">
        <f>I47</f>
        <v>12500</v>
      </c>
      <c r="K47" s="304">
        <v>0</v>
      </c>
      <c r="L47" s="813" t="s">
        <v>102</v>
      </c>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53" customFormat="1" ht="15.75" thickBot="1" x14ac:dyDescent="0.3">
      <c r="A48" s="286" t="s">
        <v>28</v>
      </c>
      <c r="B48" s="289"/>
      <c r="C48" s="289"/>
      <c r="D48" s="290"/>
      <c r="E48" s="290"/>
      <c r="F48" s="293">
        <f t="shared" ref="F48:K48" si="2">SUM(F36:F47)</f>
        <v>107557.78</v>
      </c>
      <c r="G48" s="296">
        <f t="shared" si="2"/>
        <v>28467.56</v>
      </c>
      <c r="H48" s="849">
        <f t="shared" si="2"/>
        <v>40092.160000000003</v>
      </c>
      <c r="I48" s="850">
        <f t="shared" si="2"/>
        <v>79375.399999999994</v>
      </c>
      <c r="J48" s="297">
        <f t="shared" si="2"/>
        <v>14398.7</v>
      </c>
      <c r="K48" s="298">
        <f t="shared" si="2"/>
        <v>64976.7</v>
      </c>
      <c r="L48" s="439">
        <f>K31+K48</f>
        <v>64976.7</v>
      </c>
      <c r="M48" s="251"/>
      <c r="N48" s="251"/>
      <c r="O48" s="251"/>
      <c r="P48" s="251"/>
      <c r="Q48" s="251"/>
      <c r="R48" s="251"/>
      <c r="S48" s="251"/>
      <c r="T48" s="251"/>
      <c r="U48" s="252"/>
      <c r="V48" s="251"/>
      <c r="W48" s="251"/>
      <c r="X48" s="251"/>
      <c r="Y48" s="251"/>
      <c r="Z48" s="251"/>
      <c r="AA48" s="251"/>
      <c r="AB48" s="251"/>
      <c r="AC48" s="251"/>
      <c r="AD48" s="251"/>
      <c r="AE48" s="251"/>
      <c r="AF48" s="251"/>
      <c r="AG48" s="251"/>
      <c r="AH48" s="251"/>
      <c r="AI48" s="251"/>
      <c r="AJ48" s="251"/>
      <c r="AK48" s="251"/>
      <c r="AL48" s="251"/>
      <c r="AM48" s="252"/>
      <c r="AN48" s="252"/>
      <c r="AO48" s="252"/>
      <c r="AP48" s="252"/>
      <c r="AQ48" s="252"/>
      <c r="AR48" s="252"/>
      <c r="AS48" s="252"/>
      <c r="AT48" s="252"/>
      <c r="AU48" s="252"/>
      <c r="AV48" s="252"/>
    </row>
    <row r="49" spans="1:48" s="18" customFormat="1" ht="15" thickBot="1" x14ac:dyDescent="0.25">
      <c r="B49" s="1"/>
      <c r="C49" s="6"/>
      <c r="D49" s="6"/>
      <c r="E49" s="6"/>
      <c r="F49" s="29"/>
      <c r="G49" s="29"/>
      <c r="H49" s="29"/>
      <c r="I49" s="29"/>
      <c r="J49" s="29"/>
      <c r="K49" s="29"/>
      <c r="L49" s="29"/>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21" customFormat="1" ht="18.75" thickBot="1" x14ac:dyDescent="0.3">
      <c r="A50" s="299" t="s">
        <v>142</v>
      </c>
      <c r="B50" s="300"/>
      <c r="C50" s="301"/>
      <c r="D50" s="301"/>
      <c r="E50" s="301"/>
      <c r="F50" s="302"/>
      <c r="G50" s="302"/>
      <c r="H50" s="302"/>
      <c r="I50" s="302"/>
      <c r="J50" s="302"/>
      <c r="K50" s="305"/>
      <c r="L50" s="302"/>
      <c r="M50" s="306"/>
      <c r="N50" s="40"/>
      <c r="O50" s="40"/>
      <c r="P50" s="40"/>
      <c r="Q50" s="40"/>
      <c r="R50" s="40"/>
      <c r="S50" s="40"/>
      <c r="T50" s="40"/>
      <c r="U50" s="41"/>
      <c r="V50" s="40"/>
      <c r="W50" s="40"/>
      <c r="X50" s="40"/>
      <c r="Y50" s="40"/>
      <c r="Z50" s="40"/>
      <c r="AA50" s="40"/>
      <c r="AB50" s="42"/>
      <c r="AC50" s="42"/>
      <c r="AD50" s="42"/>
      <c r="AE50" s="42"/>
      <c r="AF50" s="42"/>
      <c r="AG50" s="42"/>
      <c r="AH50" s="42"/>
      <c r="AI50" s="42"/>
      <c r="AJ50" s="42"/>
      <c r="AK50" s="42"/>
      <c r="AL50" s="42"/>
      <c r="AM50" s="41"/>
      <c r="AN50" s="41"/>
      <c r="AO50" s="41"/>
      <c r="AP50" s="41"/>
      <c r="AQ50" s="41"/>
      <c r="AR50" s="41"/>
      <c r="AS50" s="41"/>
      <c r="AT50" s="41"/>
      <c r="AU50" s="41"/>
      <c r="AV50" s="41"/>
    </row>
    <row r="51" spans="1:48" s="23" customFormat="1" ht="33" customHeight="1" thickBot="1" x14ac:dyDescent="0.25">
      <c r="A51" s="315" t="s">
        <v>31</v>
      </c>
      <c r="B51" s="888" t="s">
        <v>24</v>
      </c>
      <c r="C51" s="889"/>
      <c r="D51" s="889"/>
      <c r="E51" s="893"/>
      <c r="F51" s="319" t="s">
        <v>40</v>
      </c>
      <c r="G51" s="257" t="s">
        <v>441</v>
      </c>
      <c r="H51" s="257" t="s">
        <v>166</v>
      </c>
      <c r="I51" s="257" t="s">
        <v>201</v>
      </c>
      <c r="J51" s="257" t="s">
        <v>167</v>
      </c>
      <c r="K51" s="257" t="s">
        <v>10</v>
      </c>
      <c r="L51" s="257" t="s">
        <v>340</v>
      </c>
      <c r="M51" s="257" t="s">
        <v>4</v>
      </c>
      <c r="N51" s="35"/>
      <c r="O51" s="35"/>
      <c r="P51" s="35"/>
      <c r="Q51" s="35"/>
      <c r="R51" s="35"/>
      <c r="S51" s="35"/>
      <c r="T51" s="35"/>
      <c r="U51" s="6"/>
      <c r="V51" s="35"/>
      <c r="W51" s="35"/>
      <c r="X51" s="35"/>
      <c r="Y51" s="35"/>
      <c r="Z51" s="35"/>
      <c r="AA51" s="35"/>
      <c r="AB51" s="36"/>
      <c r="AC51" s="36"/>
      <c r="AD51" s="36"/>
      <c r="AE51" s="36"/>
      <c r="AF51" s="36"/>
      <c r="AG51" s="36"/>
      <c r="AH51" s="36"/>
      <c r="AI51" s="36"/>
      <c r="AJ51" s="36"/>
      <c r="AK51" s="36"/>
      <c r="AL51" s="36"/>
      <c r="AM51" s="6"/>
      <c r="AN51" s="6"/>
      <c r="AO51" s="6"/>
      <c r="AP51" s="6"/>
      <c r="AQ51" s="6"/>
      <c r="AR51" s="6"/>
      <c r="AS51" s="6"/>
      <c r="AT51" s="6"/>
      <c r="AU51" s="6"/>
      <c r="AV51" s="6"/>
    </row>
    <row r="52" spans="1:48" s="18" customFormat="1" hidden="1" x14ac:dyDescent="0.2">
      <c r="A52" s="287" t="s">
        <v>32</v>
      </c>
      <c r="B52" s="890" t="s">
        <v>35</v>
      </c>
      <c r="C52" s="891"/>
      <c r="D52" s="891"/>
      <c r="E52" s="892"/>
      <c r="F52" s="294"/>
      <c r="G52" s="294"/>
      <c r="H52" s="294">
        <v>0</v>
      </c>
      <c r="I52" s="294"/>
      <c r="J52" s="294"/>
      <c r="K52" s="294"/>
      <c r="L52" s="294"/>
      <c r="M52" s="294">
        <v>0</v>
      </c>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hidden="1" x14ac:dyDescent="0.2">
      <c r="A53" s="287" t="s">
        <v>33</v>
      </c>
      <c r="B53" s="890" t="s">
        <v>36</v>
      </c>
      <c r="C53" s="891"/>
      <c r="D53" s="891"/>
      <c r="E53" s="892"/>
      <c r="F53" s="294"/>
      <c r="G53" s="294"/>
      <c r="H53" s="294"/>
      <c r="I53" s="303"/>
      <c r="J53" s="294"/>
      <c r="K53" s="294"/>
      <c r="L53" s="294"/>
      <c r="M53" s="294">
        <v>0</v>
      </c>
      <c r="N53" s="29"/>
    </row>
    <row r="54" spans="1:48" ht="15" hidden="1" customHeight="1" x14ac:dyDescent="0.2">
      <c r="A54" s="287"/>
      <c r="B54" s="890"/>
      <c r="C54" s="891"/>
      <c r="D54" s="891"/>
      <c r="E54" s="892"/>
      <c r="F54" s="294"/>
      <c r="G54" s="294"/>
      <c r="H54" s="294"/>
      <c r="I54" s="513"/>
      <c r="J54" s="294"/>
      <c r="K54" s="383"/>
      <c r="L54" s="294"/>
      <c r="M54" s="294"/>
      <c r="N54" s="29"/>
    </row>
    <row r="55" spans="1:48" s="18" customFormat="1" hidden="1" x14ac:dyDescent="0.2">
      <c r="A55" s="287"/>
      <c r="B55" s="890"/>
      <c r="C55" s="891"/>
      <c r="D55" s="891"/>
      <c r="E55" s="892"/>
      <c r="F55" s="294"/>
      <c r="G55" s="294"/>
      <c r="H55" s="294"/>
      <c r="I55" s="294"/>
      <c r="J55" s="294"/>
      <c r="K55" s="383"/>
      <c r="L55" s="294"/>
      <c r="M55" s="294"/>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hidden="1" x14ac:dyDescent="0.2">
      <c r="A56" s="287" t="s">
        <v>482</v>
      </c>
      <c r="B56" s="818" t="s">
        <v>412</v>
      </c>
      <c r="C56" s="819"/>
      <c r="D56" s="819"/>
      <c r="E56" s="820"/>
      <c r="F56" s="294"/>
      <c r="G56" s="294"/>
      <c r="H56" s="294"/>
      <c r="I56" s="601"/>
      <c r="J56" s="308"/>
      <c r="K56" s="383">
        <f t="shared" ref="K56:K57" si="3">H56-J56</f>
        <v>0</v>
      </c>
      <c r="L56" s="294"/>
      <c r="M56" s="294"/>
      <c r="N56" s="29"/>
    </row>
    <row r="57" spans="1:48" s="18" customFormat="1" hidden="1" x14ac:dyDescent="0.2">
      <c r="A57" s="287" t="s">
        <v>440</v>
      </c>
      <c r="B57" s="890" t="s">
        <v>413</v>
      </c>
      <c r="C57" s="891"/>
      <c r="D57" s="891"/>
      <c r="E57" s="892"/>
      <c r="F57" s="294"/>
      <c r="G57" s="294"/>
      <c r="H57" s="294"/>
      <c r="I57" s="294"/>
      <c r="J57" s="308"/>
      <c r="K57" s="383">
        <f t="shared" si="3"/>
        <v>0</v>
      </c>
      <c r="L57" s="294"/>
      <c r="M57" s="294"/>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s="18" customFormat="1" x14ac:dyDescent="0.2">
      <c r="A58" s="287" t="s">
        <v>525</v>
      </c>
      <c r="B58" s="818" t="s">
        <v>513</v>
      </c>
      <c r="C58" s="819"/>
      <c r="D58" s="819"/>
      <c r="E58" s="820"/>
      <c r="F58" s="294">
        <v>41600</v>
      </c>
      <c r="G58" s="294"/>
      <c r="H58" s="294">
        <f>F58</f>
        <v>41600</v>
      </c>
      <c r="I58" s="294">
        <f>H58</f>
        <v>41600</v>
      </c>
      <c r="J58" s="308">
        <f>41600/12*2</f>
        <v>6933.333333333333</v>
      </c>
      <c r="K58" s="383">
        <f>H58-J58</f>
        <v>34666.666666666664</v>
      </c>
      <c r="L58" s="294">
        <f>K58</f>
        <v>34666.666666666664</v>
      </c>
      <c r="M58" s="294"/>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18" customFormat="1" x14ac:dyDescent="0.2">
      <c r="A59" s="287" t="s">
        <v>526</v>
      </c>
      <c r="B59" s="890" t="s">
        <v>514</v>
      </c>
      <c r="C59" s="891"/>
      <c r="D59" s="891"/>
      <c r="E59" s="892"/>
      <c r="F59" s="294">
        <v>18500</v>
      </c>
      <c r="G59" s="294"/>
      <c r="H59" s="294">
        <f>F59</f>
        <v>18500</v>
      </c>
      <c r="I59" s="294">
        <f>8500</f>
        <v>8500</v>
      </c>
      <c r="J59" s="308">
        <f>18500/12*2</f>
        <v>3083.3333333333335</v>
      </c>
      <c r="K59" s="383">
        <f>H59-J59</f>
        <v>15416.666666666666</v>
      </c>
      <c r="L59" s="294">
        <f>K59</f>
        <v>15416.666666666666</v>
      </c>
      <c r="M59" s="294"/>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x14ac:dyDescent="0.2">
      <c r="A60" s="287" t="s">
        <v>345</v>
      </c>
      <c r="B60" s="818" t="s">
        <v>515</v>
      </c>
      <c r="C60" s="819"/>
      <c r="D60" s="819"/>
      <c r="E60" s="820"/>
      <c r="F60" s="294">
        <v>40000</v>
      </c>
      <c r="G60" s="294"/>
      <c r="H60" s="294">
        <f>J60-I60</f>
        <v>10000</v>
      </c>
      <c r="I60" s="294">
        <f>'[2]December''20 AR Aging '!G64</f>
        <v>10000</v>
      </c>
      <c r="J60" s="308">
        <v>20000</v>
      </c>
      <c r="K60" s="383">
        <f>F60-J60</f>
        <v>20000</v>
      </c>
      <c r="L60" s="294"/>
      <c r="M60" s="294"/>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x14ac:dyDescent="0.2">
      <c r="A61" s="287" t="s">
        <v>20</v>
      </c>
      <c r="B61" s="890" t="s">
        <v>484</v>
      </c>
      <c r="C61" s="891"/>
      <c r="D61" s="891"/>
      <c r="E61" s="892"/>
      <c r="F61" s="294"/>
      <c r="G61" s="294">
        <v>0</v>
      </c>
      <c r="H61" s="294">
        <f>J61</f>
        <v>2559.1999999999998</v>
      </c>
      <c r="I61" s="294"/>
      <c r="J61" s="308">
        <v>2559.1999999999998</v>
      </c>
      <c r="K61" s="383">
        <f>H61-J61</f>
        <v>0</v>
      </c>
      <c r="L61" s="294">
        <v>0</v>
      </c>
      <c r="M61" s="294">
        <v>0</v>
      </c>
      <c r="N61" s="29"/>
    </row>
    <row r="62" spans="1:48" x14ac:dyDescent="0.2">
      <c r="A62" s="287" t="s">
        <v>20</v>
      </c>
      <c r="B62" s="890" t="s">
        <v>6</v>
      </c>
      <c r="C62" s="891"/>
      <c r="D62" s="891"/>
      <c r="E62" s="892"/>
      <c r="F62" s="294"/>
      <c r="G62" s="294">
        <v>807.18</v>
      </c>
      <c r="H62" s="294"/>
      <c r="I62" s="294"/>
      <c r="J62" s="308"/>
      <c r="K62" s="383">
        <f>G62+H62-J62</f>
        <v>807.18</v>
      </c>
      <c r="L62" s="294">
        <f>K62</f>
        <v>807.18</v>
      </c>
      <c r="M62" s="294">
        <v>0</v>
      </c>
      <c r="N62" s="29"/>
    </row>
    <row r="63" spans="1:48" x14ac:dyDescent="0.2">
      <c r="A63" s="287" t="s">
        <v>20</v>
      </c>
      <c r="B63" s="890" t="s">
        <v>7</v>
      </c>
      <c r="C63" s="891"/>
      <c r="D63" s="891"/>
      <c r="E63" s="892"/>
      <c r="F63" s="294"/>
      <c r="G63" s="294">
        <v>20127.96</v>
      </c>
      <c r="H63" s="294">
        <v>0</v>
      </c>
      <c r="I63" s="294">
        <v>0</v>
      </c>
      <c r="J63" s="308">
        <v>2155.5</v>
      </c>
      <c r="K63" s="383">
        <f>G63+H63-J63</f>
        <v>17972.46</v>
      </c>
      <c r="L63" s="294">
        <f>K63</f>
        <v>17972.46</v>
      </c>
      <c r="M63" s="294">
        <v>0</v>
      </c>
      <c r="N63" s="29"/>
    </row>
    <row r="64" spans="1:48" ht="15" thickBot="1" x14ac:dyDescent="0.25">
      <c r="A64" s="287" t="s">
        <v>20</v>
      </c>
      <c r="B64" s="890" t="s">
        <v>8</v>
      </c>
      <c r="C64" s="891"/>
      <c r="D64" s="891"/>
      <c r="E64" s="892"/>
      <c r="F64" s="294"/>
      <c r="G64" s="294">
        <v>5467.94</v>
      </c>
      <c r="H64" s="294">
        <v>0</v>
      </c>
      <c r="I64" s="294">
        <v>0</v>
      </c>
      <c r="J64" s="308">
        <v>401.62</v>
      </c>
      <c r="K64" s="383">
        <f>G64+H64-J64</f>
        <v>5066.32</v>
      </c>
      <c r="L64" s="294">
        <f>K64</f>
        <v>5066.32</v>
      </c>
      <c r="M64" s="294">
        <v>0</v>
      </c>
      <c r="N64" s="29"/>
    </row>
    <row r="65" spans="1:48" s="25" customFormat="1" ht="15" hidden="1" thickBot="1" x14ac:dyDescent="0.25">
      <c r="A65" s="287" t="s">
        <v>394</v>
      </c>
      <c r="B65" s="890" t="s">
        <v>378</v>
      </c>
      <c r="C65" s="891"/>
      <c r="D65" s="891"/>
      <c r="E65" s="892"/>
      <c r="F65" s="294"/>
      <c r="G65" s="294"/>
      <c r="H65" s="294"/>
      <c r="I65" s="294"/>
      <c r="J65" s="294"/>
      <c r="K65" s="294"/>
      <c r="L65" s="294"/>
      <c r="M65" s="294"/>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25" customFormat="1" ht="15" hidden="1" thickBot="1" x14ac:dyDescent="0.25">
      <c r="A66" s="287" t="s">
        <v>20</v>
      </c>
      <c r="B66" s="818" t="s">
        <v>79</v>
      </c>
      <c r="C66" s="819"/>
      <c r="D66" s="819"/>
      <c r="E66" s="820"/>
      <c r="F66" s="294"/>
      <c r="G66" s="294"/>
      <c r="H66" s="294"/>
      <c r="I66" s="294"/>
      <c r="J66" s="294"/>
      <c r="K66" s="294"/>
      <c r="L66" s="294"/>
      <c r="M66" s="294"/>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18" customFormat="1" ht="15" hidden="1" customHeight="1" thickBot="1" x14ac:dyDescent="0.25">
      <c r="A67" s="288"/>
      <c r="B67" s="890"/>
      <c r="C67" s="891"/>
      <c r="D67" s="891"/>
      <c r="E67" s="892"/>
      <c r="F67" s="295"/>
      <c r="G67" s="295">
        <v>0</v>
      </c>
      <c r="H67" s="295"/>
      <c r="I67" s="304"/>
      <c r="J67" s="295"/>
      <c r="K67" s="295"/>
      <c r="L67" s="295"/>
      <c r="M67" s="295">
        <v>0</v>
      </c>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253" customFormat="1" ht="15.75" thickBot="1" x14ac:dyDescent="0.3">
      <c r="A68" s="316" t="s">
        <v>38</v>
      </c>
      <c r="B68" s="317"/>
      <c r="C68" s="317"/>
      <c r="D68" s="317"/>
      <c r="E68" s="318"/>
      <c r="F68" s="376">
        <f t="shared" ref="F68:M68" si="4">SUM(F52:F67)</f>
        <v>100100</v>
      </c>
      <c r="G68" s="377">
        <f t="shared" si="4"/>
        <v>26403.079999999998</v>
      </c>
      <c r="H68" s="377">
        <f>SUM(H52:H67)</f>
        <v>72659.199999999997</v>
      </c>
      <c r="I68" s="377">
        <f t="shared" si="4"/>
        <v>60100</v>
      </c>
      <c r="J68" s="377">
        <f t="shared" si="4"/>
        <v>35132.986666666671</v>
      </c>
      <c r="K68" s="378">
        <f>SUM(K52:K67)</f>
        <v>93929.293333333335</v>
      </c>
      <c r="L68" s="379">
        <f>SUM(L52:L67)</f>
        <v>73929.293333333335</v>
      </c>
      <c r="M68" s="378">
        <f t="shared" si="4"/>
        <v>0</v>
      </c>
      <c r="N68" s="251"/>
      <c r="O68" s="251"/>
      <c r="P68" s="251"/>
      <c r="Q68" s="251"/>
      <c r="R68" s="251"/>
      <c r="S68" s="251"/>
      <c r="T68" s="251"/>
      <c r="U68" s="252"/>
      <c r="V68" s="251"/>
      <c r="W68" s="251"/>
      <c r="X68" s="251"/>
      <c r="Y68" s="251"/>
      <c r="Z68" s="251"/>
      <c r="AA68" s="251"/>
      <c r="AB68" s="251"/>
      <c r="AC68" s="251"/>
      <c r="AD68" s="251"/>
      <c r="AE68" s="251"/>
      <c r="AF68" s="251"/>
      <c r="AG68" s="251"/>
      <c r="AH68" s="251"/>
      <c r="AI68" s="251"/>
      <c r="AJ68" s="251"/>
      <c r="AK68" s="251"/>
      <c r="AL68" s="251"/>
      <c r="AM68" s="252"/>
      <c r="AN68" s="252"/>
      <c r="AO68" s="252"/>
      <c r="AP68" s="252"/>
      <c r="AQ68" s="252"/>
      <c r="AR68" s="252"/>
      <c r="AS68" s="252"/>
      <c r="AT68" s="252"/>
      <c r="AU68" s="252"/>
      <c r="AV68" s="252"/>
    </row>
    <row r="69" spans="1:48" ht="15" thickBot="1" x14ac:dyDescent="0.25">
      <c r="H69" s="28"/>
      <c r="L69" s="689" t="s">
        <v>355</v>
      </c>
      <c r="N69" s="29"/>
    </row>
    <row r="70" spans="1:48" s="48" customFormat="1" ht="16.5" thickBot="1" x14ac:dyDescent="0.3">
      <c r="A70" s="52"/>
      <c r="B70" s="53"/>
      <c r="C70" s="53"/>
      <c r="D70" s="53"/>
      <c r="E70" s="53"/>
      <c r="F70" s="53"/>
      <c r="G70" s="53"/>
      <c r="H70" s="53"/>
      <c r="I70" s="53"/>
      <c r="J70" s="53"/>
      <c r="K70" s="53"/>
      <c r="L70" s="493">
        <f>L68+J48</f>
        <v>88327.993333333332</v>
      </c>
      <c r="M70" s="683"/>
      <c r="N70" s="29"/>
      <c r="O70" s="29"/>
      <c r="P70" s="29"/>
      <c r="Q70" s="29"/>
      <c r="R70" s="29"/>
      <c r="S70" s="29"/>
      <c r="T70" s="29"/>
      <c r="U70" s="29"/>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51" customFormat="1" ht="31.5" hidden="1" x14ac:dyDescent="0.25">
      <c r="A71" s="54"/>
      <c r="B71" s="50"/>
      <c r="C71" s="50"/>
      <c r="D71" s="50"/>
      <c r="E71" s="50"/>
      <c r="F71" s="50"/>
      <c r="G71" s="149" t="s">
        <v>174</v>
      </c>
      <c r="H71" s="150" t="s">
        <v>166</v>
      </c>
      <c r="I71" s="150" t="s">
        <v>101</v>
      </c>
      <c r="J71" s="150" t="s">
        <v>57</v>
      </c>
      <c r="K71" s="151" t="s">
        <v>45</v>
      </c>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row>
    <row r="72" spans="1:48" s="43" customFormat="1" ht="20.25" hidden="1" customHeight="1" x14ac:dyDescent="0.2">
      <c r="A72" s="334" t="s">
        <v>74</v>
      </c>
      <c r="B72" s="903" t="s">
        <v>44</v>
      </c>
      <c r="C72" s="903"/>
      <c r="D72" s="903"/>
      <c r="E72" s="903"/>
      <c r="F72" s="335"/>
      <c r="G72" s="335">
        <f>104647.76-J55-1250-1250</f>
        <v>102147.76</v>
      </c>
      <c r="H72" s="335">
        <f>90450.47-J72-H75</f>
        <v>77913.61</v>
      </c>
      <c r="I72" s="335">
        <f>H61</f>
        <v>2559.1999999999998</v>
      </c>
      <c r="J72" s="335">
        <f>'[2]December''20 AR Aging '!G43</f>
        <v>12536.86</v>
      </c>
      <c r="K72" s="336">
        <f>+I72+J72+H72-G72</f>
        <v>-9138.0899999999965</v>
      </c>
      <c r="L72" s="46"/>
      <c r="M72" s="46"/>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s="25" customFormat="1" hidden="1" x14ac:dyDescent="0.2">
      <c r="A73" s="337" t="s">
        <v>34</v>
      </c>
      <c r="B73" s="902" t="s">
        <v>29</v>
      </c>
      <c r="C73" s="902"/>
      <c r="D73" s="902"/>
      <c r="E73" s="902"/>
      <c r="F73" s="332"/>
      <c r="G73" s="332"/>
      <c r="H73" s="332">
        <v>0</v>
      </c>
      <c r="I73" s="333"/>
      <c r="J73" s="332">
        <v>0</v>
      </c>
      <c r="K73" s="338"/>
      <c r="L73" s="309"/>
      <c r="M73" s="309">
        <v>0</v>
      </c>
      <c r="N73" s="29"/>
      <c r="O73" s="29"/>
      <c r="P73" s="29"/>
      <c r="Q73" s="29"/>
      <c r="R73" s="29"/>
      <c r="S73" s="29"/>
      <c r="T73" s="29"/>
      <c r="U73" s="1"/>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row>
    <row r="74" spans="1:48" s="18" customFormat="1" hidden="1" x14ac:dyDescent="0.2">
      <c r="A74" s="337" t="s">
        <v>20</v>
      </c>
      <c r="B74" s="904" t="s">
        <v>151</v>
      </c>
      <c r="C74" s="905"/>
      <c r="D74" s="905"/>
      <c r="E74" s="906"/>
      <c r="F74" s="332"/>
      <c r="G74" s="332"/>
      <c r="H74" s="332"/>
      <c r="I74" s="333"/>
      <c r="J74" s="332"/>
      <c r="K74" s="338"/>
      <c r="L74" s="309"/>
      <c r="M74" s="309"/>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row>
    <row r="75" spans="1:48" s="18" customFormat="1" ht="15" hidden="1" thickBot="1" x14ac:dyDescent="0.25">
      <c r="A75" s="339" t="s">
        <v>150</v>
      </c>
      <c r="B75" s="901" t="s">
        <v>44</v>
      </c>
      <c r="C75" s="901"/>
      <c r="D75" s="901"/>
      <c r="E75" s="901"/>
      <c r="F75" s="340"/>
      <c r="G75" s="340"/>
      <c r="H75" s="340">
        <v>0</v>
      </c>
      <c r="I75" s="340"/>
      <c r="J75" s="340"/>
      <c r="K75" s="341"/>
      <c r="L75" s="46"/>
      <c r="M75" s="46"/>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row>
    <row r="76" spans="1:48" hidden="1" x14ac:dyDescent="0.2">
      <c r="F76" s="229"/>
      <c r="G76" s="230"/>
      <c r="H76" s="229"/>
      <c r="I76" s="229"/>
      <c r="J76" s="229">
        <f>J72+I68+H31+J75</f>
        <v>398550.27999999997</v>
      </c>
      <c r="K76" s="229" t="s">
        <v>50</v>
      </c>
      <c r="N76" s="29"/>
    </row>
    <row r="77" spans="1:48" hidden="1" x14ac:dyDescent="0.2">
      <c r="F77" s="229"/>
      <c r="G77" s="230"/>
      <c r="H77" s="229"/>
      <c r="I77" s="229"/>
      <c r="J77" s="712">
        <f>'[2]December''20 AR Aging '!G70</f>
        <v>324942.15999999997</v>
      </c>
      <c r="K77" s="229" t="s">
        <v>483</v>
      </c>
      <c r="N77" s="29"/>
    </row>
    <row r="78" spans="1:48" ht="15" hidden="1" customHeight="1" thickBot="1" x14ac:dyDescent="0.25">
      <c r="F78" s="229"/>
      <c r="G78" s="230"/>
      <c r="H78" s="229"/>
      <c r="I78" s="229"/>
      <c r="J78" s="713">
        <f>J77-J76</f>
        <v>-73608.12</v>
      </c>
      <c r="K78" s="229" t="s">
        <v>414</v>
      </c>
      <c r="N78" s="29"/>
    </row>
    <row r="79" spans="1:48" ht="15" customHeight="1" x14ac:dyDescent="0.2">
      <c r="C79" s="8"/>
      <c r="E79" s="9"/>
    </row>
    <row r="88" spans="1:12" x14ac:dyDescent="0.2">
      <c r="A88" s="10"/>
      <c r="B88" s="1"/>
      <c r="C88" s="6"/>
      <c r="D88" s="6"/>
      <c r="E88" s="7"/>
      <c r="F88" s="29"/>
      <c r="G88" s="29"/>
      <c r="I88" s="29"/>
      <c r="J88" s="29"/>
      <c r="K88" s="29"/>
      <c r="L88" s="29"/>
    </row>
  </sheetData>
  <mergeCells count="30">
    <mergeCell ref="B64:E64"/>
    <mergeCell ref="B39:C39"/>
    <mergeCell ref="B41:C41"/>
    <mergeCell ref="B57:E57"/>
    <mergeCell ref="B42:C42"/>
    <mergeCell ref="B59:E59"/>
    <mergeCell ref="B44:C44"/>
    <mergeCell ref="B46:C46"/>
    <mergeCell ref="B75:E75"/>
    <mergeCell ref="B65:E65"/>
    <mergeCell ref="B73:E73"/>
    <mergeCell ref="B67:E67"/>
    <mergeCell ref="B72:E72"/>
    <mergeCell ref="B74:E74"/>
    <mergeCell ref="B35:C35"/>
    <mergeCell ref="B63:E63"/>
    <mergeCell ref="B51:E51"/>
    <mergeCell ref="B37:C37"/>
    <mergeCell ref="B45:C45"/>
    <mergeCell ref="B47:C47"/>
    <mergeCell ref="B52:E52"/>
    <mergeCell ref="B53:E53"/>
    <mergeCell ref="B61:E61"/>
    <mergeCell ref="B62:E62"/>
    <mergeCell ref="B36:C36"/>
    <mergeCell ref="B54:E54"/>
    <mergeCell ref="B55:E55"/>
    <mergeCell ref="B38:C38"/>
    <mergeCell ref="B43:C43"/>
    <mergeCell ref="B40:C40"/>
  </mergeCells>
  <pageMargins left="0.45" right="0" top="0.75" bottom="0" header="0.3" footer="0.05"/>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52"/>
  <sheetViews>
    <sheetView zoomScale="70" zoomScaleNormal="70" workbookViewId="0">
      <selection activeCell="B1" sqref="B1"/>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8" customWidth="1"/>
    <col min="8" max="8" width="11.75" style="1" customWidth="1"/>
    <col min="9" max="9" width="17.625" style="757"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494</v>
      </c>
      <c r="B2" s="16"/>
      <c r="C2" s="13"/>
      <c r="D2" s="13"/>
      <c r="E2" s="26"/>
      <c r="F2" s="26"/>
      <c r="G2" s="63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36"/>
      <c r="F3" s="92"/>
    </row>
    <row r="4" spans="1:2009" s="56" customFormat="1" ht="16.5" thickBot="1" x14ac:dyDescent="0.3">
      <c r="A4" s="55"/>
      <c r="B4" s="55"/>
      <c r="C4" s="92" t="s">
        <v>489</v>
      </c>
      <c r="D4" s="92" t="s">
        <v>491</v>
      </c>
      <c r="E4" s="92" t="s">
        <v>492</v>
      </c>
      <c r="F4" s="92" t="s">
        <v>493</v>
      </c>
      <c r="G4" s="639" t="s">
        <v>446</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907" t="s">
        <v>69</v>
      </c>
      <c r="B5" s="908"/>
      <c r="C5" s="147"/>
      <c r="D5" s="147"/>
      <c r="E5" s="155"/>
      <c r="F5" s="155"/>
      <c r="G5" s="640"/>
      <c r="H5" s="93"/>
      <c r="I5" s="555"/>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1" customFormat="1" ht="24.95" customHeight="1" x14ac:dyDescent="0.25">
      <c r="A6" s="328"/>
      <c r="B6" s="124" t="s">
        <v>431</v>
      </c>
      <c r="C6" s="521"/>
      <c r="D6" s="162"/>
      <c r="E6" s="521">
        <v>7777.6</v>
      </c>
      <c r="F6" s="162">
        <f>22671.51-E6</f>
        <v>14893.909999999998</v>
      </c>
      <c r="G6" s="641">
        <f>SUM(C6:F6)</f>
        <v>22671.51</v>
      </c>
      <c r="H6" s="329"/>
      <c r="I6" s="555"/>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330"/>
      <c r="FK6" s="330"/>
      <c r="FL6" s="330"/>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330"/>
      <c r="GL6" s="330"/>
      <c r="GM6" s="330"/>
      <c r="GN6" s="330"/>
      <c r="GO6" s="330"/>
      <c r="GP6" s="330"/>
      <c r="GQ6" s="330"/>
      <c r="GR6" s="330"/>
      <c r="GS6" s="330"/>
      <c r="GT6" s="330"/>
      <c r="GU6" s="330"/>
      <c r="GV6" s="330"/>
      <c r="GW6" s="330"/>
      <c r="GX6" s="330"/>
      <c r="GY6" s="330"/>
      <c r="GZ6" s="330"/>
      <c r="HA6" s="330"/>
      <c r="HB6" s="330"/>
      <c r="HC6" s="330"/>
      <c r="HD6" s="330"/>
      <c r="HE6" s="330"/>
      <c r="HF6" s="330"/>
      <c r="HG6" s="330"/>
      <c r="HH6" s="330"/>
      <c r="HI6" s="330"/>
      <c r="HJ6" s="330"/>
      <c r="HK6" s="330"/>
      <c r="HL6" s="330"/>
      <c r="HM6" s="330"/>
      <c r="HN6" s="330"/>
      <c r="HO6" s="330"/>
      <c r="HP6" s="330"/>
      <c r="HQ6" s="330"/>
      <c r="HR6" s="330"/>
      <c r="HS6" s="330"/>
      <c r="HT6" s="330"/>
      <c r="HU6" s="330"/>
      <c r="HV6" s="330"/>
      <c r="HW6" s="330"/>
      <c r="HX6" s="330"/>
      <c r="HY6" s="330"/>
      <c r="HZ6" s="330"/>
      <c r="IA6" s="330"/>
      <c r="IB6" s="330"/>
      <c r="IC6" s="330"/>
      <c r="ID6" s="330"/>
      <c r="IE6" s="330"/>
      <c r="IF6" s="330"/>
      <c r="IG6" s="330"/>
      <c r="IH6" s="330"/>
      <c r="II6" s="330"/>
      <c r="IJ6" s="330"/>
      <c r="IK6" s="330"/>
      <c r="IL6" s="330"/>
      <c r="IM6" s="330"/>
      <c r="IN6" s="330"/>
      <c r="IO6" s="330"/>
      <c r="IP6" s="330"/>
      <c r="IQ6" s="330"/>
      <c r="IR6" s="330"/>
      <c r="IS6" s="330"/>
      <c r="IT6" s="330"/>
      <c r="IU6" s="330"/>
      <c r="IV6" s="330"/>
      <c r="IW6" s="330"/>
      <c r="IX6" s="330"/>
      <c r="IY6" s="330"/>
      <c r="IZ6" s="330"/>
      <c r="JA6" s="330"/>
      <c r="JB6" s="330"/>
      <c r="JC6" s="330"/>
      <c r="JD6" s="330"/>
      <c r="JE6" s="330"/>
      <c r="JF6" s="330"/>
      <c r="JG6" s="330"/>
      <c r="JH6" s="330"/>
      <c r="JI6" s="330"/>
      <c r="JJ6" s="330"/>
      <c r="JK6" s="330"/>
      <c r="JL6" s="330"/>
      <c r="JM6" s="330"/>
      <c r="JN6" s="330"/>
      <c r="JO6" s="330"/>
      <c r="JP6" s="330"/>
      <c r="JQ6" s="330"/>
      <c r="JR6" s="330"/>
      <c r="JS6" s="330"/>
      <c r="JT6" s="330"/>
      <c r="JU6" s="330"/>
      <c r="JV6" s="330"/>
      <c r="JW6" s="330"/>
      <c r="JX6" s="330"/>
      <c r="JY6" s="330"/>
      <c r="JZ6" s="330"/>
      <c r="KA6" s="330"/>
      <c r="KB6" s="330"/>
      <c r="KC6" s="330"/>
      <c r="KD6" s="330"/>
      <c r="KE6" s="330"/>
      <c r="KF6" s="330"/>
      <c r="KG6" s="330"/>
      <c r="KH6" s="330"/>
      <c r="KI6" s="330"/>
      <c r="KJ6" s="330"/>
      <c r="KK6" s="330"/>
      <c r="KL6" s="330"/>
      <c r="KM6" s="330"/>
      <c r="KN6" s="330"/>
      <c r="KO6" s="330"/>
      <c r="KP6" s="330"/>
      <c r="KQ6" s="330"/>
      <c r="KR6" s="330"/>
      <c r="KS6" s="330"/>
      <c r="KT6" s="330"/>
      <c r="KU6" s="330"/>
      <c r="KV6" s="330"/>
      <c r="KW6" s="330"/>
      <c r="KX6" s="330"/>
      <c r="KY6" s="330"/>
      <c r="KZ6" s="330"/>
      <c r="LA6" s="330"/>
      <c r="LB6" s="330"/>
      <c r="LC6" s="330"/>
      <c r="LD6" s="330"/>
      <c r="LE6" s="330"/>
      <c r="LF6" s="330"/>
      <c r="LG6" s="330"/>
      <c r="LH6" s="330"/>
      <c r="LI6" s="330"/>
      <c r="LJ6" s="330"/>
      <c r="LK6" s="330"/>
      <c r="LL6" s="330"/>
      <c r="LM6" s="330"/>
      <c r="LN6" s="330"/>
      <c r="LO6" s="330"/>
      <c r="LP6" s="330"/>
      <c r="LQ6" s="330"/>
      <c r="LR6" s="330"/>
      <c r="LS6" s="330"/>
      <c r="LT6" s="330"/>
      <c r="LU6" s="330"/>
      <c r="LV6" s="330"/>
      <c r="LW6" s="330"/>
      <c r="LX6" s="330"/>
      <c r="LY6" s="330"/>
      <c r="LZ6" s="330"/>
      <c r="MA6" s="330"/>
      <c r="MB6" s="330"/>
      <c r="MC6" s="330"/>
      <c r="MD6" s="330"/>
      <c r="ME6" s="330"/>
      <c r="MF6" s="330"/>
      <c r="MG6" s="330"/>
      <c r="MH6" s="330"/>
      <c r="MI6" s="330"/>
      <c r="MJ6" s="330"/>
      <c r="MK6" s="330"/>
      <c r="ML6" s="330"/>
      <c r="MM6" s="330"/>
      <c r="MN6" s="330"/>
      <c r="MO6" s="330"/>
      <c r="MP6" s="330"/>
      <c r="MQ6" s="330"/>
      <c r="MR6" s="330"/>
      <c r="MS6" s="330"/>
      <c r="MT6" s="330"/>
      <c r="MU6" s="330"/>
      <c r="MV6" s="330"/>
      <c r="MW6" s="330"/>
      <c r="MX6" s="330"/>
      <c r="MY6" s="330"/>
      <c r="MZ6" s="330"/>
      <c r="NA6" s="330"/>
      <c r="NB6" s="330"/>
      <c r="NC6" s="330"/>
      <c r="ND6" s="330"/>
      <c r="NE6" s="330"/>
      <c r="NF6" s="330"/>
      <c r="NG6" s="330"/>
      <c r="NH6" s="330"/>
      <c r="NI6" s="330"/>
      <c r="NJ6" s="330"/>
      <c r="NK6" s="330"/>
      <c r="NL6" s="330"/>
      <c r="NM6" s="330"/>
      <c r="NN6" s="330"/>
      <c r="NO6" s="330"/>
      <c r="NP6" s="330"/>
      <c r="NQ6" s="330"/>
      <c r="NR6" s="330"/>
      <c r="NS6" s="330"/>
      <c r="NT6" s="330"/>
      <c r="NU6" s="330"/>
      <c r="NV6" s="330"/>
      <c r="NW6" s="330"/>
      <c r="NX6" s="330"/>
      <c r="NY6" s="330"/>
      <c r="NZ6" s="330"/>
      <c r="OA6" s="330"/>
      <c r="OB6" s="330"/>
      <c r="OC6" s="330"/>
      <c r="OD6" s="330"/>
      <c r="OE6" s="330"/>
      <c r="OF6" s="330"/>
      <c r="OG6" s="330"/>
      <c r="OH6" s="330"/>
      <c r="OI6" s="330"/>
      <c r="OJ6" s="330"/>
      <c r="OK6" s="330"/>
      <c r="OL6" s="330"/>
      <c r="OM6" s="330"/>
      <c r="ON6" s="330"/>
      <c r="OO6" s="330"/>
      <c r="OP6" s="330"/>
      <c r="OQ6" s="330"/>
      <c r="OR6" s="330"/>
      <c r="OS6" s="330"/>
      <c r="OT6" s="330"/>
      <c r="OU6" s="330"/>
      <c r="OV6" s="330"/>
      <c r="OW6" s="330"/>
      <c r="OX6" s="330"/>
      <c r="OY6" s="330"/>
      <c r="OZ6" s="330"/>
      <c r="PA6" s="330"/>
      <c r="PB6" s="330"/>
      <c r="PC6" s="330"/>
      <c r="PD6" s="330"/>
      <c r="PE6" s="330"/>
      <c r="PF6" s="330"/>
      <c r="PG6" s="330"/>
      <c r="PH6" s="330"/>
      <c r="PI6" s="330"/>
      <c r="PJ6" s="330"/>
      <c r="PK6" s="330"/>
      <c r="PL6" s="330"/>
      <c r="PM6" s="330"/>
      <c r="PN6" s="330"/>
      <c r="PO6" s="330"/>
      <c r="PP6" s="330"/>
      <c r="PQ6" s="330"/>
      <c r="PR6" s="330"/>
      <c r="PS6" s="330"/>
      <c r="PT6" s="330"/>
      <c r="PU6" s="330"/>
      <c r="PV6" s="330"/>
      <c r="PW6" s="330"/>
      <c r="PX6" s="330"/>
      <c r="PY6" s="330"/>
      <c r="PZ6" s="330"/>
      <c r="QA6" s="330"/>
      <c r="QB6" s="330"/>
      <c r="QC6" s="330"/>
      <c r="QD6" s="330"/>
      <c r="QE6" s="330"/>
      <c r="QF6" s="330"/>
      <c r="QG6" s="330"/>
      <c r="QH6" s="330"/>
      <c r="QI6" s="330"/>
      <c r="QJ6" s="330"/>
      <c r="QK6" s="330"/>
      <c r="QL6" s="330"/>
      <c r="QM6" s="330"/>
      <c r="QN6" s="330"/>
      <c r="QO6" s="330"/>
      <c r="QP6" s="330"/>
      <c r="QQ6" s="330"/>
      <c r="QR6" s="330"/>
      <c r="QS6" s="330"/>
      <c r="QT6" s="330"/>
      <c r="QU6" s="330"/>
      <c r="QV6" s="330"/>
      <c r="QW6" s="330"/>
      <c r="QX6" s="330"/>
      <c r="QY6" s="330"/>
      <c r="QZ6" s="330"/>
      <c r="RA6" s="330"/>
      <c r="RB6" s="330"/>
      <c r="RC6" s="330"/>
      <c r="RD6" s="330"/>
      <c r="RE6" s="330"/>
      <c r="RF6" s="330"/>
      <c r="RG6" s="330"/>
      <c r="RH6" s="330"/>
      <c r="RI6" s="330"/>
      <c r="RJ6" s="330"/>
      <c r="RK6" s="330"/>
      <c r="RL6" s="330"/>
      <c r="RM6" s="330"/>
      <c r="RN6" s="330"/>
      <c r="RO6" s="330"/>
      <c r="RP6" s="330"/>
      <c r="RQ6" s="330"/>
      <c r="RR6" s="330"/>
      <c r="RS6" s="330"/>
      <c r="RT6" s="330"/>
      <c r="RU6" s="330"/>
      <c r="RV6" s="330"/>
      <c r="RW6" s="330"/>
      <c r="RX6" s="330"/>
      <c r="RY6" s="330"/>
      <c r="RZ6" s="330"/>
      <c r="SA6" s="330"/>
      <c r="SB6" s="330"/>
      <c r="SC6" s="330"/>
      <c r="SD6" s="330"/>
      <c r="SE6" s="330"/>
      <c r="SF6" s="330"/>
      <c r="SG6" s="330"/>
      <c r="SH6" s="330"/>
      <c r="SI6" s="330"/>
      <c r="SJ6" s="330"/>
      <c r="SK6" s="330"/>
      <c r="SL6" s="330"/>
      <c r="SM6" s="330"/>
      <c r="SN6" s="330"/>
      <c r="SO6" s="330"/>
      <c r="SP6" s="330"/>
      <c r="SQ6" s="330"/>
      <c r="SR6" s="330"/>
      <c r="SS6" s="330"/>
      <c r="ST6" s="330"/>
      <c r="SU6" s="330"/>
      <c r="SV6" s="330"/>
      <c r="SW6" s="330"/>
      <c r="SX6" s="330"/>
      <c r="SY6" s="330"/>
      <c r="SZ6" s="330"/>
      <c r="TA6" s="330"/>
      <c r="TB6" s="330"/>
      <c r="TC6" s="330"/>
      <c r="TD6" s="330"/>
      <c r="TE6" s="330"/>
      <c r="TF6" s="330"/>
      <c r="TG6" s="330"/>
      <c r="TH6" s="330"/>
      <c r="TI6" s="330"/>
      <c r="TJ6" s="330"/>
      <c r="TK6" s="330"/>
      <c r="TL6" s="330"/>
      <c r="TM6" s="330"/>
      <c r="TN6" s="330"/>
      <c r="TO6" s="330"/>
      <c r="TP6" s="330"/>
      <c r="TQ6" s="330"/>
      <c r="TR6" s="330"/>
      <c r="TS6" s="330"/>
      <c r="TT6" s="330"/>
      <c r="TU6" s="330"/>
      <c r="TV6" s="330"/>
      <c r="TW6" s="330"/>
      <c r="TX6" s="330"/>
      <c r="TY6" s="330"/>
      <c r="TZ6" s="330"/>
      <c r="UA6" s="330"/>
      <c r="UB6" s="330"/>
      <c r="UC6" s="330"/>
      <c r="UD6" s="330"/>
      <c r="UE6" s="330"/>
      <c r="UF6" s="330"/>
      <c r="UG6" s="330"/>
      <c r="UH6" s="330"/>
      <c r="UI6" s="330"/>
      <c r="UJ6" s="330"/>
      <c r="UK6" s="330"/>
      <c r="UL6" s="330"/>
      <c r="UM6" s="330"/>
      <c r="UN6" s="330"/>
      <c r="UO6" s="330"/>
      <c r="UP6" s="330"/>
      <c r="UQ6" s="330"/>
      <c r="UR6" s="330"/>
      <c r="US6" s="330"/>
      <c r="UT6" s="330"/>
      <c r="UU6" s="330"/>
      <c r="UV6" s="330"/>
      <c r="UW6" s="330"/>
      <c r="UX6" s="330"/>
      <c r="UY6" s="330"/>
      <c r="UZ6" s="330"/>
      <c r="VA6" s="330"/>
      <c r="VB6" s="330"/>
      <c r="VC6" s="330"/>
      <c r="VD6" s="330"/>
      <c r="VE6" s="330"/>
      <c r="VF6" s="330"/>
      <c r="VG6" s="330"/>
      <c r="VH6" s="330"/>
      <c r="VI6" s="330"/>
      <c r="VJ6" s="330"/>
      <c r="VK6" s="330"/>
      <c r="VL6" s="330"/>
      <c r="VM6" s="330"/>
      <c r="VN6" s="330"/>
      <c r="VO6" s="330"/>
      <c r="VP6" s="330"/>
      <c r="VQ6" s="330"/>
      <c r="VR6" s="330"/>
      <c r="VS6" s="330"/>
      <c r="VT6" s="330"/>
      <c r="VU6" s="330"/>
      <c r="VV6" s="330"/>
      <c r="VW6" s="330"/>
      <c r="VX6" s="330"/>
      <c r="VY6" s="330"/>
      <c r="VZ6" s="330"/>
      <c r="WA6" s="330"/>
      <c r="WB6" s="330"/>
      <c r="WC6" s="330"/>
      <c r="WD6" s="330"/>
      <c r="WE6" s="330"/>
      <c r="WF6" s="330"/>
      <c r="WG6" s="330"/>
      <c r="WH6" s="330"/>
      <c r="WI6" s="330"/>
      <c r="WJ6" s="330"/>
      <c r="WK6" s="330"/>
      <c r="WL6" s="330"/>
      <c r="WM6" s="330"/>
      <c r="WN6" s="330"/>
      <c r="WO6" s="330"/>
      <c r="WP6" s="330"/>
      <c r="WQ6" s="330"/>
      <c r="WR6" s="330"/>
      <c r="WS6" s="330"/>
      <c r="WT6" s="330"/>
      <c r="WU6" s="330"/>
      <c r="WV6" s="330"/>
      <c r="WW6" s="330"/>
      <c r="WX6" s="330"/>
      <c r="WY6" s="330"/>
      <c r="WZ6" s="330"/>
      <c r="XA6" s="330"/>
      <c r="XB6" s="330"/>
      <c r="XC6" s="330"/>
      <c r="XD6" s="330"/>
      <c r="XE6" s="330"/>
      <c r="XF6" s="330"/>
      <c r="XG6" s="330"/>
      <c r="XH6" s="330"/>
      <c r="XI6" s="330"/>
      <c r="XJ6" s="330"/>
      <c r="XK6" s="330"/>
      <c r="XL6" s="330"/>
      <c r="XM6" s="330"/>
      <c r="XN6" s="330"/>
      <c r="XO6" s="330"/>
      <c r="XP6" s="330"/>
      <c r="XQ6" s="330"/>
      <c r="XR6" s="330"/>
      <c r="XS6" s="330"/>
      <c r="XT6" s="330"/>
      <c r="XU6" s="330"/>
      <c r="XV6" s="330"/>
      <c r="XW6" s="330"/>
      <c r="XX6" s="330"/>
      <c r="XY6" s="330"/>
      <c r="XZ6" s="330"/>
      <c r="YA6" s="330"/>
      <c r="YB6" s="330"/>
      <c r="YC6" s="330"/>
      <c r="YD6" s="330"/>
      <c r="YE6" s="330"/>
      <c r="YF6" s="330"/>
      <c r="YG6" s="330"/>
      <c r="YH6" s="330"/>
      <c r="YI6" s="330"/>
      <c r="YJ6" s="330"/>
      <c r="YK6" s="330"/>
      <c r="YL6" s="330"/>
      <c r="YM6" s="330"/>
      <c r="YN6" s="330"/>
      <c r="YO6" s="330"/>
      <c r="YP6" s="330"/>
      <c r="YQ6" s="330"/>
      <c r="YR6" s="330"/>
      <c r="YS6" s="330"/>
      <c r="YT6" s="330"/>
      <c r="YU6" s="330"/>
      <c r="YV6" s="330"/>
      <c r="YW6" s="330"/>
      <c r="YX6" s="330"/>
      <c r="YY6" s="330"/>
      <c r="YZ6" s="330"/>
      <c r="ZA6" s="330"/>
      <c r="ZB6" s="330"/>
      <c r="ZC6" s="330"/>
      <c r="ZD6" s="330"/>
      <c r="ZE6" s="330"/>
      <c r="ZF6" s="330"/>
      <c r="ZG6" s="330"/>
      <c r="ZH6" s="330"/>
      <c r="ZI6" s="330"/>
      <c r="ZJ6" s="330"/>
      <c r="ZK6" s="330"/>
      <c r="ZL6" s="330"/>
      <c r="ZM6" s="330"/>
      <c r="ZN6" s="330"/>
      <c r="ZO6" s="330"/>
      <c r="ZP6" s="330"/>
      <c r="ZQ6" s="330"/>
      <c r="ZR6" s="330"/>
      <c r="ZS6" s="330"/>
      <c r="ZT6" s="330"/>
      <c r="ZU6" s="330"/>
      <c r="ZV6" s="330"/>
      <c r="ZW6" s="330"/>
      <c r="ZX6" s="330"/>
      <c r="ZY6" s="330"/>
      <c r="ZZ6" s="330"/>
      <c r="AAA6" s="330"/>
      <c r="AAB6" s="330"/>
      <c r="AAC6" s="330"/>
      <c r="AAD6" s="330"/>
      <c r="AAE6" s="330"/>
      <c r="AAF6" s="330"/>
      <c r="AAG6" s="330"/>
      <c r="AAH6" s="330"/>
      <c r="AAI6" s="330"/>
      <c r="AAJ6" s="330"/>
      <c r="AAK6" s="330"/>
      <c r="AAL6" s="330"/>
      <c r="AAM6" s="330"/>
      <c r="AAN6" s="330"/>
      <c r="AAO6" s="330"/>
      <c r="AAP6" s="330"/>
      <c r="AAQ6" s="330"/>
      <c r="AAR6" s="330"/>
      <c r="AAS6" s="330"/>
      <c r="AAT6" s="330"/>
      <c r="AAU6" s="330"/>
      <c r="AAV6" s="330"/>
      <c r="AAW6" s="330"/>
      <c r="AAX6" s="330"/>
      <c r="AAY6" s="330"/>
      <c r="AAZ6" s="330"/>
      <c r="ABA6" s="330"/>
      <c r="ABB6" s="330"/>
      <c r="ABC6" s="330"/>
      <c r="ABD6" s="330"/>
      <c r="ABE6" s="330"/>
      <c r="ABF6" s="330"/>
      <c r="ABG6" s="330"/>
      <c r="ABH6" s="330"/>
      <c r="ABI6" s="330"/>
      <c r="ABJ6" s="330"/>
      <c r="ABK6" s="330"/>
      <c r="ABL6" s="330"/>
      <c r="ABM6" s="330"/>
      <c r="ABN6" s="330"/>
      <c r="ABO6" s="330"/>
      <c r="ABP6" s="330"/>
      <c r="ABQ6" s="330"/>
      <c r="ABR6" s="330"/>
      <c r="ABS6" s="330"/>
      <c r="ABT6" s="330"/>
      <c r="ABU6" s="330"/>
      <c r="ABV6" s="330"/>
      <c r="ABW6" s="330"/>
      <c r="ABX6" s="330"/>
      <c r="ABY6" s="330"/>
      <c r="ABZ6" s="330"/>
      <c r="ACA6" s="330"/>
      <c r="ACB6" s="330"/>
      <c r="ACC6" s="330"/>
      <c r="ACD6" s="330"/>
      <c r="ACE6" s="330"/>
      <c r="ACF6" s="330"/>
      <c r="ACG6" s="330"/>
      <c r="ACH6" s="330"/>
      <c r="ACI6" s="330"/>
      <c r="ACJ6" s="330"/>
      <c r="ACK6" s="330"/>
      <c r="ACL6" s="330"/>
      <c r="ACM6" s="330"/>
      <c r="ACN6" s="330"/>
      <c r="ACO6" s="330"/>
      <c r="ACP6" s="330"/>
      <c r="ACQ6" s="330"/>
      <c r="ACR6" s="330"/>
      <c r="ACS6" s="330"/>
      <c r="ACT6" s="330"/>
      <c r="ACU6" s="330"/>
      <c r="ACV6" s="330"/>
      <c r="ACW6" s="330"/>
      <c r="ACX6" s="330"/>
      <c r="ACY6" s="330"/>
      <c r="ACZ6" s="330"/>
      <c r="ADA6" s="330"/>
      <c r="ADB6" s="330"/>
      <c r="ADC6" s="330"/>
      <c r="ADD6" s="330"/>
      <c r="ADE6" s="330"/>
      <c r="ADF6" s="330"/>
      <c r="ADG6" s="330"/>
      <c r="ADH6" s="330"/>
      <c r="ADI6" s="330"/>
      <c r="ADJ6" s="330"/>
      <c r="ADK6" s="330"/>
      <c r="ADL6" s="330"/>
      <c r="ADM6" s="330"/>
      <c r="ADN6" s="330"/>
      <c r="ADO6" s="330"/>
      <c r="ADP6" s="330"/>
      <c r="ADQ6" s="330"/>
      <c r="ADR6" s="330"/>
      <c r="ADS6" s="330"/>
      <c r="ADT6" s="330"/>
      <c r="ADU6" s="330"/>
      <c r="ADV6" s="330"/>
      <c r="ADW6" s="330"/>
      <c r="ADX6" s="330"/>
      <c r="ADY6" s="330"/>
      <c r="ADZ6" s="330"/>
      <c r="AEA6" s="330"/>
      <c r="AEB6" s="330"/>
      <c r="AEC6" s="330"/>
      <c r="AED6" s="330"/>
      <c r="AEE6" s="330"/>
      <c r="AEF6" s="330"/>
      <c r="AEG6" s="330"/>
      <c r="AEH6" s="330"/>
      <c r="AEI6" s="330"/>
      <c r="AEJ6" s="330"/>
      <c r="AEK6" s="330"/>
      <c r="AEL6" s="330"/>
      <c r="AEM6" s="330"/>
      <c r="AEN6" s="330"/>
      <c r="AEO6" s="330"/>
      <c r="AEP6" s="330"/>
      <c r="AEQ6" s="330"/>
      <c r="AER6" s="330"/>
      <c r="AES6" s="330"/>
      <c r="AET6" s="330"/>
      <c r="AEU6" s="330"/>
      <c r="AEV6" s="330"/>
      <c r="AEW6" s="330"/>
      <c r="AEX6" s="330"/>
      <c r="AEY6" s="330"/>
      <c r="AEZ6" s="330"/>
      <c r="AFA6" s="330"/>
      <c r="AFB6" s="330"/>
      <c r="AFC6" s="330"/>
      <c r="AFD6" s="330"/>
      <c r="AFE6" s="330"/>
      <c r="AFF6" s="330"/>
      <c r="AFG6" s="330"/>
      <c r="AFH6" s="330"/>
      <c r="AFI6" s="330"/>
      <c r="AFJ6" s="330"/>
      <c r="AFK6" s="330"/>
      <c r="AFL6" s="330"/>
      <c r="AFM6" s="330"/>
      <c r="AFN6" s="330"/>
      <c r="AFO6" s="330"/>
      <c r="AFP6" s="330"/>
      <c r="AFQ6" s="330"/>
      <c r="AFR6" s="330"/>
      <c r="AFS6" s="330"/>
      <c r="AFT6" s="330"/>
      <c r="AFU6" s="330"/>
      <c r="AFV6" s="330"/>
      <c r="AFW6" s="330"/>
      <c r="AFX6" s="330"/>
      <c r="AFY6" s="330"/>
      <c r="AFZ6" s="330"/>
      <c r="AGA6" s="330"/>
      <c r="AGB6" s="330"/>
      <c r="AGC6" s="330"/>
      <c r="AGD6" s="330"/>
      <c r="AGE6" s="330"/>
      <c r="AGF6" s="330"/>
      <c r="AGG6" s="330"/>
      <c r="AGH6" s="330"/>
      <c r="AGI6" s="330"/>
      <c r="AGJ6" s="330"/>
      <c r="AGK6" s="330"/>
      <c r="AGL6" s="330"/>
      <c r="AGM6" s="330"/>
      <c r="AGN6" s="330"/>
      <c r="AGO6" s="330"/>
      <c r="AGP6" s="330"/>
      <c r="AGQ6" s="330"/>
      <c r="AGR6" s="330"/>
      <c r="AGS6" s="330"/>
      <c r="AGT6" s="330"/>
      <c r="AGU6" s="330"/>
      <c r="AGV6" s="330"/>
      <c r="AGW6" s="330"/>
      <c r="AGX6" s="330"/>
      <c r="AGY6" s="330"/>
      <c r="AGZ6" s="330"/>
      <c r="AHA6" s="330"/>
      <c r="AHB6" s="330"/>
      <c r="AHC6" s="330"/>
      <c r="AHD6" s="330"/>
      <c r="AHE6" s="330"/>
      <c r="AHF6" s="330"/>
      <c r="AHG6" s="330"/>
      <c r="AHH6" s="330"/>
      <c r="AHI6" s="330"/>
      <c r="AHJ6" s="330"/>
      <c r="AHK6" s="330"/>
      <c r="AHL6" s="330"/>
      <c r="AHM6" s="330"/>
      <c r="AHN6" s="330"/>
      <c r="AHO6" s="330"/>
      <c r="AHP6" s="330"/>
      <c r="AHQ6" s="330"/>
      <c r="AHR6" s="330"/>
      <c r="AHS6" s="330"/>
      <c r="AHT6" s="330"/>
      <c r="AHU6" s="330"/>
      <c r="AHV6" s="330"/>
      <c r="AHW6" s="330"/>
      <c r="AHX6" s="330"/>
      <c r="AHY6" s="330"/>
      <c r="AHZ6" s="330"/>
      <c r="AIA6" s="330"/>
      <c r="AIB6" s="330"/>
      <c r="AIC6" s="330"/>
      <c r="AID6" s="330"/>
      <c r="AIE6" s="330"/>
      <c r="AIF6" s="330"/>
      <c r="AIG6" s="330"/>
      <c r="AIH6" s="330"/>
      <c r="AII6" s="330"/>
      <c r="AIJ6" s="330"/>
      <c r="AIK6" s="330"/>
      <c r="AIL6" s="330"/>
      <c r="AIM6" s="330"/>
      <c r="AIN6" s="330"/>
      <c r="AIO6" s="330"/>
      <c r="AIP6" s="330"/>
      <c r="AIQ6" s="330"/>
      <c r="AIR6" s="330"/>
      <c r="AIS6" s="330"/>
      <c r="AIT6" s="330"/>
      <c r="AIU6" s="330"/>
      <c r="AIV6" s="330"/>
      <c r="AIW6" s="330"/>
      <c r="AIX6" s="330"/>
      <c r="AIY6" s="330"/>
      <c r="AIZ6" s="330"/>
      <c r="AJA6" s="330"/>
      <c r="AJB6" s="330"/>
      <c r="AJC6" s="330"/>
      <c r="AJD6" s="330"/>
      <c r="AJE6" s="330"/>
      <c r="AJF6" s="330"/>
      <c r="AJG6" s="330"/>
      <c r="AJH6" s="330"/>
      <c r="AJI6" s="330"/>
      <c r="AJJ6" s="330"/>
      <c r="AJK6" s="330"/>
      <c r="AJL6" s="330"/>
      <c r="AJM6" s="330"/>
      <c r="AJN6" s="330"/>
      <c r="AJO6" s="330"/>
      <c r="AJP6" s="330"/>
      <c r="AJQ6" s="330"/>
      <c r="AJR6" s="330"/>
      <c r="AJS6" s="330"/>
      <c r="AJT6" s="330"/>
      <c r="AJU6" s="330"/>
      <c r="AJV6" s="330"/>
      <c r="AJW6" s="330"/>
      <c r="AJX6" s="330"/>
      <c r="AJY6" s="330"/>
      <c r="AJZ6" s="330"/>
      <c r="AKA6" s="330"/>
      <c r="AKB6" s="330"/>
      <c r="AKC6" s="330"/>
      <c r="AKD6" s="330"/>
      <c r="AKE6" s="330"/>
      <c r="AKF6" s="330"/>
      <c r="AKG6" s="330"/>
      <c r="AKH6" s="330"/>
      <c r="AKI6" s="330"/>
      <c r="AKJ6" s="330"/>
      <c r="AKK6" s="330"/>
      <c r="AKL6" s="330"/>
      <c r="AKM6" s="330"/>
      <c r="AKN6" s="330"/>
      <c r="AKO6" s="330"/>
      <c r="AKP6" s="330"/>
      <c r="AKQ6" s="330"/>
      <c r="AKR6" s="330"/>
      <c r="AKS6" s="330"/>
      <c r="AKT6" s="330"/>
      <c r="AKU6" s="330"/>
      <c r="AKV6" s="330"/>
      <c r="AKW6" s="330"/>
      <c r="AKX6" s="330"/>
      <c r="AKY6" s="330"/>
      <c r="AKZ6" s="330"/>
      <c r="ALA6" s="330"/>
      <c r="ALB6" s="330"/>
      <c r="ALC6" s="330"/>
      <c r="ALD6" s="330"/>
      <c r="ALE6" s="330"/>
      <c r="ALF6" s="330"/>
      <c r="ALG6" s="330"/>
      <c r="ALH6" s="330"/>
      <c r="ALI6" s="330"/>
      <c r="ALJ6" s="330"/>
      <c r="ALK6" s="330"/>
      <c r="ALL6" s="330"/>
      <c r="ALM6" s="330"/>
      <c r="ALN6" s="330"/>
      <c r="ALO6" s="330"/>
      <c r="ALP6" s="330"/>
      <c r="ALQ6" s="330"/>
      <c r="ALR6" s="330"/>
      <c r="ALS6" s="330"/>
      <c r="ALT6" s="330"/>
      <c r="ALU6" s="330"/>
      <c r="ALV6" s="330"/>
      <c r="ALW6" s="330"/>
      <c r="ALX6" s="330"/>
      <c r="ALY6" s="330"/>
      <c r="ALZ6" s="330"/>
      <c r="AMA6" s="330"/>
      <c r="AMB6" s="330"/>
      <c r="AMC6" s="330"/>
      <c r="AMD6" s="330"/>
      <c r="AME6" s="330"/>
      <c r="AMF6" s="330"/>
      <c r="AMG6" s="330"/>
      <c r="AMH6" s="330"/>
      <c r="AMI6" s="330"/>
      <c r="AMJ6" s="330"/>
      <c r="AMK6" s="330"/>
      <c r="AML6" s="330"/>
      <c r="AMM6" s="330"/>
      <c r="AMN6" s="330"/>
      <c r="AMO6" s="330"/>
      <c r="AMP6" s="330"/>
      <c r="AMQ6" s="330"/>
      <c r="AMR6" s="330"/>
      <c r="AMS6" s="330"/>
      <c r="AMT6" s="330"/>
      <c r="AMU6" s="330"/>
      <c r="AMV6" s="330"/>
      <c r="AMW6" s="330"/>
      <c r="AMX6" s="330"/>
      <c r="AMY6" s="330"/>
      <c r="AMZ6" s="330"/>
      <c r="ANA6" s="330"/>
      <c r="ANB6" s="330"/>
      <c r="ANC6" s="330"/>
      <c r="AND6" s="330"/>
      <c r="ANE6" s="330"/>
      <c r="ANF6" s="330"/>
      <c r="ANG6" s="330"/>
      <c r="ANH6" s="330"/>
      <c r="ANI6" s="330"/>
      <c r="ANJ6" s="330"/>
      <c r="ANK6" s="330"/>
      <c r="ANL6" s="330"/>
      <c r="ANM6" s="330"/>
      <c r="ANN6" s="330"/>
      <c r="ANO6" s="330"/>
      <c r="ANP6" s="330"/>
      <c r="ANQ6" s="330"/>
      <c r="ANR6" s="330"/>
      <c r="ANS6" s="330"/>
      <c r="ANT6" s="330"/>
      <c r="ANU6" s="330"/>
      <c r="ANV6" s="330"/>
      <c r="ANW6" s="330"/>
      <c r="ANX6" s="330"/>
      <c r="ANY6" s="330"/>
      <c r="ANZ6" s="330"/>
      <c r="AOA6" s="330"/>
      <c r="AOB6" s="330"/>
      <c r="AOC6" s="330"/>
      <c r="AOD6" s="330"/>
      <c r="AOE6" s="330"/>
      <c r="AOF6" s="330"/>
      <c r="AOG6" s="330"/>
      <c r="AOH6" s="330"/>
      <c r="AOI6" s="330"/>
      <c r="AOJ6" s="330"/>
      <c r="AOK6" s="330"/>
      <c r="AOL6" s="330"/>
      <c r="AOM6" s="330"/>
      <c r="AON6" s="330"/>
      <c r="AOO6" s="330"/>
      <c r="AOP6" s="330"/>
      <c r="AOQ6" s="330"/>
      <c r="AOR6" s="330"/>
      <c r="AOS6" s="330"/>
      <c r="AOT6" s="330"/>
      <c r="AOU6" s="330"/>
      <c r="AOV6" s="330"/>
      <c r="AOW6" s="330"/>
      <c r="AOX6" s="330"/>
      <c r="AOY6" s="330"/>
      <c r="AOZ6" s="330"/>
      <c r="APA6" s="330"/>
      <c r="APB6" s="330"/>
      <c r="APC6" s="330"/>
      <c r="APD6" s="330"/>
      <c r="APE6" s="330"/>
      <c r="APF6" s="330"/>
      <c r="APG6" s="330"/>
      <c r="APH6" s="330"/>
      <c r="API6" s="330"/>
      <c r="APJ6" s="330"/>
      <c r="APK6" s="330"/>
      <c r="APL6" s="330"/>
      <c r="APM6" s="330"/>
      <c r="APN6" s="330"/>
      <c r="APO6" s="330"/>
      <c r="APP6" s="330"/>
      <c r="APQ6" s="330"/>
      <c r="APR6" s="330"/>
      <c r="APS6" s="330"/>
      <c r="APT6" s="330"/>
      <c r="APU6" s="330"/>
      <c r="APV6" s="330"/>
      <c r="APW6" s="330"/>
      <c r="APX6" s="330"/>
      <c r="APY6" s="330"/>
      <c r="APZ6" s="330"/>
      <c r="AQA6" s="330"/>
      <c r="AQB6" s="330"/>
      <c r="AQC6" s="330"/>
      <c r="AQD6" s="330"/>
      <c r="AQE6" s="330"/>
      <c r="AQF6" s="330"/>
      <c r="AQG6" s="330"/>
      <c r="AQH6" s="330"/>
      <c r="AQI6" s="330"/>
      <c r="AQJ6" s="330"/>
      <c r="AQK6" s="330"/>
      <c r="AQL6" s="330"/>
      <c r="AQM6" s="330"/>
      <c r="AQN6" s="330"/>
      <c r="AQO6" s="330"/>
      <c r="AQP6" s="330"/>
      <c r="AQQ6" s="330"/>
      <c r="AQR6" s="330"/>
      <c r="AQS6" s="330"/>
      <c r="AQT6" s="330"/>
      <c r="AQU6" s="330"/>
      <c r="AQV6" s="330"/>
      <c r="AQW6" s="330"/>
      <c r="AQX6" s="330"/>
      <c r="AQY6" s="330"/>
      <c r="AQZ6" s="330"/>
      <c r="ARA6" s="330"/>
      <c r="ARB6" s="330"/>
      <c r="ARC6" s="330"/>
      <c r="ARD6" s="330"/>
      <c r="ARE6" s="330"/>
      <c r="ARF6" s="330"/>
      <c r="ARG6" s="330"/>
      <c r="ARH6" s="330"/>
      <c r="ARI6" s="330"/>
      <c r="ARJ6" s="330"/>
      <c r="ARK6" s="330"/>
      <c r="ARL6" s="330"/>
      <c r="ARM6" s="330"/>
      <c r="ARN6" s="330"/>
      <c r="ARO6" s="330"/>
      <c r="ARP6" s="330"/>
      <c r="ARQ6" s="330"/>
      <c r="ARR6" s="330"/>
      <c r="ARS6" s="330"/>
      <c r="ART6" s="330"/>
      <c r="ARU6" s="330"/>
      <c r="ARV6" s="330"/>
      <c r="ARW6" s="330"/>
      <c r="ARX6" s="330"/>
      <c r="ARY6" s="330"/>
      <c r="ARZ6" s="330"/>
      <c r="ASA6" s="330"/>
      <c r="ASB6" s="330"/>
      <c r="ASC6" s="330"/>
      <c r="ASD6" s="330"/>
      <c r="ASE6" s="330"/>
      <c r="ASF6" s="330"/>
      <c r="ASG6" s="330"/>
      <c r="ASH6" s="330"/>
      <c r="ASI6" s="330"/>
      <c r="ASJ6" s="330"/>
      <c r="ASK6" s="330"/>
      <c r="ASL6" s="330"/>
      <c r="ASM6" s="330"/>
      <c r="ASN6" s="330"/>
      <c r="ASO6" s="330"/>
      <c r="ASP6" s="330"/>
      <c r="ASQ6" s="330"/>
      <c r="ASR6" s="330"/>
      <c r="ASS6" s="330"/>
      <c r="AST6" s="330"/>
      <c r="ASU6" s="330"/>
      <c r="ASV6" s="330"/>
      <c r="ASW6" s="330"/>
      <c r="ASX6" s="330"/>
      <c r="ASY6" s="330"/>
      <c r="ASZ6" s="330"/>
      <c r="ATA6" s="330"/>
      <c r="ATB6" s="330"/>
      <c r="ATC6" s="330"/>
      <c r="ATD6" s="330"/>
      <c r="ATE6" s="330"/>
      <c r="ATF6" s="330"/>
      <c r="ATG6" s="330"/>
      <c r="ATH6" s="330"/>
      <c r="ATI6" s="330"/>
      <c r="ATJ6" s="330"/>
      <c r="ATK6" s="330"/>
      <c r="ATL6" s="330"/>
      <c r="ATM6" s="330"/>
      <c r="ATN6" s="330"/>
      <c r="ATO6" s="330"/>
      <c r="ATP6" s="330"/>
      <c r="ATQ6" s="330"/>
      <c r="ATR6" s="330"/>
      <c r="ATS6" s="330"/>
      <c r="ATT6" s="330"/>
      <c r="ATU6" s="330"/>
      <c r="ATV6" s="330"/>
      <c r="ATW6" s="330"/>
      <c r="ATX6" s="330"/>
      <c r="ATY6" s="330"/>
      <c r="ATZ6" s="330"/>
      <c r="AUA6" s="330"/>
      <c r="AUB6" s="330"/>
      <c r="AUC6" s="330"/>
      <c r="AUD6" s="330"/>
      <c r="AUE6" s="330"/>
      <c r="AUF6" s="330"/>
      <c r="AUG6" s="330"/>
      <c r="AUH6" s="330"/>
      <c r="AUI6" s="330"/>
      <c r="AUJ6" s="330"/>
      <c r="AUK6" s="330"/>
      <c r="AUL6" s="330"/>
      <c r="AUM6" s="330"/>
      <c r="AUN6" s="330"/>
      <c r="AUO6" s="330"/>
      <c r="AUP6" s="330"/>
      <c r="AUQ6" s="330"/>
      <c r="AUR6" s="330"/>
      <c r="AUS6" s="330"/>
      <c r="AUT6" s="330"/>
      <c r="AUU6" s="330"/>
      <c r="AUV6" s="330"/>
      <c r="AUW6" s="330"/>
      <c r="AUX6" s="330"/>
      <c r="AUY6" s="330"/>
      <c r="AUZ6" s="330"/>
      <c r="AVA6" s="330"/>
      <c r="AVB6" s="330"/>
      <c r="AVC6" s="330"/>
      <c r="AVD6" s="330"/>
      <c r="AVE6" s="330"/>
      <c r="AVF6" s="330"/>
      <c r="AVG6" s="330"/>
      <c r="AVH6" s="330"/>
      <c r="AVI6" s="330"/>
      <c r="AVJ6" s="330"/>
      <c r="AVK6" s="330"/>
      <c r="AVL6" s="330"/>
      <c r="AVM6" s="330"/>
      <c r="AVN6" s="330"/>
      <c r="AVO6" s="330"/>
      <c r="AVP6" s="330"/>
      <c r="AVQ6" s="330"/>
      <c r="AVR6" s="330"/>
      <c r="AVS6" s="330"/>
      <c r="AVT6" s="330"/>
      <c r="AVU6" s="330"/>
      <c r="AVV6" s="330"/>
      <c r="AVW6" s="330"/>
      <c r="AVX6" s="330"/>
      <c r="AVY6" s="330"/>
      <c r="AVZ6" s="330"/>
      <c r="AWA6" s="330"/>
      <c r="AWB6" s="330"/>
      <c r="AWC6" s="330"/>
      <c r="AWD6" s="330"/>
      <c r="AWE6" s="330"/>
      <c r="AWF6" s="330"/>
      <c r="AWG6" s="330"/>
      <c r="AWH6" s="330"/>
      <c r="AWI6" s="330"/>
      <c r="AWJ6" s="330"/>
      <c r="AWK6" s="330"/>
      <c r="AWL6" s="330"/>
      <c r="AWM6" s="330"/>
      <c r="AWN6" s="330"/>
      <c r="AWO6" s="330"/>
      <c r="AWP6" s="330"/>
      <c r="AWQ6" s="330"/>
      <c r="AWR6" s="330"/>
      <c r="AWS6" s="330"/>
      <c r="AWT6" s="330"/>
      <c r="AWU6" s="330"/>
      <c r="AWV6" s="330"/>
      <c r="AWW6" s="330"/>
      <c r="AWX6" s="330"/>
      <c r="AWY6" s="330"/>
      <c r="AWZ6" s="330"/>
      <c r="AXA6" s="330"/>
      <c r="AXB6" s="330"/>
      <c r="AXC6" s="330"/>
      <c r="AXD6" s="330"/>
      <c r="AXE6" s="330"/>
      <c r="AXF6" s="330"/>
      <c r="AXG6" s="330"/>
      <c r="AXH6" s="330"/>
      <c r="AXI6" s="330"/>
      <c r="AXJ6" s="330"/>
      <c r="AXK6" s="330"/>
      <c r="AXL6" s="330"/>
      <c r="AXM6" s="330"/>
      <c r="AXN6" s="330"/>
      <c r="AXO6" s="330"/>
      <c r="AXP6" s="330"/>
      <c r="AXQ6" s="330"/>
      <c r="AXR6" s="330"/>
      <c r="AXS6" s="330"/>
      <c r="AXT6" s="330"/>
      <c r="AXU6" s="330"/>
      <c r="AXV6" s="330"/>
      <c r="AXW6" s="330"/>
      <c r="AXX6" s="330"/>
      <c r="AXY6" s="330"/>
      <c r="AXZ6" s="330"/>
      <c r="AYA6" s="330"/>
      <c r="AYB6" s="330"/>
      <c r="AYC6" s="330"/>
      <c r="AYD6" s="330"/>
      <c r="AYE6" s="330"/>
      <c r="AYF6" s="330"/>
      <c r="AYG6" s="330"/>
      <c r="AYH6" s="330"/>
      <c r="AYI6" s="330"/>
      <c r="AYJ6" s="330"/>
      <c r="AYK6" s="330"/>
      <c r="AYL6" s="330"/>
      <c r="AYM6" s="330"/>
      <c r="AYN6" s="330"/>
      <c r="AYO6" s="330"/>
      <c r="AYP6" s="330"/>
      <c r="AYQ6" s="330"/>
      <c r="AYR6" s="330"/>
      <c r="AYS6" s="330"/>
      <c r="AYT6" s="330"/>
      <c r="AYU6" s="330"/>
      <c r="AYV6" s="330"/>
      <c r="AYW6" s="330"/>
      <c r="AYX6" s="330"/>
      <c r="AYY6" s="330"/>
      <c r="AYZ6" s="330"/>
      <c r="AZA6" s="330"/>
      <c r="AZB6" s="330"/>
      <c r="AZC6" s="330"/>
      <c r="AZD6" s="330"/>
      <c r="AZE6" s="330"/>
      <c r="AZF6" s="330"/>
      <c r="AZG6" s="330"/>
      <c r="AZH6" s="330"/>
      <c r="AZI6" s="330"/>
      <c r="AZJ6" s="330"/>
      <c r="AZK6" s="330"/>
      <c r="AZL6" s="330"/>
      <c r="AZM6" s="330"/>
      <c r="AZN6" s="330"/>
      <c r="AZO6" s="330"/>
      <c r="AZP6" s="330"/>
      <c r="AZQ6" s="330"/>
      <c r="AZR6" s="330"/>
      <c r="AZS6" s="330"/>
      <c r="AZT6" s="330"/>
      <c r="AZU6" s="330"/>
      <c r="AZV6" s="330"/>
      <c r="AZW6" s="330"/>
      <c r="AZX6" s="330"/>
      <c r="AZY6" s="330"/>
      <c r="AZZ6" s="330"/>
      <c r="BAA6" s="330"/>
      <c r="BAB6" s="330"/>
      <c r="BAC6" s="330"/>
      <c r="BAD6" s="330"/>
      <c r="BAE6" s="330"/>
      <c r="BAF6" s="330"/>
      <c r="BAG6" s="330"/>
      <c r="BAH6" s="330"/>
      <c r="BAI6" s="330"/>
      <c r="BAJ6" s="330"/>
      <c r="BAK6" s="330"/>
      <c r="BAL6" s="330"/>
      <c r="BAM6" s="330"/>
      <c r="BAN6" s="330"/>
      <c r="BAO6" s="330"/>
      <c r="BAP6" s="330"/>
      <c r="BAQ6" s="330"/>
      <c r="BAR6" s="330"/>
      <c r="BAS6" s="330"/>
      <c r="BAT6" s="330"/>
      <c r="BAU6" s="330"/>
      <c r="BAV6" s="330"/>
      <c r="BAW6" s="330"/>
      <c r="BAX6" s="330"/>
      <c r="BAY6" s="330"/>
      <c r="BAZ6" s="330"/>
      <c r="BBA6" s="330"/>
      <c r="BBB6" s="330"/>
      <c r="BBC6" s="330"/>
      <c r="BBD6" s="330"/>
      <c r="BBE6" s="330"/>
      <c r="BBF6" s="330"/>
      <c r="BBG6" s="330"/>
      <c r="BBH6" s="330"/>
      <c r="BBI6" s="330"/>
      <c r="BBJ6" s="330"/>
      <c r="BBK6" s="330"/>
      <c r="BBL6" s="330"/>
      <c r="BBM6" s="330"/>
      <c r="BBN6" s="330"/>
      <c r="BBO6" s="330"/>
      <c r="BBP6" s="330"/>
      <c r="BBQ6" s="330"/>
      <c r="BBR6" s="330"/>
      <c r="BBS6" s="330"/>
      <c r="BBT6" s="330"/>
      <c r="BBU6" s="330"/>
      <c r="BBV6" s="330"/>
      <c r="BBW6" s="330"/>
      <c r="BBX6" s="330"/>
      <c r="BBY6" s="330"/>
      <c r="BBZ6" s="330"/>
      <c r="BCA6" s="330"/>
      <c r="BCB6" s="330"/>
      <c r="BCC6" s="330"/>
      <c r="BCD6" s="330"/>
      <c r="BCE6" s="330"/>
      <c r="BCF6" s="330"/>
      <c r="BCG6" s="330"/>
      <c r="BCH6" s="330"/>
      <c r="BCI6" s="330"/>
      <c r="BCJ6" s="330"/>
      <c r="BCK6" s="330"/>
      <c r="BCL6" s="330"/>
      <c r="BCM6" s="330"/>
      <c r="BCN6" s="330"/>
      <c r="BCO6" s="330"/>
      <c r="BCP6" s="330"/>
      <c r="BCQ6" s="330"/>
      <c r="BCR6" s="330"/>
      <c r="BCS6" s="330"/>
      <c r="BCT6" s="330"/>
      <c r="BCU6" s="330"/>
      <c r="BCV6" s="330"/>
      <c r="BCW6" s="330"/>
      <c r="BCX6" s="330"/>
      <c r="BCY6" s="330"/>
      <c r="BCZ6" s="330"/>
      <c r="BDA6" s="330"/>
      <c r="BDB6" s="330"/>
      <c r="BDC6" s="330"/>
      <c r="BDD6" s="330"/>
      <c r="BDE6" s="330"/>
      <c r="BDF6" s="330"/>
      <c r="BDG6" s="330"/>
      <c r="BDH6" s="330"/>
      <c r="BDI6" s="330"/>
      <c r="BDJ6" s="330"/>
      <c r="BDK6" s="330"/>
      <c r="BDL6" s="330"/>
      <c r="BDM6" s="330"/>
      <c r="BDN6" s="330"/>
      <c r="BDO6" s="330"/>
      <c r="BDP6" s="330"/>
      <c r="BDQ6" s="330"/>
      <c r="BDR6" s="330"/>
      <c r="BDS6" s="330"/>
      <c r="BDT6" s="330"/>
      <c r="BDU6" s="330"/>
      <c r="BDV6" s="330"/>
      <c r="BDW6" s="330"/>
      <c r="BDX6" s="330"/>
      <c r="BDY6" s="330"/>
      <c r="BDZ6" s="330"/>
      <c r="BEA6" s="330"/>
      <c r="BEB6" s="330"/>
      <c r="BEC6" s="330"/>
      <c r="BED6" s="330"/>
      <c r="BEE6" s="330"/>
      <c r="BEF6" s="330"/>
      <c r="BEG6" s="330"/>
      <c r="BEH6" s="330"/>
      <c r="BEI6" s="330"/>
      <c r="BEJ6" s="330"/>
      <c r="BEK6" s="330"/>
      <c r="BEL6" s="330"/>
      <c r="BEM6" s="330"/>
      <c r="BEN6" s="330"/>
      <c r="BEO6" s="330"/>
      <c r="BEP6" s="330"/>
      <c r="BEQ6" s="330"/>
      <c r="BER6" s="330"/>
      <c r="BES6" s="330"/>
      <c r="BET6" s="330"/>
      <c r="BEU6" s="330"/>
      <c r="BEV6" s="330"/>
      <c r="BEW6" s="330"/>
      <c r="BEX6" s="330"/>
      <c r="BEY6" s="330"/>
      <c r="BEZ6" s="330"/>
      <c r="BFA6" s="330"/>
      <c r="BFB6" s="330"/>
      <c r="BFC6" s="330"/>
      <c r="BFD6" s="330"/>
      <c r="BFE6" s="330"/>
      <c r="BFF6" s="330"/>
      <c r="BFG6" s="330"/>
      <c r="BFH6" s="330"/>
      <c r="BFI6" s="330"/>
      <c r="BFJ6" s="330"/>
      <c r="BFK6" s="330"/>
      <c r="BFL6" s="330"/>
      <c r="BFM6" s="330"/>
      <c r="BFN6" s="330"/>
      <c r="BFO6" s="330"/>
      <c r="BFP6" s="330"/>
      <c r="BFQ6" s="330"/>
      <c r="BFR6" s="330"/>
      <c r="BFS6" s="330"/>
      <c r="BFT6" s="330"/>
      <c r="BFU6" s="330"/>
      <c r="BFV6" s="330"/>
      <c r="BFW6" s="330"/>
      <c r="BFX6" s="330"/>
      <c r="BFY6" s="330"/>
      <c r="BFZ6" s="330"/>
      <c r="BGA6" s="330"/>
      <c r="BGB6" s="330"/>
      <c r="BGC6" s="330"/>
      <c r="BGD6" s="330"/>
      <c r="BGE6" s="330"/>
      <c r="BGF6" s="330"/>
      <c r="BGG6" s="330"/>
      <c r="BGH6" s="330"/>
      <c r="BGI6" s="330"/>
      <c r="BGJ6" s="330"/>
      <c r="BGK6" s="330"/>
      <c r="BGL6" s="330"/>
      <c r="BGM6" s="330"/>
      <c r="BGN6" s="330"/>
      <c r="BGO6" s="330"/>
      <c r="BGP6" s="330"/>
      <c r="BGQ6" s="330"/>
      <c r="BGR6" s="330"/>
      <c r="BGS6" s="330"/>
      <c r="BGT6" s="330"/>
      <c r="BGU6" s="330"/>
      <c r="BGV6" s="330"/>
      <c r="BGW6" s="330"/>
      <c r="BGX6" s="330"/>
      <c r="BGY6" s="330"/>
      <c r="BGZ6" s="330"/>
      <c r="BHA6" s="330"/>
      <c r="BHB6" s="330"/>
      <c r="BHC6" s="330"/>
      <c r="BHD6" s="330"/>
      <c r="BHE6" s="330"/>
      <c r="BHF6" s="330"/>
      <c r="BHG6" s="330"/>
      <c r="BHH6" s="330"/>
      <c r="BHI6" s="330"/>
      <c r="BHJ6" s="330"/>
      <c r="BHK6" s="330"/>
      <c r="BHL6" s="330"/>
      <c r="BHM6" s="330"/>
      <c r="BHN6" s="330"/>
      <c r="BHO6" s="330"/>
      <c r="BHP6" s="330"/>
      <c r="BHQ6" s="330"/>
      <c r="BHR6" s="330"/>
      <c r="BHS6" s="330"/>
      <c r="BHT6" s="330"/>
      <c r="BHU6" s="330"/>
      <c r="BHV6" s="330"/>
      <c r="BHW6" s="330"/>
      <c r="BHX6" s="330"/>
      <c r="BHY6" s="330"/>
      <c r="BHZ6" s="330"/>
      <c r="BIA6" s="330"/>
      <c r="BIB6" s="330"/>
      <c r="BIC6" s="330"/>
      <c r="BID6" s="330"/>
      <c r="BIE6" s="330"/>
      <c r="BIF6" s="330"/>
      <c r="BIG6" s="330"/>
      <c r="BIH6" s="330"/>
      <c r="BII6" s="330"/>
      <c r="BIJ6" s="330"/>
      <c r="BIK6" s="330"/>
      <c r="BIL6" s="330"/>
      <c r="BIM6" s="330"/>
      <c r="BIN6" s="330"/>
      <c r="BIO6" s="330"/>
      <c r="BIP6" s="330"/>
      <c r="BIQ6" s="330"/>
      <c r="BIR6" s="330"/>
      <c r="BIS6" s="330"/>
      <c r="BIT6" s="330"/>
      <c r="BIU6" s="330"/>
      <c r="BIV6" s="330"/>
      <c r="BIW6" s="330"/>
      <c r="BIX6" s="330"/>
      <c r="BIY6" s="330"/>
      <c r="BIZ6" s="330"/>
      <c r="BJA6" s="330"/>
      <c r="BJB6" s="330"/>
      <c r="BJC6" s="330"/>
      <c r="BJD6" s="330"/>
      <c r="BJE6" s="330"/>
      <c r="BJF6" s="330"/>
      <c r="BJG6" s="330"/>
      <c r="BJH6" s="330"/>
      <c r="BJI6" s="330"/>
      <c r="BJJ6" s="330"/>
      <c r="BJK6" s="330"/>
      <c r="BJL6" s="330"/>
      <c r="BJM6" s="330"/>
      <c r="BJN6" s="330"/>
      <c r="BJO6" s="330"/>
      <c r="BJP6" s="330"/>
      <c r="BJQ6" s="330"/>
      <c r="BJR6" s="330"/>
      <c r="BJS6" s="330"/>
      <c r="BJT6" s="330"/>
      <c r="BJU6" s="330"/>
      <c r="BJV6" s="330"/>
      <c r="BJW6" s="330"/>
      <c r="BJX6" s="330"/>
      <c r="BJY6" s="330"/>
      <c r="BJZ6" s="330"/>
      <c r="BKA6" s="330"/>
      <c r="BKB6" s="330"/>
      <c r="BKC6" s="330"/>
      <c r="BKD6" s="330"/>
      <c r="BKE6" s="330"/>
      <c r="BKF6" s="330"/>
      <c r="BKG6" s="330"/>
      <c r="BKH6" s="330"/>
      <c r="BKI6" s="330"/>
      <c r="BKJ6" s="330"/>
      <c r="BKK6" s="330"/>
      <c r="BKL6" s="330"/>
      <c r="BKM6" s="330"/>
      <c r="BKN6" s="330"/>
      <c r="BKO6" s="330"/>
      <c r="BKP6" s="330"/>
      <c r="BKQ6" s="330"/>
      <c r="BKR6" s="330"/>
      <c r="BKS6" s="330"/>
      <c r="BKT6" s="330"/>
      <c r="BKU6" s="330"/>
      <c r="BKV6" s="330"/>
      <c r="BKW6" s="330"/>
      <c r="BKX6" s="330"/>
      <c r="BKY6" s="330"/>
      <c r="BKZ6" s="330"/>
      <c r="BLA6" s="330"/>
      <c r="BLB6" s="330"/>
      <c r="BLC6" s="330"/>
      <c r="BLD6" s="330"/>
      <c r="BLE6" s="330"/>
      <c r="BLF6" s="330"/>
      <c r="BLG6" s="330"/>
      <c r="BLH6" s="330"/>
      <c r="BLI6" s="330"/>
      <c r="BLJ6" s="330"/>
      <c r="BLK6" s="330"/>
      <c r="BLL6" s="330"/>
      <c r="BLM6" s="330"/>
      <c r="BLN6" s="330"/>
      <c r="BLO6" s="330"/>
      <c r="BLP6" s="330"/>
      <c r="BLQ6" s="330"/>
      <c r="BLR6" s="330"/>
      <c r="BLS6" s="330"/>
      <c r="BLT6" s="330"/>
      <c r="BLU6" s="330"/>
      <c r="BLV6" s="330"/>
      <c r="BLW6" s="330"/>
      <c r="BLX6" s="330"/>
      <c r="BLY6" s="330"/>
      <c r="BLZ6" s="330"/>
      <c r="BMA6" s="330"/>
      <c r="BMB6" s="330"/>
      <c r="BMC6" s="330"/>
      <c r="BMD6" s="330"/>
      <c r="BME6" s="330"/>
      <c r="BMF6" s="330"/>
      <c r="BMG6" s="330"/>
      <c r="BMH6" s="330"/>
      <c r="BMI6" s="330"/>
      <c r="BMJ6" s="330"/>
      <c r="BMK6" s="330"/>
      <c r="BML6" s="330"/>
      <c r="BMM6" s="330"/>
      <c r="BMN6" s="330"/>
      <c r="BMO6" s="330"/>
      <c r="BMP6" s="330"/>
      <c r="BMQ6" s="330"/>
      <c r="BMR6" s="330"/>
      <c r="BMS6" s="330"/>
      <c r="BMT6" s="330"/>
      <c r="BMU6" s="330"/>
      <c r="BMV6" s="330"/>
      <c r="BMW6" s="330"/>
      <c r="BMX6" s="330"/>
      <c r="BMY6" s="330"/>
      <c r="BMZ6" s="330"/>
      <c r="BNA6" s="330"/>
      <c r="BNB6" s="330"/>
      <c r="BNC6" s="330"/>
      <c r="BND6" s="330"/>
      <c r="BNE6" s="330"/>
      <c r="BNF6" s="330"/>
      <c r="BNG6" s="330"/>
      <c r="BNH6" s="330"/>
      <c r="BNI6" s="330"/>
      <c r="BNJ6" s="330"/>
      <c r="BNK6" s="330"/>
      <c r="BNL6" s="330"/>
      <c r="BNM6" s="330"/>
      <c r="BNN6" s="330"/>
      <c r="BNO6" s="330"/>
      <c r="BNP6" s="330"/>
      <c r="BNQ6" s="330"/>
      <c r="BNR6" s="330"/>
      <c r="BNS6" s="330"/>
      <c r="BNT6" s="330"/>
      <c r="BNU6" s="330"/>
      <c r="BNV6" s="330"/>
      <c r="BNW6" s="330"/>
      <c r="BNX6" s="330"/>
      <c r="BNY6" s="330"/>
      <c r="BNZ6" s="330"/>
      <c r="BOA6" s="330"/>
      <c r="BOB6" s="330"/>
      <c r="BOC6" s="330"/>
      <c r="BOD6" s="330"/>
      <c r="BOE6" s="330"/>
      <c r="BOF6" s="330"/>
      <c r="BOG6" s="330"/>
      <c r="BOH6" s="330"/>
      <c r="BOI6" s="330"/>
      <c r="BOJ6" s="330"/>
      <c r="BOK6" s="330"/>
      <c r="BOL6" s="330"/>
      <c r="BOM6" s="330"/>
      <c r="BON6" s="330"/>
      <c r="BOO6" s="330"/>
      <c r="BOP6" s="330"/>
      <c r="BOQ6" s="330"/>
      <c r="BOR6" s="330"/>
      <c r="BOS6" s="330"/>
      <c r="BOT6" s="330"/>
      <c r="BOU6" s="330"/>
      <c r="BOV6" s="330"/>
      <c r="BOW6" s="330"/>
      <c r="BOX6" s="330"/>
      <c r="BOY6" s="330"/>
      <c r="BOZ6" s="330"/>
      <c r="BPA6" s="330"/>
      <c r="BPB6" s="330"/>
      <c r="BPC6" s="330"/>
      <c r="BPD6" s="330"/>
      <c r="BPE6" s="330"/>
      <c r="BPF6" s="330"/>
      <c r="BPG6" s="330"/>
      <c r="BPH6" s="330"/>
      <c r="BPI6" s="330"/>
      <c r="BPJ6" s="330"/>
      <c r="BPK6" s="330"/>
      <c r="BPL6" s="330"/>
      <c r="BPM6" s="330"/>
      <c r="BPN6" s="330"/>
      <c r="BPO6" s="330"/>
      <c r="BPP6" s="330"/>
      <c r="BPQ6" s="330"/>
      <c r="BPR6" s="330"/>
      <c r="BPS6" s="330"/>
      <c r="BPT6" s="330"/>
      <c r="BPU6" s="330"/>
      <c r="BPV6" s="330"/>
      <c r="BPW6" s="330"/>
      <c r="BPX6" s="330"/>
      <c r="BPY6" s="330"/>
      <c r="BPZ6" s="330"/>
      <c r="BQA6" s="330"/>
      <c r="BQB6" s="330"/>
      <c r="BQC6" s="330"/>
      <c r="BQD6" s="330"/>
      <c r="BQE6" s="330"/>
      <c r="BQF6" s="330"/>
      <c r="BQG6" s="330"/>
      <c r="BQH6" s="330"/>
      <c r="BQI6" s="330"/>
      <c r="BQJ6" s="330"/>
      <c r="BQK6" s="330"/>
      <c r="BQL6" s="330"/>
      <c r="BQM6" s="330"/>
      <c r="BQN6" s="330"/>
      <c r="BQO6" s="330"/>
      <c r="BQP6" s="330"/>
      <c r="BQQ6" s="330"/>
      <c r="BQR6" s="330"/>
      <c r="BQS6" s="330"/>
      <c r="BQT6" s="330"/>
      <c r="BQU6" s="330"/>
      <c r="BQV6" s="330"/>
      <c r="BQW6" s="330"/>
      <c r="BQX6" s="330"/>
      <c r="BQY6" s="330"/>
      <c r="BQZ6" s="330"/>
      <c r="BRA6" s="330"/>
      <c r="BRB6" s="330"/>
      <c r="BRC6" s="330"/>
      <c r="BRD6" s="330"/>
      <c r="BRE6" s="330"/>
      <c r="BRF6" s="330"/>
      <c r="BRG6" s="330"/>
      <c r="BRH6" s="330"/>
      <c r="BRI6" s="330"/>
      <c r="BRJ6" s="330"/>
      <c r="BRK6" s="330"/>
      <c r="BRL6" s="330"/>
      <c r="BRM6" s="330"/>
      <c r="BRN6" s="330"/>
      <c r="BRO6" s="330"/>
      <c r="BRP6" s="330"/>
      <c r="BRQ6" s="330"/>
      <c r="BRR6" s="330"/>
      <c r="BRS6" s="330"/>
      <c r="BRT6" s="330"/>
      <c r="BRU6" s="330"/>
      <c r="BRV6" s="330"/>
      <c r="BRW6" s="330"/>
      <c r="BRX6" s="330"/>
      <c r="BRY6" s="330"/>
      <c r="BRZ6" s="330"/>
      <c r="BSA6" s="330"/>
      <c r="BSB6" s="330"/>
      <c r="BSC6" s="330"/>
      <c r="BSD6" s="330"/>
      <c r="BSE6" s="330"/>
      <c r="BSF6" s="330"/>
      <c r="BSG6" s="330"/>
      <c r="BSH6" s="330"/>
      <c r="BSI6" s="330"/>
      <c r="BSJ6" s="330"/>
      <c r="BSK6" s="330"/>
      <c r="BSL6" s="330"/>
      <c r="BSM6" s="330"/>
      <c r="BSN6" s="330"/>
      <c r="BSO6" s="330"/>
      <c r="BSP6" s="330"/>
      <c r="BSQ6" s="330"/>
      <c r="BSR6" s="330"/>
      <c r="BSS6" s="330"/>
      <c r="BST6" s="330"/>
      <c r="BSU6" s="330"/>
      <c r="BSV6" s="330"/>
      <c r="BSW6" s="330"/>
      <c r="BSX6" s="330"/>
      <c r="BSY6" s="330"/>
      <c r="BSZ6" s="330"/>
      <c r="BTA6" s="330"/>
      <c r="BTB6" s="330"/>
      <c r="BTC6" s="330"/>
      <c r="BTD6" s="330"/>
      <c r="BTE6" s="330"/>
      <c r="BTF6" s="330"/>
      <c r="BTG6" s="330"/>
      <c r="BTH6" s="330"/>
      <c r="BTI6" s="330"/>
      <c r="BTJ6" s="330"/>
      <c r="BTK6" s="330"/>
      <c r="BTL6" s="330"/>
      <c r="BTM6" s="330"/>
      <c r="BTN6" s="330"/>
      <c r="BTO6" s="330"/>
      <c r="BTP6" s="330"/>
      <c r="BTQ6" s="330"/>
      <c r="BTR6" s="330"/>
      <c r="BTS6" s="330"/>
      <c r="BTT6" s="330"/>
      <c r="BTU6" s="330"/>
      <c r="BTV6" s="330"/>
      <c r="BTW6" s="330"/>
      <c r="BTX6" s="330"/>
      <c r="BTY6" s="330"/>
      <c r="BTZ6" s="330"/>
      <c r="BUA6" s="330"/>
      <c r="BUB6" s="330"/>
      <c r="BUC6" s="330"/>
      <c r="BUD6" s="330"/>
      <c r="BUE6" s="330"/>
      <c r="BUF6" s="330"/>
      <c r="BUG6" s="330"/>
      <c r="BUH6" s="330"/>
      <c r="BUI6" s="330"/>
      <c r="BUJ6" s="330"/>
      <c r="BUK6" s="330"/>
      <c r="BUL6" s="330"/>
      <c r="BUM6" s="330"/>
      <c r="BUN6" s="330"/>
      <c r="BUO6" s="330"/>
      <c r="BUP6" s="330"/>
      <c r="BUQ6" s="330"/>
      <c r="BUR6" s="330"/>
      <c r="BUS6" s="330"/>
      <c r="BUT6" s="330"/>
      <c r="BUU6" s="330"/>
      <c r="BUV6" s="330"/>
      <c r="BUW6" s="330"/>
      <c r="BUX6" s="330"/>
      <c r="BUY6" s="330"/>
      <c r="BUZ6" s="330"/>
      <c r="BVA6" s="330"/>
      <c r="BVB6" s="330"/>
      <c r="BVC6" s="330"/>
      <c r="BVD6" s="330"/>
      <c r="BVE6" s="330"/>
      <c r="BVF6" s="330"/>
      <c r="BVG6" s="330"/>
      <c r="BVH6" s="330"/>
      <c r="BVI6" s="330"/>
      <c r="BVJ6" s="330"/>
      <c r="BVK6" s="330"/>
      <c r="BVL6" s="330"/>
      <c r="BVM6" s="330"/>
      <c r="BVN6" s="330"/>
      <c r="BVO6" s="330"/>
      <c r="BVP6" s="330"/>
      <c r="BVQ6" s="330"/>
      <c r="BVR6" s="330"/>
      <c r="BVS6" s="330"/>
      <c r="BVT6" s="330"/>
      <c r="BVU6" s="330"/>
      <c r="BVV6" s="330"/>
      <c r="BVW6" s="330"/>
      <c r="BVX6" s="330"/>
      <c r="BVY6" s="330"/>
      <c r="BVZ6" s="330"/>
      <c r="BWA6" s="330"/>
      <c r="BWB6" s="330"/>
      <c r="BWC6" s="330"/>
      <c r="BWD6" s="330"/>
      <c r="BWE6" s="330"/>
      <c r="BWF6" s="330"/>
      <c r="BWG6" s="330"/>
      <c r="BWH6" s="330"/>
      <c r="BWI6" s="330"/>
      <c r="BWJ6" s="330"/>
      <c r="BWK6" s="330"/>
      <c r="BWL6" s="330"/>
      <c r="BWM6" s="330"/>
      <c r="BWN6" s="330"/>
      <c r="BWO6" s="330"/>
      <c r="BWP6" s="330"/>
      <c r="BWQ6" s="330"/>
      <c r="BWR6" s="330"/>
      <c r="BWS6" s="330"/>
      <c r="BWT6" s="330"/>
      <c r="BWU6" s="330"/>
      <c r="BWV6" s="330"/>
      <c r="BWW6" s="330"/>
      <c r="BWX6" s="330"/>
      <c r="BWY6" s="330"/>
      <c r="BWZ6" s="330"/>
      <c r="BXA6" s="330"/>
      <c r="BXB6" s="330"/>
      <c r="BXC6" s="330"/>
      <c r="BXD6" s="330"/>
      <c r="BXE6" s="330"/>
      <c r="BXF6" s="330"/>
      <c r="BXG6" s="330"/>
      <c r="BXH6" s="330"/>
      <c r="BXI6" s="330"/>
      <c r="BXJ6" s="330"/>
      <c r="BXK6" s="330"/>
      <c r="BXL6" s="330"/>
      <c r="BXM6" s="330"/>
      <c r="BXN6" s="330"/>
      <c r="BXO6" s="330"/>
      <c r="BXP6" s="330"/>
      <c r="BXQ6" s="330"/>
      <c r="BXR6" s="330"/>
      <c r="BXS6" s="330"/>
      <c r="BXT6" s="330"/>
      <c r="BXU6" s="330"/>
      <c r="BXV6" s="330"/>
      <c r="BXW6" s="330"/>
      <c r="BXX6" s="330"/>
      <c r="BXY6" s="330"/>
      <c r="BXZ6" s="330"/>
      <c r="BYA6" s="330"/>
      <c r="BYB6" s="330"/>
      <c r="BYC6" s="330"/>
      <c r="BYD6" s="330"/>
      <c r="BYE6" s="330"/>
      <c r="BYF6" s="330"/>
      <c r="BYG6" s="330"/>
    </row>
    <row r="7" spans="1:2009" s="96" customFormat="1" ht="24.95" customHeight="1" x14ac:dyDescent="0.25">
      <c r="A7" s="129"/>
      <c r="B7" s="124" t="s">
        <v>495</v>
      </c>
      <c r="C7" s="162">
        <v>16562.57</v>
      </c>
      <c r="D7" s="162"/>
      <c r="E7" s="162"/>
      <c r="F7" s="163"/>
      <c r="G7" s="641">
        <f>ROUND(SUM(C7:F7),5)</f>
        <v>16562.57</v>
      </c>
      <c r="H7" s="93"/>
      <c r="I7" s="555"/>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8" customFormat="1" ht="24.95" customHeight="1" thickBot="1" x14ac:dyDescent="0.3">
      <c r="A8" s="193"/>
      <c r="B8" s="194" t="s">
        <v>158</v>
      </c>
      <c r="C8" s="195">
        <f>SUM(C5:C7)</f>
        <v>16562.57</v>
      </c>
      <c r="D8" s="195">
        <f>SUM(D5:D7)</f>
        <v>0</v>
      </c>
      <c r="E8" s="195">
        <f>SUM(E5:E7)</f>
        <v>7777.6</v>
      </c>
      <c r="F8" s="195">
        <f>SUM(F5:F7)</f>
        <v>14893.909999999998</v>
      </c>
      <c r="G8" s="642">
        <f>ROUND(SUM(G3:G7),5)</f>
        <v>39234.080000000002</v>
      </c>
      <c r="H8" s="196"/>
      <c r="I8" s="555"/>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c r="IW8" s="197"/>
      <c r="IX8" s="197"/>
      <c r="IY8" s="197"/>
      <c r="IZ8" s="197"/>
      <c r="JA8" s="197"/>
      <c r="JB8" s="197"/>
      <c r="JC8" s="197"/>
      <c r="JD8" s="197"/>
      <c r="JE8" s="197"/>
      <c r="JF8" s="197"/>
      <c r="JG8" s="197"/>
      <c r="JH8" s="197"/>
      <c r="JI8" s="197"/>
      <c r="JJ8" s="197"/>
      <c r="JK8" s="197"/>
      <c r="JL8" s="197"/>
      <c r="JM8" s="197"/>
      <c r="JN8" s="197"/>
      <c r="JO8" s="197"/>
      <c r="JP8" s="197"/>
      <c r="JQ8" s="197"/>
      <c r="JR8" s="197"/>
      <c r="JS8" s="197"/>
      <c r="JT8" s="197"/>
      <c r="JU8" s="197"/>
      <c r="JV8" s="197"/>
      <c r="JW8" s="197"/>
      <c r="JX8" s="197"/>
      <c r="JY8" s="197"/>
      <c r="JZ8" s="197"/>
      <c r="KA8" s="197"/>
      <c r="KB8" s="197"/>
      <c r="KC8" s="197"/>
      <c r="KD8" s="197"/>
      <c r="KE8" s="197"/>
      <c r="KF8" s="197"/>
      <c r="KG8" s="197"/>
      <c r="KH8" s="197"/>
      <c r="KI8" s="197"/>
      <c r="KJ8" s="197"/>
      <c r="KK8" s="197"/>
      <c r="KL8" s="197"/>
      <c r="KM8" s="197"/>
      <c r="KN8" s="197"/>
      <c r="KO8" s="197"/>
      <c r="KP8" s="197"/>
      <c r="KQ8" s="197"/>
      <c r="KR8" s="197"/>
      <c r="KS8" s="197"/>
      <c r="KT8" s="197"/>
      <c r="KU8" s="197"/>
      <c r="KV8" s="197"/>
      <c r="KW8" s="197"/>
      <c r="KX8" s="197"/>
      <c r="KY8" s="197"/>
      <c r="KZ8" s="197"/>
      <c r="LA8" s="197"/>
      <c r="LB8" s="197"/>
      <c r="LC8" s="197"/>
      <c r="LD8" s="197"/>
      <c r="LE8" s="197"/>
      <c r="LF8" s="197"/>
      <c r="LG8" s="197"/>
      <c r="LH8" s="197"/>
      <c r="LI8" s="197"/>
      <c r="LJ8" s="197"/>
      <c r="LK8" s="197"/>
      <c r="LL8" s="197"/>
      <c r="LM8" s="197"/>
      <c r="LN8" s="197"/>
      <c r="LO8" s="197"/>
      <c r="LP8" s="197"/>
      <c r="LQ8" s="197"/>
      <c r="LR8" s="197"/>
      <c r="LS8" s="197"/>
      <c r="LT8" s="197"/>
      <c r="LU8" s="197"/>
      <c r="LV8" s="197"/>
      <c r="LW8" s="197"/>
      <c r="LX8" s="197"/>
      <c r="LY8" s="197"/>
      <c r="LZ8" s="197"/>
      <c r="MA8" s="197"/>
      <c r="MB8" s="197"/>
      <c r="MC8" s="197"/>
      <c r="MD8" s="197"/>
      <c r="ME8" s="197"/>
      <c r="MF8" s="197"/>
      <c r="MG8" s="197"/>
      <c r="MH8" s="197"/>
      <c r="MI8" s="197"/>
      <c r="MJ8" s="197"/>
      <c r="MK8" s="197"/>
      <c r="ML8" s="197"/>
      <c r="MM8" s="197"/>
      <c r="MN8" s="197"/>
      <c r="MO8" s="197"/>
      <c r="MP8" s="197"/>
      <c r="MQ8" s="197"/>
      <c r="MR8" s="197"/>
      <c r="MS8" s="197"/>
      <c r="MT8" s="197"/>
      <c r="MU8" s="197"/>
      <c r="MV8" s="197"/>
      <c r="MW8" s="197"/>
      <c r="MX8" s="197"/>
      <c r="MY8" s="197"/>
      <c r="MZ8" s="197"/>
      <c r="NA8" s="197"/>
      <c r="NB8" s="197"/>
      <c r="NC8" s="197"/>
      <c r="ND8" s="197"/>
      <c r="NE8" s="197"/>
      <c r="NF8" s="197"/>
      <c r="NG8" s="197"/>
      <c r="NH8" s="197"/>
      <c r="NI8" s="197"/>
      <c r="NJ8" s="197"/>
      <c r="NK8" s="197"/>
      <c r="NL8" s="197"/>
      <c r="NM8" s="197"/>
      <c r="NN8" s="197"/>
      <c r="NO8" s="197"/>
      <c r="NP8" s="197"/>
      <c r="NQ8" s="197"/>
      <c r="NR8" s="197"/>
      <c r="NS8" s="197"/>
      <c r="NT8" s="197"/>
      <c r="NU8" s="197"/>
      <c r="NV8" s="197"/>
      <c r="NW8" s="197"/>
      <c r="NX8" s="197"/>
      <c r="NY8" s="197"/>
      <c r="NZ8" s="197"/>
      <c r="OA8" s="197"/>
      <c r="OB8" s="197"/>
      <c r="OC8" s="197"/>
      <c r="OD8" s="197"/>
      <c r="OE8" s="197"/>
      <c r="OF8" s="197"/>
      <c r="OG8" s="197"/>
      <c r="OH8" s="197"/>
      <c r="OI8" s="197"/>
      <c r="OJ8" s="197"/>
      <c r="OK8" s="197"/>
      <c r="OL8" s="197"/>
      <c r="OM8" s="197"/>
      <c r="ON8" s="197"/>
      <c r="OO8" s="197"/>
      <c r="OP8" s="197"/>
      <c r="OQ8" s="197"/>
      <c r="OR8" s="197"/>
      <c r="OS8" s="197"/>
      <c r="OT8" s="197"/>
      <c r="OU8" s="197"/>
      <c r="OV8" s="197"/>
      <c r="OW8" s="197"/>
      <c r="OX8" s="197"/>
      <c r="OY8" s="197"/>
      <c r="OZ8" s="197"/>
      <c r="PA8" s="197"/>
      <c r="PB8" s="197"/>
      <c r="PC8" s="197"/>
      <c r="PD8" s="197"/>
      <c r="PE8" s="197"/>
      <c r="PF8" s="197"/>
      <c r="PG8" s="197"/>
      <c r="PH8" s="197"/>
      <c r="PI8" s="197"/>
      <c r="PJ8" s="197"/>
      <c r="PK8" s="197"/>
      <c r="PL8" s="197"/>
      <c r="PM8" s="197"/>
      <c r="PN8" s="197"/>
      <c r="PO8" s="197"/>
      <c r="PP8" s="197"/>
      <c r="PQ8" s="197"/>
      <c r="PR8" s="197"/>
      <c r="PS8" s="197"/>
      <c r="PT8" s="197"/>
      <c r="PU8" s="197"/>
      <c r="PV8" s="197"/>
      <c r="PW8" s="197"/>
      <c r="PX8" s="197"/>
      <c r="PY8" s="197"/>
      <c r="PZ8" s="197"/>
      <c r="QA8" s="197"/>
      <c r="QB8" s="197"/>
      <c r="QC8" s="197"/>
      <c r="QD8" s="197"/>
      <c r="QE8" s="197"/>
      <c r="QF8" s="197"/>
      <c r="QG8" s="197"/>
      <c r="QH8" s="197"/>
      <c r="QI8" s="197"/>
      <c r="QJ8" s="197"/>
      <c r="QK8" s="197"/>
      <c r="QL8" s="197"/>
      <c r="QM8" s="197"/>
      <c r="QN8" s="197"/>
      <c r="QO8" s="197"/>
      <c r="QP8" s="197"/>
      <c r="QQ8" s="197"/>
      <c r="QR8" s="197"/>
      <c r="QS8" s="197"/>
      <c r="QT8" s="197"/>
      <c r="QU8" s="197"/>
      <c r="QV8" s="197"/>
      <c r="QW8" s="197"/>
      <c r="QX8" s="197"/>
      <c r="QY8" s="197"/>
      <c r="QZ8" s="197"/>
      <c r="RA8" s="197"/>
      <c r="RB8" s="197"/>
      <c r="RC8" s="197"/>
      <c r="RD8" s="197"/>
      <c r="RE8" s="197"/>
      <c r="RF8" s="197"/>
      <c r="RG8" s="197"/>
      <c r="RH8" s="197"/>
      <c r="RI8" s="197"/>
      <c r="RJ8" s="197"/>
      <c r="RK8" s="197"/>
      <c r="RL8" s="197"/>
      <c r="RM8" s="197"/>
      <c r="RN8" s="197"/>
      <c r="RO8" s="197"/>
      <c r="RP8" s="197"/>
      <c r="RQ8" s="197"/>
      <c r="RR8" s="197"/>
      <c r="RS8" s="197"/>
      <c r="RT8" s="197"/>
      <c r="RU8" s="197"/>
      <c r="RV8" s="197"/>
      <c r="RW8" s="197"/>
      <c r="RX8" s="197"/>
      <c r="RY8" s="197"/>
      <c r="RZ8" s="197"/>
      <c r="SA8" s="197"/>
      <c r="SB8" s="197"/>
      <c r="SC8" s="197"/>
      <c r="SD8" s="197"/>
      <c r="SE8" s="197"/>
      <c r="SF8" s="197"/>
      <c r="SG8" s="197"/>
      <c r="SH8" s="197"/>
      <c r="SI8" s="197"/>
      <c r="SJ8" s="197"/>
      <c r="SK8" s="197"/>
      <c r="SL8" s="197"/>
      <c r="SM8" s="197"/>
      <c r="SN8" s="197"/>
      <c r="SO8" s="197"/>
      <c r="SP8" s="197"/>
      <c r="SQ8" s="197"/>
      <c r="SR8" s="197"/>
      <c r="SS8" s="197"/>
      <c r="ST8" s="197"/>
      <c r="SU8" s="197"/>
      <c r="SV8" s="197"/>
      <c r="SW8" s="197"/>
      <c r="SX8" s="197"/>
      <c r="SY8" s="197"/>
      <c r="SZ8" s="197"/>
      <c r="TA8" s="197"/>
      <c r="TB8" s="197"/>
      <c r="TC8" s="197"/>
      <c r="TD8" s="197"/>
      <c r="TE8" s="197"/>
      <c r="TF8" s="197"/>
      <c r="TG8" s="197"/>
      <c r="TH8" s="197"/>
      <c r="TI8" s="197"/>
      <c r="TJ8" s="197"/>
      <c r="TK8" s="197"/>
      <c r="TL8" s="197"/>
      <c r="TM8" s="197"/>
      <c r="TN8" s="197"/>
      <c r="TO8" s="197"/>
      <c r="TP8" s="197"/>
      <c r="TQ8" s="197"/>
      <c r="TR8" s="197"/>
      <c r="TS8" s="197"/>
      <c r="TT8" s="197"/>
      <c r="TU8" s="197"/>
      <c r="TV8" s="197"/>
      <c r="TW8" s="197"/>
      <c r="TX8" s="197"/>
      <c r="TY8" s="197"/>
      <c r="TZ8" s="197"/>
      <c r="UA8" s="197"/>
      <c r="UB8" s="197"/>
      <c r="UC8" s="197"/>
      <c r="UD8" s="197"/>
      <c r="UE8" s="197"/>
      <c r="UF8" s="197"/>
      <c r="UG8" s="197"/>
      <c r="UH8" s="197"/>
      <c r="UI8" s="197"/>
      <c r="UJ8" s="197"/>
      <c r="UK8" s="197"/>
      <c r="UL8" s="197"/>
      <c r="UM8" s="197"/>
      <c r="UN8" s="197"/>
      <c r="UO8" s="197"/>
      <c r="UP8" s="197"/>
      <c r="UQ8" s="197"/>
      <c r="UR8" s="197"/>
      <c r="US8" s="197"/>
      <c r="UT8" s="197"/>
      <c r="UU8" s="197"/>
      <c r="UV8" s="197"/>
      <c r="UW8" s="197"/>
      <c r="UX8" s="197"/>
      <c r="UY8" s="197"/>
      <c r="UZ8" s="197"/>
      <c r="VA8" s="197"/>
      <c r="VB8" s="197"/>
      <c r="VC8" s="197"/>
      <c r="VD8" s="197"/>
      <c r="VE8" s="197"/>
      <c r="VF8" s="197"/>
      <c r="VG8" s="197"/>
      <c r="VH8" s="197"/>
      <c r="VI8" s="197"/>
      <c r="VJ8" s="197"/>
      <c r="VK8" s="197"/>
      <c r="VL8" s="197"/>
      <c r="VM8" s="197"/>
      <c r="VN8" s="197"/>
      <c r="VO8" s="197"/>
      <c r="VP8" s="197"/>
      <c r="VQ8" s="197"/>
      <c r="VR8" s="197"/>
      <c r="VS8" s="197"/>
      <c r="VT8" s="197"/>
      <c r="VU8" s="197"/>
      <c r="VV8" s="197"/>
      <c r="VW8" s="197"/>
      <c r="VX8" s="197"/>
      <c r="VY8" s="197"/>
      <c r="VZ8" s="197"/>
      <c r="WA8" s="197"/>
      <c r="WB8" s="197"/>
      <c r="WC8" s="197"/>
      <c r="WD8" s="197"/>
      <c r="WE8" s="197"/>
      <c r="WF8" s="197"/>
      <c r="WG8" s="197"/>
      <c r="WH8" s="197"/>
      <c r="WI8" s="197"/>
      <c r="WJ8" s="197"/>
      <c r="WK8" s="197"/>
      <c r="WL8" s="197"/>
      <c r="WM8" s="197"/>
      <c r="WN8" s="197"/>
      <c r="WO8" s="197"/>
      <c r="WP8" s="197"/>
      <c r="WQ8" s="197"/>
      <c r="WR8" s="197"/>
      <c r="WS8" s="197"/>
      <c r="WT8" s="197"/>
      <c r="WU8" s="197"/>
      <c r="WV8" s="197"/>
      <c r="WW8" s="197"/>
      <c r="WX8" s="197"/>
      <c r="WY8" s="197"/>
      <c r="WZ8" s="197"/>
      <c r="XA8" s="197"/>
      <c r="XB8" s="197"/>
      <c r="XC8" s="197"/>
      <c r="XD8" s="197"/>
      <c r="XE8" s="197"/>
      <c r="XF8" s="197"/>
      <c r="XG8" s="197"/>
      <c r="XH8" s="197"/>
      <c r="XI8" s="197"/>
      <c r="XJ8" s="197"/>
      <c r="XK8" s="197"/>
      <c r="XL8" s="197"/>
      <c r="XM8" s="197"/>
      <c r="XN8" s="197"/>
      <c r="XO8" s="197"/>
      <c r="XP8" s="197"/>
      <c r="XQ8" s="197"/>
      <c r="XR8" s="197"/>
      <c r="XS8" s="197"/>
      <c r="XT8" s="197"/>
      <c r="XU8" s="197"/>
      <c r="XV8" s="197"/>
      <c r="XW8" s="197"/>
      <c r="XX8" s="197"/>
      <c r="XY8" s="197"/>
      <c r="XZ8" s="197"/>
      <c r="YA8" s="197"/>
      <c r="YB8" s="197"/>
      <c r="YC8" s="197"/>
      <c r="YD8" s="197"/>
      <c r="YE8" s="197"/>
      <c r="YF8" s="197"/>
      <c r="YG8" s="197"/>
      <c r="YH8" s="197"/>
      <c r="YI8" s="197"/>
      <c r="YJ8" s="197"/>
      <c r="YK8" s="197"/>
      <c r="YL8" s="197"/>
      <c r="YM8" s="197"/>
      <c r="YN8" s="197"/>
      <c r="YO8" s="197"/>
      <c r="YP8" s="197"/>
      <c r="YQ8" s="197"/>
      <c r="YR8" s="197"/>
      <c r="YS8" s="197"/>
      <c r="YT8" s="197"/>
      <c r="YU8" s="197"/>
      <c r="YV8" s="197"/>
      <c r="YW8" s="197"/>
      <c r="YX8" s="197"/>
      <c r="YY8" s="197"/>
      <c r="YZ8" s="197"/>
      <c r="ZA8" s="197"/>
      <c r="ZB8" s="197"/>
      <c r="ZC8" s="197"/>
      <c r="ZD8" s="197"/>
      <c r="ZE8" s="197"/>
      <c r="ZF8" s="197"/>
      <c r="ZG8" s="197"/>
      <c r="ZH8" s="197"/>
      <c r="ZI8" s="197"/>
      <c r="ZJ8" s="197"/>
      <c r="ZK8" s="197"/>
      <c r="ZL8" s="197"/>
      <c r="ZM8" s="197"/>
      <c r="ZN8" s="197"/>
      <c r="ZO8" s="197"/>
      <c r="ZP8" s="197"/>
      <c r="ZQ8" s="197"/>
      <c r="ZR8" s="197"/>
      <c r="ZS8" s="197"/>
      <c r="ZT8" s="197"/>
      <c r="ZU8" s="197"/>
      <c r="ZV8" s="197"/>
      <c r="ZW8" s="197"/>
      <c r="ZX8" s="197"/>
      <c r="ZY8" s="197"/>
      <c r="ZZ8" s="197"/>
      <c r="AAA8" s="197"/>
      <c r="AAB8" s="197"/>
      <c r="AAC8" s="197"/>
      <c r="AAD8" s="197"/>
      <c r="AAE8" s="197"/>
      <c r="AAF8" s="197"/>
      <c r="AAG8" s="197"/>
      <c r="AAH8" s="197"/>
      <c r="AAI8" s="197"/>
      <c r="AAJ8" s="197"/>
      <c r="AAK8" s="197"/>
      <c r="AAL8" s="197"/>
      <c r="AAM8" s="197"/>
      <c r="AAN8" s="197"/>
      <c r="AAO8" s="197"/>
      <c r="AAP8" s="197"/>
      <c r="AAQ8" s="197"/>
      <c r="AAR8" s="197"/>
      <c r="AAS8" s="197"/>
      <c r="AAT8" s="197"/>
      <c r="AAU8" s="197"/>
      <c r="AAV8" s="197"/>
      <c r="AAW8" s="197"/>
      <c r="AAX8" s="197"/>
      <c r="AAY8" s="197"/>
      <c r="AAZ8" s="197"/>
      <c r="ABA8" s="197"/>
      <c r="ABB8" s="197"/>
      <c r="ABC8" s="197"/>
      <c r="ABD8" s="197"/>
      <c r="ABE8" s="197"/>
      <c r="ABF8" s="197"/>
      <c r="ABG8" s="197"/>
      <c r="ABH8" s="197"/>
      <c r="ABI8" s="197"/>
      <c r="ABJ8" s="197"/>
      <c r="ABK8" s="197"/>
      <c r="ABL8" s="197"/>
      <c r="ABM8" s="197"/>
      <c r="ABN8" s="197"/>
      <c r="ABO8" s="197"/>
      <c r="ABP8" s="197"/>
      <c r="ABQ8" s="197"/>
      <c r="ABR8" s="197"/>
      <c r="ABS8" s="197"/>
      <c r="ABT8" s="197"/>
      <c r="ABU8" s="197"/>
      <c r="ABV8" s="197"/>
      <c r="ABW8" s="197"/>
      <c r="ABX8" s="197"/>
      <c r="ABY8" s="197"/>
      <c r="ABZ8" s="197"/>
      <c r="ACA8" s="197"/>
      <c r="ACB8" s="197"/>
      <c r="ACC8" s="197"/>
      <c r="ACD8" s="197"/>
      <c r="ACE8" s="197"/>
      <c r="ACF8" s="197"/>
      <c r="ACG8" s="197"/>
      <c r="ACH8" s="197"/>
      <c r="ACI8" s="197"/>
      <c r="ACJ8" s="197"/>
      <c r="ACK8" s="197"/>
      <c r="ACL8" s="197"/>
      <c r="ACM8" s="197"/>
      <c r="ACN8" s="197"/>
      <c r="ACO8" s="197"/>
      <c r="ACP8" s="197"/>
      <c r="ACQ8" s="197"/>
      <c r="ACR8" s="197"/>
      <c r="ACS8" s="197"/>
      <c r="ACT8" s="197"/>
      <c r="ACU8" s="197"/>
      <c r="ACV8" s="197"/>
      <c r="ACW8" s="197"/>
      <c r="ACX8" s="197"/>
      <c r="ACY8" s="197"/>
      <c r="ACZ8" s="197"/>
      <c r="ADA8" s="197"/>
      <c r="ADB8" s="197"/>
      <c r="ADC8" s="197"/>
      <c r="ADD8" s="197"/>
      <c r="ADE8" s="197"/>
      <c r="ADF8" s="197"/>
      <c r="ADG8" s="197"/>
      <c r="ADH8" s="197"/>
      <c r="ADI8" s="197"/>
      <c r="ADJ8" s="197"/>
      <c r="ADK8" s="197"/>
      <c r="ADL8" s="197"/>
      <c r="ADM8" s="197"/>
      <c r="ADN8" s="197"/>
      <c r="ADO8" s="197"/>
      <c r="ADP8" s="197"/>
      <c r="ADQ8" s="197"/>
      <c r="ADR8" s="197"/>
      <c r="ADS8" s="197"/>
      <c r="ADT8" s="197"/>
      <c r="ADU8" s="197"/>
      <c r="ADV8" s="197"/>
      <c r="ADW8" s="197"/>
      <c r="ADX8" s="197"/>
      <c r="ADY8" s="197"/>
      <c r="ADZ8" s="197"/>
      <c r="AEA8" s="197"/>
      <c r="AEB8" s="197"/>
      <c r="AEC8" s="197"/>
      <c r="AED8" s="197"/>
      <c r="AEE8" s="197"/>
      <c r="AEF8" s="197"/>
      <c r="AEG8" s="197"/>
      <c r="AEH8" s="197"/>
      <c r="AEI8" s="197"/>
      <c r="AEJ8" s="197"/>
      <c r="AEK8" s="197"/>
      <c r="AEL8" s="197"/>
      <c r="AEM8" s="197"/>
      <c r="AEN8" s="197"/>
      <c r="AEO8" s="197"/>
      <c r="AEP8" s="197"/>
      <c r="AEQ8" s="197"/>
      <c r="AER8" s="197"/>
      <c r="AES8" s="197"/>
      <c r="AET8" s="197"/>
      <c r="AEU8" s="197"/>
      <c r="AEV8" s="197"/>
      <c r="AEW8" s="197"/>
      <c r="AEX8" s="197"/>
      <c r="AEY8" s="197"/>
      <c r="AEZ8" s="197"/>
      <c r="AFA8" s="197"/>
      <c r="AFB8" s="197"/>
      <c r="AFC8" s="197"/>
      <c r="AFD8" s="197"/>
      <c r="AFE8" s="197"/>
      <c r="AFF8" s="197"/>
      <c r="AFG8" s="197"/>
      <c r="AFH8" s="197"/>
      <c r="AFI8" s="197"/>
      <c r="AFJ8" s="197"/>
      <c r="AFK8" s="197"/>
      <c r="AFL8" s="197"/>
      <c r="AFM8" s="197"/>
      <c r="AFN8" s="197"/>
      <c r="AFO8" s="197"/>
      <c r="AFP8" s="197"/>
      <c r="AFQ8" s="197"/>
      <c r="AFR8" s="197"/>
      <c r="AFS8" s="197"/>
      <c r="AFT8" s="197"/>
      <c r="AFU8" s="197"/>
      <c r="AFV8" s="197"/>
      <c r="AFW8" s="197"/>
      <c r="AFX8" s="197"/>
      <c r="AFY8" s="197"/>
      <c r="AFZ8" s="197"/>
      <c r="AGA8" s="197"/>
      <c r="AGB8" s="197"/>
      <c r="AGC8" s="197"/>
      <c r="AGD8" s="197"/>
      <c r="AGE8" s="197"/>
      <c r="AGF8" s="197"/>
      <c r="AGG8" s="197"/>
      <c r="AGH8" s="197"/>
      <c r="AGI8" s="197"/>
      <c r="AGJ8" s="197"/>
      <c r="AGK8" s="197"/>
      <c r="AGL8" s="197"/>
      <c r="AGM8" s="197"/>
      <c r="AGN8" s="197"/>
      <c r="AGO8" s="197"/>
      <c r="AGP8" s="197"/>
      <c r="AGQ8" s="197"/>
      <c r="AGR8" s="197"/>
      <c r="AGS8" s="197"/>
      <c r="AGT8" s="197"/>
      <c r="AGU8" s="197"/>
      <c r="AGV8" s="197"/>
      <c r="AGW8" s="197"/>
      <c r="AGX8" s="197"/>
      <c r="AGY8" s="197"/>
      <c r="AGZ8" s="197"/>
      <c r="AHA8" s="197"/>
      <c r="AHB8" s="197"/>
      <c r="AHC8" s="197"/>
      <c r="AHD8" s="197"/>
      <c r="AHE8" s="197"/>
      <c r="AHF8" s="197"/>
      <c r="AHG8" s="197"/>
      <c r="AHH8" s="197"/>
      <c r="AHI8" s="197"/>
      <c r="AHJ8" s="197"/>
      <c r="AHK8" s="197"/>
      <c r="AHL8" s="197"/>
      <c r="AHM8" s="197"/>
      <c r="AHN8" s="197"/>
      <c r="AHO8" s="197"/>
      <c r="AHP8" s="197"/>
      <c r="AHQ8" s="197"/>
      <c r="AHR8" s="197"/>
      <c r="AHS8" s="197"/>
      <c r="AHT8" s="197"/>
      <c r="AHU8" s="197"/>
      <c r="AHV8" s="197"/>
      <c r="AHW8" s="197"/>
      <c r="AHX8" s="197"/>
      <c r="AHY8" s="197"/>
      <c r="AHZ8" s="197"/>
      <c r="AIA8" s="197"/>
      <c r="AIB8" s="197"/>
      <c r="AIC8" s="197"/>
      <c r="AID8" s="197"/>
      <c r="AIE8" s="197"/>
      <c r="AIF8" s="197"/>
      <c r="AIG8" s="197"/>
      <c r="AIH8" s="197"/>
      <c r="AII8" s="197"/>
      <c r="AIJ8" s="197"/>
      <c r="AIK8" s="197"/>
      <c r="AIL8" s="197"/>
      <c r="AIM8" s="197"/>
      <c r="AIN8" s="197"/>
      <c r="AIO8" s="197"/>
      <c r="AIP8" s="197"/>
      <c r="AIQ8" s="197"/>
      <c r="AIR8" s="197"/>
      <c r="AIS8" s="197"/>
      <c r="AIT8" s="197"/>
      <c r="AIU8" s="197"/>
      <c r="AIV8" s="197"/>
      <c r="AIW8" s="197"/>
      <c r="AIX8" s="197"/>
      <c r="AIY8" s="197"/>
      <c r="AIZ8" s="197"/>
      <c r="AJA8" s="197"/>
      <c r="AJB8" s="197"/>
      <c r="AJC8" s="197"/>
      <c r="AJD8" s="197"/>
      <c r="AJE8" s="197"/>
      <c r="AJF8" s="197"/>
      <c r="AJG8" s="197"/>
      <c r="AJH8" s="197"/>
      <c r="AJI8" s="197"/>
      <c r="AJJ8" s="197"/>
      <c r="AJK8" s="197"/>
      <c r="AJL8" s="197"/>
      <c r="AJM8" s="197"/>
      <c r="AJN8" s="197"/>
      <c r="AJO8" s="197"/>
      <c r="AJP8" s="197"/>
      <c r="AJQ8" s="197"/>
      <c r="AJR8" s="197"/>
      <c r="AJS8" s="197"/>
      <c r="AJT8" s="197"/>
      <c r="AJU8" s="197"/>
      <c r="AJV8" s="197"/>
      <c r="AJW8" s="197"/>
      <c r="AJX8" s="197"/>
      <c r="AJY8" s="197"/>
      <c r="AJZ8" s="197"/>
      <c r="AKA8" s="197"/>
      <c r="AKB8" s="197"/>
      <c r="AKC8" s="197"/>
      <c r="AKD8" s="197"/>
      <c r="AKE8" s="197"/>
      <c r="AKF8" s="197"/>
      <c r="AKG8" s="197"/>
      <c r="AKH8" s="197"/>
      <c r="AKI8" s="197"/>
      <c r="AKJ8" s="197"/>
      <c r="AKK8" s="197"/>
      <c r="AKL8" s="197"/>
      <c r="AKM8" s="197"/>
      <c r="AKN8" s="197"/>
      <c r="AKO8" s="197"/>
      <c r="AKP8" s="197"/>
      <c r="AKQ8" s="197"/>
      <c r="AKR8" s="197"/>
      <c r="AKS8" s="197"/>
      <c r="AKT8" s="197"/>
      <c r="AKU8" s="197"/>
      <c r="AKV8" s="197"/>
      <c r="AKW8" s="197"/>
      <c r="AKX8" s="197"/>
      <c r="AKY8" s="197"/>
      <c r="AKZ8" s="197"/>
      <c r="ALA8" s="197"/>
      <c r="ALB8" s="197"/>
      <c r="ALC8" s="197"/>
      <c r="ALD8" s="197"/>
      <c r="ALE8" s="197"/>
      <c r="ALF8" s="197"/>
      <c r="ALG8" s="197"/>
      <c r="ALH8" s="197"/>
      <c r="ALI8" s="197"/>
      <c r="ALJ8" s="197"/>
      <c r="ALK8" s="197"/>
      <c r="ALL8" s="197"/>
      <c r="ALM8" s="197"/>
      <c r="ALN8" s="197"/>
      <c r="ALO8" s="197"/>
      <c r="ALP8" s="197"/>
      <c r="ALQ8" s="197"/>
      <c r="ALR8" s="197"/>
      <c r="ALS8" s="197"/>
      <c r="ALT8" s="197"/>
      <c r="ALU8" s="197"/>
      <c r="ALV8" s="197"/>
      <c r="ALW8" s="197"/>
      <c r="ALX8" s="197"/>
      <c r="ALY8" s="197"/>
      <c r="ALZ8" s="197"/>
      <c r="AMA8" s="197"/>
      <c r="AMB8" s="197"/>
      <c r="AMC8" s="197"/>
      <c r="AMD8" s="197"/>
      <c r="AME8" s="197"/>
      <c r="AMF8" s="197"/>
      <c r="AMG8" s="197"/>
      <c r="AMH8" s="197"/>
      <c r="AMI8" s="197"/>
      <c r="AMJ8" s="197"/>
      <c r="AMK8" s="197"/>
      <c r="AML8" s="197"/>
      <c r="AMM8" s="197"/>
      <c r="AMN8" s="197"/>
      <c r="AMO8" s="197"/>
      <c r="AMP8" s="197"/>
      <c r="AMQ8" s="197"/>
      <c r="AMR8" s="197"/>
      <c r="AMS8" s="197"/>
      <c r="AMT8" s="197"/>
      <c r="AMU8" s="197"/>
      <c r="AMV8" s="197"/>
      <c r="AMW8" s="197"/>
      <c r="AMX8" s="197"/>
      <c r="AMY8" s="197"/>
      <c r="AMZ8" s="197"/>
      <c r="ANA8" s="197"/>
      <c r="ANB8" s="197"/>
      <c r="ANC8" s="197"/>
      <c r="AND8" s="197"/>
      <c r="ANE8" s="197"/>
      <c r="ANF8" s="197"/>
      <c r="ANG8" s="197"/>
      <c r="ANH8" s="197"/>
      <c r="ANI8" s="197"/>
      <c r="ANJ8" s="197"/>
      <c r="ANK8" s="197"/>
      <c r="ANL8" s="197"/>
      <c r="ANM8" s="197"/>
      <c r="ANN8" s="197"/>
      <c r="ANO8" s="197"/>
      <c r="ANP8" s="197"/>
      <c r="ANQ8" s="197"/>
      <c r="ANR8" s="197"/>
      <c r="ANS8" s="197"/>
      <c r="ANT8" s="197"/>
      <c r="ANU8" s="197"/>
      <c r="ANV8" s="197"/>
      <c r="ANW8" s="197"/>
      <c r="ANX8" s="197"/>
      <c r="ANY8" s="197"/>
      <c r="ANZ8" s="197"/>
      <c r="AOA8" s="197"/>
      <c r="AOB8" s="197"/>
      <c r="AOC8" s="197"/>
      <c r="AOD8" s="197"/>
      <c r="AOE8" s="197"/>
      <c r="AOF8" s="197"/>
      <c r="AOG8" s="197"/>
      <c r="AOH8" s="197"/>
      <c r="AOI8" s="197"/>
      <c r="AOJ8" s="197"/>
      <c r="AOK8" s="197"/>
      <c r="AOL8" s="197"/>
      <c r="AOM8" s="197"/>
      <c r="AON8" s="197"/>
      <c r="AOO8" s="197"/>
      <c r="AOP8" s="197"/>
      <c r="AOQ8" s="197"/>
      <c r="AOR8" s="197"/>
      <c r="AOS8" s="197"/>
      <c r="AOT8" s="197"/>
      <c r="AOU8" s="197"/>
      <c r="AOV8" s="197"/>
      <c r="AOW8" s="197"/>
      <c r="AOX8" s="197"/>
      <c r="AOY8" s="197"/>
      <c r="AOZ8" s="197"/>
      <c r="APA8" s="197"/>
      <c r="APB8" s="197"/>
      <c r="APC8" s="197"/>
      <c r="APD8" s="197"/>
      <c r="APE8" s="197"/>
      <c r="APF8" s="197"/>
      <c r="APG8" s="197"/>
      <c r="APH8" s="197"/>
      <c r="API8" s="197"/>
      <c r="APJ8" s="197"/>
      <c r="APK8" s="197"/>
      <c r="APL8" s="197"/>
      <c r="APM8" s="197"/>
      <c r="APN8" s="197"/>
      <c r="APO8" s="197"/>
      <c r="APP8" s="197"/>
      <c r="APQ8" s="197"/>
      <c r="APR8" s="197"/>
      <c r="APS8" s="197"/>
      <c r="APT8" s="197"/>
      <c r="APU8" s="197"/>
      <c r="APV8" s="197"/>
      <c r="APW8" s="197"/>
      <c r="APX8" s="197"/>
      <c r="APY8" s="197"/>
      <c r="APZ8" s="197"/>
      <c r="AQA8" s="197"/>
      <c r="AQB8" s="197"/>
      <c r="AQC8" s="197"/>
      <c r="AQD8" s="197"/>
      <c r="AQE8" s="197"/>
      <c r="AQF8" s="197"/>
      <c r="AQG8" s="197"/>
      <c r="AQH8" s="197"/>
      <c r="AQI8" s="197"/>
      <c r="AQJ8" s="197"/>
      <c r="AQK8" s="197"/>
      <c r="AQL8" s="197"/>
      <c r="AQM8" s="197"/>
      <c r="AQN8" s="197"/>
      <c r="AQO8" s="197"/>
      <c r="AQP8" s="197"/>
      <c r="AQQ8" s="197"/>
      <c r="AQR8" s="197"/>
      <c r="AQS8" s="197"/>
      <c r="AQT8" s="197"/>
      <c r="AQU8" s="197"/>
      <c r="AQV8" s="197"/>
      <c r="AQW8" s="197"/>
      <c r="AQX8" s="197"/>
      <c r="AQY8" s="197"/>
      <c r="AQZ8" s="197"/>
      <c r="ARA8" s="197"/>
      <c r="ARB8" s="197"/>
      <c r="ARC8" s="197"/>
      <c r="ARD8" s="197"/>
      <c r="ARE8" s="197"/>
      <c r="ARF8" s="197"/>
      <c r="ARG8" s="197"/>
      <c r="ARH8" s="197"/>
      <c r="ARI8" s="197"/>
      <c r="ARJ8" s="197"/>
      <c r="ARK8" s="197"/>
      <c r="ARL8" s="197"/>
      <c r="ARM8" s="197"/>
      <c r="ARN8" s="197"/>
      <c r="ARO8" s="197"/>
      <c r="ARP8" s="197"/>
      <c r="ARQ8" s="197"/>
      <c r="ARR8" s="197"/>
      <c r="ARS8" s="197"/>
      <c r="ART8" s="197"/>
      <c r="ARU8" s="197"/>
      <c r="ARV8" s="197"/>
      <c r="ARW8" s="197"/>
      <c r="ARX8" s="197"/>
      <c r="ARY8" s="197"/>
      <c r="ARZ8" s="197"/>
      <c r="ASA8" s="197"/>
      <c r="ASB8" s="197"/>
      <c r="ASC8" s="197"/>
      <c r="ASD8" s="197"/>
      <c r="ASE8" s="197"/>
      <c r="ASF8" s="197"/>
      <c r="ASG8" s="197"/>
      <c r="ASH8" s="197"/>
      <c r="ASI8" s="197"/>
      <c r="ASJ8" s="197"/>
      <c r="ASK8" s="197"/>
      <c r="ASL8" s="197"/>
      <c r="ASM8" s="197"/>
      <c r="ASN8" s="197"/>
      <c r="ASO8" s="197"/>
      <c r="ASP8" s="197"/>
      <c r="ASQ8" s="197"/>
      <c r="ASR8" s="197"/>
      <c r="ASS8" s="197"/>
      <c r="AST8" s="197"/>
      <c r="ASU8" s="197"/>
      <c r="ASV8" s="197"/>
      <c r="ASW8" s="197"/>
      <c r="ASX8" s="197"/>
      <c r="ASY8" s="197"/>
      <c r="ASZ8" s="197"/>
      <c r="ATA8" s="197"/>
      <c r="ATB8" s="197"/>
      <c r="ATC8" s="197"/>
      <c r="ATD8" s="197"/>
      <c r="ATE8" s="197"/>
      <c r="ATF8" s="197"/>
      <c r="ATG8" s="197"/>
      <c r="ATH8" s="197"/>
      <c r="ATI8" s="197"/>
      <c r="ATJ8" s="197"/>
      <c r="ATK8" s="197"/>
      <c r="ATL8" s="197"/>
      <c r="ATM8" s="197"/>
      <c r="ATN8" s="197"/>
      <c r="ATO8" s="197"/>
      <c r="ATP8" s="197"/>
      <c r="ATQ8" s="197"/>
      <c r="ATR8" s="197"/>
      <c r="ATS8" s="197"/>
      <c r="ATT8" s="197"/>
      <c r="ATU8" s="197"/>
      <c r="ATV8" s="197"/>
      <c r="ATW8" s="197"/>
      <c r="ATX8" s="197"/>
      <c r="ATY8" s="197"/>
      <c r="ATZ8" s="197"/>
      <c r="AUA8" s="197"/>
      <c r="AUB8" s="197"/>
      <c r="AUC8" s="197"/>
      <c r="AUD8" s="197"/>
      <c r="AUE8" s="197"/>
      <c r="AUF8" s="197"/>
      <c r="AUG8" s="197"/>
      <c r="AUH8" s="197"/>
      <c r="AUI8" s="197"/>
      <c r="AUJ8" s="197"/>
      <c r="AUK8" s="197"/>
      <c r="AUL8" s="197"/>
      <c r="AUM8" s="197"/>
      <c r="AUN8" s="197"/>
      <c r="AUO8" s="197"/>
      <c r="AUP8" s="197"/>
      <c r="AUQ8" s="197"/>
      <c r="AUR8" s="197"/>
      <c r="AUS8" s="197"/>
      <c r="AUT8" s="197"/>
      <c r="AUU8" s="197"/>
      <c r="AUV8" s="197"/>
      <c r="AUW8" s="197"/>
      <c r="AUX8" s="197"/>
      <c r="AUY8" s="197"/>
      <c r="AUZ8" s="197"/>
      <c r="AVA8" s="197"/>
      <c r="AVB8" s="197"/>
      <c r="AVC8" s="197"/>
      <c r="AVD8" s="197"/>
      <c r="AVE8" s="197"/>
      <c r="AVF8" s="197"/>
      <c r="AVG8" s="197"/>
      <c r="AVH8" s="197"/>
      <c r="AVI8" s="197"/>
      <c r="AVJ8" s="197"/>
      <c r="AVK8" s="197"/>
      <c r="AVL8" s="197"/>
      <c r="AVM8" s="197"/>
      <c r="AVN8" s="197"/>
      <c r="AVO8" s="197"/>
      <c r="AVP8" s="197"/>
      <c r="AVQ8" s="197"/>
      <c r="AVR8" s="197"/>
      <c r="AVS8" s="197"/>
      <c r="AVT8" s="197"/>
      <c r="AVU8" s="197"/>
      <c r="AVV8" s="197"/>
      <c r="AVW8" s="197"/>
      <c r="AVX8" s="197"/>
      <c r="AVY8" s="197"/>
      <c r="AVZ8" s="197"/>
      <c r="AWA8" s="197"/>
      <c r="AWB8" s="197"/>
      <c r="AWC8" s="197"/>
      <c r="AWD8" s="197"/>
      <c r="AWE8" s="197"/>
      <c r="AWF8" s="197"/>
      <c r="AWG8" s="197"/>
      <c r="AWH8" s="197"/>
      <c r="AWI8" s="197"/>
      <c r="AWJ8" s="197"/>
      <c r="AWK8" s="197"/>
      <c r="AWL8" s="197"/>
      <c r="AWM8" s="197"/>
      <c r="AWN8" s="197"/>
      <c r="AWO8" s="197"/>
      <c r="AWP8" s="197"/>
      <c r="AWQ8" s="197"/>
      <c r="AWR8" s="197"/>
      <c r="AWS8" s="197"/>
      <c r="AWT8" s="197"/>
      <c r="AWU8" s="197"/>
      <c r="AWV8" s="197"/>
      <c r="AWW8" s="197"/>
      <c r="AWX8" s="197"/>
      <c r="AWY8" s="197"/>
      <c r="AWZ8" s="197"/>
      <c r="AXA8" s="197"/>
      <c r="AXB8" s="197"/>
      <c r="AXC8" s="197"/>
      <c r="AXD8" s="197"/>
      <c r="AXE8" s="197"/>
      <c r="AXF8" s="197"/>
      <c r="AXG8" s="197"/>
      <c r="AXH8" s="197"/>
      <c r="AXI8" s="197"/>
      <c r="AXJ8" s="197"/>
      <c r="AXK8" s="197"/>
      <c r="AXL8" s="197"/>
      <c r="AXM8" s="197"/>
      <c r="AXN8" s="197"/>
      <c r="AXO8" s="197"/>
      <c r="AXP8" s="197"/>
      <c r="AXQ8" s="197"/>
      <c r="AXR8" s="197"/>
      <c r="AXS8" s="197"/>
      <c r="AXT8" s="197"/>
      <c r="AXU8" s="197"/>
      <c r="AXV8" s="197"/>
      <c r="AXW8" s="197"/>
      <c r="AXX8" s="197"/>
      <c r="AXY8" s="197"/>
      <c r="AXZ8" s="197"/>
      <c r="AYA8" s="197"/>
      <c r="AYB8" s="197"/>
      <c r="AYC8" s="197"/>
      <c r="AYD8" s="197"/>
      <c r="AYE8" s="197"/>
      <c r="AYF8" s="197"/>
      <c r="AYG8" s="197"/>
      <c r="AYH8" s="197"/>
      <c r="AYI8" s="197"/>
      <c r="AYJ8" s="197"/>
      <c r="AYK8" s="197"/>
      <c r="AYL8" s="197"/>
      <c r="AYM8" s="197"/>
      <c r="AYN8" s="197"/>
      <c r="AYO8" s="197"/>
      <c r="AYP8" s="197"/>
      <c r="AYQ8" s="197"/>
      <c r="AYR8" s="197"/>
      <c r="AYS8" s="197"/>
      <c r="AYT8" s="197"/>
      <c r="AYU8" s="197"/>
      <c r="AYV8" s="197"/>
      <c r="AYW8" s="197"/>
      <c r="AYX8" s="197"/>
      <c r="AYY8" s="197"/>
      <c r="AYZ8" s="197"/>
      <c r="AZA8" s="197"/>
      <c r="AZB8" s="197"/>
      <c r="AZC8" s="197"/>
      <c r="AZD8" s="197"/>
      <c r="AZE8" s="197"/>
      <c r="AZF8" s="197"/>
      <c r="AZG8" s="197"/>
      <c r="AZH8" s="197"/>
      <c r="AZI8" s="197"/>
      <c r="AZJ8" s="197"/>
      <c r="AZK8" s="197"/>
      <c r="AZL8" s="197"/>
      <c r="AZM8" s="197"/>
      <c r="AZN8" s="197"/>
      <c r="AZO8" s="197"/>
      <c r="AZP8" s="197"/>
      <c r="AZQ8" s="197"/>
      <c r="AZR8" s="197"/>
      <c r="AZS8" s="197"/>
      <c r="AZT8" s="197"/>
      <c r="AZU8" s="197"/>
      <c r="AZV8" s="197"/>
      <c r="AZW8" s="197"/>
      <c r="AZX8" s="197"/>
      <c r="AZY8" s="197"/>
      <c r="AZZ8" s="197"/>
      <c r="BAA8" s="197"/>
      <c r="BAB8" s="197"/>
      <c r="BAC8" s="197"/>
      <c r="BAD8" s="197"/>
      <c r="BAE8" s="197"/>
      <c r="BAF8" s="197"/>
      <c r="BAG8" s="197"/>
      <c r="BAH8" s="197"/>
      <c r="BAI8" s="197"/>
      <c r="BAJ8" s="197"/>
      <c r="BAK8" s="197"/>
      <c r="BAL8" s="197"/>
      <c r="BAM8" s="197"/>
      <c r="BAN8" s="197"/>
      <c r="BAO8" s="197"/>
      <c r="BAP8" s="197"/>
      <c r="BAQ8" s="197"/>
      <c r="BAR8" s="197"/>
      <c r="BAS8" s="197"/>
      <c r="BAT8" s="197"/>
      <c r="BAU8" s="197"/>
      <c r="BAV8" s="197"/>
      <c r="BAW8" s="197"/>
      <c r="BAX8" s="197"/>
      <c r="BAY8" s="197"/>
      <c r="BAZ8" s="197"/>
      <c r="BBA8" s="197"/>
      <c r="BBB8" s="197"/>
      <c r="BBC8" s="197"/>
      <c r="BBD8" s="197"/>
      <c r="BBE8" s="197"/>
      <c r="BBF8" s="197"/>
      <c r="BBG8" s="197"/>
      <c r="BBH8" s="197"/>
      <c r="BBI8" s="197"/>
      <c r="BBJ8" s="197"/>
      <c r="BBK8" s="197"/>
      <c r="BBL8" s="197"/>
      <c r="BBM8" s="197"/>
      <c r="BBN8" s="197"/>
      <c r="BBO8" s="197"/>
      <c r="BBP8" s="197"/>
      <c r="BBQ8" s="197"/>
      <c r="BBR8" s="197"/>
      <c r="BBS8" s="197"/>
      <c r="BBT8" s="197"/>
      <c r="BBU8" s="197"/>
      <c r="BBV8" s="197"/>
      <c r="BBW8" s="197"/>
      <c r="BBX8" s="197"/>
      <c r="BBY8" s="197"/>
      <c r="BBZ8" s="197"/>
      <c r="BCA8" s="197"/>
      <c r="BCB8" s="197"/>
      <c r="BCC8" s="197"/>
      <c r="BCD8" s="197"/>
      <c r="BCE8" s="197"/>
      <c r="BCF8" s="197"/>
      <c r="BCG8" s="197"/>
      <c r="BCH8" s="197"/>
      <c r="BCI8" s="197"/>
      <c r="BCJ8" s="197"/>
      <c r="BCK8" s="197"/>
      <c r="BCL8" s="197"/>
      <c r="BCM8" s="197"/>
      <c r="BCN8" s="197"/>
      <c r="BCO8" s="197"/>
      <c r="BCP8" s="197"/>
      <c r="BCQ8" s="197"/>
      <c r="BCR8" s="197"/>
      <c r="BCS8" s="197"/>
      <c r="BCT8" s="197"/>
      <c r="BCU8" s="197"/>
      <c r="BCV8" s="197"/>
      <c r="BCW8" s="197"/>
      <c r="BCX8" s="197"/>
      <c r="BCY8" s="197"/>
      <c r="BCZ8" s="197"/>
      <c r="BDA8" s="197"/>
      <c r="BDB8" s="197"/>
      <c r="BDC8" s="197"/>
      <c r="BDD8" s="197"/>
      <c r="BDE8" s="197"/>
      <c r="BDF8" s="197"/>
      <c r="BDG8" s="197"/>
      <c r="BDH8" s="197"/>
      <c r="BDI8" s="197"/>
      <c r="BDJ8" s="197"/>
      <c r="BDK8" s="197"/>
      <c r="BDL8" s="197"/>
      <c r="BDM8" s="197"/>
      <c r="BDN8" s="197"/>
      <c r="BDO8" s="197"/>
      <c r="BDP8" s="197"/>
      <c r="BDQ8" s="197"/>
      <c r="BDR8" s="197"/>
      <c r="BDS8" s="197"/>
      <c r="BDT8" s="197"/>
      <c r="BDU8" s="197"/>
      <c r="BDV8" s="197"/>
      <c r="BDW8" s="197"/>
      <c r="BDX8" s="197"/>
      <c r="BDY8" s="197"/>
      <c r="BDZ8" s="197"/>
      <c r="BEA8" s="197"/>
      <c r="BEB8" s="197"/>
      <c r="BEC8" s="197"/>
      <c r="BED8" s="197"/>
      <c r="BEE8" s="197"/>
      <c r="BEF8" s="197"/>
      <c r="BEG8" s="197"/>
      <c r="BEH8" s="197"/>
      <c r="BEI8" s="197"/>
      <c r="BEJ8" s="197"/>
      <c r="BEK8" s="197"/>
      <c r="BEL8" s="197"/>
      <c r="BEM8" s="197"/>
      <c r="BEN8" s="197"/>
      <c r="BEO8" s="197"/>
      <c r="BEP8" s="197"/>
      <c r="BEQ8" s="197"/>
      <c r="BER8" s="197"/>
      <c r="BES8" s="197"/>
      <c r="BET8" s="197"/>
      <c r="BEU8" s="197"/>
      <c r="BEV8" s="197"/>
      <c r="BEW8" s="197"/>
      <c r="BEX8" s="197"/>
      <c r="BEY8" s="197"/>
      <c r="BEZ8" s="197"/>
      <c r="BFA8" s="197"/>
      <c r="BFB8" s="197"/>
      <c r="BFC8" s="197"/>
      <c r="BFD8" s="197"/>
      <c r="BFE8" s="197"/>
      <c r="BFF8" s="197"/>
      <c r="BFG8" s="197"/>
      <c r="BFH8" s="197"/>
      <c r="BFI8" s="197"/>
      <c r="BFJ8" s="197"/>
      <c r="BFK8" s="197"/>
      <c r="BFL8" s="197"/>
      <c r="BFM8" s="197"/>
      <c r="BFN8" s="197"/>
      <c r="BFO8" s="197"/>
      <c r="BFP8" s="197"/>
      <c r="BFQ8" s="197"/>
      <c r="BFR8" s="197"/>
      <c r="BFS8" s="197"/>
      <c r="BFT8" s="197"/>
      <c r="BFU8" s="197"/>
      <c r="BFV8" s="197"/>
      <c r="BFW8" s="197"/>
      <c r="BFX8" s="197"/>
      <c r="BFY8" s="197"/>
      <c r="BFZ8" s="197"/>
      <c r="BGA8" s="197"/>
      <c r="BGB8" s="197"/>
      <c r="BGC8" s="197"/>
      <c r="BGD8" s="197"/>
      <c r="BGE8" s="197"/>
      <c r="BGF8" s="197"/>
      <c r="BGG8" s="197"/>
      <c r="BGH8" s="197"/>
      <c r="BGI8" s="197"/>
      <c r="BGJ8" s="197"/>
      <c r="BGK8" s="197"/>
      <c r="BGL8" s="197"/>
      <c r="BGM8" s="197"/>
      <c r="BGN8" s="197"/>
      <c r="BGO8" s="197"/>
      <c r="BGP8" s="197"/>
      <c r="BGQ8" s="197"/>
      <c r="BGR8" s="197"/>
      <c r="BGS8" s="197"/>
      <c r="BGT8" s="197"/>
      <c r="BGU8" s="197"/>
      <c r="BGV8" s="197"/>
      <c r="BGW8" s="197"/>
      <c r="BGX8" s="197"/>
      <c r="BGY8" s="197"/>
      <c r="BGZ8" s="197"/>
      <c r="BHA8" s="197"/>
      <c r="BHB8" s="197"/>
      <c r="BHC8" s="197"/>
      <c r="BHD8" s="197"/>
      <c r="BHE8" s="197"/>
      <c r="BHF8" s="197"/>
      <c r="BHG8" s="197"/>
      <c r="BHH8" s="197"/>
      <c r="BHI8" s="197"/>
      <c r="BHJ8" s="197"/>
      <c r="BHK8" s="197"/>
      <c r="BHL8" s="197"/>
      <c r="BHM8" s="197"/>
      <c r="BHN8" s="197"/>
      <c r="BHO8" s="197"/>
      <c r="BHP8" s="197"/>
      <c r="BHQ8" s="197"/>
      <c r="BHR8" s="197"/>
      <c r="BHS8" s="197"/>
      <c r="BHT8" s="197"/>
      <c r="BHU8" s="197"/>
      <c r="BHV8" s="197"/>
      <c r="BHW8" s="197"/>
      <c r="BHX8" s="197"/>
      <c r="BHY8" s="197"/>
      <c r="BHZ8" s="197"/>
      <c r="BIA8" s="197"/>
      <c r="BIB8" s="197"/>
      <c r="BIC8" s="197"/>
      <c r="BID8" s="197"/>
      <c r="BIE8" s="197"/>
      <c r="BIF8" s="197"/>
      <c r="BIG8" s="197"/>
      <c r="BIH8" s="197"/>
      <c r="BII8" s="197"/>
      <c r="BIJ8" s="197"/>
      <c r="BIK8" s="197"/>
      <c r="BIL8" s="197"/>
      <c r="BIM8" s="197"/>
      <c r="BIN8" s="197"/>
      <c r="BIO8" s="197"/>
      <c r="BIP8" s="197"/>
      <c r="BIQ8" s="197"/>
      <c r="BIR8" s="197"/>
      <c r="BIS8" s="197"/>
      <c r="BIT8" s="197"/>
      <c r="BIU8" s="197"/>
      <c r="BIV8" s="197"/>
      <c r="BIW8" s="197"/>
      <c r="BIX8" s="197"/>
      <c r="BIY8" s="197"/>
      <c r="BIZ8" s="197"/>
      <c r="BJA8" s="197"/>
      <c r="BJB8" s="197"/>
      <c r="BJC8" s="197"/>
      <c r="BJD8" s="197"/>
      <c r="BJE8" s="197"/>
      <c r="BJF8" s="197"/>
      <c r="BJG8" s="197"/>
      <c r="BJH8" s="197"/>
      <c r="BJI8" s="197"/>
      <c r="BJJ8" s="197"/>
      <c r="BJK8" s="197"/>
      <c r="BJL8" s="197"/>
      <c r="BJM8" s="197"/>
      <c r="BJN8" s="197"/>
      <c r="BJO8" s="197"/>
      <c r="BJP8" s="197"/>
      <c r="BJQ8" s="197"/>
      <c r="BJR8" s="197"/>
      <c r="BJS8" s="197"/>
      <c r="BJT8" s="197"/>
      <c r="BJU8" s="197"/>
      <c r="BJV8" s="197"/>
      <c r="BJW8" s="197"/>
      <c r="BJX8" s="197"/>
      <c r="BJY8" s="197"/>
      <c r="BJZ8" s="197"/>
      <c r="BKA8" s="197"/>
      <c r="BKB8" s="197"/>
      <c r="BKC8" s="197"/>
      <c r="BKD8" s="197"/>
      <c r="BKE8" s="197"/>
      <c r="BKF8" s="197"/>
      <c r="BKG8" s="197"/>
      <c r="BKH8" s="197"/>
      <c r="BKI8" s="197"/>
      <c r="BKJ8" s="197"/>
      <c r="BKK8" s="197"/>
      <c r="BKL8" s="197"/>
      <c r="BKM8" s="197"/>
      <c r="BKN8" s="197"/>
      <c r="BKO8" s="197"/>
      <c r="BKP8" s="197"/>
      <c r="BKQ8" s="197"/>
      <c r="BKR8" s="197"/>
      <c r="BKS8" s="197"/>
      <c r="BKT8" s="197"/>
      <c r="BKU8" s="197"/>
      <c r="BKV8" s="197"/>
      <c r="BKW8" s="197"/>
      <c r="BKX8" s="197"/>
      <c r="BKY8" s="197"/>
      <c r="BKZ8" s="197"/>
      <c r="BLA8" s="197"/>
      <c r="BLB8" s="197"/>
      <c r="BLC8" s="197"/>
      <c r="BLD8" s="197"/>
      <c r="BLE8" s="197"/>
      <c r="BLF8" s="197"/>
      <c r="BLG8" s="197"/>
      <c r="BLH8" s="197"/>
      <c r="BLI8" s="197"/>
      <c r="BLJ8" s="197"/>
      <c r="BLK8" s="197"/>
      <c r="BLL8" s="197"/>
      <c r="BLM8" s="197"/>
      <c r="BLN8" s="197"/>
      <c r="BLO8" s="197"/>
      <c r="BLP8" s="197"/>
      <c r="BLQ8" s="197"/>
      <c r="BLR8" s="197"/>
      <c r="BLS8" s="197"/>
      <c r="BLT8" s="197"/>
      <c r="BLU8" s="197"/>
      <c r="BLV8" s="197"/>
      <c r="BLW8" s="197"/>
      <c r="BLX8" s="197"/>
      <c r="BLY8" s="197"/>
      <c r="BLZ8" s="197"/>
      <c r="BMA8" s="197"/>
      <c r="BMB8" s="197"/>
      <c r="BMC8" s="197"/>
      <c r="BMD8" s="197"/>
      <c r="BME8" s="197"/>
      <c r="BMF8" s="197"/>
      <c r="BMG8" s="197"/>
      <c r="BMH8" s="197"/>
      <c r="BMI8" s="197"/>
      <c r="BMJ8" s="197"/>
      <c r="BMK8" s="197"/>
      <c r="BML8" s="197"/>
      <c r="BMM8" s="197"/>
      <c r="BMN8" s="197"/>
      <c r="BMO8" s="197"/>
      <c r="BMP8" s="197"/>
      <c r="BMQ8" s="197"/>
      <c r="BMR8" s="197"/>
      <c r="BMS8" s="197"/>
      <c r="BMT8" s="197"/>
      <c r="BMU8" s="197"/>
      <c r="BMV8" s="197"/>
      <c r="BMW8" s="197"/>
      <c r="BMX8" s="197"/>
      <c r="BMY8" s="197"/>
      <c r="BMZ8" s="197"/>
      <c r="BNA8" s="197"/>
      <c r="BNB8" s="197"/>
      <c r="BNC8" s="197"/>
      <c r="BND8" s="197"/>
      <c r="BNE8" s="197"/>
      <c r="BNF8" s="197"/>
      <c r="BNG8" s="197"/>
      <c r="BNH8" s="197"/>
      <c r="BNI8" s="197"/>
      <c r="BNJ8" s="197"/>
      <c r="BNK8" s="197"/>
      <c r="BNL8" s="197"/>
      <c r="BNM8" s="197"/>
      <c r="BNN8" s="197"/>
      <c r="BNO8" s="197"/>
      <c r="BNP8" s="197"/>
      <c r="BNQ8" s="197"/>
      <c r="BNR8" s="197"/>
      <c r="BNS8" s="197"/>
      <c r="BNT8" s="197"/>
      <c r="BNU8" s="197"/>
      <c r="BNV8" s="197"/>
      <c r="BNW8" s="197"/>
      <c r="BNX8" s="197"/>
      <c r="BNY8" s="197"/>
      <c r="BNZ8" s="197"/>
      <c r="BOA8" s="197"/>
      <c r="BOB8" s="197"/>
      <c r="BOC8" s="197"/>
      <c r="BOD8" s="197"/>
      <c r="BOE8" s="197"/>
      <c r="BOF8" s="197"/>
      <c r="BOG8" s="197"/>
      <c r="BOH8" s="197"/>
      <c r="BOI8" s="197"/>
      <c r="BOJ8" s="197"/>
      <c r="BOK8" s="197"/>
      <c r="BOL8" s="197"/>
      <c r="BOM8" s="197"/>
      <c r="BON8" s="197"/>
      <c r="BOO8" s="197"/>
      <c r="BOP8" s="197"/>
      <c r="BOQ8" s="197"/>
      <c r="BOR8" s="197"/>
      <c r="BOS8" s="197"/>
      <c r="BOT8" s="197"/>
      <c r="BOU8" s="197"/>
      <c r="BOV8" s="197"/>
      <c r="BOW8" s="197"/>
      <c r="BOX8" s="197"/>
      <c r="BOY8" s="197"/>
      <c r="BOZ8" s="197"/>
      <c r="BPA8" s="197"/>
      <c r="BPB8" s="197"/>
      <c r="BPC8" s="197"/>
      <c r="BPD8" s="197"/>
      <c r="BPE8" s="197"/>
      <c r="BPF8" s="197"/>
      <c r="BPG8" s="197"/>
      <c r="BPH8" s="197"/>
      <c r="BPI8" s="197"/>
      <c r="BPJ8" s="197"/>
      <c r="BPK8" s="197"/>
      <c r="BPL8" s="197"/>
      <c r="BPM8" s="197"/>
      <c r="BPN8" s="197"/>
      <c r="BPO8" s="197"/>
      <c r="BPP8" s="197"/>
      <c r="BPQ8" s="197"/>
      <c r="BPR8" s="197"/>
      <c r="BPS8" s="197"/>
      <c r="BPT8" s="197"/>
      <c r="BPU8" s="197"/>
      <c r="BPV8" s="197"/>
      <c r="BPW8" s="197"/>
      <c r="BPX8" s="197"/>
      <c r="BPY8" s="197"/>
      <c r="BPZ8" s="197"/>
      <c r="BQA8" s="197"/>
      <c r="BQB8" s="197"/>
      <c r="BQC8" s="197"/>
      <c r="BQD8" s="197"/>
      <c r="BQE8" s="197"/>
      <c r="BQF8" s="197"/>
      <c r="BQG8" s="197"/>
      <c r="BQH8" s="197"/>
      <c r="BQI8" s="197"/>
      <c r="BQJ8" s="197"/>
      <c r="BQK8" s="197"/>
      <c r="BQL8" s="197"/>
      <c r="BQM8" s="197"/>
      <c r="BQN8" s="197"/>
      <c r="BQO8" s="197"/>
      <c r="BQP8" s="197"/>
      <c r="BQQ8" s="197"/>
      <c r="BQR8" s="197"/>
      <c r="BQS8" s="197"/>
      <c r="BQT8" s="197"/>
      <c r="BQU8" s="197"/>
      <c r="BQV8" s="197"/>
      <c r="BQW8" s="197"/>
      <c r="BQX8" s="197"/>
      <c r="BQY8" s="197"/>
      <c r="BQZ8" s="197"/>
      <c r="BRA8" s="197"/>
      <c r="BRB8" s="197"/>
      <c r="BRC8" s="197"/>
      <c r="BRD8" s="197"/>
      <c r="BRE8" s="197"/>
      <c r="BRF8" s="197"/>
      <c r="BRG8" s="197"/>
      <c r="BRH8" s="197"/>
      <c r="BRI8" s="197"/>
      <c r="BRJ8" s="197"/>
      <c r="BRK8" s="197"/>
      <c r="BRL8" s="197"/>
      <c r="BRM8" s="197"/>
      <c r="BRN8" s="197"/>
      <c r="BRO8" s="197"/>
      <c r="BRP8" s="197"/>
      <c r="BRQ8" s="197"/>
      <c r="BRR8" s="197"/>
      <c r="BRS8" s="197"/>
      <c r="BRT8" s="197"/>
      <c r="BRU8" s="197"/>
      <c r="BRV8" s="197"/>
      <c r="BRW8" s="197"/>
      <c r="BRX8" s="197"/>
      <c r="BRY8" s="197"/>
      <c r="BRZ8" s="197"/>
      <c r="BSA8" s="197"/>
      <c r="BSB8" s="197"/>
      <c r="BSC8" s="197"/>
      <c r="BSD8" s="197"/>
      <c r="BSE8" s="197"/>
      <c r="BSF8" s="197"/>
      <c r="BSG8" s="197"/>
      <c r="BSH8" s="197"/>
      <c r="BSI8" s="197"/>
      <c r="BSJ8" s="197"/>
      <c r="BSK8" s="197"/>
      <c r="BSL8" s="197"/>
      <c r="BSM8" s="197"/>
      <c r="BSN8" s="197"/>
      <c r="BSO8" s="197"/>
      <c r="BSP8" s="197"/>
      <c r="BSQ8" s="197"/>
      <c r="BSR8" s="197"/>
      <c r="BSS8" s="197"/>
      <c r="BST8" s="197"/>
      <c r="BSU8" s="197"/>
      <c r="BSV8" s="197"/>
      <c r="BSW8" s="197"/>
      <c r="BSX8" s="197"/>
      <c r="BSY8" s="197"/>
      <c r="BSZ8" s="197"/>
      <c r="BTA8" s="197"/>
      <c r="BTB8" s="197"/>
      <c r="BTC8" s="197"/>
      <c r="BTD8" s="197"/>
      <c r="BTE8" s="197"/>
      <c r="BTF8" s="197"/>
      <c r="BTG8" s="197"/>
      <c r="BTH8" s="197"/>
      <c r="BTI8" s="197"/>
      <c r="BTJ8" s="197"/>
      <c r="BTK8" s="197"/>
      <c r="BTL8" s="197"/>
      <c r="BTM8" s="197"/>
      <c r="BTN8" s="197"/>
      <c r="BTO8" s="197"/>
      <c r="BTP8" s="197"/>
      <c r="BTQ8" s="197"/>
      <c r="BTR8" s="197"/>
      <c r="BTS8" s="197"/>
      <c r="BTT8" s="197"/>
      <c r="BTU8" s="197"/>
      <c r="BTV8" s="197"/>
      <c r="BTW8" s="197"/>
      <c r="BTX8" s="197"/>
      <c r="BTY8" s="197"/>
      <c r="BTZ8" s="197"/>
      <c r="BUA8" s="197"/>
      <c r="BUB8" s="197"/>
      <c r="BUC8" s="197"/>
      <c r="BUD8" s="197"/>
      <c r="BUE8" s="197"/>
      <c r="BUF8" s="197"/>
      <c r="BUG8" s="197"/>
      <c r="BUH8" s="197"/>
      <c r="BUI8" s="197"/>
      <c r="BUJ8" s="197"/>
      <c r="BUK8" s="197"/>
      <c r="BUL8" s="197"/>
      <c r="BUM8" s="197"/>
      <c r="BUN8" s="197"/>
      <c r="BUO8" s="197"/>
      <c r="BUP8" s="197"/>
      <c r="BUQ8" s="197"/>
      <c r="BUR8" s="197"/>
      <c r="BUS8" s="197"/>
      <c r="BUT8" s="197"/>
      <c r="BUU8" s="197"/>
      <c r="BUV8" s="197"/>
      <c r="BUW8" s="197"/>
      <c r="BUX8" s="197"/>
      <c r="BUY8" s="197"/>
      <c r="BUZ8" s="197"/>
      <c r="BVA8" s="197"/>
      <c r="BVB8" s="197"/>
      <c r="BVC8" s="197"/>
      <c r="BVD8" s="197"/>
      <c r="BVE8" s="197"/>
      <c r="BVF8" s="197"/>
      <c r="BVG8" s="197"/>
      <c r="BVH8" s="197"/>
      <c r="BVI8" s="197"/>
      <c r="BVJ8" s="197"/>
      <c r="BVK8" s="197"/>
      <c r="BVL8" s="197"/>
      <c r="BVM8" s="197"/>
      <c r="BVN8" s="197"/>
      <c r="BVO8" s="197"/>
      <c r="BVP8" s="197"/>
      <c r="BVQ8" s="197"/>
      <c r="BVR8" s="197"/>
      <c r="BVS8" s="197"/>
      <c r="BVT8" s="197"/>
      <c r="BVU8" s="197"/>
      <c r="BVV8" s="197"/>
      <c r="BVW8" s="197"/>
      <c r="BVX8" s="197"/>
      <c r="BVY8" s="197"/>
      <c r="BVZ8" s="197"/>
      <c r="BWA8" s="197"/>
      <c r="BWB8" s="197"/>
      <c r="BWC8" s="197"/>
      <c r="BWD8" s="197"/>
      <c r="BWE8" s="197"/>
      <c r="BWF8" s="197"/>
      <c r="BWG8" s="197"/>
      <c r="BWH8" s="197"/>
      <c r="BWI8" s="197"/>
      <c r="BWJ8" s="197"/>
      <c r="BWK8" s="197"/>
      <c r="BWL8" s="197"/>
      <c r="BWM8" s="197"/>
      <c r="BWN8" s="197"/>
      <c r="BWO8" s="197"/>
      <c r="BWP8" s="197"/>
      <c r="BWQ8" s="197"/>
      <c r="BWR8" s="197"/>
      <c r="BWS8" s="197"/>
      <c r="BWT8" s="197"/>
      <c r="BWU8" s="197"/>
      <c r="BWV8" s="197"/>
      <c r="BWW8" s="197"/>
      <c r="BWX8" s="197"/>
      <c r="BWY8" s="197"/>
      <c r="BWZ8" s="197"/>
      <c r="BXA8" s="197"/>
      <c r="BXB8" s="197"/>
      <c r="BXC8" s="197"/>
      <c r="BXD8" s="197"/>
      <c r="BXE8" s="197"/>
      <c r="BXF8" s="197"/>
      <c r="BXG8" s="197"/>
      <c r="BXH8" s="197"/>
      <c r="BXI8" s="197"/>
      <c r="BXJ8" s="197"/>
      <c r="BXK8" s="197"/>
      <c r="BXL8" s="197"/>
      <c r="BXM8" s="197"/>
      <c r="BXN8" s="197"/>
      <c r="BXO8" s="197"/>
      <c r="BXP8" s="197"/>
      <c r="BXQ8" s="197"/>
      <c r="BXR8" s="197"/>
      <c r="BXS8" s="197"/>
      <c r="BXT8" s="197"/>
      <c r="BXU8" s="197"/>
      <c r="BXV8" s="197"/>
      <c r="BXW8" s="197"/>
      <c r="BXX8" s="197"/>
      <c r="BXY8" s="197"/>
      <c r="BXZ8" s="197"/>
      <c r="BYA8" s="197"/>
      <c r="BYB8" s="197"/>
      <c r="BYC8" s="197"/>
      <c r="BYD8" s="197"/>
      <c r="BYE8" s="197"/>
      <c r="BYF8" s="197"/>
      <c r="BYG8" s="197"/>
    </row>
    <row r="9" spans="1:2009" s="100" customFormat="1" ht="12.75" customHeight="1" thickBot="1" x14ac:dyDescent="0.3">
      <c r="A9" s="97"/>
      <c r="B9" s="97"/>
      <c r="C9" s="164"/>
      <c r="D9" s="164"/>
      <c r="E9" s="164"/>
      <c r="F9" s="164"/>
      <c r="G9" s="643"/>
      <c r="H9" s="98"/>
      <c r="I9" s="75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70</v>
      </c>
      <c r="B10" s="131"/>
      <c r="C10" s="165"/>
      <c r="D10" s="165"/>
      <c r="E10" s="166"/>
      <c r="F10" s="166"/>
      <c r="G10" s="644"/>
      <c r="H10" s="93"/>
      <c r="I10" s="555"/>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46</v>
      </c>
      <c r="C11" s="167"/>
      <c r="D11" s="167"/>
      <c r="E11" s="168"/>
      <c r="F11" s="168"/>
      <c r="G11" s="645">
        <f>ROUND(SUM(C11:F11),5)</f>
        <v>0</v>
      </c>
      <c r="H11" s="93"/>
      <c r="I11" s="555"/>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customHeight="1" x14ac:dyDescent="0.25">
      <c r="A12" s="132"/>
      <c r="B12" s="102" t="s">
        <v>474</v>
      </c>
      <c r="C12" s="167"/>
      <c r="D12" s="167"/>
      <c r="E12" s="168"/>
      <c r="F12" s="168">
        <v>15571.18</v>
      </c>
      <c r="G12" s="645">
        <f>ROUND(SUM(C12:F12),5)</f>
        <v>15571.18</v>
      </c>
      <c r="H12" s="93"/>
      <c r="I12" s="555"/>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475</v>
      </c>
      <c r="C13" s="167">
        <v>12243.58</v>
      </c>
      <c r="D13" s="167">
        <v>20833.939999999999</v>
      </c>
      <c r="E13" s="168">
        <v>13361.21</v>
      </c>
      <c r="F13" s="168">
        <f>8444.84+56266.96</f>
        <v>64711.8</v>
      </c>
      <c r="G13" s="645">
        <f>ROUND(SUM(C13:F13),5)</f>
        <v>111150.53</v>
      </c>
      <c r="H13" s="93"/>
      <c r="I13" s="555"/>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2" customFormat="1" ht="24.95" customHeight="1" thickBot="1" x14ac:dyDescent="0.3">
      <c r="A14" s="199"/>
      <c r="B14" s="200" t="s">
        <v>140</v>
      </c>
      <c r="C14" s="201">
        <f>ROUND(SUM(C10:C13),5)</f>
        <v>12243.58</v>
      </c>
      <c r="D14" s="201">
        <f>SUM(D11:D13)</f>
        <v>20833.939999999999</v>
      </c>
      <c r="E14" s="201">
        <f>SUM(E11:E13)</f>
        <v>13361.21</v>
      </c>
      <c r="F14" s="201">
        <f>SUM(F11:F13)</f>
        <v>80282.98000000001</v>
      </c>
      <c r="G14" s="769">
        <f>ROUND(SUM(G10:G13),5)</f>
        <v>126721.71</v>
      </c>
      <c r="H14" s="196"/>
      <c r="I14" s="555"/>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c r="HO14" s="197"/>
      <c r="HP14" s="197"/>
      <c r="HQ14" s="197"/>
      <c r="HR14" s="197"/>
      <c r="HS14" s="197"/>
      <c r="HT14" s="197"/>
      <c r="HU14" s="197"/>
      <c r="HV14" s="197"/>
      <c r="HW14" s="197"/>
      <c r="HX14" s="197"/>
      <c r="HY14" s="197"/>
      <c r="HZ14" s="197"/>
      <c r="IA14" s="197"/>
      <c r="IB14" s="197"/>
      <c r="IC14" s="197"/>
      <c r="ID14" s="197"/>
      <c r="IE14" s="197"/>
      <c r="IF14" s="197"/>
      <c r="IG14" s="197"/>
      <c r="IH14" s="197"/>
      <c r="II14" s="197"/>
      <c r="IJ14" s="197"/>
      <c r="IK14" s="197"/>
      <c r="IL14" s="197"/>
      <c r="IM14" s="197"/>
      <c r="IN14" s="197"/>
      <c r="IO14" s="197"/>
      <c r="IP14" s="197"/>
      <c r="IQ14" s="197"/>
      <c r="IR14" s="197"/>
      <c r="IS14" s="197"/>
      <c r="IT14" s="197"/>
      <c r="IU14" s="197"/>
      <c r="IV14" s="197"/>
      <c r="IW14" s="197"/>
      <c r="IX14" s="197"/>
      <c r="IY14" s="197"/>
      <c r="IZ14" s="197"/>
      <c r="JA14" s="197"/>
      <c r="JB14" s="197"/>
      <c r="JC14" s="197"/>
      <c r="JD14" s="197"/>
      <c r="JE14" s="197"/>
      <c r="JF14" s="197"/>
      <c r="JG14" s="197"/>
      <c r="JH14" s="197"/>
      <c r="JI14" s="197"/>
      <c r="JJ14" s="197"/>
      <c r="JK14" s="197"/>
      <c r="JL14" s="197"/>
      <c r="JM14" s="197"/>
      <c r="JN14" s="197"/>
      <c r="JO14" s="197"/>
      <c r="JP14" s="197"/>
      <c r="JQ14" s="197"/>
      <c r="JR14" s="197"/>
      <c r="JS14" s="197"/>
      <c r="JT14" s="197"/>
      <c r="JU14" s="197"/>
      <c r="JV14" s="197"/>
      <c r="JW14" s="197"/>
      <c r="JX14" s="197"/>
      <c r="JY14" s="197"/>
      <c r="JZ14" s="197"/>
      <c r="KA14" s="197"/>
      <c r="KB14" s="197"/>
      <c r="KC14" s="197"/>
      <c r="KD14" s="197"/>
      <c r="KE14" s="197"/>
      <c r="KF14" s="197"/>
      <c r="KG14" s="197"/>
      <c r="KH14" s="197"/>
      <c r="KI14" s="197"/>
      <c r="KJ14" s="197"/>
      <c r="KK14" s="197"/>
      <c r="KL14" s="197"/>
      <c r="KM14" s="197"/>
      <c r="KN14" s="197"/>
      <c r="KO14" s="197"/>
      <c r="KP14" s="197"/>
      <c r="KQ14" s="197"/>
      <c r="KR14" s="197"/>
      <c r="KS14" s="197"/>
      <c r="KT14" s="197"/>
      <c r="KU14" s="197"/>
      <c r="KV14" s="197"/>
      <c r="KW14" s="197"/>
      <c r="KX14" s="197"/>
      <c r="KY14" s="197"/>
      <c r="KZ14" s="197"/>
      <c r="LA14" s="197"/>
      <c r="LB14" s="197"/>
      <c r="LC14" s="197"/>
      <c r="LD14" s="197"/>
      <c r="LE14" s="197"/>
      <c r="LF14" s="197"/>
      <c r="LG14" s="197"/>
      <c r="LH14" s="197"/>
      <c r="LI14" s="197"/>
      <c r="LJ14" s="197"/>
      <c r="LK14" s="197"/>
      <c r="LL14" s="197"/>
      <c r="LM14" s="197"/>
      <c r="LN14" s="197"/>
      <c r="LO14" s="197"/>
      <c r="LP14" s="197"/>
      <c r="LQ14" s="197"/>
      <c r="LR14" s="197"/>
      <c r="LS14" s="197"/>
      <c r="LT14" s="197"/>
      <c r="LU14" s="197"/>
      <c r="LV14" s="197"/>
      <c r="LW14" s="197"/>
      <c r="LX14" s="197"/>
      <c r="LY14" s="197"/>
      <c r="LZ14" s="197"/>
      <c r="MA14" s="197"/>
      <c r="MB14" s="197"/>
      <c r="MC14" s="197"/>
      <c r="MD14" s="197"/>
      <c r="ME14" s="197"/>
      <c r="MF14" s="197"/>
      <c r="MG14" s="197"/>
      <c r="MH14" s="197"/>
      <c r="MI14" s="197"/>
      <c r="MJ14" s="197"/>
      <c r="MK14" s="197"/>
      <c r="ML14" s="197"/>
      <c r="MM14" s="197"/>
      <c r="MN14" s="197"/>
      <c r="MO14" s="197"/>
      <c r="MP14" s="197"/>
      <c r="MQ14" s="197"/>
      <c r="MR14" s="197"/>
      <c r="MS14" s="197"/>
      <c r="MT14" s="197"/>
      <c r="MU14" s="197"/>
      <c r="MV14" s="197"/>
      <c r="MW14" s="197"/>
      <c r="MX14" s="197"/>
      <c r="MY14" s="197"/>
      <c r="MZ14" s="197"/>
      <c r="NA14" s="197"/>
      <c r="NB14" s="197"/>
      <c r="NC14" s="197"/>
      <c r="ND14" s="197"/>
      <c r="NE14" s="197"/>
      <c r="NF14" s="197"/>
      <c r="NG14" s="197"/>
      <c r="NH14" s="197"/>
      <c r="NI14" s="197"/>
      <c r="NJ14" s="197"/>
      <c r="NK14" s="197"/>
      <c r="NL14" s="197"/>
      <c r="NM14" s="197"/>
      <c r="NN14" s="197"/>
      <c r="NO14" s="197"/>
      <c r="NP14" s="197"/>
      <c r="NQ14" s="197"/>
      <c r="NR14" s="197"/>
      <c r="NS14" s="197"/>
      <c r="NT14" s="197"/>
      <c r="NU14" s="197"/>
      <c r="NV14" s="197"/>
      <c r="NW14" s="197"/>
      <c r="NX14" s="197"/>
      <c r="NY14" s="197"/>
      <c r="NZ14" s="197"/>
      <c r="OA14" s="197"/>
      <c r="OB14" s="197"/>
      <c r="OC14" s="197"/>
      <c r="OD14" s="197"/>
      <c r="OE14" s="197"/>
      <c r="OF14" s="197"/>
      <c r="OG14" s="197"/>
      <c r="OH14" s="197"/>
      <c r="OI14" s="197"/>
      <c r="OJ14" s="197"/>
      <c r="OK14" s="197"/>
      <c r="OL14" s="197"/>
      <c r="OM14" s="197"/>
      <c r="ON14" s="197"/>
      <c r="OO14" s="197"/>
      <c r="OP14" s="197"/>
      <c r="OQ14" s="197"/>
      <c r="OR14" s="197"/>
      <c r="OS14" s="197"/>
      <c r="OT14" s="197"/>
      <c r="OU14" s="197"/>
      <c r="OV14" s="197"/>
      <c r="OW14" s="197"/>
      <c r="OX14" s="197"/>
      <c r="OY14" s="197"/>
      <c r="OZ14" s="197"/>
      <c r="PA14" s="197"/>
      <c r="PB14" s="197"/>
      <c r="PC14" s="197"/>
      <c r="PD14" s="197"/>
      <c r="PE14" s="197"/>
      <c r="PF14" s="197"/>
      <c r="PG14" s="197"/>
      <c r="PH14" s="197"/>
      <c r="PI14" s="197"/>
      <c r="PJ14" s="197"/>
      <c r="PK14" s="197"/>
      <c r="PL14" s="197"/>
      <c r="PM14" s="197"/>
      <c r="PN14" s="197"/>
      <c r="PO14" s="197"/>
      <c r="PP14" s="197"/>
      <c r="PQ14" s="197"/>
      <c r="PR14" s="197"/>
      <c r="PS14" s="197"/>
      <c r="PT14" s="197"/>
      <c r="PU14" s="197"/>
      <c r="PV14" s="197"/>
      <c r="PW14" s="197"/>
      <c r="PX14" s="197"/>
      <c r="PY14" s="197"/>
      <c r="PZ14" s="197"/>
      <c r="QA14" s="197"/>
      <c r="QB14" s="197"/>
      <c r="QC14" s="197"/>
      <c r="QD14" s="197"/>
      <c r="QE14" s="197"/>
      <c r="QF14" s="197"/>
      <c r="QG14" s="197"/>
      <c r="QH14" s="197"/>
      <c r="QI14" s="197"/>
      <c r="QJ14" s="197"/>
      <c r="QK14" s="197"/>
      <c r="QL14" s="197"/>
      <c r="QM14" s="197"/>
      <c r="QN14" s="197"/>
      <c r="QO14" s="197"/>
      <c r="QP14" s="197"/>
      <c r="QQ14" s="197"/>
      <c r="QR14" s="197"/>
      <c r="QS14" s="197"/>
      <c r="QT14" s="197"/>
      <c r="QU14" s="197"/>
      <c r="QV14" s="197"/>
      <c r="QW14" s="197"/>
      <c r="QX14" s="197"/>
      <c r="QY14" s="197"/>
      <c r="QZ14" s="197"/>
      <c r="RA14" s="197"/>
      <c r="RB14" s="197"/>
      <c r="RC14" s="197"/>
      <c r="RD14" s="197"/>
      <c r="RE14" s="197"/>
      <c r="RF14" s="197"/>
      <c r="RG14" s="197"/>
      <c r="RH14" s="197"/>
      <c r="RI14" s="197"/>
      <c r="RJ14" s="197"/>
      <c r="RK14" s="197"/>
      <c r="RL14" s="197"/>
      <c r="RM14" s="197"/>
      <c r="RN14" s="197"/>
      <c r="RO14" s="197"/>
      <c r="RP14" s="197"/>
      <c r="RQ14" s="197"/>
      <c r="RR14" s="197"/>
      <c r="RS14" s="197"/>
      <c r="RT14" s="197"/>
      <c r="RU14" s="197"/>
      <c r="RV14" s="197"/>
      <c r="RW14" s="197"/>
      <c r="RX14" s="197"/>
      <c r="RY14" s="197"/>
      <c r="RZ14" s="197"/>
      <c r="SA14" s="197"/>
      <c r="SB14" s="197"/>
      <c r="SC14" s="197"/>
      <c r="SD14" s="197"/>
      <c r="SE14" s="197"/>
      <c r="SF14" s="197"/>
      <c r="SG14" s="197"/>
      <c r="SH14" s="197"/>
      <c r="SI14" s="197"/>
      <c r="SJ14" s="197"/>
      <c r="SK14" s="197"/>
      <c r="SL14" s="197"/>
      <c r="SM14" s="197"/>
      <c r="SN14" s="197"/>
      <c r="SO14" s="197"/>
      <c r="SP14" s="197"/>
      <c r="SQ14" s="197"/>
      <c r="SR14" s="197"/>
      <c r="SS14" s="197"/>
      <c r="ST14" s="197"/>
      <c r="SU14" s="197"/>
      <c r="SV14" s="197"/>
      <c r="SW14" s="197"/>
      <c r="SX14" s="197"/>
      <c r="SY14" s="197"/>
      <c r="SZ14" s="197"/>
      <c r="TA14" s="197"/>
      <c r="TB14" s="197"/>
      <c r="TC14" s="197"/>
      <c r="TD14" s="197"/>
      <c r="TE14" s="197"/>
      <c r="TF14" s="197"/>
      <c r="TG14" s="197"/>
      <c r="TH14" s="197"/>
      <c r="TI14" s="197"/>
      <c r="TJ14" s="197"/>
      <c r="TK14" s="197"/>
      <c r="TL14" s="197"/>
      <c r="TM14" s="197"/>
      <c r="TN14" s="197"/>
      <c r="TO14" s="197"/>
      <c r="TP14" s="197"/>
      <c r="TQ14" s="197"/>
      <c r="TR14" s="197"/>
      <c r="TS14" s="197"/>
      <c r="TT14" s="197"/>
      <c r="TU14" s="197"/>
      <c r="TV14" s="197"/>
      <c r="TW14" s="197"/>
      <c r="TX14" s="197"/>
      <c r="TY14" s="197"/>
      <c r="TZ14" s="197"/>
      <c r="UA14" s="197"/>
      <c r="UB14" s="197"/>
      <c r="UC14" s="197"/>
      <c r="UD14" s="197"/>
      <c r="UE14" s="197"/>
      <c r="UF14" s="197"/>
      <c r="UG14" s="197"/>
      <c r="UH14" s="197"/>
      <c r="UI14" s="197"/>
      <c r="UJ14" s="197"/>
      <c r="UK14" s="197"/>
      <c r="UL14" s="197"/>
      <c r="UM14" s="197"/>
      <c r="UN14" s="197"/>
      <c r="UO14" s="197"/>
      <c r="UP14" s="197"/>
      <c r="UQ14" s="197"/>
      <c r="UR14" s="197"/>
      <c r="US14" s="197"/>
      <c r="UT14" s="197"/>
      <c r="UU14" s="197"/>
      <c r="UV14" s="197"/>
      <c r="UW14" s="197"/>
      <c r="UX14" s="197"/>
      <c r="UY14" s="197"/>
      <c r="UZ14" s="197"/>
      <c r="VA14" s="197"/>
      <c r="VB14" s="197"/>
      <c r="VC14" s="197"/>
      <c r="VD14" s="197"/>
      <c r="VE14" s="197"/>
      <c r="VF14" s="197"/>
      <c r="VG14" s="197"/>
      <c r="VH14" s="197"/>
      <c r="VI14" s="197"/>
      <c r="VJ14" s="197"/>
      <c r="VK14" s="197"/>
      <c r="VL14" s="197"/>
      <c r="VM14" s="197"/>
      <c r="VN14" s="197"/>
      <c r="VO14" s="197"/>
      <c r="VP14" s="197"/>
      <c r="VQ14" s="197"/>
      <c r="VR14" s="197"/>
      <c r="VS14" s="197"/>
      <c r="VT14" s="197"/>
      <c r="VU14" s="197"/>
      <c r="VV14" s="197"/>
      <c r="VW14" s="197"/>
      <c r="VX14" s="197"/>
      <c r="VY14" s="197"/>
      <c r="VZ14" s="197"/>
      <c r="WA14" s="197"/>
      <c r="WB14" s="197"/>
      <c r="WC14" s="197"/>
      <c r="WD14" s="197"/>
      <c r="WE14" s="197"/>
      <c r="WF14" s="197"/>
      <c r="WG14" s="197"/>
      <c r="WH14" s="197"/>
      <c r="WI14" s="197"/>
      <c r="WJ14" s="197"/>
      <c r="WK14" s="197"/>
      <c r="WL14" s="197"/>
      <c r="WM14" s="197"/>
      <c r="WN14" s="197"/>
      <c r="WO14" s="197"/>
      <c r="WP14" s="197"/>
      <c r="WQ14" s="197"/>
      <c r="WR14" s="197"/>
      <c r="WS14" s="197"/>
      <c r="WT14" s="197"/>
      <c r="WU14" s="197"/>
      <c r="WV14" s="197"/>
      <c r="WW14" s="197"/>
      <c r="WX14" s="197"/>
      <c r="WY14" s="197"/>
      <c r="WZ14" s="197"/>
      <c r="XA14" s="197"/>
      <c r="XB14" s="197"/>
      <c r="XC14" s="197"/>
      <c r="XD14" s="197"/>
      <c r="XE14" s="197"/>
      <c r="XF14" s="197"/>
      <c r="XG14" s="197"/>
      <c r="XH14" s="197"/>
      <c r="XI14" s="197"/>
      <c r="XJ14" s="197"/>
      <c r="XK14" s="197"/>
      <c r="XL14" s="197"/>
      <c r="XM14" s="197"/>
      <c r="XN14" s="197"/>
      <c r="XO14" s="197"/>
      <c r="XP14" s="197"/>
      <c r="XQ14" s="197"/>
      <c r="XR14" s="197"/>
      <c r="XS14" s="197"/>
      <c r="XT14" s="197"/>
      <c r="XU14" s="197"/>
      <c r="XV14" s="197"/>
      <c r="XW14" s="197"/>
      <c r="XX14" s="197"/>
      <c r="XY14" s="197"/>
      <c r="XZ14" s="197"/>
      <c r="YA14" s="197"/>
      <c r="YB14" s="197"/>
      <c r="YC14" s="197"/>
      <c r="YD14" s="197"/>
      <c r="YE14" s="197"/>
      <c r="YF14" s="197"/>
      <c r="YG14" s="197"/>
      <c r="YH14" s="197"/>
      <c r="YI14" s="197"/>
      <c r="YJ14" s="197"/>
      <c r="YK14" s="197"/>
      <c r="YL14" s="197"/>
      <c r="YM14" s="197"/>
      <c r="YN14" s="197"/>
      <c r="YO14" s="197"/>
      <c r="YP14" s="197"/>
      <c r="YQ14" s="197"/>
      <c r="YR14" s="197"/>
      <c r="YS14" s="197"/>
      <c r="YT14" s="197"/>
      <c r="YU14" s="197"/>
      <c r="YV14" s="197"/>
      <c r="YW14" s="197"/>
      <c r="YX14" s="197"/>
      <c r="YY14" s="197"/>
      <c r="YZ14" s="197"/>
      <c r="ZA14" s="197"/>
      <c r="ZB14" s="197"/>
      <c r="ZC14" s="197"/>
      <c r="ZD14" s="197"/>
      <c r="ZE14" s="197"/>
      <c r="ZF14" s="197"/>
      <c r="ZG14" s="197"/>
      <c r="ZH14" s="197"/>
      <c r="ZI14" s="197"/>
      <c r="ZJ14" s="197"/>
      <c r="ZK14" s="197"/>
      <c r="ZL14" s="197"/>
      <c r="ZM14" s="197"/>
      <c r="ZN14" s="197"/>
      <c r="ZO14" s="197"/>
      <c r="ZP14" s="197"/>
      <c r="ZQ14" s="197"/>
      <c r="ZR14" s="197"/>
      <c r="ZS14" s="197"/>
      <c r="ZT14" s="197"/>
      <c r="ZU14" s="197"/>
      <c r="ZV14" s="197"/>
      <c r="ZW14" s="197"/>
      <c r="ZX14" s="197"/>
      <c r="ZY14" s="197"/>
      <c r="ZZ14" s="197"/>
      <c r="AAA14" s="197"/>
      <c r="AAB14" s="197"/>
      <c r="AAC14" s="197"/>
      <c r="AAD14" s="197"/>
      <c r="AAE14" s="197"/>
      <c r="AAF14" s="197"/>
      <c r="AAG14" s="197"/>
      <c r="AAH14" s="197"/>
      <c r="AAI14" s="197"/>
      <c r="AAJ14" s="197"/>
      <c r="AAK14" s="197"/>
      <c r="AAL14" s="197"/>
      <c r="AAM14" s="197"/>
      <c r="AAN14" s="197"/>
      <c r="AAO14" s="197"/>
      <c r="AAP14" s="197"/>
      <c r="AAQ14" s="197"/>
      <c r="AAR14" s="197"/>
      <c r="AAS14" s="197"/>
      <c r="AAT14" s="197"/>
      <c r="AAU14" s="197"/>
      <c r="AAV14" s="197"/>
      <c r="AAW14" s="197"/>
      <c r="AAX14" s="197"/>
      <c r="AAY14" s="197"/>
      <c r="AAZ14" s="197"/>
      <c r="ABA14" s="197"/>
      <c r="ABB14" s="197"/>
      <c r="ABC14" s="197"/>
      <c r="ABD14" s="197"/>
      <c r="ABE14" s="197"/>
      <c r="ABF14" s="197"/>
      <c r="ABG14" s="197"/>
      <c r="ABH14" s="197"/>
      <c r="ABI14" s="197"/>
      <c r="ABJ14" s="197"/>
      <c r="ABK14" s="197"/>
      <c r="ABL14" s="197"/>
      <c r="ABM14" s="197"/>
      <c r="ABN14" s="197"/>
      <c r="ABO14" s="197"/>
      <c r="ABP14" s="197"/>
      <c r="ABQ14" s="197"/>
      <c r="ABR14" s="197"/>
      <c r="ABS14" s="197"/>
      <c r="ABT14" s="197"/>
      <c r="ABU14" s="197"/>
      <c r="ABV14" s="197"/>
      <c r="ABW14" s="197"/>
      <c r="ABX14" s="197"/>
      <c r="ABY14" s="197"/>
      <c r="ABZ14" s="197"/>
      <c r="ACA14" s="197"/>
      <c r="ACB14" s="197"/>
      <c r="ACC14" s="197"/>
      <c r="ACD14" s="197"/>
      <c r="ACE14" s="197"/>
      <c r="ACF14" s="197"/>
      <c r="ACG14" s="197"/>
      <c r="ACH14" s="197"/>
      <c r="ACI14" s="197"/>
      <c r="ACJ14" s="197"/>
      <c r="ACK14" s="197"/>
      <c r="ACL14" s="197"/>
      <c r="ACM14" s="197"/>
      <c r="ACN14" s="197"/>
      <c r="ACO14" s="197"/>
      <c r="ACP14" s="197"/>
      <c r="ACQ14" s="197"/>
      <c r="ACR14" s="197"/>
      <c r="ACS14" s="197"/>
      <c r="ACT14" s="197"/>
      <c r="ACU14" s="197"/>
      <c r="ACV14" s="197"/>
      <c r="ACW14" s="197"/>
      <c r="ACX14" s="197"/>
      <c r="ACY14" s="197"/>
      <c r="ACZ14" s="197"/>
      <c r="ADA14" s="197"/>
      <c r="ADB14" s="197"/>
      <c r="ADC14" s="197"/>
      <c r="ADD14" s="197"/>
      <c r="ADE14" s="197"/>
      <c r="ADF14" s="197"/>
      <c r="ADG14" s="197"/>
      <c r="ADH14" s="197"/>
      <c r="ADI14" s="197"/>
      <c r="ADJ14" s="197"/>
      <c r="ADK14" s="197"/>
      <c r="ADL14" s="197"/>
      <c r="ADM14" s="197"/>
      <c r="ADN14" s="197"/>
      <c r="ADO14" s="197"/>
      <c r="ADP14" s="197"/>
      <c r="ADQ14" s="197"/>
      <c r="ADR14" s="197"/>
      <c r="ADS14" s="197"/>
      <c r="ADT14" s="197"/>
      <c r="ADU14" s="197"/>
      <c r="ADV14" s="197"/>
      <c r="ADW14" s="197"/>
      <c r="ADX14" s="197"/>
      <c r="ADY14" s="197"/>
      <c r="ADZ14" s="197"/>
      <c r="AEA14" s="197"/>
      <c r="AEB14" s="197"/>
      <c r="AEC14" s="197"/>
      <c r="AED14" s="197"/>
      <c r="AEE14" s="197"/>
      <c r="AEF14" s="197"/>
      <c r="AEG14" s="197"/>
      <c r="AEH14" s="197"/>
      <c r="AEI14" s="197"/>
      <c r="AEJ14" s="197"/>
      <c r="AEK14" s="197"/>
      <c r="AEL14" s="197"/>
      <c r="AEM14" s="197"/>
      <c r="AEN14" s="197"/>
      <c r="AEO14" s="197"/>
      <c r="AEP14" s="197"/>
      <c r="AEQ14" s="197"/>
      <c r="AER14" s="197"/>
      <c r="AES14" s="197"/>
      <c r="AET14" s="197"/>
      <c r="AEU14" s="197"/>
      <c r="AEV14" s="197"/>
      <c r="AEW14" s="197"/>
      <c r="AEX14" s="197"/>
      <c r="AEY14" s="197"/>
      <c r="AEZ14" s="197"/>
      <c r="AFA14" s="197"/>
      <c r="AFB14" s="197"/>
      <c r="AFC14" s="197"/>
      <c r="AFD14" s="197"/>
      <c r="AFE14" s="197"/>
      <c r="AFF14" s="197"/>
      <c r="AFG14" s="197"/>
      <c r="AFH14" s="197"/>
      <c r="AFI14" s="197"/>
      <c r="AFJ14" s="197"/>
      <c r="AFK14" s="197"/>
      <c r="AFL14" s="197"/>
      <c r="AFM14" s="197"/>
      <c r="AFN14" s="197"/>
      <c r="AFO14" s="197"/>
      <c r="AFP14" s="197"/>
      <c r="AFQ14" s="197"/>
      <c r="AFR14" s="197"/>
      <c r="AFS14" s="197"/>
      <c r="AFT14" s="197"/>
      <c r="AFU14" s="197"/>
      <c r="AFV14" s="197"/>
      <c r="AFW14" s="197"/>
      <c r="AFX14" s="197"/>
      <c r="AFY14" s="197"/>
      <c r="AFZ14" s="197"/>
      <c r="AGA14" s="197"/>
      <c r="AGB14" s="197"/>
      <c r="AGC14" s="197"/>
      <c r="AGD14" s="197"/>
      <c r="AGE14" s="197"/>
      <c r="AGF14" s="197"/>
      <c r="AGG14" s="197"/>
      <c r="AGH14" s="197"/>
      <c r="AGI14" s="197"/>
      <c r="AGJ14" s="197"/>
      <c r="AGK14" s="197"/>
      <c r="AGL14" s="197"/>
      <c r="AGM14" s="197"/>
      <c r="AGN14" s="197"/>
      <c r="AGO14" s="197"/>
      <c r="AGP14" s="197"/>
      <c r="AGQ14" s="197"/>
      <c r="AGR14" s="197"/>
      <c r="AGS14" s="197"/>
      <c r="AGT14" s="197"/>
      <c r="AGU14" s="197"/>
      <c r="AGV14" s="197"/>
      <c r="AGW14" s="197"/>
      <c r="AGX14" s="197"/>
      <c r="AGY14" s="197"/>
      <c r="AGZ14" s="197"/>
      <c r="AHA14" s="197"/>
      <c r="AHB14" s="197"/>
      <c r="AHC14" s="197"/>
      <c r="AHD14" s="197"/>
      <c r="AHE14" s="197"/>
      <c r="AHF14" s="197"/>
      <c r="AHG14" s="197"/>
      <c r="AHH14" s="197"/>
      <c r="AHI14" s="197"/>
      <c r="AHJ14" s="197"/>
      <c r="AHK14" s="197"/>
      <c r="AHL14" s="197"/>
      <c r="AHM14" s="197"/>
      <c r="AHN14" s="197"/>
      <c r="AHO14" s="197"/>
      <c r="AHP14" s="197"/>
      <c r="AHQ14" s="197"/>
      <c r="AHR14" s="197"/>
      <c r="AHS14" s="197"/>
      <c r="AHT14" s="197"/>
      <c r="AHU14" s="197"/>
      <c r="AHV14" s="197"/>
      <c r="AHW14" s="197"/>
      <c r="AHX14" s="197"/>
      <c r="AHY14" s="197"/>
      <c r="AHZ14" s="197"/>
      <c r="AIA14" s="197"/>
      <c r="AIB14" s="197"/>
      <c r="AIC14" s="197"/>
      <c r="AID14" s="197"/>
      <c r="AIE14" s="197"/>
      <c r="AIF14" s="197"/>
      <c r="AIG14" s="197"/>
      <c r="AIH14" s="197"/>
      <c r="AII14" s="197"/>
      <c r="AIJ14" s="197"/>
      <c r="AIK14" s="197"/>
      <c r="AIL14" s="197"/>
      <c r="AIM14" s="197"/>
      <c r="AIN14" s="197"/>
      <c r="AIO14" s="197"/>
      <c r="AIP14" s="197"/>
      <c r="AIQ14" s="197"/>
      <c r="AIR14" s="197"/>
      <c r="AIS14" s="197"/>
      <c r="AIT14" s="197"/>
      <c r="AIU14" s="197"/>
      <c r="AIV14" s="197"/>
      <c r="AIW14" s="197"/>
      <c r="AIX14" s="197"/>
      <c r="AIY14" s="197"/>
      <c r="AIZ14" s="197"/>
      <c r="AJA14" s="197"/>
      <c r="AJB14" s="197"/>
      <c r="AJC14" s="197"/>
      <c r="AJD14" s="197"/>
      <c r="AJE14" s="197"/>
      <c r="AJF14" s="197"/>
      <c r="AJG14" s="197"/>
      <c r="AJH14" s="197"/>
      <c r="AJI14" s="197"/>
      <c r="AJJ14" s="197"/>
      <c r="AJK14" s="197"/>
      <c r="AJL14" s="197"/>
      <c r="AJM14" s="197"/>
      <c r="AJN14" s="197"/>
      <c r="AJO14" s="197"/>
      <c r="AJP14" s="197"/>
      <c r="AJQ14" s="197"/>
      <c r="AJR14" s="197"/>
      <c r="AJS14" s="197"/>
      <c r="AJT14" s="197"/>
      <c r="AJU14" s="197"/>
      <c r="AJV14" s="197"/>
      <c r="AJW14" s="197"/>
      <c r="AJX14" s="197"/>
      <c r="AJY14" s="197"/>
      <c r="AJZ14" s="197"/>
      <c r="AKA14" s="197"/>
      <c r="AKB14" s="197"/>
      <c r="AKC14" s="197"/>
      <c r="AKD14" s="197"/>
      <c r="AKE14" s="197"/>
      <c r="AKF14" s="197"/>
      <c r="AKG14" s="197"/>
      <c r="AKH14" s="197"/>
      <c r="AKI14" s="197"/>
      <c r="AKJ14" s="197"/>
      <c r="AKK14" s="197"/>
      <c r="AKL14" s="197"/>
      <c r="AKM14" s="197"/>
      <c r="AKN14" s="197"/>
      <c r="AKO14" s="197"/>
      <c r="AKP14" s="197"/>
      <c r="AKQ14" s="197"/>
      <c r="AKR14" s="197"/>
      <c r="AKS14" s="197"/>
      <c r="AKT14" s="197"/>
      <c r="AKU14" s="197"/>
      <c r="AKV14" s="197"/>
      <c r="AKW14" s="197"/>
      <c r="AKX14" s="197"/>
      <c r="AKY14" s="197"/>
      <c r="AKZ14" s="197"/>
      <c r="ALA14" s="197"/>
      <c r="ALB14" s="197"/>
      <c r="ALC14" s="197"/>
      <c r="ALD14" s="197"/>
      <c r="ALE14" s="197"/>
      <c r="ALF14" s="197"/>
      <c r="ALG14" s="197"/>
      <c r="ALH14" s="197"/>
      <c r="ALI14" s="197"/>
      <c r="ALJ14" s="197"/>
      <c r="ALK14" s="197"/>
      <c r="ALL14" s="197"/>
      <c r="ALM14" s="197"/>
      <c r="ALN14" s="197"/>
      <c r="ALO14" s="197"/>
      <c r="ALP14" s="197"/>
      <c r="ALQ14" s="197"/>
      <c r="ALR14" s="197"/>
      <c r="ALS14" s="197"/>
      <c r="ALT14" s="197"/>
      <c r="ALU14" s="197"/>
      <c r="ALV14" s="197"/>
      <c r="ALW14" s="197"/>
      <c r="ALX14" s="197"/>
      <c r="ALY14" s="197"/>
      <c r="ALZ14" s="197"/>
      <c r="AMA14" s="197"/>
      <c r="AMB14" s="197"/>
      <c r="AMC14" s="197"/>
      <c r="AMD14" s="197"/>
      <c r="AME14" s="197"/>
      <c r="AMF14" s="197"/>
      <c r="AMG14" s="197"/>
      <c r="AMH14" s="197"/>
      <c r="AMI14" s="197"/>
      <c r="AMJ14" s="197"/>
      <c r="AMK14" s="197"/>
      <c r="AML14" s="197"/>
      <c r="AMM14" s="197"/>
      <c r="AMN14" s="197"/>
      <c r="AMO14" s="197"/>
      <c r="AMP14" s="197"/>
      <c r="AMQ14" s="197"/>
      <c r="AMR14" s="197"/>
      <c r="AMS14" s="197"/>
      <c r="AMT14" s="197"/>
      <c r="AMU14" s="197"/>
      <c r="AMV14" s="197"/>
      <c r="AMW14" s="197"/>
      <c r="AMX14" s="197"/>
      <c r="AMY14" s="197"/>
      <c r="AMZ14" s="197"/>
      <c r="ANA14" s="197"/>
      <c r="ANB14" s="197"/>
      <c r="ANC14" s="197"/>
      <c r="AND14" s="197"/>
      <c r="ANE14" s="197"/>
      <c r="ANF14" s="197"/>
      <c r="ANG14" s="197"/>
      <c r="ANH14" s="197"/>
      <c r="ANI14" s="197"/>
      <c r="ANJ14" s="197"/>
      <c r="ANK14" s="197"/>
      <c r="ANL14" s="197"/>
      <c r="ANM14" s="197"/>
      <c r="ANN14" s="197"/>
      <c r="ANO14" s="197"/>
      <c r="ANP14" s="197"/>
      <c r="ANQ14" s="197"/>
      <c r="ANR14" s="197"/>
      <c r="ANS14" s="197"/>
      <c r="ANT14" s="197"/>
      <c r="ANU14" s="197"/>
      <c r="ANV14" s="197"/>
      <c r="ANW14" s="197"/>
      <c r="ANX14" s="197"/>
      <c r="ANY14" s="197"/>
      <c r="ANZ14" s="197"/>
      <c r="AOA14" s="197"/>
      <c r="AOB14" s="197"/>
      <c r="AOC14" s="197"/>
      <c r="AOD14" s="197"/>
      <c r="AOE14" s="197"/>
      <c r="AOF14" s="197"/>
      <c r="AOG14" s="197"/>
      <c r="AOH14" s="197"/>
      <c r="AOI14" s="197"/>
      <c r="AOJ14" s="197"/>
      <c r="AOK14" s="197"/>
      <c r="AOL14" s="197"/>
      <c r="AOM14" s="197"/>
      <c r="AON14" s="197"/>
      <c r="AOO14" s="197"/>
      <c r="AOP14" s="197"/>
      <c r="AOQ14" s="197"/>
      <c r="AOR14" s="197"/>
      <c r="AOS14" s="197"/>
      <c r="AOT14" s="197"/>
      <c r="AOU14" s="197"/>
      <c r="AOV14" s="197"/>
      <c r="AOW14" s="197"/>
      <c r="AOX14" s="197"/>
      <c r="AOY14" s="197"/>
      <c r="AOZ14" s="197"/>
      <c r="APA14" s="197"/>
      <c r="APB14" s="197"/>
      <c r="APC14" s="197"/>
      <c r="APD14" s="197"/>
      <c r="APE14" s="197"/>
      <c r="APF14" s="197"/>
      <c r="APG14" s="197"/>
      <c r="APH14" s="197"/>
      <c r="API14" s="197"/>
      <c r="APJ14" s="197"/>
      <c r="APK14" s="197"/>
      <c r="APL14" s="197"/>
      <c r="APM14" s="197"/>
      <c r="APN14" s="197"/>
      <c r="APO14" s="197"/>
      <c r="APP14" s="197"/>
      <c r="APQ14" s="197"/>
      <c r="APR14" s="197"/>
      <c r="APS14" s="197"/>
      <c r="APT14" s="197"/>
      <c r="APU14" s="197"/>
      <c r="APV14" s="197"/>
      <c r="APW14" s="197"/>
      <c r="APX14" s="197"/>
      <c r="APY14" s="197"/>
      <c r="APZ14" s="197"/>
      <c r="AQA14" s="197"/>
      <c r="AQB14" s="197"/>
      <c r="AQC14" s="197"/>
      <c r="AQD14" s="197"/>
      <c r="AQE14" s="197"/>
      <c r="AQF14" s="197"/>
      <c r="AQG14" s="197"/>
      <c r="AQH14" s="197"/>
      <c r="AQI14" s="197"/>
      <c r="AQJ14" s="197"/>
      <c r="AQK14" s="197"/>
      <c r="AQL14" s="197"/>
      <c r="AQM14" s="197"/>
      <c r="AQN14" s="197"/>
      <c r="AQO14" s="197"/>
      <c r="AQP14" s="197"/>
      <c r="AQQ14" s="197"/>
      <c r="AQR14" s="197"/>
      <c r="AQS14" s="197"/>
      <c r="AQT14" s="197"/>
      <c r="AQU14" s="197"/>
      <c r="AQV14" s="197"/>
      <c r="AQW14" s="197"/>
      <c r="AQX14" s="197"/>
      <c r="AQY14" s="197"/>
      <c r="AQZ14" s="197"/>
      <c r="ARA14" s="197"/>
      <c r="ARB14" s="197"/>
      <c r="ARC14" s="197"/>
      <c r="ARD14" s="197"/>
      <c r="ARE14" s="197"/>
      <c r="ARF14" s="197"/>
      <c r="ARG14" s="197"/>
      <c r="ARH14" s="197"/>
      <c r="ARI14" s="197"/>
      <c r="ARJ14" s="197"/>
      <c r="ARK14" s="197"/>
      <c r="ARL14" s="197"/>
      <c r="ARM14" s="197"/>
      <c r="ARN14" s="197"/>
      <c r="ARO14" s="197"/>
      <c r="ARP14" s="197"/>
      <c r="ARQ14" s="197"/>
      <c r="ARR14" s="197"/>
      <c r="ARS14" s="197"/>
      <c r="ART14" s="197"/>
      <c r="ARU14" s="197"/>
      <c r="ARV14" s="197"/>
      <c r="ARW14" s="197"/>
      <c r="ARX14" s="197"/>
      <c r="ARY14" s="197"/>
      <c r="ARZ14" s="197"/>
      <c r="ASA14" s="197"/>
      <c r="ASB14" s="197"/>
      <c r="ASC14" s="197"/>
      <c r="ASD14" s="197"/>
      <c r="ASE14" s="197"/>
      <c r="ASF14" s="197"/>
      <c r="ASG14" s="197"/>
      <c r="ASH14" s="197"/>
      <c r="ASI14" s="197"/>
      <c r="ASJ14" s="197"/>
      <c r="ASK14" s="197"/>
      <c r="ASL14" s="197"/>
      <c r="ASM14" s="197"/>
      <c r="ASN14" s="197"/>
      <c r="ASO14" s="197"/>
      <c r="ASP14" s="197"/>
      <c r="ASQ14" s="197"/>
      <c r="ASR14" s="197"/>
      <c r="ASS14" s="197"/>
      <c r="AST14" s="197"/>
      <c r="ASU14" s="197"/>
      <c r="ASV14" s="197"/>
      <c r="ASW14" s="197"/>
      <c r="ASX14" s="197"/>
      <c r="ASY14" s="197"/>
      <c r="ASZ14" s="197"/>
      <c r="ATA14" s="197"/>
      <c r="ATB14" s="197"/>
      <c r="ATC14" s="197"/>
      <c r="ATD14" s="197"/>
      <c r="ATE14" s="197"/>
      <c r="ATF14" s="197"/>
      <c r="ATG14" s="197"/>
      <c r="ATH14" s="197"/>
      <c r="ATI14" s="197"/>
      <c r="ATJ14" s="197"/>
      <c r="ATK14" s="197"/>
      <c r="ATL14" s="197"/>
      <c r="ATM14" s="197"/>
      <c r="ATN14" s="197"/>
      <c r="ATO14" s="197"/>
      <c r="ATP14" s="197"/>
      <c r="ATQ14" s="197"/>
      <c r="ATR14" s="197"/>
      <c r="ATS14" s="197"/>
      <c r="ATT14" s="197"/>
      <c r="ATU14" s="197"/>
      <c r="ATV14" s="197"/>
      <c r="ATW14" s="197"/>
      <c r="ATX14" s="197"/>
      <c r="ATY14" s="197"/>
      <c r="ATZ14" s="197"/>
      <c r="AUA14" s="197"/>
      <c r="AUB14" s="197"/>
      <c r="AUC14" s="197"/>
      <c r="AUD14" s="197"/>
      <c r="AUE14" s="197"/>
      <c r="AUF14" s="197"/>
      <c r="AUG14" s="197"/>
      <c r="AUH14" s="197"/>
      <c r="AUI14" s="197"/>
      <c r="AUJ14" s="197"/>
      <c r="AUK14" s="197"/>
      <c r="AUL14" s="197"/>
      <c r="AUM14" s="197"/>
      <c r="AUN14" s="197"/>
      <c r="AUO14" s="197"/>
      <c r="AUP14" s="197"/>
      <c r="AUQ14" s="197"/>
      <c r="AUR14" s="197"/>
      <c r="AUS14" s="197"/>
      <c r="AUT14" s="197"/>
      <c r="AUU14" s="197"/>
      <c r="AUV14" s="197"/>
      <c r="AUW14" s="197"/>
      <c r="AUX14" s="197"/>
      <c r="AUY14" s="197"/>
      <c r="AUZ14" s="197"/>
      <c r="AVA14" s="197"/>
      <c r="AVB14" s="197"/>
      <c r="AVC14" s="197"/>
      <c r="AVD14" s="197"/>
      <c r="AVE14" s="197"/>
      <c r="AVF14" s="197"/>
      <c r="AVG14" s="197"/>
      <c r="AVH14" s="197"/>
      <c r="AVI14" s="197"/>
      <c r="AVJ14" s="197"/>
      <c r="AVK14" s="197"/>
      <c r="AVL14" s="197"/>
      <c r="AVM14" s="197"/>
      <c r="AVN14" s="197"/>
      <c r="AVO14" s="197"/>
      <c r="AVP14" s="197"/>
      <c r="AVQ14" s="197"/>
      <c r="AVR14" s="197"/>
      <c r="AVS14" s="197"/>
      <c r="AVT14" s="197"/>
      <c r="AVU14" s="197"/>
      <c r="AVV14" s="197"/>
      <c r="AVW14" s="197"/>
      <c r="AVX14" s="197"/>
      <c r="AVY14" s="197"/>
      <c r="AVZ14" s="197"/>
      <c r="AWA14" s="197"/>
      <c r="AWB14" s="197"/>
      <c r="AWC14" s="197"/>
      <c r="AWD14" s="197"/>
      <c r="AWE14" s="197"/>
      <c r="AWF14" s="197"/>
      <c r="AWG14" s="197"/>
      <c r="AWH14" s="197"/>
      <c r="AWI14" s="197"/>
      <c r="AWJ14" s="197"/>
      <c r="AWK14" s="197"/>
      <c r="AWL14" s="197"/>
      <c r="AWM14" s="197"/>
      <c r="AWN14" s="197"/>
      <c r="AWO14" s="197"/>
      <c r="AWP14" s="197"/>
      <c r="AWQ14" s="197"/>
      <c r="AWR14" s="197"/>
      <c r="AWS14" s="197"/>
      <c r="AWT14" s="197"/>
      <c r="AWU14" s="197"/>
      <c r="AWV14" s="197"/>
      <c r="AWW14" s="197"/>
      <c r="AWX14" s="197"/>
      <c r="AWY14" s="197"/>
      <c r="AWZ14" s="197"/>
      <c r="AXA14" s="197"/>
      <c r="AXB14" s="197"/>
      <c r="AXC14" s="197"/>
      <c r="AXD14" s="197"/>
      <c r="AXE14" s="197"/>
      <c r="AXF14" s="197"/>
      <c r="AXG14" s="197"/>
      <c r="AXH14" s="197"/>
      <c r="AXI14" s="197"/>
      <c r="AXJ14" s="197"/>
      <c r="AXK14" s="197"/>
      <c r="AXL14" s="197"/>
      <c r="AXM14" s="197"/>
      <c r="AXN14" s="197"/>
      <c r="AXO14" s="197"/>
      <c r="AXP14" s="197"/>
      <c r="AXQ14" s="197"/>
      <c r="AXR14" s="197"/>
      <c r="AXS14" s="197"/>
      <c r="AXT14" s="197"/>
      <c r="AXU14" s="197"/>
      <c r="AXV14" s="197"/>
      <c r="AXW14" s="197"/>
      <c r="AXX14" s="197"/>
      <c r="AXY14" s="197"/>
      <c r="AXZ14" s="197"/>
      <c r="AYA14" s="197"/>
      <c r="AYB14" s="197"/>
      <c r="AYC14" s="197"/>
      <c r="AYD14" s="197"/>
      <c r="AYE14" s="197"/>
      <c r="AYF14" s="197"/>
      <c r="AYG14" s="197"/>
      <c r="AYH14" s="197"/>
      <c r="AYI14" s="197"/>
      <c r="AYJ14" s="197"/>
      <c r="AYK14" s="197"/>
      <c r="AYL14" s="197"/>
      <c r="AYM14" s="197"/>
      <c r="AYN14" s="197"/>
      <c r="AYO14" s="197"/>
      <c r="AYP14" s="197"/>
      <c r="AYQ14" s="197"/>
      <c r="AYR14" s="197"/>
      <c r="AYS14" s="197"/>
      <c r="AYT14" s="197"/>
      <c r="AYU14" s="197"/>
      <c r="AYV14" s="197"/>
      <c r="AYW14" s="197"/>
      <c r="AYX14" s="197"/>
      <c r="AYY14" s="197"/>
      <c r="AYZ14" s="197"/>
      <c r="AZA14" s="197"/>
      <c r="AZB14" s="197"/>
      <c r="AZC14" s="197"/>
      <c r="AZD14" s="197"/>
      <c r="AZE14" s="197"/>
      <c r="AZF14" s="197"/>
      <c r="AZG14" s="197"/>
      <c r="AZH14" s="197"/>
      <c r="AZI14" s="197"/>
      <c r="AZJ14" s="197"/>
      <c r="AZK14" s="197"/>
      <c r="AZL14" s="197"/>
      <c r="AZM14" s="197"/>
      <c r="AZN14" s="197"/>
      <c r="AZO14" s="197"/>
      <c r="AZP14" s="197"/>
      <c r="AZQ14" s="197"/>
      <c r="AZR14" s="197"/>
      <c r="AZS14" s="197"/>
      <c r="AZT14" s="197"/>
      <c r="AZU14" s="197"/>
      <c r="AZV14" s="197"/>
      <c r="AZW14" s="197"/>
      <c r="AZX14" s="197"/>
      <c r="AZY14" s="197"/>
      <c r="AZZ14" s="197"/>
      <c r="BAA14" s="197"/>
      <c r="BAB14" s="197"/>
      <c r="BAC14" s="197"/>
      <c r="BAD14" s="197"/>
      <c r="BAE14" s="197"/>
      <c r="BAF14" s="197"/>
      <c r="BAG14" s="197"/>
      <c r="BAH14" s="197"/>
      <c r="BAI14" s="197"/>
      <c r="BAJ14" s="197"/>
      <c r="BAK14" s="197"/>
      <c r="BAL14" s="197"/>
      <c r="BAM14" s="197"/>
      <c r="BAN14" s="197"/>
      <c r="BAO14" s="197"/>
      <c r="BAP14" s="197"/>
      <c r="BAQ14" s="197"/>
      <c r="BAR14" s="197"/>
      <c r="BAS14" s="197"/>
      <c r="BAT14" s="197"/>
      <c r="BAU14" s="197"/>
      <c r="BAV14" s="197"/>
      <c r="BAW14" s="197"/>
      <c r="BAX14" s="197"/>
      <c r="BAY14" s="197"/>
      <c r="BAZ14" s="197"/>
      <c r="BBA14" s="197"/>
      <c r="BBB14" s="197"/>
      <c r="BBC14" s="197"/>
      <c r="BBD14" s="197"/>
      <c r="BBE14" s="197"/>
      <c r="BBF14" s="197"/>
      <c r="BBG14" s="197"/>
      <c r="BBH14" s="197"/>
      <c r="BBI14" s="197"/>
      <c r="BBJ14" s="197"/>
      <c r="BBK14" s="197"/>
      <c r="BBL14" s="197"/>
      <c r="BBM14" s="197"/>
      <c r="BBN14" s="197"/>
      <c r="BBO14" s="197"/>
      <c r="BBP14" s="197"/>
      <c r="BBQ14" s="197"/>
      <c r="BBR14" s="197"/>
      <c r="BBS14" s="197"/>
      <c r="BBT14" s="197"/>
      <c r="BBU14" s="197"/>
      <c r="BBV14" s="197"/>
      <c r="BBW14" s="197"/>
      <c r="BBX14" s="197"/>
      <c r="BBY14" s="197"/>
      <c r="BBZ14" s="197"/>
      <c r="BCA14" s="197"/>
      <c r="BCB14" s="197"/>
      <c r="BCC14" s="197"/>
      <c r="BCD14" s="197"/>
      <c r="BCE14" s="197"/>
      <c r="BCF14" s="197"/>
      <c r="BCG14" s="197"/>
      <c r="BCH14" s="197"/>
      <c r="BCI14" s="197"/>
      <c r="BCJ14" s="197"/>
      <c r="BCK14" s="197"/>
      <c r="BCL14" s="197"/>
      <c r="BCM14" s="197"/>
      <c r="BCN14" s="197"/>
      <c r="BCO14" s="197"/>
      <c r="BCP14" s="197"/>
      <c r="BCQ14" s="197"/>
      <c r="BCR14" s="197"/>
      <c r="BCS14" s="197"/>
      <c r="BCT14" s="197"/>
      <c r="BCU14" s="197"/>
      <c r="BCV14" s="197"/>
      <c r="BCW14" s="197"/>
      <c r="BCX14" s="197"/>
      <c r="BCY14" s="197"/>
      <c r="BCZ14" s="197"/>
      <c r="BDA14" s="197"/>
      <c r="BDB14" s="197"/>
      <c r="BDC14" s="197"/>
      <c r="BDD14" s="197"/>
      <c r="BDE14" s="197"/>
      <c r="BDF14" s="197"/>
      <c r="BDG14" s="197"/>
      <c r="BDH14" s="197"/>
      <c r="BDI14" s="197"/>
      <c r="BDJ14" s="197"/>
      <c r="BDK14" s="197"/>
      <c r="BDL14" s="197"/>
      <c r="BDM14" s="197"/>
      <c r="BDN14" s="197"/>
      <c r="BDO14" s="197"/>
      <c r="BDP14" s="197"/>
      <c r="BDQ14" s="197"/>
      <c r="BDR14" s="197"/>
      <c r="BDS14" s="197"/>
      <c r="BDT14" s="197"/>
      <c r="BDU14" s="197"/>
      <c r="BDV14" s="197"/>
      <c r="BDW14" s="197"/>
      <c r="BDX14" s="197"/>
      <c r="BDY14" s="197"/>
      <c r="BDZ14" s="197"/>
      <c r="BEA14" s="197"/>
      <c r="BEB14" s="197"/>
      <c r="BEC14" s="197"/>
      <c r="BED14" s="197"/>
      <c r="BEE14" s="197"/>
      <c r="BEF14" s="197"/>
      <c r="BEG14" s="197"/>
      <c r="BEH14" s="197"/>
      <c r="BEI14" s="197"/>
      <c r="BEJ14" s="197"/>
      <c r="BEK14" s="197"/>
      <c r="BEL14" s="197"/>
      <c r="BEM14" s="197"/>
      <c r="BEN14" s="197"/>
      <c r="BEO14" s="197"/>
      <c r="BEP14" s="197"/>
      <c r="BEQ14" s="197"/>
      <c r="BER14" s="197"/>
      <c r="BES14" s="197"/>
      <c r="BET14" s="197"/>
      <c r="BEU14" s="197"/>
      <c r="BEV14" s="197"/>
      <c r="BEW14" s="197"/>
      <c r="BEX14" s="197"/>
      <c r="BEY14" s="197"/>
      <c r="BEZ14" s="197"/>
      <c r="BFA14" s="197"/>
      <c r="BFB14" s="197"/>
      <c r="BFC14" s="197"/>
      <c r="BFD14" s="197"/>
      <c r="BFE14" s="197"/>
      <c r="BFF14" s="197"/>
      <c r="BFG14" s="197"/>
      <c r="BFH14" s="197"/>
      <c r="BFI14" s="197"/>
      <c r="BFJ14" s="197"/>
      <c r="BFK14" s="197"/>
      <c r="BFL14" s="197"/>
      <c r="BFM14" s="197"/>
      <c r="BFN14" s="197"/>
      <c r="BFO14" s="197"/>
      <c r="BFP14" s="197"/>
      <c r="BFQ14" s="197"/>
      <c r="BFR14" s="197"/>
      <c r="BFS14" s="197"/>
      <c r="BFT14" s="197"/>
      <c r="BFU14" s="197"/>
      <c r="BFV14" s="197"/>
      <c r="BFW14" s="197"/>
      <c r="BFX14" s="197"/>
      <c r="BFY14" s="197"/>
      <c r="BFZ14" s="197"/>
      <c r="BGA14" s="197"/>
      <c r="BGB14" s="197"/>
      <c r="BGC14" s="197"/>
      <c r="BGD14" s="197"/>
      <c r="BGE14" s="197"/>
      <c r="BGF14" s="197"/>
      <c r="BGG14" s="197"/>
      <c r="BGH14" s="197"/>
      <c r="BGI14" s="197"/>
      <c r="BGJ14" s="197"/>
      <c r="BGK14" s="197"/>
      <c r="BGL14" s="197"/>
      <c r="BGM14" s="197"/>
      <c r="BGN14" s="197"/>
      <c r="BGO14" s="197"/>
      <c r="BGP14" s="197"/>
      <c r="BGQ14" s="197"/>
      <c r="BGR14" s="197"/>
      <c r="BGS14" s="197"/>
      <c r="BGT14" s="197"/>
      <c r="BGU14" s="197"/>
      <c r="BGV14" s="197"/>
      <c r="BGW14" s="197"/>
      <c r="BGX14" s="197"/>
      <c r="BGY14" s="197"/>
      <c r="BGZ14" s="197"/>
      <c r="BHA14" s="197"/>
      <c r="BHB14" s="197"/>
      <c r="BHC14" s="197"/>
      <c r="BHD14" s="197"/>
      <c r="BHE14" s="197"/>
      <c r="BHF14" s="197"/>
      <c r="BHG14" s="197"/>
      <c r="BHH14" s="197"/>
      <c r="BHI14" s="197"/>
      <c r="BHJ14" s="197"/>
      <c r="BHK14" s="197"/>
      <c r="BHL14" s="197"/>
      <c r="BHM14" s="197"/>
      <c r="BHN14" s="197"/>
      <c r="BHO14" s="197"/>
      <c r="BHP14" s="197"/>
      <c r="BHQ14" s="197"/>
      <c r="BHR14" s="197"/>
      <c r="BHS14" s="197"/>
      <c r="BHT14" s="197"/>
      <c r="BHU14" s="197"/>
      <c r="BHV14" s="197"/>
      <c r="BHW14" s="197"/>
      <c r="BHX14" s="197"/>
      <c r="BHY14" s="197"/>
      <c r="BHZ14" s="197"/>
      <c r="BIA14" s="197"/>
      <c r="BIB14" s="197"/>
      <c r="BIC14" s="197"/>
      <c r="BID14" s="197"/>
      <c r="BIE14" s="197"/>
      <c r="BIF14" s="197"/>
      <c r="BIG14" s="197"/>
      <c r="BIH14" s="197"/>
      <c r="BII14" s="197"/>
      <c r="BIJ14" s="197"/>
      <c r="BIK14" s="197"/>
      <c r="BIL14" s="197"/>
      <c r="BIM14" s="197"/>
      <c r="BIN14" s="197"/>
      <c r="BIO14" s="197"/>
      <c r="BIP14" s="197"/>
      <c r="BIQ14" s="197"/>
      <c r="BIR14" s="197"/>
      <c r="BIS14" s="197"/>
      <c r="BIT14" s="197"/>
      <c r="BIU14" s="197"/>
      <c r="BIV14" s="197"/>
      <c r="BIW14" s="197"/>
      <c r="BIX14" s="197"/>
      <c r="BIY14" s="197"/>
      <c r="BIZ14" s="197"/>
      <c r="BJA14" s="197"/>
      <c r="BJB14" s="197"/>
      <c r="BJC14" s="197"/>
      <c r="BJD14" s="197"/>
      <c r="BJE14" s="197"/>
      <c r="BJF14" s="197"/>
      <c r="BJG14" s="197"/>
      <c r="BJH14" s="197"/>
      <c r="BJI14" s="197"/>
      <c r="BJJ14" s="197"/>
      <c r="BJK14" s="197"/>
      <c r="BJL14" s="197"/>
      <c r="BJM14" s="197"/>
      <c r="BJN14" s="197"/>
      <c r="BJO14" s="197"/>
      <c r="BJP14" s="197"/>
      <c r="BJQ14" s="197"/>
      <c r="BJR14" s="197"/>
      <c r="BJS14" s="197"/>
      <c r="BJT14" s="197"/>
      <c r="BJU14" s="197"/>
      <c r="BJV14" s="197"/>
      <c r="BJW14" s="197"/>
      <c r="BJX14" s="197"/>
      <c r="BJY14" s="197"/>
      <c r="BJZ14" s="197"/>
      <c r="BKA14" s="197"/>
      <c r="BKB14" s="197"/>
      <c r="BKC14" s="197"/>
      <c r="BKD14" s="197"/>
      <c r="BKE14" s="197"/>
      <c r="BKF14" s="197"/>
      <c r="BKG14" s="197"/>
      <c r="BKH14" s="197"/>
      <c r="BKI14" s="197"/>
      <c r="BKJ14" s="197"/>
      <c r="BKK14" s="197"/>
      <c r="BKL14" s="197"/>
      <c r="BKM14" s="197"/>
      <c r="BKN14" s="197"/>
      <c r="BKO14" s="197"/>
      <c r="BKP14" s="197"/>
      <c r="BKQ14" s="197"/>
      <c r="BKR14" s="197"/>
      <c r="BKS14" s="197"/>
      <c r="BKT14" s="197"/>
      <c r="BKU14" s="197"/>
      <c r="BKV14" s="197"/>
      <c r="BKW14" s="197"/>
      <c r="BKX14" s="197"/>
      <c r="BKY14" s="197"/>
      <c r="BKZ14" s="197"/>
      <c r="BLA14" s="197"/>
      <c r="BLB14" s="197"/>
      <c r="BLC14" s="197"/>
      <c r="BLD14" s="197"/>
      <c r="BLE14" s="197"/>
      <c r="BLF14" s="197"/>
      <c r="BLG14" s="197"/>
      <c r="BLH14" s="197"/>
      <c r="BLI14" s="197"/>
      <c r="BLJ14" s="197"/>
      <c r="BLK14" s="197"/>
      <c r="BLL14" s="197"/>
      <c r="BLM14" s="197"/>
      <c r="BLN14" s="197"/>
      <c r="BLO14" s="197"/>
      <c r="BLP14" s="197"/>
      <c r="BLQ14" s="197"/>
      <c r="BLR14" s="197"/>
      <c r="BLS14" s="197"/>
      <c r="BLT14" s="197"/>
      <c r="BLU14" s="197"/>
      <c r="BLV14" s="197"/>
      <c r="BLW14" s="197"/>
      <c r="BLX14" s="197"/>
      <c r="BLY14" s="197"/>
      <c r="BLZ14" s="197"/>
      <c r="BMA14" s="197"/>
      <c r="BMB14" s="197"/>
      <c r="BMC14" s="197"/>
      <c r="BMD14" s="197"/>
      <c r="BME14" s="197"/>
      <c r="BMF14" s="197"/>
      <c r="BMG14" s="197"/>
      <c r="BMH14" s="197"/>
      <c r="BMI14" s="197"/>
      <c r="BMJ14" s="197"/>
      <c r="BMK14" s="197"/>
      <c r="BML14" s="197"/>
      <c r="BMM14" s="197"/>
      <c r="BMN14" s="197"/>
      <c r="BMO14" s="197"/>
      <c r="BMP14" s="197"/>
      <c r="BMQ14" s="197"/>
      <c r="BMR14" s="197"/>
      <c r="BMS14" s="197"/>
      <c r="BMT14" s="197"/>
      <c r="BMU14" s="197"/>
      <c r="BMV14" s="197"/>
      <c r="BMW14" s="197"/>
      <c r="BMX14" s="197"/>
      <c r="BMY14" s="197"/>
      <c r="BMZ14" s="197"/>
      <c r="BNA14" s="197"/>
      <c r="BNB14" s="197"/>
      <c r="BNC14" s="197"/>
      <c r="BND14" s="197"/>
      <c r="BNE14" s="197"/>
      <c r="BNF14" s="197"/>
      <c r="BNG14" s="197"/>
      <c r="BNH14" s="197"/>
      <c r="BNI14" s="197"/>
      <c r="BNJ14" s="197"/>
      <c r="BNK14" s="197"/>
      <c r="BNL14" s="197"/>
      <c r="BNM14" s="197"/>
      <c r="BNN14" s="197"/>
      <c r="BNO14" s="197"/>
      <c r="BNP14" s="197"/>
      <c r="BNQ14" s="197"/>
      <c r="BNR14" s="197"/>
      <c r="BNS14" s="197"/>
      <c r="BNT14" s="197"/>
      <c r="BNU14" s="197"/>
      <c r="BNV14" s="197"/>
      <c r="BNW14" s="197"/>
      <c r="BNX14" s="197"/>
      <c r="BNY14" s="197"/>
      <c r="BNZ14" s="197"/>
      <c r="BOA14" s="197"/>
      <c r="BOB14" s="197"/>
      <c r="BOC14" s="197"/>
      <c r="BOD14" s="197"/>
      <c r="BOE14" s="197"/>
      <c r="BOF14" s="197"/>
      <c r="BOG14" s="197"/>
      <c r="BOH14" s="197"/>
      <c r="BOI14" s="197"/>
      <c r="BOJ14" s="197"/>
      <c r="BOK14" s="197"/>
      <c r="BOL14" s="197"/>
      <c r="BOM14" s="197"/>
      <c r="BON14" s="197"/>
      <c r="BOO14" s="197"/>
      <c r="BOP14" s="197"/>
      <c r="BOQ14" s="197"/>
      <c r="BOR14" s="197"/>
      <c r="BOS14" s="197"/>
      <c r="BOT14" s="197"/>
      <c r="BOU14" s="197"/>
      <c r="BOV14" s="197"/>
      <c r="BOW14" s="197"/>
      <c r="BOX14" s="197"/>
      <c r="BOY14" s="197"/>
      <c r="BOZ14" s="197"/>
      <c r="BPA14" s="197"/>
      <c r="BPB14" s="197"/>
      <c r="BPC14" s="197"/>
      <c r="BPD14" s="197"/>
      <c r="BPE14" s="197"/>
      <c r="BPF14" s="197"/>
      <c r="BPG14" s="197"/>
      <c r="BPH14" s="197"/>
      <c r="BPI14" s="197"/>
      <c r="BPJ14" s="197"/>
      <c r="BPK14" s="197"/>
      <c r="BPL14" s="197"/>
      <c r="BPM14" s="197"/>
      <c r="BPN14" s="197"/>
      <c r="BPO14" s="197"/>
      <c r="BPP14" s="197"/>
      <c r="BPQ14" s="197"/>
      <c r="BPR14" s="197"/>
      <c r="BPS14" s="197"/>
      <c r="BPT14" s="197"/>
      <c r="BPU14" s="197"/>
      <c r="BPV14" s="197"/>
      <c r="BPW14" s="197"/>
      <c r="BPX14" s="197"/>
      <c r="BPY14" s="197"/>
      <c r="BPZ14" s="197"/>
      <c r="BQA14" s="197"/>
      <c r="BQB14" s="197"/>
      <c r="BQC14" s="197"/>
      <c r="BQD14" s="197"/>
      <c r="BQE14" s="197"/>
      <c r="BQF14" s="197"/>
      <c r="BQG14" s="197"/>
      <c r="BQH14" s="197"/>
      <c r="BQI14" s="197"/>
      <c r="BQJ14" s="197"/>
      <c r="BQK14" s="197"/>
      <c r="BQL14" s="197"/>
      <c r="BQM14" s="197"/>
      <c r="BQN14" s="197"/>
      <c r="BQO14" s="197"/>
      <c r="BQP14" s="197"/>
      <c r="BQQ14" s="197"/>
      <c r="BQR14" s="197"/>
      <c r="BQS14" s="197"/>
      <c r="BQT14" s="197"/>
      <c r="BQU14" s="197"/>
      <c r="BQV14" s="197"/>
      <c r="BQW14" s="197"/>
      <c r="BQX14" s="197"/>
      <c r="BQY14" s="197"/>
      <c r="BQZ14" s="197"/>
      <c r="BRA14" s="197"/>
      <c r="BRB14" s="197"/>
      <c r="BRC14" s="197"/>
      <c r="BRD14" s="197"/>
      <c r="BRE14" s="197"/>
      <c r="BRF14" s="197"/>
      <c r="BRG14" s="197"/>
      <c r="BRH14" s="197"/>
      <c r="BRI14" s="197"/>
      <c r="BRJ14" s="197"/>
      <c r="BRK14" s="197"/>
      <c r="BRL14" s="197"/>
      <c r="BRM14" s="197"/>
      <c r="BRN14" s="197"/>
      <c r="BRO14" s="197"/>
      <c r="BRP14" s="197"/>
      <c r="BRQ14" s="197"/>
      <c r="BRR14" s="197"/>
      <c r="BRS14" s="197"/>
      <c r="BRT14" s="197"/>
      <c r="BRU14" s="197"/>
      <c r="BRV14" s="197"/>
      <c r="BRW14" s="197"/>
      <c r="BRX14" s="197"/>
      <c r="BRY14" s="197"/>
      <c r="BRZ14" s="197"/>
      <c r="BSA14" s="197"/>
      <c r="BSB14" s="197"/>
      <c r="BSC14" s="197"/>
      <c r="BSD14" s="197"/>
      <c r="BSE14" s="197"/>
      <c r="BSF14" s="197"/>
      <c r="BSG14" s="197"/>
      <c r="BSH14" s="197"/>
      <c r="BSI14" s="197"/>
      <c r="BSJ14" s="197"/>
      <c r="BSK14" s="197"/>
      <c r="BSL14" s="197"/>
      <c r="BSM14" s="197"/>
      <c r="BSN14" s="197"/>
      <c r="BSO14" s="197"/>
      <c r="BSP14" s="197"/>
      <c r="BSQ14" s="197"/>
      <c r="BSR14" s="197"/>
      <c r="BSS14" s="197"/>
      <c r="BST14" s="197"/>
      <c r="BSU14" s="197"/>
      <c r="BSV14" s="197"/>
      <c r="BSW14" s="197"/>
      <c r="BSX14" s="197"/>
      <c r="BSY14" s="197"/>
      <c r="BSZ14" s="197"/>
      <c r="BTA14" s="197"/>
      <c r="BTB14" s="197"/>
      <c r="BTC14" s="197"/>
      <c r="BTD14" s="197"/>
      <c r="BTE14" s="197"/>
      <c r="BTF14" s="197"/>
      <c r="BTG14" s="197"/>
      <c r="BTH14" s="197"/>
      <c r="BTI14" s="197"/>
      <c r="BTJ14" s="197"/>
      <c r="BTK14" s="197"/>
      <c r="BTL14" s="197"/>
      <c r="BTM14" s="197"/>
      <c r="BTN14" s="197"/>
      <c r="BTO14" s="197"/>
      <c r="BTP14" s="197"/>
      <c r="BTQ14" s="197"/>
      <c r="BTR14" s="197"/>
      <c r="BTS14" s="197"/>
      <c r="BTT14" s="197"/>
      <c r="BTU14" s="197"/>
      <c r="BTV14" s="197"/>
      <c r="BTW14" s="197"/>
      <c r="BTX14" s="197"/>
      <c r="BTY14" s="197"/>
      <c r="BTZ14" s="197"/>
      <c r="BUA14" s="197"/>
      <c r="BUB14" s="197"/>
      <c r="BUC14" s="197"/>
      <c r="BUD14" s="197"/>
      <c r="BUE14" s="197"/>
      <c r="BUF14" s="197"/>
      <c r="BUG14" s="197"/>
      <c r="BUH14" s="197"/>
      <c r="BUI14" s="197"/>
      <c r="BUJ14" s="197"/>
      <c r="BUK14" s="197"/>
      <c r="BUL14" s="197"/>
      <c r="BUM14" s="197"/>
      <c r="BUN14" s="197"/>
      <c r="BUO14" s="197"/>
      <c r="BUP14" s="197"/>
      <c r="BUQ14" s="197"/>
      <c r="BUR14" s="197"/>
      <c r="BUS14" s="197"/>
      <c r="BUT14" s="197"/>
      <c r="BUU14" s="197"/>
      <c r="BUV14" s="197"/>
      <c r="BUW14" s="197"/>
      <c r="BUX14" s="197"/>
      <c r="BUY14" s="197"/>
      <c r="BUZ14" s="197"/>
      <c r="BVA14" s="197"/>
      <c r="BVB14" s="197"/>
      <c r="BVC14" s="197"/>
      <c r="BVD14" s="197"/>
      <c r="BVE14" s="197"/>
      <c r="BVF14" s="197"/>
      <c r="BVG14" s="197"/>
      <c r="BVH14" s="197"/>
      <c r="BVI14" s="197"/>
      <c r="BVJ14" s="197"/>
      <c r="BVK14" s="197"/>
      <c r="BVL14" s="197"/>
      <c r="BVM14" s="197"/>
      <c r="BVN14" s="197"/>
      <c r="BVO14" s="197"/>
      <c r="BVP14" s="197"/>
      <c r="BVQ14" s="197"/>
      <c r="BVR14" s="197"/>
      <c r="BVS14" s="197"/>
      <c r="BVT14" s="197"/>
      <c r="BVU14" s="197"/>
      <c r="BVV14" s="197"/>
      <c r="BVW14" s="197"/>
      <c r="BVX14" s="197"/>
      <c r="BVY14" s="197"/>
      <c r="BVZ14" s="197"/>
      <c r="BWA14" s="197"/>
      <c r="BWB14" s="197"/>
      <c r="BWC14" s="197"/>
      <c r="BWD14" s="197"/>
      <c r="BWE14" s="197"/>
      <c r="BWF14" s="197"/>
      <c r="BWG14" s="197"/>
      <c r="BWH14" s="197"/>
      <c r="BWI14" s="197"/>
      <c r="BWJ14" s="197"/>
      <c r="BWK14" s="197"/>
      <c r="BWL14" s="197"/>
      <c r="BWM14" s="197"/>
      <c r="BWN14" s="197"/>
      <c r="BWO14" s="197"/>
      <c r="BWP14" s="197"/>
      <c r="BWQ14" s="197"/>
      <c r="BWR14" s="197"/>
      <c r="BWS14" s="197"/>
      <c r="BWT14" s="197"/>
      <c r="BWU14" s="197"/>
      <c r="BWV14" s="197"/>
      <c r="BWW14" s="197"/>
      <c r="BWX14" s="197"/>
      <c r="BWY14" s="197"/>
      <c r="BWZ14" s="197"/>
      <c r="BXA14" s="197"/>
      <c r="BXB14" s="197"/>
      <c r="BXC14" s="197"/>
      <c r="BXD14" s="197"/>
      <c r="BXE14" s="197"/>
      <c r="BXF14" s="197"/>
      <c r="BXG14" s="197"/>
      <c r="BXH14" s="197"/>
      <c r="BXI14" s="197"/>
      <c r="BXJ14" s="197"/>
      <c r="BXK14" s="197"/>
      <c r="BXL14" s="197"/>
      <c r="BXM14" s="197"/>
      <c r="BXN14" s="197"/>
      <c r="BXO14" s="197"/>
      <c r="BXP14" s="197"/>
      <c r="BXQ14" s="197"/>
      <c r="BXR14" s="197"/>
      <c r="BXS14" s="197"/>
      <c r="BXT14" s="197"/>
      <c r="BXU14" s="197"/>
      <c r="BXV14" s="197"/>
      <c r="BXW14" s="197"/>
      <c r="BXX14" s="197"/>
      <c r="BXY14" s="197"/>
      <c r="BXZ14" s="197"/>
      <c r="BYA14" s="197"/>
      <c r="BYB14" s="197"/>
      <c r="BYC14" s="197"/>
      <c r="BYD14" s="197"/>
      <c r="BYE14" s="197"/>
      <c r="BYF14" s="197"/>
      <c r="BYG14" s="197"/>
    </row>
    <row r="15" spans="1:2009" s="100" customFormat="1" ht="12.75" customHeight="1" thickBot="1" x14ac:dyDescent="0.3">
      <c r="A15" s="97"/>
      <c r="B15" s="97"/>
      <c r="C15" s="169"/>
      <c r="D15" s="169"/>
      <c r="E15" s="169"/>
      <c r="F15" s="169"/>
      <c r="G15" s="646"/>
      <c r="H15" s="98"/>
      <c r="I15" s="75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71</v>
      </c>
      <c r="B16" s="134"/>
      <c r="C16" s="171"/>
      <c r="D16" s="171"/>
      <c r="E16" s="172"/>
      <c r="F16" s="172"/>
      <c r="G16" s="647"/>
      <c r="H16" s="93"/>
      <c r="I16" s="555"/>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203</v>
      </c>
      <c r="C17" s="173"/>
      <c r="D17" s="173"/>
      <c r="E17" s="174"/>
      <c r="F17" s="174"/>
      <c r="G17" s="648">
        <f t="shared" ref="G17:G20" si="0">ROUND(SUM(C17:F17),5)</f>
        <v>0</v>
      </c>
      <c r="H17" s="93"/>
      <c r="I17" s="555"/>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272</v>
      </c>
      <c r="C18" s="173"/>
      <c r="D18" s="173"/>
      <c r="E18" s="174"/>
      <c r="F18" s="174"/>
      <c r="G18" s="648">
        <f t="shared" si="0"/>
        <v>0</v>
      </c>
      <c r="H18" s="93"/>
      <c r="I18" s="555"/>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316</v>
      </c>
      <c r="C19" s="173"/>
      <c r="D19" s="173"/>
      <c r="E19" s="174"/>
      <c r="F19" s="174"/>
      <c r="G19" s="648"/>
      <c r="H19" s="93"/>
      <c r="I19" s="555"/>
      <c r="J19" s="93"/>
      <c r="K19" s="595"/>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273</v>
      </c>
      <c r="C20" s="173"/>
      <c r="D20" s="173"/>
      <c r="E20" s="174"/>
      <c r="F20" s="174"/>
      <c r="G20" s="648">
        <f t="shared" si="0"/>
        <v>0</v>
      </c>
      <c r="H20" s="93"/>
      <c r="I20" s="555"/>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317</v>
      </c>
      <c r="C21" s="173"/>
      <c r="D21" s="173"/>
      <c r="E21" s="174"/>
      <c r="F21" s="174"/>
      <c r="G21" s="648"/>
      <c r="H21" s="93"/>
      <c r="I21" s="555"/>
      <c r="J21" s="93"/>
      <c r="K21" s="595"/>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321</v>
      </c>
      <c r="C22" s="173"/>
      <c r="D22" s="173"/>
      <c r="E22" s="174"/>
      <c r="F22" s="174"/>
      <c r="G22" s="648"/>
      <c r="H22" s="98"/>
      <c r="I22" s="75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8" customFormat="1" ht="24.95" hidden="1" customHeight="1" thickBot="1" x14ac:dyDescent="0.3">
      <c r="A23" s="203"/>
      <c r="B23" s="204" t="s">
        <v>72</v>
      </c>
      <c r="C23" s="205"/>
      <c r="D23" s="205"/>
      <c r="E23" s="205"/>
      <c r="F23" s="205"/>
      <c r="G23" s="649"/>
      <c r="H23" s="206"/>
      <c r="I23" s="758"/>
      <c r="J23" s="206"/>
      <c r="K23" s="419"/>
      <c r="L23"/>
      <c r="M23"/>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c r="IT23" s="207"/>
      <c r="IU23" s="207"/>
      <c r="IV23" s="207"/>
      <c r="IW23" s="207"/>
      <c r="IX23" s="207"/>
      <c r="IY23" s="207"/>
      <c r="IZ23" s="207"/>
      <c r="JA23" s="207"/>
      <c r="JB23" s="207"/>
      <c r="JC23" s="207"/>
      <c r="JD23" s="207"/>
      <c r="JE23" s="207"/>
      <c r="JF23" s="207"/>
      <c r="JG23" s="207"/>
      <c r="JH23" s="207"/>
      <c r="JI23" s="207"/>
      <c r="JJ23" s="207"/>
      <c r="JK23" s="207"/>
      <c r="JL23" s="207"/>
      <c r="JM23" s="207"/>
      <c r="JN23" s="207"/>
      <c r="JO23" s="207"/>
      <c r="JP23" s="207"/>
      <c r="JQ23" s="207"/>
      <c r="JR23" s="207"/>
      <c r="JS23" s="207"/>
      <c r="JT23" s="207"/>
      <c r="JU23" s="207"/>
      <c r="JV23" s="207"/>
      <c r="JW23" s="207"/>
      <c r="JX23" s="207"/>
      <c r="JY23" s="207"/>
      <c r="JZ23" s="207"/>
      <c r="KA23" s="207"/>
      <c r="KB23" s="207"/>
      <c r="KC23" s="207"/>
      <c r="KD23" s="207"/>
      <c r="KE23" s="207"/>
      <c r="KF23" s="207"/>
      <c r="KG23" s="207"/>
      <c r="KH23" s="207"/>
      <c r="KI23" s="207"/>
      <c r="KJ23" s="207"/>
      <c r="KK23" s="207"/>
      <c r="KL23" s="207"/>
      <c r="KM23" s="207"/>
      <c r="KN23" s="207"/>
      <c r="KO23" s="207"/>
      <c r="KP23" s="207"/>
      <c r="KQ23" s="207"/>
      <c r="KR23" s="207"/>
      <c r="KS23" s="207"/>
      <c r="KT23" s="207"/>
      <c r="KU23" s="207"/>
      <c r="KV23" s="207"/>
      <c r="KW23" s="207"/>
      <c r="KX23" s="207"/>
      <c r="KY23" s="207"/>
      <c r="KZ23" s="207"/>
      <c r="LA23" s="207"/>
      <c r="LB23" s="207"/>
      <c r="LC23" s="207"/>
      <c r="LD23" s="207"/>
      <c r="LE23" s="207"/>
      <c r="LF23" s="207"/>
      <c r="LG23" s="207"/>
      <c r="LH23" s="207"/>
      <c r="LI23" s="207"/>
      <c r="LJ23" s="207"/>
      <c r="LK23" s="207"/>
      <c r="LL23" s="207"/>
      <c r="LM23" s="207"/>
      <c r="LN23" s="207"/>
      <c r="LO23" s="207"/>
      <c r="LP23" s="207"/>
      <c r="LQ23" s="207"/>
      <c r="LR23" s="207"/>
      <c r="LS23" s="207"/>
      <c r="LT23" s="207"/>
      <c r="LU23" s="207"/>
      <c r="LV23" s="207"/>
      <c r="LW23" s="207"/>
      <c r="LX23" s="207"/>
      <c r="LY23" s="207"/>
      <c r="LZ23" s="207"/>
      <c r="MA23" s="207"/>
      <c r="MB23" s="207"/>
      <c r="MC23" s="207"/>
      <c r="MD23" s="207"/>
      <c r="ME23" s="207"/>
      <c r="MF23" s="207"/>
      <c r="MG23" s="207"/>
      <c r="MH23" s="207"/>
      <c r="MI23" s="207"/>
      <c r="MJ23" s="207"/>
      <c r="MK23" s="207"/>
      <c r="ML23" s="207"/>
      <c r="MM23" s="207"/>
      <c r="MN23" s="207"/>
      <c r="MO23" s="207"/>
      <c r="MP23" s="207"/>
      <c r="MQ23" s="207"/>
      <c r="MR23" s="207"/>
      <c r="MS23" s="207"/>
      <c r="MT23" s="207"/>
      <c r="MU23" s="207"/>
      <c r="MV23" s="207"/>
      <c r="MW23" s="207"/>
      <c r="MX23" s="207"/>
      <c r="MY23" s="207"/>
      <c r="MZ23" s="207"/>
      <c r="NA23" s="207"/>
      <c r="NB23" s="207"/>
      <c r="NC23" s="207"/>
      <c r="ND23" s="207"/>
      <c r="NE23" s="207"/>
      <c r="NF23" s="207"/>
      <c r="NG23" s="207"/>
      <c r="NH23" s="207"/>
      <c r="NI23" s="207"/>
      <c r="NJ23" s="207"/>
      <c r="NK23" s="207"/>
      <c r="NL23" s="207"/>
      <c r="NM23" s="207"/>
      <c r="NN23" s="207"/>
      <c r="NO23" s="207"/>
      <c r="NP23" s="207"/>
      <c r="NQ23" s="207"/>
      <c r="NR23" s="207"/>
      <c r="NS23" s="207"/>
      <c r="NT23" s="207"/>
      <c r="NU23" s="207"/>
      <c r="NV23" s="207"/>
      <c r="NW23" s="207"/>
      <c r="NX23" s="207"/>
      <c r="NY23" s="207"/>
      <c r="NZ23" s="207"/>
      <c r="OA23" s="207"/>
      <c r="OB23" s="207"/>
      <c r="OC23" s="207"/>
      <c r="OD23" s="207"/>
      <c r="OE23" s="207"/>
      <c r="OF23" s="207"/>
      <c r="OG23" s="207"/>
      <c r="OH23" s="207"/>
      <c r="OI23" s="207"/>
      <c r="OJ23" s="207"/>
      <c r="OK23" s="207"/>
      <c r="OL23" s="207"/>
      <c r="OM23" s="207"/>
      <c r="ON23" s="207"/>
      <c r="OO23" s="207"/>
      <c r="OP23" s="207"/>
      <c r="OQ23" s="207"/>
      <c r="OR23" s="207"/>
      <c r="OS23" s="207"/>
      <c r="OT23" s="207"/>
      <c r="OU23" s="207"/>
      <c r="OV23" s="207"/>
      <c r="OW23" s="207"/>
      <c r="OX23" s="207"/>
      <c r="OY23" s="207"/>
      <c r="OZ23" s="207"/>
      <c r="PA23" s="207"/>
      <c r="PB23" s="207"/>
      <c r="PC23" s="207"/>
      <c r="PD23" s="207"/>
      <c r="PE23" s="207"/>
      <c r="PF23" s="207"/>
      <c r="PG23" s="207"/>
      <c r="PH23" s="207"/>
      <c r="PI23" s="207"/>
      <c r="PJ23" s="207"/>
      <c r="PK23" s="207"/>
      <c r="PL23" s="207"/>
      <c r="PM23" s="207"/>
      <c r="PN23" s="207"/>
      <c r="PO23" s="207"/>
      <c r="PP23" s="207"/>
      <c r="PQ23" s="207"/>
      <c r="PR23" s="207"/>
      <c r="PS23" s="207"/>
      <c r="PT23" s="207"/>
      <c r="PU23" s="207"/>
      <c r="PV23" s="207"/>
      <c r="PW23" s="207"/>
      <c r="PX23" s="207"/>
      <c r="PY23" s="207"/>
      <c r="PZ23" s="207"/>
      <c r="QA23" s="207"/>
      <c r="QB23" s="207"/>
      <c r="QC23" s="207"/>
      <c r="QD23" s="207"/>
      <c r="QE23" s="207"/>
      <c r="QF23" s="207"/>
      <c r="QG23" s="207"/>
      <c r="QH23" s="207"/>
      <c r="QI23" s="207"/>
      <c r="QJ23" s="207"/>
      <c r="QK23" s="207"/>
      <c r="QL23" s="207"/>
      <c r="QM23" s="207"/>
      <c r="QN23" s="207"/>
      <c r="QO23" s="207"/>
      <c r="QP23" s="207"/>
      <c r="QQ23" s="207"/>
      <c r="QR23" s="207"/>
      <c r="QS23" s="207"/>
      <c r="QT23" s="207"/>
      <c r="QU23" s="207"/>
      <c r="QV23" s="207"/>
      <c r="QW23" s="207"/>
      <c r="QX23" s="207"/>
      <c r="QY23" s="207"/>
      <c r="QZ23" s="207"/>
      <c r="RA23" s="207"/>
      <c r="RB23" s="207"/>
      <c r="RC23" s="207"/>
      <c r="RD23" s="207"/>
      <c r="RE23" s="207"/>
      <c r="RF23" s="207"/>
      <c r="RG23" s="207"/>
      <c r="RH23" s="207"/>
      <c r="RI23" s="207"/>
      <c r="RJ23" s="207"/>
      <c r="RK23" s="207"/>
      <c r="RL23" s="207"/>
      <c r="RM23" s="207"/>
      <c r="RN23" s="207"/>
      <c r="RO23" s="207"/>
      <c r="RP23" s="207"/>
      <c r="RQ23" s="207"/>
      <c r="RR23" s="207"/>
      <c r="RS23" s="207"/>
      <c r="RT23" s="207"/>
      <c r="RU23" s="207"/>
      <c r="RV23" s="207"/>
      <c r="RW23" s="207"/>
      <c r="RX23" s="207"/>
      <c r="RY23" s="207"/>
      <c r="RZ23" s="207"/>
      <c r="SA23" s="207"/>
      <c r="SB23" s="207"/>
      <c r="SC23" s="207"/>
      <c r="SD23" s="207"/>
      <c r="SE23" s="207"/>
      <c r="SF23" s="207"/>
      <c r="SG23" s="207"/>
      <c r="SH23" s="207"/>
      <c r="SI23" s="207"/>
      <c r="SJ23" s="207"/>
      <c r="SK23" s="207"/>
      <c r="SL23" s="207"/>
      <c r="SM23" s="207"/>
      <c r="SN23" s="207"/>
      <c r="SO23" s="207"/>
      <c r="SP23" s="207"/>
      <c r="SQ23" s="207"/>
      <c r="SR23" s="207"/>
      <c r="SS23" s="207"/>
      <c r="ST23" s="207"/>
      <c r="SU23" s="207"/>
      <c r="SV23" s="207"/>
      <c r="SW23" s="207"/>
      <c r="SX23" s="207"/>
      <c r="SY23" s="207"/>
      <c r="SZ23" s="207"/>
      <c r="TA23" s="207"/>
      <c r="TB23" s="207"/>
      <c r="TC23" s="207"/>
      <c r="TD23" s="207"/>
      <c r="TE23" s="207"/>
      <c r="TF23" s="207"/>
      <c r="TG23" s="207"/>
      <c r="TH23" s="207"/>
      <c r="TI23" s="207"/>
      <c r="TJ23" s="207"/>
      <c r="TK23" s="207"/>
      <c r="TL23" s="207"/>
      <c r="TM23" s="207"/>
      <c r="TN23" s="207"/>
      <c r="TO23" s="207"/>
      <c r="TP23" s="207"/>
      <c r="TQ23" s="207"/>
      <c r="TR23" s="207"/>
      <c r="TS23" s="207"/>
      <c r="TT23" s="207"/>
      <c r="TU23" s="207"/>
      <c r="TV23" s="207"/>
      <c r="TW23" s="207"/>
      <c r="TX23" s="207"/>
      <c r="TY23" s="207"/>
      <c r="TZ23" s="207"/>
      <c r="UA23" s="207"/>
      <c r="UB23" s="207"/>
      <c r="UC23" s="207"/>
      <c r="UD23" s="207"/>
      <c r="UE23" s="207"/>
      <c r="UF23" s="207"/>
      <c r="UG23" s="207"/>
      <c r="UH23" s="207"/>
      <c r="UI23" s="207"/>
      <c r="UJ23" s="207"/>
      <c r="UK23" s="207"/>
      <c r="UL23" s="207"/>
      <c r="UM23" s="207"/>
      <c r="UN23" s="207"/>
      <c r="UO23" s="207"/>
      <c r="UP23" s="207"/>
      <c r="UQ23" s="207"/>
      <c r="UR23" s="207"/>
      <c r="US23" s="207"/>
      <c r="UT23" s="207"/>
      <c r="UU23" s="207"/>
      <c r="UV23" s="207"/>
      <c r="UW23" s="207"/>
      <c r="UX23" s="207"/>
      <c r="UY23" s="207"/>
      <c r="UZ23" s="207"/>
      <c r="VA23" s="207"/>
      <c r="VB23" s="207"/>
      <c r="VC23" s="207"/>
      <c r="VD23" s="207"/>
      <c r="VE23" s="207"/>
      <c r="VF23" s="207"/>
      <c r="VG23" s="207"/>
      <c r="VH23" s="207"/>
      <c r="VI23" s="207"/>
      <c r="VJ23" s="207"/>
      <c r="VK23" s="207"/>
      <c r="VL23" s="207"/>
      <c r="VM23" s="207"/>
      <c r="VN23" s="207"/>
      <c r="VO23" s="207"/>
      <c r="VP23" s="207"/>
      <c r="VQ23" s="207"/>
      <c r="VR23" s="207"/>
      <c r="VS23" s="207"/>
      <c r="VT23" s="207"/>
      <c r="VU23" s="207"/>
      <c r="VV23" s="207"/>
      <c r="VW23" s="207"/>
      <c r="VX23" s="207"/>
      <c r="VY23" s="207"/>
      <c r="VZ23" s="207"/>
      <c r="WA23" s="207"/>
      <c r="WB23" s="207"/>
      <c r="WC23" s="207"/>
      <c r="WD23" s="207"/>
      <c r="WE23" s="207"/>
      <c r="WF23" s="207"/>
      <c r="WG23" s="207"/>
      <c r="WH23" s="207"/>
      <c r="WI23" s="207"/>
      <c r="WJ23" s="207"/>
      <c r="WK23" s="207"/>
      <c r="WL23" s="207"/>
      <c r="WM23" s="207"/>
      <c r="WN23" s="207"/>
      <c r="WO23" s="207"/>
      <c r="WP23" s="207"/>
      <c r="WQ23" s="207"/>
      <c r="WR23" s="207"/>
      <c r="WS23" s="207"/>
      <c r="WT23" s="207"/>
      <c r="WU23" s="207"/>
      <c r="WV23" s="207"/>
      <c r="WW23" s="207"/>
      <c r="WX23" s="207"/>
      <c r="WY23" s="207"/>
      <c r="WZ23" s="207"/>
      <c r="XA23" s="207"/>
      <c r="XB23" s="207"/>
      <c r="XC23" s="207"/>
      <c r="XD23" s="207"/>
      <c r="XE23" s="207"/>
      <c r="XF23" s="207"/>
      <c r="XG23" s="207"/>
      <c r="XH23" s="207"/>
      <c r="XI23" s="207"/>
      <c r="XJ23" s="207"/>
      <c r="XK23" s="207"/>
      <c r="XL23" s="207"/>
      <c r="XM23" s="207"/>
      <c r="XN23" s="207"/>
      <c r="XO23" s="207"/>
      <c r="XP23" s="207"/>
      <c r="XQ23" s="207"/>
      <c r="XR23" s="207"/>
      <c r="XS23" s="207"/>
      <c r="XT23" s="207"/>
      <c r="XU23" s="207"/>
      <c r="XV23" s="207"/>
      <c r="XW23" s="207"/>
      <c r="XX23" s="207"/>
      <c r="XY23" s="207"/>
      <c r="XZ23" s="207"/>
      <c r="YA23" s="207"/>
      <c r="YB23" s="207"/>
      <c r="YC23" s="207"/>
      <c r="YD23" s="207"/>
      <c r="YE23" s="207"/>
      <c r="YF23" s="207"/>
      <c r="YG23" s="207"/>
      <c r="YH23" s="207"/>
      <c r="YI23" s="207"/>
      <c r="YJ23" s="207"/>
      <c r="YK23" s="207"/>
      <c r="YL23" s="207"/>
      <c r="YM23" s="207"/>
      <c r="YN23" s="207"/>
      <c r="YO23" s="207"/>
      <c r="YP23" s="207"/>
      <c r="YQ23" s="207"/>
      <c r="YR23" s="207"/>
      <c r="YS23" s="207"/>
      <c r="YT23" s="207"/>
      <c r="YU23" s="207"/>
      <c r="YV23" s="207"/>
      <c r="YW23" s="207"/>
      <c r="YX23" s="207"/>
      <c r="YY23" s="207"/>
      <c r="YZ23" s="207"/>
      <c r="ZA23" s="207"/>
      <c r="ZB23" s="207"/>
      <c r="ZC23" s="207"/>
      <c r="ZD23" s="207"/>
      <c r="ZE23" s="207"/>
      <c r="ZF23" s="207"/>
      <c r="ZG23" s="207"/>
      <c r="ZH23" s="207"/>
      <c r="ZI23" s="207"/>
      <c r="ZJ23" s="207"/>
      <c r="ZK23" s="207"/>
      <c r="ZL23" s="207"/>
      <c r="ZM23" s="207"/>
      <c r="ZN23" s="207"/>
      <c r="ZO23" s="207"/>
      <c r="ZP23" s="207"/>
      <c r="ZQ23" s="207"/>
      <c r="ZR23" s="207"/>
      <c r="ZS23" s="207"/>
      <c r="ZT23" s="207"/>
      <c r="ZU23" s="207"/>
      <c r="ZV23" s="207"/>
      <c r="ZW23" s="207"/>
      <c r="ZX23" s="207"/>
      <c r="ZY23" s="207"/>
      <c r="ZZ23" s="207"/>
      <c r="AAA23" s="207"/>
      <c r="AAB23" s="207"/>
      <c r="AAC23" s="207"/>
      <c r="AAD23" s="207"/>
      <c r="AAE23" s="207"/>
      <c r="AAF23" s="207"/>
      <c r="AAG23" s="207"/>
      <c r="AAH23" s="207"/>
      <c r="AAI23" s="207"/>
      <c r="AAJ23" s="207"/>
      <c r="AAK23" s="207"/>
      <c r="AAL23" s="207"/>
      <c r="AAM23" s="207"/>
      <c r="AAN23" s="207"/>
      <c r="AAO23" s="207"/>
      <c r="AAP23" s="207"/>
      <c r="AAQ23" s="207"/>
      <c r="AAR23" s="207"/>
      <c r="AAS23" s="207"/>
      <c r="AAT23" s="207"/>
      <c r="AAU23" s="207"/>
      <c r="AAV23" s="207"/>
      <c r="AAW23" s="207"/>
      <c r="AAX23" s="207"/>
      <c r="AAY23" s="207"/>
      <c r="AAZ23" s="207"/>
      <c r="ABA23" s="207"/>
      <c r="ABB23" s="207"/>
      <c r="ABC23" s="207"/>
      <c r="ABD23" s="207"/>
      <c r="ABE23" s="207"/>
      <c r="ABF23" s="207"/>
      <c r="ABG23" s="207"/>
      <c r="ABH23" s="207"/>
      <c r="ABI23" s="207"/>
      <c r="ABJ23" s="207"/>
      <c r="ABK23" s="207"/>
      <c r="ABL23" s="207"/>
      <c r="ABM23" s="207"/>
      <c r="ABN23" s="207"/>
      <c r="ABO23" s="207"/>
      <c r="ABP23" s="207"/>
      <c r="ABQ23" s="207"/>
      <c r="ABR23" s="207"/>
      <c r="ABS23" s="207"/>
      <c r="ABT23" s="207"/>
      <c r="ABU23" s="207"/>
      <c r="ABV23" s="207"/>
      <c r="ABW23" s="207"/>
      <c r="ABX23" s="207"/>
      <c r="ABY23" s="207"/>
      <c r="ABZ23" s="207"/>
      <c r="ACA23" s="207"/>
      <c r="ACB23" s="207"/>
      <c r="ACC23" s="207"/>
      <c r="ACD23" s="207"/>
      <c r="ACE23" s="207"/>
      <c r="ACF23" s="207"/>
      <c r="ACG23" s="207"/>
      <c r="ACH23" s="207"/>
      <c r="ACI23" s="207"/>
      <c r="ACJ23" s="207"/>
      <c r="ACK23" s="207"/>
      <c r="ACL23" s="207"/>
      <c r="ACM23" s="207"/>
      <c r="ACN23" s="207"/>
      <c r="ACO23" s="207"/>
      <c r="ACP23" s="207"/>
      <c r="ACQ23" s="207"/>
      <c r="ACR23" s="207"/>
      <c r="ACS23" s="207"/>
      <c r="ACT23" s="207"/>
      <c r="ACU23" s="207"/>
      <c r="ACV23" s="207"/>
      <c r="ACW23" s="207"/>
      <c r="ACX23" s="207"/>
      <c r="ACY23" s="207"/>
      <c r="ACZ23" s="207"/>
      <c r="ADA23" s="207"/>
      <c r="ADB23" s="207"/>
      <c r="ADC23" s="207"/>
      <c r="ADD23" s="207"/>
      <c r="ADE23" s="207"/>
      <c r="ADF23" s="207"/>
      <c r="ADG23" s="207"/>
      <c r="ADH23" s="207"/>
      <c r="ADI23" s="207"/>
      <c r="ADJ23" s="207"/>
      <c r="ADK23" s="207"/>
      <c r="ADL23" s="207"/>
      <c r="ADM23" s="207"/>
      <c r="ADN23" s="207"/>
      <c r="ADO23" s="207"/>
      <c r="ADP23" s="207"/>
      <c r="ADQ23" s="207"/>
      <c r="ADR23" s="207"/>
      <c r="ADS23" s="207"/>
      <c r="ADT23" s="207"/>
      <c r="ADU23" s="207"/>
      <c r="ADV23" s="207"/>
      <c r="ADW23" s="207"/>
      <c r="ADX23" s="207"/>
      <c r="ADY23" s="207"/>
      <c r="ADZ23" s="207"/>
      <c r="AEA23" s="207"/>
      <c r="AEB23" s="207"/>
      <c r="AEC23" s="207"/>
      <c r="AED23" s="207"/>
      <c r="AEE23" s="207"/>
      <c r="AEF23" s="207"/>
      <c r="AEG23" s="207"/>
      <c r="AEH23" s="207"/>
      <c r="AEI23" s="207"/>
      <c r="AEJ23" s="207"/>
      <c r="AEK23" s="207"/>
      <c r="AEL23" s="207"/>
      <c r="AEM23" s="207"/>
      <c r="AEN23" s="207"/>
      <c r="AEO23" s="207"/>
      <c r="AEP23" s="207"/>
      <c r="AEQ23" s="207"/>
      <c r="AER23" s="207"/>
      <c r="AES23" s="207"/>
      <c r="AET23" s="207"/>
      <c r="AEU23" s="207"/>
      <c r="AEV23" s="207"/>
      <c r="AEW23" s="207"/>
      <c r="AEX23" s="207"/>
      <c r="AEY23" s="207"/>
      <c r="AEZ23" s="207"/>
      <c r="AFA23" s="207"/>
      <c r="AFB23" s="207"/>
      <c r="AFC23" s="207"/>
      <c r="AFD23" s="207"/>
      <c r="AFE23" s="207"/>
      <c r="AFF23" s="207"/>
      <c r="AFG23" s="207"/>
      <c r="AFH23" s="207"/>
      <c r="AFI23" s="207"/>
      <c r="AFJ23" s="207"/>
      <c r="AFK23" s="207"/>
      <c r="AFL23" s="207"/>
      <c r="AFM23" s="207"/>
      <c r="AFN23" s="207"/>
      <c r="AFO23" s="207"/>
      <c r="AFP23" s="207"/>
      <c r="AFQ23" s="207"/>
      <c r="AFR23" s="207"/>
      <c r="AFS23" s="207"/>
      <c r="AFT23" s="207"/>
      <c r="AFU23" s="207"/>
      <c r="AFV23" s="207"/>
      <c r="AFW23" s="207"/>
      <c r="AFX23" s="207"/>
      <c r="AFY23" s="207"/>
      <c r="AFZ23" s="207"/>
      <c r="AGA23" s="207"/>
      <c r="AGB23" s="207"/>
      <c r="AGC23" s="207"/>
      <c r="AGD23" s="207"/>
      <c r="AGE23" s="207"/>
      <c r="AGF23" s="207"/>
      <c r="AGG23" s="207"/>
      <c r="AGH23" s="207"/>
      <c r="AGI23" s="207"/>
      <c r="AGJ23" s="207"/>
      <c r="AGK23" s="207"/>
      <c r="AGL23" s="207"/>
      <c r="AGM23" s="207"/>
      <c r="AGN23" s="207"/>
      <c r="AGO23" s="207"/>
      <c r="AGP23" s="207"/>
      <c r="AGQ23" s="207"/>
      <c r="AGR23" s="207"/>
      <c r="AGS23" s="207"/>
      <c r="AGT23" s="207"/>
      <c r="AGU23" s="207"/>
      <c r="AGV23" s="207"/>
      <c r="AGW23" s="207"/>
      <c r="AGX23" s="207"/>
      <c r="AGY23" s="207"/>
      <c r="AGZ23" s="207"/>
      <c r="AHA23" s="207"/>
      <c r="AHB23" s="207"/>
      <c r="AHC23" s="207"/>
      <c r="AHD23" s="207"/>
      <c r="AHE23" s="207"/>
      <c r="AHF23" s="207"/>
      <c r="AHG23" s="207"/>
      <c r="AHH23" s="207"/>
      <c r="AHI23" s="207"/>
      <c r="AHJ23" s="207"/>
      <c r="AHK23" s="207"/>
      <c r="AHL23" s="207"/>
      <c r="AHM23" s="207"/>
      <c r="AHN23" s="207"/>
      <c r="AHO23" s="207"/>
      <c r="AHP23" s="207"/>
      <c r="AHQ23" s="207"/>
      <c r="AHR23" s="207"/>
      <c r="AHS23" s="207"/>
      <c r="AHT23" s="207"/>
      <c r="AHU23" s="207"/>
      <c r="AHV23" s="207"/>
      <c r="AHW23" s="207"/>
      <c r="AHX23" s="207"/>
      <c r="AHY23" s="207"/>
      <c r="AHZ23" s="207"/>
      <c r="AIA23" s="207"/>
      <c r="AIB23" s="207"/>
      <c r="AIC23" s="207"/>
      <c r="AID23" s="207"/>
      <c r="AIE23" s="207"/>
      <c r="AIF23" s="207"/>
      <c r="AIG23" s="207"/>
      <c r="AIH23" s="207"/>
      <c r="AII23" s="207"/>
      <c r="AIJ23" s="207"/>
      <c r="AIK23" s="207"/>
      <c r="AIL23" s="207"/>
      <c r="AIM23" s="207"/>
      <c r="AIN23" s="207"/>
      <c r="AIO23" s="207"/>
      <c r="AIP23" s="207"/>
      <c r="AIQ23" s="207"/>
      <c r="AIR23" s="207"/>
      <c r="AIS23" s="207"/>
      <c r="AIT23" s="207"/>
      <c r="AIU23" s="207"/>
      <c r="AIV23" s="207"/>
      <c r="AIW23" s="207"/>
      <c r="AIX23" s="207"/>
      <c r="AIY23" s="207"/>
      <c r="AIZ23" s="207"/>
      <c r="AJA23" s="207"/>
      <c r="AJB23" s="207"/>
      <c r="AJC23" s="207"/>
      <c r="AJD23" s="207"/>
      <c r="AJE23" s="207"/>
      <c r="AJF23" s="207"/>
      <c r="AJG23" s="207"/>
      <c r="AJH23" s="207"/>
      <c r="AJI23" s="207"/>
      <c r="AJJ23" s="207"/>
      <c r="AJK23" s="207"/>
      <c r="AJL23" s="207"/>
      <c r="AJM23" s="207"/>
      <c r="AJN23" s="207"/>
      <c r="AJO23" s="207"/>
      <c r="AJP23" s="207"/>
      <c r="AJQ23" s="207"/>
      <c r="AJR23" s="207"/>
      <c r="AJS23" s="207"/>
      <c r="AJT23" s="207"/>
      <c r="AJU23" s="207"/>
      <c r="AJV23" s="207"/>
      <c r="AJW23" s="207"/>
      <c r="AJX23" s="207"/>
      <c r="AJY23" s="207"/>
      <c r="AJZ23" s="207"/>
      <c r="AKA23" s="207"/>
      <c r="AKB23" s="207"/>
      <c r="AKC23" s="207"/>
      <c r="AKD23" s="207"/>
      <c r="AKE23" s="207"/>
      <c r="AKF23" s="207"/>
      <c r="AKG23" s="207"/>
      <c r="AKH23" s="207"/>
      <c r="AKI23" s="207"/>
      <c r="AKJ23" s="207"/>
      <c r="AKK23" s="207"/>
      <c r="AKL23" s="207"/>
      <c r="AKM23" s="207"/>
      <c r="AKN23" s="207"/>
      <c r="AKO23" s="207"/>
      <c r="AKP23" s="207"/>
      <c r="AKQ23" s="207"/>
      <c r="AKR23" s="207"/>
      <c r="AKS23" s="207"/>
      <c r="AKT23" s="207"/>
      <c r="AKU23" s="207"/>
      <c r="AKV23" s="207"/>
      <c r="AKW23" s="207"/>
      <c r="AKX23" s="207"/>
      <c r="AKY23" s="207"/>
      <c r="AKZ23" s="207"/>
      <c r="ALA23" s="207"/>
      <c r="ALB23" s="207"/>
      <c r="ALC23" s="207"/>
      <c r="ALD23" s="207"/>
      <c r="ALE23" s="207"/>
      <c r="ALF23" s="207"/>
      <c r="ALG23" s="207"/>
      <c r="ALH23" s="207"/>
      <c r="ALI23" s="207"/>
      <c r="ALJ23" s="207"/>
      <c r="ALK23" s="207"/>
      <c r="ALL23" s="207"/>
      <c r="ALM23" s="207"/>
      <c r="ALN23" s="207"/>
      <c r="ALO23" s="207"/>
      <c r="ALP23" s="207"/>
      <c r="ALQ23" s="207"/>
      <c r="ALR23" s="207"/>
      <c r="ALS23" s="207"/>
      <c r="ALT23" s="207"/>
      <c r="ALU23" s="207"/>
      <c r="ALV23" s="207"/>
      <c r="ALW23" s="207"/>
      <c r="ALX23" s="207"/>
      <c r="ALY23" s="207"/>
      <c r="ALZ23" s="207"/>
      <c r="AMA23" s="207"/>
      <c r="AMB23" s="207"/>
      <c r="AMC23" s="207"/>
      <c r="AMD23" s="207"/>
      <c r="AME23" s="207"/>
      <c r="AMF23" s="207"/>
      <c r="AMG23" s="207"/>
      <c r="AMH23" s="207"/>
      <c r="AMI23" s="207"/>
      <c r="AMJ23" s="207"/>
      <c r="AMK23" s="207"/>
      <c r="AML23" s="207"/>
      <c r="AMM23" s="207"/>
      <c r="AMN23" s="207"/>
      <c r="AMO23" s="207"/>
      <c r="AMP23" s="207"/>
      <c r="AMQ23" s="207"/>
      <c r="AMR23" s="207"/>
      <c r="AMS23" s="207"/>
      <c r="AMT23" s="207"/>
      <c r="AMU23" s="207"/>
      <c r="AMV23" s="207"/>
      <c r="AMW23" s="207"/>
      <c r="AMX23" s="207"/>
      <c r="AMY23" s="207"/>
      <c r="AMZ23" s="207"/>
      <c r="ANA23" s="207"/>
      <c r="ANB23" s="207"/>
      <c r="ANC23" s="207"/>
      <c r="AND23" s="207"/>
      <c r="ANE23" s="207"/>
      <c r="ANF23" s="207"/>
      <c r="ANG23" s="207"/>
      <c r="ANH23" s="207"/>
      <c r="ANI23" s="207"/>
      <c r="ANJ23" s="207"/>
      <c r="ANK23" s="207"/>
      <c r="ANL23" s="207"/>
      <c r="ANM23" s="207"/>
      <c r="ANN23" s="207"/>
      <c r="ANO23" s="207"/>
      <c r="ANP23" s="207"/>
      <c r="ANQ23" s="207"/>
      <c r="ANR23" s="207"/>
      <c r="ANS23" s="207"/>
      <c r="ANT23" s="207"/>
      <c r="ANU23" s="207"/>
      <c r="ANV23" s="207"/>
      <c r="ANW23" s="207"/>
      <c r="ANX23" s="207"/>
      <c r="ANY23" s="207"/>
      <c r="ANZ23" s="207"/>
      <c r="AOA23" s="207"/>
      <c r="AOB23" s="207"/>
      <c r="AOC23" s="207"/>
      <c r="AOD23" s="207"/>
      <c r="AOE23" s="207"/>
      <c r="AOF23" s="207"/>
      <c r="AOG23" s="207"/>
      <c r="AOH23" s="207"/>
      <c r="AOI23" s="207"/>
      <c r="AOJ23" s="207"/>
      <c r="AOK23" s="207"/>
      <c r="AOL23" s="207"/>
      <c r="AOM23" s="207"/>
      <c r="AON23" s="207"/>
      <c r="AOO23" s="207"/>
      <c r="AOP23" s="207"/>
      <c r="AOQ23" s="207"/>
      <c r="AOR23" s="207"/>
      <c r="AOS23" s="207"/>
      <c r="AOT23" s="207"/>
      <c r="AOU23" s="207"/>
      <c r="AOV23" s="207"/>
      <c r="AOW23" s="207"/>
      <c r="AOX23" s="207"/>
      <c r="AOY23" s="207"/>
      <c r="AOZ23" s="207"/>
      <c r="APA23" s="207"/>
      <c r="APB23" s="207"/>
      <c r="APC23" s="207"/>
      <c r="APD23" s="207"/>
      <c r="APE23" s="207"/>
      <c r="APF23" s="207"/>
      <c r="APG23" s="207"/>
      <c r="APH23" s="207"/>
      <c r="API23" s="207"/>
      <c r="APJ23" s="207"/>
      <c r="APK23" s="207"/>
      <c r="APL23" s="207"/>
      <c r="APM23" s="207"/>
      <c r="APN23" s="207"/>
      <c r="APO23" s="207"/>
      <c r="APP23" s="207"/>
      <c r="APQ23" s="207"/>
      <c r="APR23" s="207"/>
      <c r="APS23" s="207"/>
      <c r="APT23" s="207"/>
      <c r="APU23" s="207"/>
      <c r="APV23" s="207"/>
      <c r="APW23" s="207"/>
      <c r="APX23" s="207"/>
      <c r="APY23" s="207"/>
      <c r="APZ23" s="207"/>
      <c r="AQA23" s="207"/>
      <c r="AQB23" s="207"/>
      <c r="AQC23" s="207"/>
      <c r="AQD23" s="207"/>
      <c r="AQE23" s="207"/>
      <c r="AQF23" s="207"/>
      <c r="AQG23" s="207"/>
      <c r="AQH23" s="207"/>
      <c r="AQI23" s="207"/>
      <c r="AQJ23" s="207"/>
      <c r="AQK23" s="207"/>
      <c r="AQL23" s="207"/>
      <c r="AQM23" s="207"/>
      <c r="AQN23" s="207"/>
      <c r="AQO23" s="207"/>
      <c r="AQP23" s="207"/>
      <c r="AQQ23" s="207"/>
      <c r="AQR23" s="207"/>
      <c r="AQS23" s="207"/>
      <c r="AQT23" s="207"/>
      <c r="AQU23" s="207"/>
      <c r="AQV23" s="207"/>
      <c r="AQW23" s="207"/>
      <c r="AQX23" s="207"/>
      <c r="AQY23" s="207"/>
      <c r="AQZ23" s="207"/>
      <c r="ARA23" s="207"/>
      <c r="ARB23" s="207"/>
      <c r="ARC23" s="207"/>
      <c r="ARD23" s="207"/>
      <c r="ARE23" s="207"/>
      <c r="ARF23" s="207"/>
      <c r="ARG23" s="207"/>
      <c r="ARH23" s="207"/>
      <c r="ARI23" s="207"/>
      <c r="ARJ23" s="207"/>
      <c r="ARK23" s="207"/>
      <c r="ARL23" s="207"/>
      <c r="ARM23" s="207"/>
      <c r="ARN23" s="207"/>
      <c r="ARO23" s="207"/>
      <c r="ARP23" s="207"/>
      <c r="ARQ23" s="207"/>
      <c r="ARR23" s="207"/>
      <c r="ARS23" s="207"/>
      <c r="ART23" s="207"/>
      <c r="ARU23" s="207"/>
      <c r="ARV23" s="207"/>
      <c r="ARW23" s="207"/>
      <c r="ARX23" s="207"/>
      <c r="ARY23" s="207"/>
      <c r="ARZ23" s="207"/>
      <c r="ASA23" s="207"/>
      <c r="ASB23" s="207"/>
      <c r="ASC23" s="207"/>
      <c r="ASD23" s="207"/>
      <c r="ASE23" s="207"/>
      <c r="ASF23" s="207"/>
      <c r="ASG23" s="207"/>
      <c r="ASH23" s="207"/>
      <c r="ASI23" s="207"/>
      <c r="ASJ23" s="207"/>
      <c r="ASK23" s="207"/>
      <c r="ASL23" s="207"/>
      <c r="ASM23" s="207"/>
      <c r="ASN23" s="207"/>
      <c r="ASO23" s="207"/>
      <c r="ASP23" s="207"/>
      <c r="ASQ23" s="207"/>
      <c r="ASR23" s="207"/>
      <c r="ASS23" s="207"/>
      <c r="AST23" s="207"/>
      <c r="ASU23" s="207"/>
      <c r="ASV23" s="207"/>
      <c r="ASW23" s="207"/>
      <c r="ASX23" s="207"/>
      <c r="ASY23" s="207"/>
      <c r="ASZ23" s="207"/>
      <c r="ATA23" s="207"/>
      <c r="ATB23" s="207"/>
      <c r="ATC23" s="207"/>
      <c r="ATD23" s="207"/>
      <c r="ATE23" s="207"/>
      <c r="ATF23" s="207"/>
      <c r="ATG23" s="207"/>
      <c r="ATH23" s="207"/>
      <c r="ATI23" s="207"/>
      <c r="ATJ23" s="207"/>
      <c r="ATK23" s="207"/>
      <c r="ATL23" s="207"/>
      <c r="ATM23" s="207"/>
      <c r="ATN23" s="207"/>
      <c r="ATO23" s="207"/>
      <c r="ATP23" s="207"/>
      <c r="ATQ23" s="207"/>
      <c r="ATR23" s="207"/>
      <c r="ATS23" s="207"/>
      <c r="ATT23" s="207"/>
      <c r="ATU23" s="207"/>
      <c r="ATV23" s="207"/>
      <c r="ATW23" s="207"/>
      <c r="ATX23" s="207"/>
      <c r="ATY23" s="207"/>
      <c r="ATZ23" s="207"/>
      <c r="AUA23" s="207"/>
      <c r="AUB23" s="207"/>
      <c r="AUC23" s="207"/>
      <c r="AUD23" s="207"/>
      <c r="AUE23" s="207"/>
      <c r="AUF23" s="207"/>
      <c r="AUG23" s="207"/>
      <c r="AUH23" s="207"/>
      <c r="AUI23" s="207"/>
      <c r="AUJ23" s="207"/>
      <c r="AUK23" s="207"/>
      <c r="AUL23" s="207"/>
      <c r="AUM23" s="207"/>
      <c r="AUN23" s="207"/>
      <c r="AUO23" s="207"/>
      <c r="AUP23" s="207"/>
      <c r="AUQ23" s="207"/>
      <c r="AUR23" s="207"/>
      <c r="AUS23" s="207"/>
      <c r="AUT23" s="207"/>
      <c r="AUU23" s="207"/>
      <c r="AUV23" s="207"/>
      <c r="AUW23" s="207"/>
      <c r="AUX23" s="207"/>
      <c r="AUY23" s="207"/>
      <c r="AUZ23" s="207"/>
      <c r="AVA23" s="207"/>
      <c r="AVB23" s="207"/>
      <c r="AVC23" s="207"/>
      <c r="AVD23" s="207"/>
      <c r="AVE23" s="207"/>
      <c r="AVF23" s="207"/>
      <c r="AVG23" s="207"/>
      <c r="AVH23" s="207"/>
      <c r="AVI23" s="207"/>
      <c r="AVJ23" s="207"/>
      <c r="AVK23" s="207"/>
      <c r="AVL23" s="207"/>
      <c r="AVM23" s="207"/>
      <c r="AVN23" s="207"/>
      <c r="AVO23" s="207"/>
      <c r="AVP23" s="207"/>
      <c r="AVQ23" s="207"/>
      <c r="AVR23" s="207"/>
      <c r="AVS23" s="207"/>
      <c r="AVT23" s="207"/>
      <c r="AVU23" s="207"/>
      <c r="AVV23" s="207"/>
      <c r="AVW23" s="207"/>
      <c r="AVX23" s="207"/>
      <c r="AVY23" s="207"/>
      <c r="AVZ23" s="207"/>
      <c r="AWA23" s="207"/>
      <c r="AWB23" s="207"/>
      <c r="AWC23" s="207"/>
      <c r="AWD23" s="207"/>
      <c r="AWE23" s="207"/>
      <c r="AWF23" s="207"/>
      <c r="AWG23" s="207"/>
      <c r="AWH23" s="207"/>
      <c r="AWI23" s="207"/>
      <c r="AWJ23" s="207"/>
      <c r="AWK23" s="207"/>
      <c r="AWL23" s="207"/>
      <c r="AWM23" s="207"/>
      <c r="AWN23" s="207"/>
      <c r="AWO23" s="207"/>
      <c r="AWP23" s="207"/>
      <c r="AWQ23" s="207"/>
      <c r="AWR23" s="207"/>
      <c r="AWS23" s="207"/>
      <c r="AWT23" s="207"/>
      <c r="AWU23" s="207"/>
      <c r="AWV23" s="207"/>
      <c r="AWW23" s="207"/>
      <c r="AWX23" s="207"/>
      <c r="AWY23" s="207"/>
      <c r="AWZ23" s="207"/>
      <c r="AXA23" s="207"/>
      <c r="AXB23" s="207"/>
      <c r="AXC23" s="207"/>
      <c r="AXD23" s="207"/>
      <c r="AXE23" s="207"/>
      <c r="AXF23" s="207"/>
      <c r="AXG23" s="207"/>
      <c r="AXH23" s="207"/>
      <c r="AXI23" s="207"/>
      <c r="AXJ23" s="207"/>
      <c r="AXK23" s="207"/>
      <c r="AXL23" s="207"/>
      <c r="AXM23" s="207"/>
      <c r="AXN23" s="207"/>
      <c r="AXO23" s="207"/>
      <c r="AXP23" s="207"/>
      <c r="AXQ23" s="207"/>
      <c r="AXR23" s="207"/>
      <c r="AXS23" s="207"/>
      <c r="AXT23" s="207"/>
      <c r="AXU23" s="207"/>
      <c r="AXV23" s="207"/>
      <c r="AXW23" s="207"/>
      <c r="AXX23" s="207"/>
      <c r="AXY23" s="207"/>
      <c r="AXZ23" s="207"/>
      <c r="AYA23" s="207"/>
      <c r="AYB23" s="207"/>
      <c r="AYC23" s="207"/>
      <c r="AYD23" s="207"/>
      <c r="AYE23" s="207"/>
      <c r="AYF23" s="207"/>
      <c r="AYG23" s="207"/>
      <c r="AYH23" s="207"/>
      <c r="AYI23" s="207"/>
      <c r="AYJ23" s="207"/>
      <c r="AYK23" s="207"/>
      <c r="AYL23" s="207"/>
      <c r="AYM23" s="207"/>
      <c r="AYN23" s="207"/>
      <c r="AYO23" s="207"/>
      <c r="AYP23" s="207"/>
      <c r="AYQ23" s="207"/>
      <c r="AYR23" s="207"/>
      <c r="AYS23" s="207"/>
      <c r="AYT23" s="207"/>
      <c r="AYU23" s="207"/>
      <c r="AYV23" s="207"/>
      <c r="AYW23" s="207"/>
      <c r="AYX23" s="207"/>
      <c r="AYY23" s="207"/>
      <c r="AYZ23" s="207"/>
      <c r="AZA23" s="207"/>
      <c r="AZB23" s="207"/>
      <c r="AZC23" s="207"/>
      <c r="AZD23" s="207"/>
      <c r="AZE23" s="207"/>
      <c r="AZF23" s="207"/>
      <c r="AZG23" s="207"/>
      <c r="AZH23" s="207"/>
      <c r="AZI23" s="207"/>
      <c r="AZJ23" s="207"/>
      <c r="AZK23" s="207"/>
      <c r="AZL23" s="207"/>
      <c r="AZM23" s="207"/>
      <c r="AZN23" s="207"/>
      <c r="AZO23" s="207"/>
      <c r="AZP23" s="207"/>
      <c r="AZQ23" s="207"/>
      <c r="AZR23" s="207"/>
      <c r="AZS23" s="207"/>
      <c r="AZT23" s="207"/>
      <c r="AZU23" s="207"/>
      <c r="AZV23" s="207"/>
      <c r="AZW23" s="207"/>
      <c r="AZX23" s="207"/>
      <c r="AZY23" s="207"/>
      <c r="AZZ23" s="207"/>
      <c r="BAA23" s="207"/>
      <c r="BAB23" s="207"/>
      <c r="BAC23" s="207"/>
      <c r="BAD23" s="207"/>
      <c r="BAE23" s="207"/>
      <c r="BAF23" s="207"/>
      <c r="BAG23" s="207"/>
      <c r="BAH23" s="207"/>
      <c r="BAI23" s="207"/>
      <c r="BAJ23" s="207"/>
      <c r="BAK23" s="207"/>
      <c r="BAL23" s="207"/>
      <c r="BAM23" s="207"/>
      <c r="BAN23" s="207"/>
      <c r="BAO23" s="207"/>
      <c r="BAP23" s="207"/>
      <c r="BAQ23" s="207"/>
      <c r="BAR23" s="207"/>
      <c r="BAS23" s="207"/>
      <c r="BAT23" s="207"/>
      <c r="BAU23" s="207"/>
      <c r="BAV23" s="207"/>
      <c r="BAW23" s="207"/>
      <c r="BAX23" s="207"/>
      <c r="BAY23" s="207"/>
      <c r="BAZ23" s="207"/>
      <c r="BBA23" s="207"/>
      <c r="BBB23" s="207"/>
      <c r="BBC23" s="207"/>
      <c r="BBD23" s="207"/>
      <c r="BBE23" s="207"/>
      <c r="BBF23" s="207"/>
      <c r="BBG23" s="207"/>
      <c r="BBH23" s="207"/>
      <c r="BBI23" s="207"/>
      <c r="BBJ23" s="207"/>
      <c r="BBK23" s="207"/>
      <c r="BBL23" s="207"/>
      <c r="BBM23" s="207"/>
      <c r="BBN23" s="207"/>
      <c r="BBO23" s="207"/>
      <c r="BBP23" s="207"/>
      <c r="BBQ23" s="207"/>
      <c r="BBR23" s="207"/>
      <c r="BBS23" s="207"/>
      <c r="BBT23" s="207"/>
      <c r="BBU23" s="207"/>
      <c r="BBV23" s="207"/>
      <c r="BBW23" s="207"/>
      <c r="BBX23" s="207"/>
      <c r="BBY23" s="207"/>
      <c r="BBZ23" s="207"/>
      <c r="BCA23" s="207"/>
      <c r="BCB23" s="207"/>
      <c r="BCC23" s="207"/>
      <c r="BCD23" s="207"/>
      <c r="BCE23" s="207"/>
      <c r="BCF23" s="207"/>
      <c r="BCG23" s="207"/>
      <c r="BCH23" s="207"/>
      <c r="BCI23" s="207"/>
      <c r="BCJ23" s="207"/>
      <c r="BCK23" s="207"/>
      <c r="BCL23" s="207"/>
      <c r="BCM23" s="207"/>
      <c r="BCN23" s="207"/>
      <c r="BCO23" s="207"/>
      <c r="BCP23" s="207"/>
      <c r="BCQ23" s="207"/>
      <c r="BCR23" s="207"/>
      <c r="BCS23" s="207"/>
      <c r="BCT23" s="207"/>
      <c r="BCU23" s="207"/>
      <c r="BCV23" s="207"/>
      <c r="BCW23" s="207"/>
      <c r="BCX23" s="207"/>
      <c r="BCY23" s="207"/>
      <c r="BCZ23" s="207"/>
      <c r="BDA23" s="207"/>
      <c r="BDB23" s="207"/>
      <c r="BDC23" s="207"/>
      <c r="BDD23" s="207"/>
      <c r="BDE23" s="207"/>
      <c r="BDF23" s="207"/>
      <c r="BDG23" s="207"/>
      <c r="BDH23" s="207"/>
      <c r="BDI23" s="207"/>
      <c r="BDJ23" s="207"/>
      <c r="BDK23" s="207"/>
      <c r="BDL23" s="207"/>
      <c r="BDM23" s="207"/>
      <c r="BDN23" s="207"/>
      <c r="BDO23" s="207"/>
      <c r="BDP23" s="207"/>
      <c r="BDQ23" s="207"/>
      <c r="BDR23" s="207"/>
      <c r="BDS23" s="207"/>
      <c r="BDT23" s="207"/>
      <c r="BDU23" s="207"/>
      <c r="BDV23" s="207"/>
      <c r="BDW23" s="207"/>
      <c r="BDX23" s="207"/>
      <c r="BDY23" s="207"/>
      <c r="BDZ23" s="207"/>
      <c r="BEA23" s="207"/>
      <c r="BEB23" s="207"/>
      <c r="BEC23" s="207"/>
      <c r="BED23" s="207"/>
      <c r="BEE23" s="207"/>
      <c r="BEF23" s="207"/>
      <c r="BEG23" s="207"/>
      <c r="BEH23" s="207"/>
      <c r="BEI23" s="207"/>
      <c r="BEJ23" s="207"/>
      <c r="BEK23" s="207"/>
      <c r="BEL23" s="207"/>
      <c r="BEM23" s="207"/>
      <c r="BEN23" s="207"/>
      <c r="BEO23" s="207"/>
      <c r="BEP23" s="207"/>
      <c r="BEQ23" s="207"/>
      <c r="BER23" s="207"/>
      <c r="BES23" s="207"/>
      <c r="BET23" s="207"/>
      <c r="BEU23" s="207"/>
      <c r="BEV23" s="207"/>
      <c r="BEW23" s="207"/>
      <c r="BEX23" s="207"/>
      <c r="BEY23" s="207"/>
      <c r="BEZ23" s="207"/>
      <c r="BFA23" s="207"/>
      <c r="BFB23" s="207"/>
      <c r="BFC23" s="207"/>
      <c r="BFD23" s="207"/>
      <c r="BFE23" s="207"/>
      <c r="BFF23" s="207"/>
      <c r="BFG23" s="207"/>
      <c r="BFH23" s="207"/>
      <c r="BFI23" s="207"/>
      <c r="BFJ23" s="207"/>
      <c r="BFK23" s="207"/>
      <c r="BFL23" s="207"/>
      <c r="BFM23" s="207"/>
      <c r="BFN23" s="207"/>
      <c r="BFO23" s="207"/>
      <c r="BFP23" s="207"/>
      <c r="BFQ23" s="207"/>
      <c r="BFR23" s="207"/>
      <c r="BFS23" s="207"/>
      <c r="BFT23" s="207"/>
      <c r="BFU23" s="207"/>
      <c r="BFV23" s="207"/>
      <c r="BFW23" s="207"/>
      <c r="BFX23" s="207"/>
      <c r="BFY23" s="207"/>
      <c r="BFZ23" s="207"/>
      <c r="BGA23" s="207"/>
      <c r="BGB23" s="207"/>
      <c r="BGC23" s="207"/>
      <c r="BGD23" s="207"/>
      <c r="BGE23" s="207"/>
      <c r="BGF23" s="207"/>
      <c r="BGG23" s="207"/>
      <c r="BGH23" s="207"/>
      <c r="BGI23" s="207"/>
      <c r="BGJ23" s="207"/>
      <c r="BGK23" s="207"/>
      <c r="BGL23" s="207"/>
      <c r="BGM23" s="207"/>
      <c r="BGN23" s="207"/>
      <c r="BGO23" s="207"/>
      <c r="BGP23" s="207"/>
      <c r="BGQ23" s="207"/>
      <c r="BGR23" s="207"/>
      <c r="BGS23" s="207"/>
      <c r="BGT23" s="207"/>
      <c r="BGU23" s="207"/>
      <c r="BGV23" s="207"/>
      <c r="BGW23" s="207"/>
      <c r="BGX23" s="207"/>
      <c r="BGY23" s="207"/>
      <c r="BGZ23" s="207"/>
      <c r="BHA23" s="207"/>
      <c r="BHB23" s="207"/>
      <c r="BHC23" s="207"/>
      <c r="BHD23" s="207"/>
      <c r="BHE23" s="207"/>
      <c r="BHF23" s="207"/>
      <c r="BHG23" s="207"/>
      <c r="BHH23" s="207"/>
      <c r="BHI23" s="207"/>
      <c r="BHJ23" s="207"/>
      <c r="BHK23" s="207"/>
      <c r="BHL23" s="207"/>
      <c r="BHM23" s="207"/>
      <c r="BHN23" s="207"/>
      <c r="BHO23" s="207"/>
      <c r="BHP23" s="207"/>
      <c r="BHQ23" s="207"/>
      <c r="BHR23" s="207"/>
      <c r="BHS23" s="207"/>
      <c r="BHT23" s="207"/>
      <c r="BHU23" s="207"/>
      <c r="BHV23" s="207"/>
      <c r="BHW23" s="207"/>
      <c r="BHX23" s="207"/>
      <c r="BHY23" s="207"/>
      <c r="BHZ23" s="207"/>
      <c r="BIA23" s="207"/>
      <c r="BIB23" s="207"/>
      <c r="BIC23" s="207"/>
      <c r="BID23" s="207"/>
      <c r="BIE23" s="207"/>
      <c r="BIF23" s="207"/>
      <c r="BIG23" s="207"/>
      <c r="BIH23" s="207"/>
      <c r="BII23" s="207"/>
      <c r="BIJ23" s="207"/>
      <c r="BIK23" s="207"/>
      <c r="BIL23" s="207"/>
      <c r="BIM23" s="207"/>
      <c r="BIN23" s="207"/>
      <c r="BIO23" s="207"/>
      <c r="BIP23" s="207"/>
      <c r="BIQ23" s="207"/>
      <c r="BIR23" s="207"/>
      <c r="BIS23" s="207"/>
      <c r="BIT23" s="207"/>
      <c r="BIU23" s="207"/>
      <c r="BIV23" s="207"/>
      <c r="BIW23" s="207"/>
      <c r="BIX23" s="207"/>
      <c r="BIY23" s="207"/>
      <c r="BIZ23" s="207"/>
      <c r="BJA23" s="207"/>
      <c r="BJB23" s="207"/>
      <c r="BJC23" s="207"/>
      <c r="BJD23" s="207"/>
      <c r="BJE23" s="207"/>
      <c r="BJF23" s="207"/>
      <c r="BJG23" s="207"/>
      <c r="BJH23" s="207"/>
      <c r="BJI23" s="207"/>
      <c r="BJJ23" s="207"/>
      <c r="BJK23" s="207"/>
      <c r="BJL23" s="207"/>
      <c r="BJM23" s="207"/>
      <c r="BJN23" s="207"/>
      <c r="BJO23" s="207"/>
      <c r="BJP23" s="207"/>
      <c r="BJQ23" s="207"/>
      <c r="BJR23" s="207"/>
      <c r="BJS23" s="207"/>
      <c r="BJT23" s="207"/>
      <c r="BJU23" s="207"/>
      <c r="BJV23" s="207"/>
      <c r="BJW23" s="207"/>
      <c r="BJX23" s="207"/>
      <c r="BJY23" s="207"/>
      <c r="BJZ23" s="207"/>
      <c r="BKA23" s="207"/>
      <c r="BKB23" s="207"/>
      <c r="BKC23" s="207"/>
      <c r="BKD23" s="207"/>
      <c r="BKE23" s="207"/>
      <c r="BKF23" s="207"/>
      <c r="BKG23" s="207"/>
      <c r="BKH23" s="207"/>
      <c r="BKI23" s="207"/>
      <c r="BKJ23" s="207"/>
      <c r="BKK23" s="207"/>
      <c r="BKL23" s="207"/>
      <c r="BKM23" s="207"/>
      <c r="BKN23" s="207"/>
      <c r="BKO23" s="207"/>
      <c r="BKP23" s="207"/>
      <c r="BKQ23" s="207"/>
      <c r="BKR23" s="207"/>
      <c r="BKS23" s="207"/>
      <c r="BKT23" s="207"/>
      <c r="BKU23" s="207"/>
      <c r="BKV23" s="207"/>
      <c r="BKW23" s="207"/>
      <c r="BKX23" s="207"/>
      <c r="BKY23" s="207"/>
      <c r="BKZ23" s="207"/>
      <c r="BLA23" s="207"/>
      <c r="BLB23" s="207"/>
      <c r="BLC23" s="207"/>
      <c r="BLD23" s="207"/>
      <c r="BLE23" s="207"/>
      <c r="BLF23" s="207"/>
      <c r="BLG23" s="207"/>
      <c r="BLH23" s="207"/>
      <c r="BLI23" s="207"/>
      <c r="BLJ23" s="207"/>
      <c r="BLK23" s="207"/>
      <c r="BLL23" s="207"/>
      <c r="BLM23" s="207"/>
      <c r="BLN23" s="207"/>
      <c r="BLO23" s="207"/>
      <c r="BLP23" s="207"/>
      <c r="BLQ23" s="207"/>
      <c r="BLR23" s="207"/>
      <c r="BLS23" s="207"/>
      <c r="BLT23" s="207"/>
      <c r="BLU23" s="207"/>
      <c r="BLV23" s="207"/>
      <c r="BLW23" s="207"/>
      <c r="BLX23" s="207"/>
      <c r="BLY23" s="207"/>
      <c r="BLZ23" s="207"/>
      <c r="BMA23" s="207"/>
      <c r="BMB23" s="207"/>
      <c r="BMC23" s="207"/>
      <c r="BMD23" s="207"/>
      <c r="BME23" s="207"/>
      <c r="BMF23" s="207"/>
      <c r="BMG23" s="207"/>
      <c r="BMH23" s="207"/>
      <c r="BMI23" s="207"/>
      <c r="BMJ23" s="207"/>
      <c r="BMK23" s="207"/>
      <c r="BML23" s="207"/>
      <c r="BMM23" s="207"/>
      <c r="BMN23" s="207"/>
      <c r="BMO23" s="207"/>
      <c r="BMP23" s="207"/>
      <c r="BMQ23" s="207"/>
      <c r="BMR23" s="207"/>
      <c r="BMS23" s="207"/>
      <c r="BMT23" s="207"/>
      <c r="BMU23" s="207"/>
      <c r="BMV23" s="207"/>
      <c r="BMW23" s="207"/>
      <c r="BMX23" s="207"/>
      <c r="BMY23" s="207"/>
      <c r="BMZ23" s="207"/>
      <c r="BNA23" s="207"/>
      <c r="BNB23" s="207"/>
      <c r="BNC23" s="207"/>
      <c r="BND23" s="207"/>
      <c r="BNE23" s="207"/>
      <c r="BNF23" s="207"/>
      <c r="BNG23" s="207"/>
      <c r="BNH23" s="207"/>
      <c r="BNI23" s="207"/>
      <c r="BNJ23" s="207"/>
      <c r="BNK23" s="207"/>
      <c r="BNL23" s="207"/>
      <c r="BNM23" s="207"/>
      <c r="BNN23" s="207"/>
      <c r="BNO23" s="207"/>
      <c r="BNP23" s="207"/>
      <c r="BNQ23" s="207"/>
      <c r="BNR23" s="207"/>
      <c r="BNS23" s="207"/>
      <c r="BNT23" s="207"/>
      <c r="BNU23" s="207"/>
      <c r="BNV23" s="207"/>
      <c r="BNW23" s="207"/>
      <c r="BNX23" s="207"/>
      <c r="BNY23" s="207"/>
      <c r="BNZ23" s="207"/>
      <c r="BOA23" s="207"/>
      <c r="BOB23" s="207"/>
      <c r="BOC23" s="207"/>
      <c r="BOD23" s="207"/>
      <c r="BOE23" s="207"/>
      <c r="BOF23" s="207"/>
      <c r="BOG23" s="207"/>
      <c r="BOH23" s="207"/>
      <c r="BOI23" s="207"/>
      <c r="BOJ23" s="207"/>
      <c r="BOK23" s="207"/>
      <c r="BOL23" s="207"/>
      <c r="BOM23" s="207"/>
      <c r="BON23" s="207"/>
      <c r="BOO23" s="207"/>
      <c r="BOP23" s="207"/>
      <c r="BOQ23" s="207"/>
      <c r="BOR23" s="207"/>
      <c r="BOS23" s="207"/>
      <c r="BOT23" s="207"/>
      <c r="BOU23" s="207"/>
      <c r="BOV23" s="207"/>
      <c r="BOW23" s="207"/>
      <c r="BOX23" s="207"/>
      <c r="BOY23" s="207"/>
      <c r="BOZ23" s="207"/>
      <c r="BPA23" s="207"/>
      <c r="BPB23" s="207"/>
      <c r="BPC23" s="207"/>
      <c r="BPD23" s="207"/>
      <c r="BPE23" s="207"/>
      <c r="BPF23" s="207"/>
      <c r="BPG23" s="207"/>
      <c r="BPH23" s="207"/>
      <c r="BPI23" s="207"/>
      <c r="BPJ23" s="207"/>
      <c r="BPK23" s="207"/>
      <c r="BPL23" s="207"/>
      <c r="BPM23" s="207"/>
      <c r="BPN23" s="207"/>
      <c r="BPO23" s="207"/>
      <c r="BPP23" s="207"/>
      <c r="BPQ23" s="207"/>
      <c r="BPR23" s="207"/>
      <c r="BPS23" s="207"/>
      <c r="BPT23" s="207"/>
      <c r="BPU23" s="207"/>
      <c r="BPV23" s="207"/>
      <c r="BPW23" s="207"/>
      <c r="BPX23" s="207"/>
      <c r="BPY23" s="207"/>
      <c r="BPZ23" s="207"/>
      <c r="BQA23" s="207"/>
      <c r="BQB23" s="207"/>
      <c r="BQC23" s="207"/>
      <c r="BQD23" s="207"/>
      <c r="BQE23" s="207"/>
      <c r="BQF23" s="207"/>
      <c r="BQG23" s="207"/>
      <c r="BQH23" s="207"/>
      <c r="BQI23" s="207"/>
      <c r="BQJ23" s="207"/>
      <c r="BQK23" s="207"/>
      <c r="BQL23" s="207"/>
      <c r="BQM23" s="207"/>
      <c r="BQN23" s="207"/>
      <c r="BQO23" s="207"/>
      <c r="BQP23" s="207"/>
      <c r="BQQ23" s="207"/>
      <c r="BQR23" s="207"/>
      <c r="BQS23" s="207"/>
      <c r="BQT23" s="207"/>
      <c r="BQU23" s="207"/>
      <c r="BQV23" s="207"/>
      <c r="BQW23" s="207"/>
      <c r="BQX23" s="207"/>
      <c r="BQY23" s="207"/>
      <c r="BQZ23" s="207"/>
      <c r="BRA23" s="207"/>
      <c r="BRB23" s="207"/>
      <c r="BRC23" s="207"/>
      <c r="BRD23" s="207"/>
      <c r="BRE23" s="207"/>
      <c r="BRF23" s="207"/>
      <c r="BRG23" s="207"/>
      <c r="BRH23" s="207"/>
      <c r="BRI23" s="207"/>
      <c r="BRJ23" s="207"/>
      <c r="BRK23" s="207"/>
      <c r="BRL23" s="207"/>
      <c r="BRM23" s="207"/>
      <c r="BRN23" s="207"/>
      <c r="BRO23" s="207"/>
      <c r="BRP23" s="207"/>
      <c r="BRQ23" s="207"/>
      <c r="BRR23" s="207"/>
      <c r="BRS23" s="207"/>
      <c r="BRT23" s="207"/>
      <c r="BRU23" s="207"/>
      <c r="BRV23" s="207"/>
      <c r="BRW23" s="207"/>
      <c r="BRX23" s="207"/>
      <c r="BRY23" s="207"/>
      <c r="BRZ23" s="207"/>
      <c r="BSA23" s="207"/>
      <c r="BSB23" s="207"/>
      <c r="BSC23" s="207"/>
      <c r="BSD23" s="207"/>
      <c r="BSE23" s="207"/>
      <c r="BSF23" s="207"/>
      <c r="BSG23" s="207"/>
      <c r="BSH23" s="207"/>
      <c r="BSI23" s="207"/>
      <c r="BSJ23" s="207"/>
      <c r="BSK23" s="207"/>
      <c r="BSL23" s="207"/>
      <c r="BSM23" s="207"/>
      <c r="BSN23" s="207"/>
      <c r="BSO23" s="207"/>
      <c r="BSP23" s="207"/>
      <c r="BSQ23" s="207"/>
      <c r="BSR23" s="207"/>
      <c r="BSS23" s="207"/>
      <c r="BST23" s="207"/>
      <c r="BSU23" s="207"/>
      <c r="BSV23" s="207"/>
      <c r="BSW23" s="207"/>
      <c r="BSX23" s="207"/>
      <c r="BSY23" s="207"/>
      <c r="BSZ23" s="207"/>
      <c r="BTA23" s="207"/>
      <c r="BTB23" s="207"/>
      <c r="BTC23" s="207"/>
      <c r="BTD23" s="207"/>
      <c r="BTE23" s="207"/>
      <c r="BTF23" s="207"/>
      <c r="BTG23" s="207"/>
      <c r="BTH23" s="207"/>
      <c r="BTI23" s="207"/>
      <c r="BTJ23" s="207"/>
      <c r="BTK23" s="207"/>
      <c r="BTL23" s="207"/>
      <c r="BTM23" s="207"/>
      <c r="BTN23" s="207"/>
      <c r="BTO23" s="207"/>
      <c r="BTP23" s="207"/>
      <c r="BTQ23" s="207"/>
      <c r="BTR23" s="207"/>
      <c r="BTS23" s="207"/>
      <c r="BTT23" s="207"/>
      <c r="BTU23" s="207"/>
      <c r="BTV23" s="207"/>
      <c r="BTW23" s="207"/>
      <c r="BTX23" s="207"/>
      <c r="BTY23" s="207"/>
      <c r="BTZ23" s="207"/>
      <c r="BUA23" s="207"/>
      <c r="BUB23" s="207"/>
      <c r="BUC23" s="207"/>
      <c r="BUD23" s="207"/>
      <c r="BUE23" s="207"/>
      <c r="BUF23" s="207"/>
      <c r="BUG23" s="207"/>
      <c r="BUH23" s="207"/>
      <c r="BUI23" s="207"/>
      <c r="BUJ23" s="207"/>
      <c r="BUK23" s="207"/>
      <c r="BUL23" s="207"/>
      <c r="BUM23" s="207"/>
      <c r="BUN23" s="207"/>
      <c r="BUO23" s="207"/>
      <c r="BUP23" s="207"/>
      <c r="BUQ23" s="207"/>
      <c r="BUR23" s="207"/>
      <c r="BUS23" s="207"/>
      <c r="BUT23" s="207"/>
      <c r="BUU23" s="207"/>
      <c r="BUV23" s="207"/>
      <c r="BUW23" s="207"/>
      <c r="BUX23" s="207"/>
      <c r="BUY23" s="207"/>
      <c r="BUZ23" s="207"/>
      <c r="BVA23" s="207"/>
      <c r="BVB23" s="207"/>
      <c r="BVC23" s="207"/>
      <c r="BVD23" s="207"/>
      <c r="BVE23" s="207"/>
      <c r="BVF23" s="207"/>
      <c r="BVG23" s="207"/>
      <c r="BVH23" s="207"/>
      <c r="BVI23" s="207"/>
      <c r="BVJ23" s="207"/>
      <c r="BVK23" s="207"/>
      <c r="BVL23" s="207"/>
      <c r="BVM23" s="207"/>
      <c r="BVN23" s="207"/>
      <c r="BVO23" s="207"/>
      <c r="BVP23" s="207"/>
      <c r="BVQ23" s="207"/>
      <c r="BVR23" s="207"/>
      <c r="BVS23" s="207"/>
      <c r="BVT23" s="207"/>
      <c r="BVU23" s="207"/>
      <c r="BVV23" s="207"/>
      <c r="BVW23" s="207"/>
      <c r="BVX23" s="207"/>
      <c r="BVY23" s="207"/>
      <c r="BVZ23" s="207"/>
      <c r="BWA23" s="207"/>
      <c r="BWB23" s="207"/>
      <c r="BWC23" s="207"/>
      <c r="BWD23" s="207"/>
      <c r="BWE23" s="207"/>
      <c r="BWF23" s="207"/>
      <c r="BWG23" s="207"/>
      <c r="BWH23" s="207"/>
      <c r="BWI23" s="207"/>
      <c r="BWJ23" s="207"/>
      <c r="BWK23" s="207"/>
      <c r="BWL23" s="207"/>
      <c r="BWM23" s="207"/>
      <c r="BWN23" s="207"/>
      <c r="BWO23" s="207"/>
      <c r="BWP23" s="207"/>
      <c r="BWQ23" s="207"/>
      <c r="BWR23" s="207"/>
      <c r="BWS23" s="207"/>
      <c r="BWT23" s="207"/>
      <c r="BWU23" s="207"/>
      <c r="BWV23" s="207"/>
      <c r="BWW23" s="207"/>
      <c r="BWX23" s="207"/>
      <c r="BWY23" s="207"/>
      <c r="BWZ23" s="207"/>
      <c r="BXA23" s="207"/>
      <c r="BXB23" s="207"/>
      <c r="BXC23" s="207"/>
      <c r="BXD23" s="207"/>
      <c r="BXE23" s="207"/>
      <c r="BXF23" s="207"/>
      <c r="BXG23" s="207"/>
      <c r="BXH23" s="207"/>
      <c r="BXI23" s="207"/>
      <c r="BXJ23" s="207"/>
      <c r="BXK23" s="207"/>
      <c r="BXL23" s="207"/>
      <c r="BXM23" s="207"/>
      <c r="BXN23" s="207"/>
      <c r="BXO23" s="207"/>
      <c r="BXP23" s="207"/>
      <c r="BXQ23" s="207"/>
      <c r="BXR23" s="207"/>
      <c r="BXS23" s="207"/>
      <c r="BXT23" s="207"/>
      <c r="BXU23" s="207"/>
      <c r="BXV23" s="207"/>
      <c r="BXW23" s="207"/>
      <c r="BXX23" s="207"/>
      <c r="BXY23" s="207"/>
      <c r="BXZ23" s="207"/>
      <c r="BYA23" s="207"/>
      <c r="BYB23" s="207"/>
      <c r="BYC23" s="207"/>
      <c r="BYD23" s="207"/>
      <c r="BYE23" s="207"/>
      <c r="BYF23" s="207"/>
      <c r="BYG23" s="207"/>
    </row>
    <row r="24" spans="1:2009" s="99" customFormat="1" ht="12.75" hidden="1" customHeight="1" thickBot="1" x14ac:dyDescent="0.3">
      <c r="A24" s="106"/>
      <c r="B24" s="107"/>
      <c r="C24" s="175"/>
      <c r="D24" s="175"/>
      <c r="E24" s="175"/>
      <c r="F24" s="175"/>
      <c r="G24" s="650"/>
      <c r="H24" s="98"/>
      <c r="I24" s="758"/>
      <c r="J24" s="98"/>
      <c r="K24" s="420"/>
      <c r="L24" s="419">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96</v>
      </c>
      <c r="B25" s="138"/>
      <c r="C25" s="176"/>
      <c r="D25" s="176"/>
      <c r="E25" s="177"/>
      <c r="F25" s="177"/>
      <c r="G25" s="651"/>
      <c r="H25" s="93"/>
      <c r="I25" s="555"/>
      <c r="J25" s="93"/>
      <c r="K25" s="420"/>
      <c r="L25" s="420" t="s">
        <v>199</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157</v>
      </c>
      <c r="C26" s="178"/>
      <c r="D26" s="178"/>
      <c r="E26" s="179"/>
      <c r="F26" s="179"/>
      <c r="G26" s="652"/>
      <c r="H26" s="93"/>
      <c r="I26" s="555"/>
      <c r="J26" s="93"/>
      <c r="K26" s="421"/>
      <c r="L26"/>
      <c r="M26" s="422">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3" customFormat="1" ht="24.95" hidden="1" customHeight="1" thickBot="1" x14ac:dyDescent="0.3">
      <c r="A27" s="209"/>
      <c r="B27" s="210" t="s">
        <v>141</v>
      </c>
      <c r="C27" s="211"/>
      <c r="D27" s="212"/>
      <c r="E27" s="212"/>
      <c r="F27" s="212">
        <f>SUM(F25:F26)</f>
        <v>0</v>
      </c>
      <c r="G27" s="653">
        <f>ROUND(SUM(C27:F27),5)</f>
        <v>0</v>
      </c>
      <c r="H27" s="196"/>
      <c r="I27" s="555"/>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c r="GY27" s="197"/>
      <c r="GZ27" s="197"/>
      <c r="HA27" s="197"/>
      <c r="HB27" s="197"/>
      <c r="HC27" s="197"/>
      <c r="HD27" s="197"/>
      <c r="HE27" s="197"/>
      <c r="HF27" s="197"/>
      <c r="HG27" s="197"/>
      <c r="HH27" s="197"/>
      <c r="HI27" s="197"/>
      <c r="HJ27" s="197"/>
      <c r="HK27" s="197"/>
      <c r="HL27" s="197"/>
      <c r="HM27" s="197"/>
      <c r="HN27" s="197"/>
      <c r="HO27" s="197"/>
      <c r="HP27" s="197"/>
      <c r="HQ27" s="197"/>
      <c r="HR27" s="197"/>
      <c r="HS27" s="197"/>
      <c r="HT27" s="197"/>
      <c r="HU27" s="197"/>
      <c r="HV27" s="197"/>
      <c r="HW27" s="197"/>
      <c r="HX27" s="197"/>
      <c r="HY27" s="197"/>
      <c r="HZ27" s="197"/>
      <c r="IA27" s="197"/>
      <c r="IB27" s="197"/>
      <c r="IC27" s="197"/>
      <c r="ID27" s="197"/>
      <c r="IE27" s="197"/>
      <c r="IF27" s="197"/>
      <c r="IG27" s="197"/>
      <c r="IH27" s="197"/>
      <c r="II27" s="197"/>
      <c r="IJ27" s="197"/>
      <c r="IK27" s="197"/>
      <c r="IL27" s="197"/>
      <c r="IM27" s="197"/>
      <c r="IN27" s="197"/>
      <c r="IO27" s="197"/>
      <c r="IP27" s="197"/>
      <c r="IQ27" s="197"/>
      <c r="IR27" s="197"/>
      <c r="IS27" s="197"/>
      <c r="IT27" s="197"/>
      <c r="IU27" s="197"/>
      <c r="IV27" s="197"/>
      <c r="IW27" s="197"/>
      <c r="IX27" s="197"/>
      <c r="IY27" s="197"/>
      <c r="IZ27" s="197"/>
      <c r="JA27" s="197"/>
      <c r="JB27" s="197"/>
      <c r="JC27" s="197"/>
      <c r="JD27" s="197"/>
      <c r="JE27" s="197"/>
      <c r="JF27" s="197"/>
      <c r="JG27" s="197"/>
      <c r="JH27" s="197"/>
      <c r="JI27" s="197"/>
      <c r="JJ27" s="197"/>
      <c r="JK27" s="197"/>
      <c r="JL27" s="197"/>
      <c r="JM27" s="197"/>
      <c r="JN27" s="197"/>
      <c r="JO27" s="197"/>
      <c r="JP27" s="197"/>
      <c r="JQ27" s="197"/>
      <c r="JR27" s="197"/>
      <c r="JS27" s="197"/>
      <c r="JT27" s="197"/>
      <c r="JU27" s="197"/>
      <c r="JV27" s="197"/>
      <c r="JW27" s="197"/>
      <c r="JX27" s="197"/>
      <c r="JY27" s="197"/>
      <c r="JZ27" s="197"/>
      <c r="KA27" s="197"/>
      <c r="KB27" s="197"/>
      <c r="KC27" s="197"/>
      <c r="KD27" s="197"/>
      <c r="KE27" s="197"/>
      <c r="KF27" s="197"/>
      <c r="KG27" s="197"/>
      <c r="KH27" s="197"/>
      <c r="KI27" s="197"/>
      <c r="KJ27" s="197"/>
      <c r="KK27" s="197"/>
      <c r="KL27" s="197"/>
      <c r="KM27" s="197"/>
      <c r="KN27" s="197"/>
      <c r="KO27" s="197"/>
      <c r="KP27" s="197"/>
      <c r="KQ27" s="197"/>
      <c r="KR27" s="197"/>
      <c r="KS27" s="197"/>
      <c r="KT27" s="197"/>
      <c r="KU27" s="197"/>
      <c r="KV27" s="197"/>
      <c r="KW27" s="197"/>
      <c r="KX27" s="197"/>
      <c r="KY27" s="197"/>
      <c r="KZ27" s="197"/>
      <c r="LA27" s="197"/>
      <c r="LB27" s="197"/>
      <c r="LC27" s="197"/>
      <c r="LD27" s="197"/>
      <c r="LE27" s="197"/>
      <c r="LF27" s="197"/>
      <c r="LG27" s="197"/>
      <c r="LH27" s="197"/>
      <c r="LI27" s="197"/>
      <c r="LJ27" s="197"/>
      <c r="LK27" s="197"/>
      <c r="LL27" s="197"/>
      <c r="LM27" s="197"/>
      <c r="LN27" s="197"/>
      <c r="LO27" s="197"/>
      <c r="LP27" s="197"/>
      <c r="LQ27" s="197"/>
      <c r="LR27" s="197"/>
      <c r="LS27" s="197"/>
      <c r="LT27" s="197"/>
      <c r="LU27" s="197"/>
      <c r="LV27" s="197"/>
      <c r="LW27" s="197"/>
      <c r="LX27" s="197"/>
      <c r="LY27" s="197"/>
      <c r="LZ27" s="197"/>
      <c r="MA27" s="197"/>
      <c r="MB27" s="197"/>
      <c r="MC27" s="197"/>
      <c r="MD27" s="197"/>
      <c r="ME27" s="197"/>
      <c r="MF27" s="197"/>
      <c r="MG27" s="197"/>
      <c r="MH27" s="197"/>
      <c r="MI27" s="197"/>
      <c r="MJ27" s="197"/>
      <c r="MK27" s="197"/>
      <c r="ML27" s="197"/>
      <c r="MM27" s="197"/>
      <c r="MN27" s="197"/>
      <c r="MO27" s="197"/>
      <c r="MP27" s="197"/>
      <c r="MQ27" s="197"/>
      <c r="MR27" s="197"/>
      <c r="MS27" s="197"/>
      <c r="MT27" s="197"/>
      <c r="MU27" s="197"/>
      <c r="MV27" s="197"/>
      <c r="MW27" s="197"/>
      <c r="MX27" s="197"/>
      <c r="MY27" s="197"/>
      <c r="MZ27" s="197"/>
      <c r="NA27" s="197"/>
      <c r="NB27" s="197"/>
      <c r="NC27" s="197"/>
      <c r="ND27" s="197"/>
      <c r="NE27" s="197"/>
      <c r="NF27" s="197"/>
      <c r="NG27" s="197"/>
      <c r="NH27" s="197"/>
      <c r="NI27" s="197"/>
      <c r="NJ27" s="197"/>
      <c r="NK27" s="197"/>
      <c r="NL27" s="197"/>
      <c r="NM27" s="197"/>
      <c r="NN27" s="197"/>
      <c r="NO27" s="197"/>
      <c r="NP27" s="197"/>
      <c r="NQ27" s="197"/>
      <c r="NR27" s="197"/>
      <c r="NS27" s="197"/>
      <c r="NT27" s="197"/>
      <c r="NU27" s="197"/>
      <c r="NV27" s="197"/>
      <c r="NW27" s="197"/>
      <c r="NX27" s="197"/>
      <c r="NY27" s="197"/>
      <c r="NZ27" s="197"/>
      <c r="OA27" s="197"/>
      <c r="OB27" s="197"/>
      <c r="OC27" s="197"/>
      <c r="OD27" s="197"/>
      <c r="OE27" s="197"/>
      <c r="OF27" s="197"/>
      <c r="OG27" s="197"/>
      <c r="OH27" s="197"/>
      <c r="OI27" s="197"/>
      <c r="OJ27" s="197"/>
      <c r="OK27" s="197"/>
      <c r="OL27" s="197"/>
      <c r="OM27" s="197"/>
      <c r="ON27" s="197"/>
      <c r="OO27" s="197"/>
      <c r="OP27" s="197"/>
      <c r="OQ27" s="197"/>
      <c r="OR27" s="197"/>
      <c r="OS27" s="197"/>
      <c r="OT27" s="197"/>
      <c r="OU27" s="197"/>
      <c r="OV27" s="197"/>
      <c r="OW27" s="197"/>
      <c r="OX27" s="197"/>
      <c r="OY27" s="197"/>
      <c r="OZ27" s="197"/>
      <c r="PA27" s="197"/>
      <c r="PB27" s="197"/>
      <c r="PC27" s="197"/>
      <c r="PD27" s="197"/>
      <c r="PE27" s="197"/>
      <c r="PF27" s="197"/>
      <c r="PG27" s="197"/>
      <c r="PH27" s="197"/>
      <c r="PI27" s="197"/>
      <c r="PJ27" s="197"/>
      <c r="PK27" s="197"/>
      <c r="PL27" s="197"/>
      <c r="PM27" s="197"/>
      <c r="PN27" s="197"/>
      <c r="PO27" s="197"/>
      <c r="PP27" s="197"/>
      <c r="PQ27" s="197"/>
      <c r="PR27" s="197"/>
      <c r="PS27" s="197"/>
      <c r="PT27" s="197"/>
      <c r="PU27" s="197"/>
      <c r="PV27" s="197"/>
      <c r="PW27" s="197"/>
      <c r="PX27" s="197"/>
      <c r="PY27" s="197"/>
      <c r="PZ27" s="197"/>
      <c r="QA27" s="197"/>
      <c r="QB27" s="197"/>
      <c r="QC27" s="197"/>
      <c r="QD27" s="197"/>
      <c r="QE27" s="197"/>
      <c r="QF27" s="197"/>
      <c r="QG27" s="197"/>
      <c r="QH27" s="197"/>
      <c r="QI27" s="197"/>
      <c r="QJ27" s="197"/>
      <c r="QK27" s="197"/>
      <c r="QL27" s="197"/>
      <c r="QM27" s="197"/>
      <c r="QN27" s="197"/>
      <c r="QO27" s="197"/>
      <c r="QP27" s="197"/>
      <c r="QQ27" s="197"/>
      <c r="QR27" s="197"/>
      <c r="QS27" s="197"/>
      <c r="QT27" s="197"/>
      <c r="QU27" s="197"/>
      <c r="QV27" s="197"/>
      <c r="QW27" s="197"/>
      <c r="QX27" s="197"/>
      <c r="QY27" s="197"/>
      <c r="QZ27" s="197"/>
      <c r="RA27" s="197"/>
      <c r="RB27" s="197"/>
      <c r="RC27" s="197"/>
      <c r="RD27" s="197"/>
      <c r="RE27" s="197"/>
      <c r="RF27" s="197"/>
      <c r="RG27" s="197"/>
      <c r="RH27" s="197"/>
      <c r="RI27" s="197"/>
      <c r="RJ27" s="197"/>
      <c r="RK27" s="197"/>
      <c r="RL27" s="197"/>
      <c r="RM27" s="197"/>
      <c r="RN27" s="197"/>
      <c r="RO27" s="197"/>
      <c r="RP27" s="197"/>
      <c r="RQ27" s="197"/>
      <c r="RR27" s="197"/>
      <c r="RS27" s="197"/>
      <c r="RT27" s="197"/>
      <c r="RU27" s="197"/>
      <c r="RV27" s="197"/>
      <c r="RW27" s="197"/>
      <c r="RX27" s="197"/>
      <c r="RY27" s="197"/>
      <c r="RZ27" s="197"/>
      <c r="SA27" s="197"/>
      <c r="SB27" s="197"/>
      <c r="SC27" s="197"/>
      <c r="SD27" s="197"/>
      <c r="SE27" s="197"/>
      <c r="SF27" s="197"/>
      <c r="SG27" s="197"/>
      <c r="SH27" s="197"/>
      <c r="SI27" s="197"/>
      <c r="SJ27" s="197"/>
      <c r="SK27" s="197"/>
      <c r="SL27" s="197"/>
      <c r="SM27" s="197"/>
      <c r="SN27" s="197"/>
      <c r="SO27" s="197"/>
      <c r="SP27" s="197"/>
      <c r="SQ27" s="197"/>
      <c r="SR27" s="197"/>
      <c r="SS27" s="197"/>
      <c r="ST27" s="197"/>
      <c r="SU27" s="197"/>
      <c r="SV27" s="197"/>
      <c r="SW27" s="197"/>
      <c r="SX27" s="197"/>
      <c r="SY27" s="197"/>
      <c r="SZ27" s="197"/>
      <c r="TA27" s="197"/>
      <c r="TB27" s="197"/>
      <c r="TC27" s="197"/>
      <c r="TD27" s="197"/>
      <c r="TE27" s="197"/>
      <c r="TF27" s="197"/>
      <c r="TG27" s="197"/>
      <c r="TH27" s="197"/>
      <c r="TI27" s="197"/>
      <c r="TJ27" s="197"/>
      <c r="TK27" s="197"/>
      <c r="TL27" s="197"/>
      <c r="TM27" s="197"/>
      <c r="TN27" s="197"/>
      <c r="TO27" s="197"/>
      <c r="TP27" s="197"/>
      <c r="TQ27" s="197"/>
      <c r="TR27" s="197"/>
      <c r="TS27" s="197"/>
      <c r="TT27" s="197"/>
      <c r="TU27" s="197"/>
      <c r="TV27" s="197"/>
      <c r="TW27" s="197"/>
      <c r="TX27" s="197"/>
      <c r="TY27" s="197"/>
      <c r="TZ27" s="197"/>
      <c r="UA27" s="197"/>
      <c r="UB27" s="197"/>
      <c r="UC27" s="197"/>
      <c r="UD27" s="197"/>
      <c r="UE27" s="197"/>
      <c r="UF27" s="197"/>
      <c r="UG27" s="197"/>
      <c r="UH27" s="197"/>
      <c r="UI27" s="197"/>
      <c r="UJ27" s="197"/>
      <c r="UK27" s="197"/>
      <c r="UL27" s="197"/>
      <c r="UM27" s="197"/>
      <c r="UN27" s="197"/>
      <c r="UO27" s="197"/>
      <c r="UP27" s="197"/>
      <c r="UQ27" s="197"/>
      <c r="UR27" s="197"/>
      <c r="US27" s="197"/>
      <c r="UT27" s="197"/>
      <c r="UU27" s="197"/>
      <c r="UV27" s="197"/>
      <c r="UW27" s="197"/>
      <c r="UX27" s="197"/>
      <c r="UY27" s="197"/>
      <c r="UZ27" s="197"/>
      <c r="VA27" s="197"/>
      <c r="VB27" s="197"/>
      <c r="VC27" s="197"/>
      <c r="VD27" s="197"/>
      <c r="VE27" s="197"/>
      <c r="VF27" s="197"/>
      <c r="VG27" s="197"/>
      <c r="VH27" s="197"/>
      <c r="VI27" s="197"/>
      <c r="VJ27" s="197"/>
      <c r="VK27" s="197"/>
      <c r="VL27" s="197"/>
      <c r="VM27" s="197"/>
      <c r="VN27" s="197"/>
      <c r="VO27" s="197"/>
      <c r="VP27" s="197"/>
      <c r="VQ27" s="197"/>
      <c r="VR27" s="197"/>
      <c r="VS27" s="197"/>
      <c r="VT27" s="197"/>
      <c r="VU27" s="197"/>
      <c r="VV27" s="197"/>
      <c r="VW27" s="197"/>
      <c r="VX27" s="197"/>
      <c r="VY27" s="197"/>
      <c r="VZ27" s="197"/>
      <c r="WA27" s="197"/>
      <c r="WB27" s="197"/>
      <c r="WC27" s="197"/>
      <c r="WD27" s="197"/>
      <c r="WE27" s="197"/>
      <c r="WF27" s="197"/>
      <c r="WG27" s="197"/>
      <c r="WH27" s="197"/>
      <c r="WI27" s="197"/>
      <c r="WJ27" s="197"/>
      <c r="WK27" s="197"/>
      <c r="WL27" s="197"/>
      <c r="WM27" s="197"/>
      <c r="WN27" s="197"/>
      <c r="WO27" s="197"/>
      <c r="WP27" s="197"/>
      <c r="WQ27" s="197"/>
      <c r="WR27" s="197"/>
      <c r="WS27" s="197"/>
      <c r="WT27" s="197"/>
      <c r="WU27" s="197"/>
      <c r="WV27" s="197"/>
      <c r="WW27" s="197"/>
      <c r="WX27" s="197"/>
      <c r="WY27" s="197"/>
      <c r="WZ27" s="197"/>
      <c r="XA27" s="197"/>
      <c r="XB27" s="197"/>
      <c r="XC27" s="197"/>
      <c r="XD27" s="197"/>
      <c r="XE27" s="197"/>
      <c r="XF27" s="197"/>
      <c r="XG27" s="197"/>
      <c r="XH27" s="197"/>
      <c r="XI27" s="197"/>
      <c r="XJ27" s="197"/>
      <c r="XK27" s="197"/>
      <c r="XL27" s="197"/>
      <c r="XM27" s="197"/>
      <c r="XN27" s="197"/>
      <c r="XO27" s="197"/>
      <c r="XP27" s="197"/>
      <c r="XQ27" s="197"/>
      <c r="XR27" s="197"/>
      <c r="XS27" s="197"/>
      <c r="XT27" s="197"/>
      <c r="XU27" s="197"/>
      <c r="XV27" s="197"/>
      <c r="XW27" s="197"/>
      <c r="XX27" s="197"/>
      <c r="XY27" s="197"/>
      <c r="XZ27" s="197"/>
      <c r="YA27" s="197"/>
      <c r="YB27" s="197"/>
      <c r="YC27" s="197"/>
      <c r="YD27" s="197"/>
      <c r="YE27" s="197"/>
      <c r="YF27" s="197"/>
      <c r="YG27" s="197"/>
      <c r="YH27" s="197"/>
      <c r="YI27" s="197"/>
      <c r="YJ27" s="197"/>
      <c r="YK27" s="197"/>
      <c r="YL27" s="197"/>
      <c r="YM27" s="197"/>
      <c r="YN27" s="197"/>
      <c r="YO27" s="197"/>
      <c r="YP27" s="197"/>
      <c r="YQ27" s="197"/>
      <c r="YR27" s="197"/>
      <c r="YS27" s="197"/>
      <c r="YT27" s="197"/>
      <c r="YU27" s="197"/>
      <c r="YV27" s="197"/>
      <c r="YW27" s="197"/>
      <c r="YX27" s="197"/>
      <c r="YY27" s="197"/>
      <c r="YZ27" s="197"/>
      <c r="ZA27" s="197"/>
      <c r="ZB27" s="197"/>
      <c r="ZC27" s="197"/>
      <c r="ZD27" s="197"/>
      <c r="ZE27" s="197"/>
      <c r="ZF27" s="197"/>
      <c r="ZG27" s="197"/>
      <c r="ZH27" s="197"/>
      <c r="ZI27" s="197"/>
      <c r="ZJ27" s="197"/>
      <c r="ZK27" s="197"/>
      <c r="ZL27" s="197"/>
      <c r="ZM27" s="197"/>
      <c r="ZN27" s="197"/>
      <c r="ZO27" s="197"/>
      <c r="ZP27" s="197"/>
      <c r="ZQ27" s="197"/>
      <c r="ZR27" s="197"/>
      <c r="ZS27" s="197"/>
      <c r="ZT27" s="197"/>
      <c r="ZU27" s="197"/>
      <c r="ZV27" s="197"/>
      <c r="ZW27" s="197"/>
      <c r="ZX27" s="197"/>
      <c r="ZY27" s="197"/>
      <c r="ZZ27" s="197"/>
      <c r="AAA27" s="197"/>
      <c r="AAB27" s="197"/>
      <c r="AAC27" s="197"/>
      <c r="AAD27" s="197"/>
      <c r="AAE27" s="197"/>
      <c r="AAF27" s="197"/>
      <c r="AAG27" s="197"/>
      <c r="AAH27" s="197"/>
      <c r="AAI27" s="197"/>
      <c r="AAJ27" s="197"/>
      <c r="AAK27" s="197"/>
      <c r="AAL27" s="197"/>
      <c r="AAM27" s="197"/>
      <c r="AAN27" s="197"/>
      <c r="AAO27" s="197"/>
      <c r="AAP27" s="197"/>
      <c r="AAQ27" s="197"/>
      <c r="AAR27" s="197"/>
      <c r="AAS27" s="197"/>
      <c r="AAT27" s="197"/>
      <c r="AAU27" s="197"/>
      <c r="AAV27" s="197"/>
      <c r="AAW27" s="197"/>
      <c r="AAX27" s="197"/>
      <c r="AAY27" s="197"/>
      <c r="AAZ27" s="197"/>
      <c r="ABA27" s="197"/>
      <c r="ABB27" s="197"/>
      <c r="ABC27" s="197"/>
      <c r="ABD27" s="197"/>
      <c r="ABE27" s="197"/>
      <c r="ABF27" s="197"/>
      <c r="ABG27" s="197"/>
      <c r="ABH27" s="197"/>
      <c r="ABI27" s="197"/>
      <c r="ABJ27" s="197"/>
      <c r="ABK27" s="197"/>
      <c r="ABL27" s="197"/>
      <c r="ABM27" s="197"/>
      <c r="ABN27" s="197"/>
      <c r="ABO27" s="197"/>
      <c r="ABP27" s="197"/>
      <c r="ABQ27" s="197"/>
      <c r="ABR27" s="197"/>
      <c r="ABS27" s="197"/>
      <c r="ABT27" s="197"/>
      <c r="ABU27" s="197"/>
      <c r="ABV27" s="197"/>
      <c r="ABW27" s="197"/>
      <c r="ABX27" s="197"/>
      <c r="ABY27" s="197"/>
      <c r="ABZ27" s="197"/>
      <c r="ACA27" s="197"/>
      <c r="ACB27" s="197"/>
      <c r="ACC27" s="197"/>
      <c r="ACD27" s="197"/>
      <c r="ACE27" s="197"/>
      <c r="ACF27" s="197"/>
      <c r="ACG27" s="197"/>
      <c r="ACH27" s="197"/>
      <c r="ACI27" s="197"/>
      <c r="ACJ27" s="197"/>
      <c r="ACK27" s="197"/>
      <c r="ACL27" s="197"/>
      <c r="ACM27" s="197"/>
      <c r="ACN27" s="197"/>
      <c r="ACO27" s="197"/>
      <c r="ACP27" s="197"/>
      <c r="ACQ27" s="197"/>
      <c r="ACR27" s="197"/>
      <c r="ACS27" s="197"/>
      <c r="ACT27" s="197"/>
      <c r="ACU27" s="197"/>
      <c r="ACV27" s="197"/>
      <c r="ACW27" s="197"/>
      <c r="ACX27" s="197"/>
      <c r="ACY27" s="197"/>
      <c r="ACZ27" s="197"/>
      <c r="ADA27" s="197"/>
      <c r="ADB27" s="197"/>
      <c r="ADC27" s="197"/>
      <c r="ADD27" s="197"/>
      <c r="ADE27" s="197"/>
      <c r="ADF27" s="197"/>
      <c r="ADG27" s="197"/>
      <c r="ADH27" s="197"/>
      <c r="ADI27" s="197"/>
      <c r="ADJ27" s="197"/>
      <c r="ADK27" s="197"/>
      <c r="ADL27" s="197"/>
      <c r="ADM27" s="197"/>
      <c r="ADN27" s="197"/>
      <c r="ADO27" s="197"/>
      <c r="ADP27" s="197"/>
      <c r="ADQ27" s="197"/>
      <c r="ADR27" s="197"/>
      <c r="ADS27" s="197"/>
      <c r="ADT27" s="197"/>
      <c r="ADU27" s="197"/>
      <c r="ADV27" s="197"/>
      <c r="ADW27" s="197"/>
      <c r="ADX27" s="197"/>
      <c r="ADY27" s="197"/>
      <c r="ADZ27" s="197"/>
      <c r="AEA27" s="197"/>
      <c r="AEB27" s="197"/>
      <c r="AEC27" s="197"/>
      <c r="AED27" s="197"/>
      <c r="AEE27" s="197"/>
      <c r="AEF27" s="197"/>
      <c r="AEG27" s="197"/>
      <c r="AEH27" s="197"/>
      <c r="AEI27" s="197"/>
      <c r="AEJ27" s="197"/>
      <c r="AEK27" s="197"/>
      <c r="AEL27" s="197"/>
      <c r="AEM27" s="197"/>
      <c r="AEN27" s="197"/>
      <c r="AEO27" s="197"/>
      <c r="AEP27" s="197"/>
      <c r="AEQ27" s="197"/>
      <c r="AER27" s="197"/>
      <c r="AES27" s="197"/>
      <c r="AET27" s="197"/>
      <c r="AEU27" s="197"/>
      <c r="AEV27" s="197"/>
      <c r="AEW27" s="197"/>
      <c r="AEX27" s="197"/>
      <c r="AEY27" s="197"/>
      <c r="AEZ27" s="197"/>
      <c r="AFA27" s="197"/>
      <c r="AFB27" s="197"/>
      <c r="AFC27" s="197"/>
      <c r="AFD27" s="197"/>
      <c r="AFE27" s="197"/>
      <c r="AFF27" s="197"/>
      <c r="AFG27" s="197"/>
      <c r="AFH27" s="197"/>
      <c r="AFI27" s="197"/>
      <c r="AFJ27" s="197"/>
      <c r="AFK27" s="197"/>
      <c r="AFL27" s="197"/>
      <c r="AFM27" s="197"/>
      <c r="AFN27" s="197"/>
      <c r="AFO27" s="197"/>
      <c r="AFP27" s="197"/>
      <c r="AFQ27" s="197"/>
      <c r="AFR27" s="197"/>
      <c r="AFS27" s="197"/>
      <c r="AFT27" s="197"/>
      <c r="AFU27" s="197"/>
      <c r="AFV27" s="197"/>
      <c r="AFW27" s="197"/>
      <c r="AFX27" s="197"/>
      <c r="AFY27" s="197"/>
      <c r="AFZ27" s="197"/>
      <c r="AGA27" s="197"/>
      <c r="AGB27" s="197"/>
      <c r="AGC27" s="197"/>
      <c r="AGD27" s="197"/>
      <c r="AGE27" s="197"/>
      <c r="AGF27" s="197"/>
      <c r="AGG27" s="197"/>
      <c r="AGH27" s="197"/>
      <c r="AGI27" s="197"/>
      <c r="AGJ27" s="197"/>
      <c r="AGK27" s="197"/>
      <c r="AGL27" s="197"/>
      <c r="AGM27" s="197"/>
      <c r="AGN27" s="197"/>
      <c r="AGO27" s="197"/>
      <c r="AGP27" s="197"/>
      <c r="AGQ27" s="197"/>
      <c r="AGR27" s="197"/>
      <c r="AGS27" s="197"/>
      <c r="AGT27" s="197"/>
      <c r="AGU27" s="197"/>
      <c r="AGV27" s="197"/>
      <c r="AGW27" s="197"/>
      <c r="AGX27" s="197"/>
      <c r="AGY27" s="197"/>
      <c r="AGZ27" s="197"/>
      <c r="AHA27" s="197"/>
      <c r="AHB27" s="197"/>
      <c r="AHC27" s="197"/>
      <c r="AHD27" s="197"/>
      <c r="AHE27" s="197"/>
      <c r="AHF27" s="197"/>
      <c r="AHG27" s="197"/>
      <c r="AHH27" s="197"/>
      <c r="AHI27" s="197"/>
      <c r="AHJ27" s="197"/>
      <c r="AHK27" s="197"/>
      <c r="AHL27" s="197"/>
      <c r="AHM27" s="197"/>
      <c r="AHN27" s="197"/>
      <c r="AHO27" s="197"/>
      <c r="AHP27" s="197"/>
      <c r="AHQ27" s="197"/>
      <c r="AHR27" s="197"/>
      <c r="AHS27" s="197"/>
      <c r="AHT27" s="197"/>
      <c r="AHU27" s="197"/>
      <c r="AHV27" s="197"/>
      <c r="AHW27" s="197"/>
      <c r="AHX27" s="197"/>
      <c r="AHY27" s="197"/>
      <c r="AHZ27" s="197"/>
      <c r="AIA27" s="197"/>
      <c r="AIB27" s="197"/>
      <c r="AIC27" s="197"/>
      <c r="AID27" s="197"/>
      <c r="AIE27" s="197"/>
      <c r="AIF27" s="197"/>
      <c r="AIG27" s="197"/>
      <c r="AIH27" s="197"/>
      <c r="AII27" s="197"/>
      <c r="AIJ27" s="197"/>
      <c r="AIK27" s="197"/>
      <c r="AIL27" s="197"/>
      <c r="AIM27" s="197"/>
      <c r="AIN27" s="197"/>
      <c r="AIO27" s="197"/>
      <c r="AIP27" s="197"/>
      <c r="AIQ27" s="197"/>
      <c r="AIR27" s="197"/>
      <c r="AIS27" s="197"/>
      <c r="AIT27" s="197"/>
      <c r="AIU27" s="197"/>
      <c r="AIV27" s="197"/>
      <c r="AIW27" s="197"/>
      <c r="AIX27" s="197"/>
      <c r="AIY27" s="197"/>
      <c r="AIZ27" s="197"/>
      <c r="AJA27" s="197"/>
      <c r="AJB27" s="197"/>
      <c r="AJC27" s="197"/>
      <c r="AJD27" s="197"/>
      <c r="AJE27" s="197"/>
      <c r="AJF27" s="197"/>
      <c r="AJG27" s="197"/>
      <c r="AJH27" s="197"/>
      <c r="AJI27" s="197"/>
      <c r="AJJ27" s="197"/>
      <c r="AJK27" s="197"/>
      <c r="AJL27" s="197"/>
      <c r="AJM27" s="197"/>
      <c r="AJN27" s="197"/>
      <c r="AJO27" s="197"/>
      <c r="AJP27" s="197"/>
      <c r="AJQ27" s="197"/>
      <c r="AJR27" s="197"/>
      <c r="AJS27" s="197"/>
      <c r="AJT27" s="197"/>
      <c r="AJU27" s="197"/>
      <c r="AJV27" s="197"/>
      <c r="AJW27" s="197"/>
      <c r="AJX27" s="197"/>
      <c r="AJY27" s="197"/>
      <c r="AJZ27" s="197"/>
      <c r="AKA27" s="197"/>
      <c r="AKB27" s="197"/>
      <c r="AKC27" s="197"/>
      <c r="AKD27" s="197"/>
      <c r="AKE27" s="197"/>
      <c r="AKF27" s="197"/>
      <c r="AKG27" s="197"/>
      <c r="AKH27" s="197"/>
      <c r="AKI27" s="197"/>
      <c r="AKJ27" s="197"/>
      <c r="AKK27" s="197"/>
      <c r="AKL27" s="197"/>
      <c r="AKM27" s="197"/>
      <c r="AKN27" s="197"/>
      <c r="AKO27" s="197"/>
      <c r="AKP27" s="197"/>
      <c r="AKQ27" s="197"/>
      <c r="AKR27" s="197"/>
      <c r="AKS27" s="197"/>
      <c r="AKT27" s="197"/>
      <c r="AKU27" s="197"/>
      <c r="AKV27" s="197"/>
      <c r="AKW27" s="197"/>
      <c r="AKX27" s="197"/>
      <c r="AKY27" s="197"/>
      <c r="AKZ27" s="197"/>
      <c r="ALA27" s="197"/>
      <c r="ALB27" s="197"/>
      <c r="ALC27" s="197"/>
      <c r="ALD27" s="197"/>
      <c r="ALE27" s="197"/>
      <c r="ALF27" s="197"/>
      <c r="ALG27" s="197"/>
      <c r="ALH27" s="197"/>
      <c r="ALI27" s="197"/>
      <c r="ALJ27" s="197"/>
      <c r="ALK27" s="197"/>
      <c r="ALL27" s="197"/>
      <c r="ALM27" s="197"/>
      <c r="ALN27" s="197"/>
      <c r="ALO27" s="197"/>
      <c r="ALP27" s="197"/>
      <c r="ALQ27" s="197"/>
      <c r="ALR27" s="197"/>
      <c r="ALS27" s="197"/>
      <c r="ALT27" s="197"/>
      <c r="ALU27" s="197"/>
      <c r="ALV27" s="197"/>
      <c r="ALW27" s="197"/>
      <c r="ALX27" s="197"/>
      <c r="ALY27" s="197"/>
      <c r="ALZ27" s="197"/>
      <c r="AMA27" s="197"/>
      <c r="AMB27" s="197"/>
      <c r="AMC27" s="197"/>
      <c r="AMD27" s="197"/>
      <c r="AME27" s="197"/>
      <c r="AMF27" s="197"/>
      <c r="AMG27" s="197"/>
      <c r="AMH27" s="197"/>
      <c r="AMI27" s="197"/>
      <c r="AMJ27" s="197"/>
      <c r="AMK27" s="197"/>
      <c r="AML27" s="197"/>
      <c r="AMM27" s="197"/>
      <c r="AMN27" s="197"/>
      <c r="AMO27" s="197"/>
      <c r="AMP27" s="197"/>
      <c r="AMQ27" s="197"/>
      <c r="AMR27" s="197"/>
      <c r="AMS27" s="197"/>
      <c r="AMT27" s="197"/>
      <c r="AMU27" s="197"/>
      <c r="AMV27" s="197"/>
      <c r="AMW27" s="197"/>
      <c r="AMX27" s="197"/>
      <c r="AMY27" s="197"/>
      <c r="AMZ27" s="197"/>
      <c r="ANA27" s="197"/>
      <c r="ANB27" s="197"/>
      <c r="ANC27" s="197"/>
      <c r="AND27" s="197"/>
      <c r="ANE27" s="197"/>
      <c r="ANF27" s="197"/>
      <c r="ANG27" s="197"/>
      <c r="ANH27" s="197"/>
      <c r="ANI27" s="197"/>
      <c r="ANJ27" s="197"/>
      <c r="ANK27" s="197"/>
      <c r="ANL27" s="197"/>
      <c r="ANM27" s="197"/>
      <c r="ANN27" s="197"/>
      <c r="ANO27" s="197"/>
      <c r="ANP27" s="197"/>
      <c r="ANQ27" s="197"/>
      <c r="ANR27" s="197"/>
      <c r="ANS27" s="197"/>
      <c r="ANT27" s="197"/>
      <c r="ANU27" s="197"/>
      <c r="ANV27" s="197"/>
      <c r="ANW27" s="197"/>
      <c r="ANX27" s="197"/>
      <c r="ANY27" s="197"/>
      <c r="ANZ27" s="197"/>
      <c r="AOA27" s="197"/>
      <c r="AOB27" s="197"/>
      <c r="AOC27" s="197"/>
      <c r="AOD27" s="197"/>
      <c r="AOE27" s="197"/>
      <c r="AOF27" s="197"/>
      <c r="AOG27" s="197"/>
      <c r="AOH27" s="197"/>
      <c r="AOI27" s="197"/>
      <c r="AOJ27" s="197"/>
      <c r="AOK27" s="197"/>
      <c r="AOL27" s="197"/>
      <c r="AOM27" s="197"/>
      <c r="AON27" s="197"/>
      <c r="AOO27" s="197"/>
      <c r="AOP27" s="197"/>
      <c r="AOQ27" s="197"/>
      <c r="AOR27" s="197"/>
      <c r="AOS27" s="197"/>
      <c r="AOT27" s="197"/>
      <c r="AOU27" s="197"/>
      <c r="AOV27" s="197"/>
      <c r="AOW27" s="197"/>
      <c r="AOX27" s="197"/>
      <c r="AOY27" s="197"/>
      <c r="AOZ27" s="197"/>
      <c r="APA27" s="197"/>
      <c r="APB27" s="197"/>
      <c r="APC27" s="197"/>
      <c r="APD27" s="197"/>
      <c r="APE27" s="197"/>
      <c r="APF27" s="197"/>
      <c r="APG27" s="197"/>
      <c r="APH27" s="197"/>
      <c r="API27" s="197"/>
      <c r="APJ27" s="197"/>
      <c r="APK27" s="197"/>
      <c r="APL27" s="197"/>
      <c r="APM27" s="197"/>
      <c r="APN27" s="197"/>
      <c r="APO27" s="197"/>
      <c r="APP27" s="197"/>
      <c r="APQ27" s="197"/>
      <c r="APR27" s="197"/>
      <c r="APS27" s="197"/>
      <c r="APT27" s="197"/>
      <c r="APU27" s="197"/>
      <c r="APV27" s="197"/>
      <c r="APW27" s="197"/>
      <c r="APX27" s="197"/>
      <c r="APY27" s="197"/>
      <c r="APZ27" s="197"/>
      <c r="AQA27" s="197"/>
      <c r="AQB27" s="197"/>
      <c r="AQC27" s="197"/>
      <c r="AQD27" s="197"/>
      <c r="AQE27" s="197"/>
      <c r="AQF27" s="197"/>
      <c r="AQG27" s="197"/>
      <c r="AQH27" s="197"/>
      <c r="AQI27" s="197"/>
      <c r="AQJ27" s="197"/>
      <c r="AQK27" s="197"/>
      <c r="AQL27" s="197"/>
      <c r="AQM27" s="197"/>
      <c r="AQN27" s="197"/>
      <c r="AQO27" s="197"/>
      <c r="AQP27" s="197"/>
      <c r="AQQ27" s="197"/>
      <c r="AQR27" s="197"/>
      <c r="AQS27" s="197"/>
      <c r="AQT27" s="197"/>
      <c r="AQU27" s="197"/>
      <c r="AQV27" s="197"/>
      <c r="AQW27" s="197"/>
      <c r="AQX27" s="197"/>
      <c r="AQY27" s="197"/>
      <c r="AQZ27" s="197"/>
      <c r="ARA27" s="197"/>
      <c r="ARB27" s="197"/>
      <c r="ARC27" s="197"/>
      <c r="ARD27" s="197"/>
      <c r="ARE27" s="197"/>
      <c r="ARF27" s="197"/>
      <c r="ARG27" s="197"/>
      <c r="ARH27" s="197"/>
      <c r="ARI27" s="197"/>
      <c r="ARJ27" s="197"/>
      <c r="ARK27" s="197"/>
      <c r="ARL27" s="197"/>
      <c r="ARM27" s="197"/>
      <c r="ARN27" s="197"/>
      <c r="ARO27" s="197"/>
      <c r="ARP27" s="197"/>
      <c r="ARQ27" s="197"/>
      <c r="ARR27" s="197"/>
      <c r="ARS27" s="197"/>
      <c r="ART27" s="197"/>
      <c r="ARU27" s="197"/>
      <c r="ARV27" s="197"/>
      <c r="ARW27" s="197"/>
      <c r="ARX27" s="197"/>
      <c r="ARY27" s="197"/>
      <c r="ARZ27" s="197"/>
      <c r="ASA27" s="197"/>
      <c r="ASB27" s="197"/>
      <c r="ASC27" s="197"/>
      <c r="ASD27" s="197"/>
      <c r="ASE27" s="197"/>
      <c r="ASF27" s="197"/>
      <c r="ASG27" s="197"/>
      <c r="ASH27" s="197"/>
      <c r="ASI27" s="197"/>
      <c r="ASJ27" s="197"/>
      <c r="ASK27" s="197"/>
      <c r="ASL27" s="197"/>
      <c r="ASM27" s="197"/>
      <c r="ASN27" s="197"/>
      <c r="ASO27" s="197"/>
      <c r="ASP27" s="197"/>
      <c r="ASQ27" s="197"/>
      <c r="ASR27" s="197"/>
      <c r="ASS27" s="197"/>
      <c r="AST27" s="197"/>
      <c r="ASU27" s="197"/>
      <c r="ASV27" s="197"/>
      <c r="ASW27" s="197"/>
      <c r="ASX27" s="197"/>
      <c r="ASY27" s="197"/>
      <c r="ASZ27" s="197"/>
      <c r="ATA27" s="197"/>
      <c r="ATB27" s="197"/>
      <c r="ATC27" s="197"/>
      <c r="ATD27" s="197"/>
      <c r="ATE27" s="197"/>
      <c r="ATF27" s="197"/>
      <c r="ATG27" s="197"/>
      <c r="ATH27" s="197"/>
      <c r="ATI27" s="197"/>
      <c r="ATJ27" s="197"/>
      <c r="ATK27" s="197"/>
      <c r="ATL27" s="197"/>
      <c r="ATM27" s="197"/>
      <c r="ATN27" s="197"/>
      <c r="ATO27" s="197"/>
      <c r="ATP27" s="197"/>
      <c r="ATQ27" s="197"/>
      <c r="ATR27" s="197"/>
      <c r="ATS27" s="197"/>
      <c r="ATT27" s="197"/>
      <c r="ATU27" s="197"/>
      <c r="ATV27" s="197"/>
      <c r="ATW27" s="197"/>
      <c r="ATX27" s="197"/>
      <c r="ATY27" s="197"/>
      <c r="ATZ27" s="197"/>
      <c r="AUA27" s="197"/>
      <c r="AUB27" s="197"/>
      <c r="AUC27" s="197"/>
      <c r="AUD27" s="197"/>
      <c r="AUE27" s="197"/>
      <c r="AUF27" s="197"/>
      <c r="AUG27" s="197"/>
      <c r="AUH27" s="197"/>
      <c r="AUI27" s="197"/>
      <c r="AUJ27" s="197"/>
      <c r="AUK27" s="197"/>
      <c r="AUL27" s="197"/>
      <c r="AUM27" s="197"/>
      <c r="AUN27" s="197"/>
      <c r="AUO27" s="197"/>
      <c r="AUP27" s="197"/>
      <c r="AUQ27" s="197"/>
      <c r="AUR27" s="197"/>
      <c r="AUS27" s="197"/>
      <c r="AUT27" s="197"/>
      <c r="AUU27" s="197"/>
      <c r="AUV27" s="197"/>
      <c r="AUW27" s="197"/>
      <c r="AUX27" s="197"/>
      <c r="AUY27" s="197"/>
      <c r="AUZ27" s="197"/>
      <c r="AVA27" s="197"/>
      <c r="AVB27" s="197"/>
      <c r="AVC27" s="197"/>
      <c r="AVD27" s="197"/>
      <c r="AVE27" s="197"/>
      <c r="AVF27" s="197"/>
      <c r="AVG27" s="197"/>
      <c r="AVH27" s="197"/>
      <c r="AVI27" s="197"/>
      <c r="AVJ27" s="197"/>
      <c r="AVK27" s="197"/>
      <c r="AVL27" s="197"/>
      <c r="AVM27" s="197"/>
      <c r="AVN27" s="197"/>
      <c r="AVO27" s="197"/>
      <c r="AVP27" s="197"/>
      <c r="AVQ27" s="197"/>
      <c r="AVR27" s="197"/>
      <c r="AVS27" s="197"/>
      <c r="AVT27" s="197"/>
      <c r="AVU27" s="197"/>
      <c r="AVV27" s="197"/>
      <c r="AVW27" s="197"/>
      <c r="AVX27" s="197"/>
      <c r="AVY27" s="197"/>
      <c r="AVZ27" s="197"/>
      <c r="AWA27" s="197"/>
      <c r="AWB27" s="197"/>
      <c r="AWC27" s="197"/>
      <c r="AWD27" s="197"/>
      <c r="AWE27" s="197"/>
      <c r="AWF27" s="197"/>
      <c r="AWG27" s="197"/>
      <c r="AWH27" s="197"/>
      <c r="AWI27" s="197"/>
      <c r="AWJ27" s="197"/>
      <c r="AWK27" s="197"/>
      <c r="AWL27" s="197"/>
      <c r="AWM27" s="197"/>
      <c r="AWN27" s="197"/>
      <c r="AWO27" s="197"/>
      <c r="AWP27" s="197"/>
      <c r="AWQ27" s="197"/>
      <c r="AWR27" s="197"/>
      <c r="AWS27" s="197"/>
      <c r="AWT27" s="197"/>
      <c r="AWU27" s="197"/>
      <c r="AWV27" s="197"/>
      <c r="AWW27" s="197"/>
      <c r="AWX27" s="197"/>
      <c r="AWY27" s="197"/>
      <c r="AWZ27" s="197"/>
      <c r="AXA27" s="197"/>
      <c r="AXB27" s="197"/>
      <c r="AXC27" s="197"/>
      <c r="AXD27" s="197"/>
      <c r="AXE27" s="197"/>
      <c r="AXF27" s="197"/>
      <c r="AXG27" s="197"/>
      <c r="AXH27" s="197"/>
      <c r="AXI27" s="197"/>
      <c r="AXJ27" s="197"/>
      <c r="AXK27" s="197"/>
      <c r="AXL27" s="197"/>
      <c r="AXM27" s="197"/>
      <c r="AXN27" s="197"/>
      <c r="AXO27" s="197"/>
      <c r="AXP27" s="197"/>
      <c r="AXQ27" s="197"/>
      <c r="AXR27" s="197"/>
      <c r="AXS27" s="197"/>
      <c r="AXT27" s="197"/>
      <c r="AXU27" s="197"/>
      <c r="AXV27" s="197"/>
      <c r="AXW27" s="197"/>
      <c r="AXX27" s="197"/>
      <c r="AXY27" s="197"/>
      <c r="AXZ27" s="197"/>
      <c r="AYA27" s="197"/>
      <c r="AYB27" s="197"/>
      <c r="AYC27" s="197"/>
      <c r="AYD27" s="197"/>
      <c r="AYE27" s="197"/>
      <c r="AYF27" s="197"/>
      <c r="AYG27" s="197"/>
      <c r="AYH27" s="197"/>
      <c r="AYI27" s="197"/>
      <c r="AYJ27" s="197"/>
      <c r="AYK27" s="197"/>
      <c r="AYL27" s="197"/>
      <c r="AYM27" s="197"/>
      <c r="AYN27" s="197"/>
      <c r="AYO27" s="197"/>
      <c r="AYP27" s="197"/>
      <c r="AYQ27" s="197"/>
      <c r="AYR27" s="197"/>
      <c r="AYS27" s="197"/>
      <c r="AYT27" s="197"/>
      <c r="AYU27" s="197"/>
      <c r="AYV27" s="197"/>
      <c r="AYW27" s="197"/>
      <c r="AYX27" s="197"/>
      <c r="AYY27" s="197"/>
      <c r="AYZ27" s="197"/>
      <c r="AZA27" s="197"/>
      <c r="AZB27" s="197"/>
      <c r="AZC27" s="197"/>
      <c r="AZD27" s="197"/>
      <c r="AZE27" s="197"/>
      <c r="AZF27" s="197"/>
      <c r="AZG27" s="197"/>
      <c r="AZH27" s="197"/>
      <c r="AZI27" s="197"/>
      <c r="AZJ27" s="197"/>
      <c r="AZK27" s="197"/>
      <c r="AZL27" s="197"/>
      <c r="AZM27" s="197"/>
      <c r="AZN27" s="197"/>
      <c r="AZO27" s="197"/>
      <c r="AZP27" s="197"/>
      <c r="AZQ27" s="197"/>
      <c r="AZR27" s="197"/>
      <c r="AZS27" s="197"/>
      <c r="AZT27" s="197"/>
      <c r="AZU27" s="197"/>
      <c r="AZV27" s="197"/>
      <c r="AZW27" s="197"/>
      <c r="AZX27" s="197"/>
      <c r="AZY27" s="197"/>
      <c r="AZZ27" s="197"/>
      <c r="BAA27" s="197"/>
      <c r="BAB27" s="197"/>
      <c r="BAC27" s="197"/>
      <c r="BAD27" s="197"/>
      <c r="BAE27" s="197"/>
      <c r="BAF27" s="197"/>
      <c r="BAG27" s="197"/>
      <c r="BAH27" s="197"/>
      <c r="BAI27" s="197"/>
      <c r="BAJ27" s="197"/>
      <c r="BAK27" s="197"/>
      <c r="BAL27" s="197"/>
      <c r="BAM27" s="197"/>
      <c r="BAN27" s="197"/>
      <c r="BAO27" s="197"/>
      <c r="BAP27" s="197"/>
      <c r="BAQ27" s="197"/>
      <c r="BAR27" s="197"/>
      <c r="BAS27" s="197"/>
      <c r="BAT27" s="197"/>
      <c r="BAU27" s="197"/>
      <c r="BAV27" s="197"/>
      <c r="BAW27" s="197"/>
      <c r="BAX27" s="197"/>
      <c r="BAY27" s="197"/>
      <c r="BAZ27" s="197"/>
      <c r="BBA27" s="197"/>
      <c r="BBB27" s="197"/>
      <c r="BBC27" s="197"/>
      <c r="BBD27" s="197"/>
      <c r="BBE27" s="197"/>
      <c r="BBF27" s="197"/>
      <c r="BBG27" s="197"/>
      <c r="BBH27" s="197"/>
      <c r="BBI27" s="197"/>
      <c r="BBJ27" s="197"/>
      <c r="BBK27" s="197"/>
      <c r="BBL27" s="197"/>
      <c r="BBM27" s="197"/>
      <c r="BBN27" s="197"/>
      <c r="BBO27" s="197"/>
      <c r="BBP27" s="197"/>
      <c r="BBQ27" s="197"/>
      <c r="BBR27" s="197"/>
      <c r="BBS27" s="197"/>
      <c r="BBT27" s="197"/>
      <c r="BBU27" s="197"/>
      <c r="BBV27" s="197"/>
      <c r="BBW27" s="197"/>
      <c r="BBX27" s="197"/>
      <c r="BBY27" s="197"/>
      <c r="BBZ27" s="197"/>
      <c r="BCA27" s="197"/>
      <c r="BCB27" s="197"/>
      <c r="BCC27" s="197"/>
      <c r="BCD27" s="197"/>
      <c r="BCE27" s="197"/>
      <c r="BCF27" s="197"/>
      <c r="BCG27" s="197"/>
      <c r="BCH27" s="197"/>
      <c r="BCI27" s="197"/>
      <c r="BCJ27" s="197"/>
      <c r="BCK27" s="197"/>
      <c r="BCL27" s="197"/>
      <c r="BCM27" s="197"/>
      <c r="BCN27" s="197"/>
      <c r="BCO27" s="197"/>
      <c r="BCP27" s="197"/>
      <c r="BCQ27" s="197"/>
      <c r="BCR27" s="197"/>
      <c r="BCS27" s="197"/>
      <c r="BCT27" s="197"/>
      <c r="BCU27" s="197"/>
      <c r="BCV27" s="197"/>
      <c r="BCW27" s="197"/>
      <c r="BCX27" s="197"/>
      <c r="BCY27" s="197"/>
      <c r="BCZ27" s="197"/>
      <c r="BDA27" s="197"/>
      <c r="BDB27" s="197"/>
      <c r="BDC27" s="197"/>
      <c r="BDD27" s="197"/>
      <c r="BDE27" s="197"/>
      <c r="BDF27" s="197"/>
      <c r="BDG27" s="197"/>
      <c r="BDH27" s="197"/>
      <c r="BDI27" s="197"/>
      <c r="BDJ27" s="197"/>
      <c r="BDK27" s="197"/>
      <c r="BDL27" s="197"/>
      <c r="BDM27" s="197"/>
      <c r="BDN27" s="197"/>
      <c r="BDO27" s="197"/>
      <c r="BDP27" s="197"/>
      <c r="BDQ27" s="197"/>
      <c r="BDR27" s="197"/>
      <c r="BDS27" s="197"/>
      <c r="BDT27" s="197"/>
      <c r="BDU27" s="197"/>
      <c r="BDV27" s="197"/>
      <c r="BDW27" s="197"/>
      <c r="BDX27" s="197"/>
      <c r="BDY27" s="197"/>
      <c r="BDZ27" s="197"/>
      <c r="BEA27" s="197"/>
      <c r="BEB27" s="197"/>
      <c r="BEC27" s="197"/>
      <c r="BED27" s="197"/>
      <c r="BEE27" s="197"/>
      <c r="BEF27" s="197"/>
      <c r="BEG27" s="197"/>
      <c r="BEH27" s="197"/>
      <c r="BEI27" s="197"/>
      <c r="BEJ27" s="197"/>
      <c r="BEK27" s="197"/>
      <c r="BEL27" s="197"/>
      <c r="BEM27" s="197"/>
      <c r="BEN27" s="197"/>
      <c r="BEO27" s="197"/>
      <c r="BEP27" s="197"/>
      <c r="BEQ27" s="197"/>
      <c r="BER27" s="197"/>
      <c r="BES27" s="197"/>
      <c r="BET27" s="197"/>
      <c r="BEU27" s="197"/>
      <c r="BEV27" s="197"/>
      <c r="BEW27" s="197"/>
      <c r="BEX27" s="197"/>
      <c r="BEY27" s="197"/>
      <c r="BEZ27" s="197"/>
      <c r="BFA27" s="197"/>
      <c r="BFB27" s="197"/>
      <c r="BFC27" s="197"/>
      <c r="BFD27" s="197"/>
      <c r="BFE27" s="197"/>
      <c r="BFF27" s="197"/>
      <c r="BFG27" s="197"/>
      <c r="BFH27" s="197"/>
      <c r="BFI27" s="197"/>
      <c r="BFJ27" s="197"/>
      <c r="BFK27" s="197"/>
      <c r="BFL27" s="197"/>
      <c r="BFM27" s="197"/>
      <c r="BFN27" s="197"/>
      <c r="BFO27" s="197"/>
      <c r="BFP27" s="197"/>
      <c r="BFQ27" s="197"/>
      <c r="BFR27" s="197"/>
      <c r="BFS27" s="197"/>
      <c r="BFT27" s="197"/>
      <c r="BFU27" s="197"/>
      <c r="BFV27" s="197"/>
      <c r="BFW27" s="197"/>
      <c r="BFX27" s="197"/>
      <c r="BFY27" s="197"/>
      <c r="BFZ27" s="197"/>
      <c r="BGA27" s="197"/>
      <c r="BGB27" s="197"/>
      <c r="BGC27" s="197"/>
      <c r="BGD27" s="197"/>
      <c r="BGE27" s="197"/>
      <c r="BGF27" s="197"/>
      <c r="BGG27" s="197"/>
      <c r="BGH27" s="197"/>
      <c r="BGI27" s="197"/>
      <c r="BGJ27" s="197"/>
      <c r="BGK27" s="197"/>
      <c r="BGL27" s="197"/>
      <c r="BGM27" s="197"/>
      <c r="BGN27" s="197"/>
      <c r="BGO27" s="197"/>
      <c r="BGP27" s="197"/>
      <c r="BGQ27" s="197"/>
      <c r="BGR27" s="197"/>
      <c r="BGS27" s="197"/>
      <c r="BGT27" s="197"/>
      <c r="BGU27" s="197"/>
      <c r="BGV27" s="197"/>
      <c r="BGW27" s="197"/>
      <c r="BGX27" s="197"/>
      <c r="BGY27" s="197"/>
      <c r="BGZ27" s="197"/>
      <c r="BHA27" s="197"/>
      <c r="BHB27" s="197"/>
      <c r="BHC27" s="197"/>
      <c r="BHD27" s="197"/>
      <c r="BHE27" s="197"/>
      <c r="BHF27" s="197"/>
      <c r="BHG27" s="197"/>
      <c r="BHH27" s="197"/>
      <c r="BHI27" s="197"/>
      <c r="BHJ27" s="197"/>
      <c r="BHK27" s="197"/>
      <c r="BHL27" s="197"/>
      <c r="BHM27" s="197"/>
      <c r="BHN27" s="197"/>
      <c r="BHO27" s="197"/>
      <c r="BHP27" s="197"/>
      <c r="BHQ27" s="197"/>
      <c r="BHR27" s="197"/>
      <c r="BHS27" s="197"/>
      <c r="BHT27" s="197"/>
      <c r="BHU27" s="197"/>
      <c r="BHV27" s="197"/>
      <c r="BHW27" s="197"/>
      <c r="BHX27" s="197"/>
      <c r="BHY27" s="197"/>
      <c r="BHZ27" s="197"/>
      <c r="BIA27" s="197"/>
      <c r="BIB27" s="197"/>
      <c r="BIC27" s="197"/>
      <c r="BID27" s="197"/>
      <c r="BIE27" s="197"/>
      <c r="BIF27" s="197"/>
      <c r="BIG27" s="197"/>
      <c r="BIH27" s="197"/>
      <c r="BII27" s="197"/>
      <c r="BIJ27" s="197"/>
      <c r="BIK27" s="197"/>
      <c r="BIL27" s="197"/>
      <c r="BIM27" s="197"/>
      <c r="BIN27" s="197"/>
      <c r="BIO27" s="197"/>
      <c r="BIP27" s="197"/>
      <c r="BIQ27" s="197"/>
      <c r="BIR27" s="197"/>
      <c r="BIS27" s="197"/>
      <c r="BIT27" s="197"/>
      <c r="BIU27" s="197"/>
      <c r="BIV27" s="197"/>
      <c r="BIW27" s="197"/>
      <c r="BIX27" s="197"/>
      <c r="BIY27" s="197"/>
      <c r="BIZ27" s="197"/>
      <c r="BJA27" s="197"/>
      <c r="BJB27" s="197"/>
      <c r="BJC27" s="197"/>
      <c r="BJD27" s="197"/>
      <c r="BJE27" s="197"/>
      <c r="BJF27" s="197"/>
      <c r="BJG27" s="197"/>
      <c r="BJH27" s="197"/>
      <c r="BJI27" s="197"/>
      <c r="BJJ27" s="197"/>
      <c r="BJK27" s="197"/>
      <c r="BJL27" s="197"/>
      <c r="BJM27" s="197"/>
      <c r="BJN27" s="197"/>
      <c r="BJO27" s="197"/>
      <c r="BJP27" s="197"/>
      <c r="BJQ27" s="197"/>
      <c r="BJR27" s="197"/>
      <c r="BJS27" s="197"/>
      <c r="BJT27" s="197"/>
      <c r="BJU27" s="197"/>
      <c r="BJV27" s="197"/>
      <c r="BJW27" s="197"/>
      <c r="BJX27" s="197"/>
      <c r="BJY27" s="197"/>
      <c r="BJZ27" s="197"/>
      <c r="BKA27" s="197"/>
      <c r="BKB27" s="197"/>
      <c r="BKC27" s="197"/>
      <c r="BKD27" s="197"/>
      <c r="BKE27" s="197"/>
      <c r="BKF27" s="197"/>
      <c r="BKG27" s="197"/>
      <c r="BKH27" s="197"/>
      <c r="BKI27" s="197"/>
      <c r="BKJ27" s="197"/>
      <c r="BKK27" s="197"/>
      <c r="BKL27" s="197"/>
      <c r="BKM27" s="197"/>
      <c r="BKN27" s="197"/>
      <c r="BKO27" s="197"/>
      <c r="BKP27" s="197"/>
      <c r="BKQ27" s="197"/>
      <c r="BKR27" s="197"/>
      <c r="BKS27" s="197"/>
      <c r="BKT27" s="197"/>
      <c r="BKU27" s="197"/>
      <c r="BKV27" s="197"/>
      <c r="BKW27" s="197"/>
      <c r="BKX27" s="197"/>
      <c r="BKY27" s="197"/>
      <c r="BKZ27" s="197"/>
      <c r="BLA27" s="197"/>
      <c r="BLB27" s="197"/>
      <c r="BLC27" s="197"/>
      <c r="BLD27" s="197"/>
      <c r="BLE27" s="197"/>
      <c r="BLF27" s="197"/>
      <c r="BLG27" s="197"/>
      <c r="BLH27" s="197"/>
      <c r="BLI27" s="197"/>
      <c r="BLJ27" s="197"/>
      <c r="BLK27" s="197"/>
      <c r="BLL27" s="197"/>
      <c r="BLM27" s="197"/>
      <c r="BLN27" s="197"/>
      <c r="BLO27" s="197"/>
      <c r="BLP27" s="197"/>
      <c r="BLQ27" s="197"/>
      <c r="BLR27" s="197"/>
      <c r="BLS27" s="197"/>
      <c r="BLT27" s="197"/>
      <c r="BLU27" s="197"/>
      <c r="BLV27" s="197"/>
      <c r="BLW27" s="197"/>
      <c r="BLX27" s="197"/>
      <c r="BLY27" s="197"/>
      <c r="BLZ27" s="197"/>
      <c r="BMA27" s="197"/>
      <c r="BMB27" s="197"/>
      <c r="BMC27" s="197"/>
      <c r="BMD27" s="197"/>
      <c r="BME27" s="197"/>
      <c r="BMF27" s="197"/>
      <c r="BMG27" s="197"/>
      <c r="BMH27" s="197"/>
      <c r="BMI27" s="197"/>
      <c r="BMJ27" s="197"/>
      <c r="BMK27" s="197"/>
      <c r="BML27" s="197"/>
      <c r="BMM27" s="197"/>
      <c r="BMN27" s="197"/>
      <c r="BMO27" s="197"/>
      <c r="BMP27" s="197"/>
      <c r="BMQ27" s="197"/>
      <c r="BMR27" s="197"/>
      <c r="BMS27" s="197"/>
      <c r="BMT27" s="197"/>
      <c r="BMU27" s="197"/>
      <c r="BMV27" s="197"/>
      <c r="BMW27" s="197"/>
      <c r="BMX27" s="197"/>
      <c r="BMY27" s="197"/>
      <c r="BMZ27" s="197"/>
      <c r="BNA27" s="197"/>
      <c r="BNB27" s="197"/>
      <c r="BNC27" s="197"/>
      <c r="BND27" s="197"/>
      <c r="BNE27" s="197"/>
      <c r="BNF27" s="197"/>
      <c r="BNG27" s="197"/>
      <c r="BNH27" s="197"/>
      <c r="BNI27" s="197"/>
      <c r="BNJ27" s="197"/>
      <c r="BNK27" s="197"/>
      <c r="BNL27" s="197"/>
      <c r="BNM27" s="197"/>
      <c r="BNN27" s="197"/>
      <c r="BNO27" s="197"/>
      <c r="BNP27" s="197"/>
      <c r="BNQ27" s="197"/>
      <c r="BNR27" s="197"/>
      <c r="BNS27" s="197"/>
      <c r="BNT27" s="197"/>
      <c r="BNU27" s="197"/>
      <c r="BNV27" s="197"/>
      <c r="BNW27" s="197"/>
      <c r="BNX27" s="197"/>
      <c r="BNY27" s="197"/>
      <c r="BNZ27" s="197"/>
      <c r="BOA27" s="197"/>
      <c r="BOB27" s="197"/>
      <c r="BOC27" s="197"/>
      <c r="BOD27" s="197"/>
      <c r="BOE27" s="197"/>
      <c r="BOF27" s="197"/>
      <c r="BOG27" s="197"/>
      <c r="BOH27" s="197"/>
      <c r="BOI27" s="197"/>
      <c r="BOJ27" s="197"/>
      <c r="BOK27" s="197"/>
      <c r="BOL27" s="197"/>
      <c r="BOM27" s="197"/>
      <c r="BON27" s="197"/>
      <c r="BOO27" s="197"/>
      <c r="BOP27" s="197"/>
      <c r="BOQ27" s="197"/>
      <c r="BOR27" s="197"/>
      <c r="BOS27" s="197"/>
      <c r="BOT27" s="197"/>
      <c r="BOU27" s="197"/>
      <c r="BOV27" s="197"/>
      <c r="BOW27" s="197"/>
      <c r="BOX27" s="197"/>
      <c r="BOY27" s="197"/>
      <c r="BOZ27" s="197"/>
      <c r="BPA27" s="197"/>
      <c r="BPB27" s="197"/>
      <c r="BPC27" s="197"/>
      <c r="BPD27" s="197"/>
      <c r="BPE27" s="197"/>
      <c r="BPF27" s="197"/>
      <c r="BPG27" s="197"/>
      <c r="BPH27" s="197"/>
      <c r="BPI27" s="197"/>
      <c r="BPJ27" s="197"/>
      <c r="BPK27" s="197"/>
      <c r="BPL27" s="197"/>
      <c r="BPM27" s="197"/>
      <c r="BPN27" s="197"/>
      <c r="BPO27" s="197"/>
      <c r="BPP27" s="197"/>
      <c r="BPQ27" s="197"/>
      <c r="BPR27" s="197"/>
      <c r="BPS27" s="197"/>
      <c r="BPT27" s="197"/>
      <c r="BPU27" s="197"/>
      <c r="BPV27" s="197"/>
      <c r="BPW27" s="197"/>
      <c r="BPX27" s="197"/>
      <c r="BPY27" s="197"/>
      <c r="BPZ27" s="197"/>
      <c r="BQA27" s="197"/>
      <c r="BQB27" s="197"/>
      <c r="BQC27" s="197"/>
      <c r="BQD27" s="197"/>
      <c r="BQE27" s="197"/>
      <c r="BQF27" s="197"/>
      <c r="BQG27" s="197"/>
      <c r="BQH27" s="197"/>
      <c r="BQI27" s="197"/>
      <c r="BQJ27" s="197"/>
      <c r="BQK27" s="197"/>
      <c r="BQL27" s="197"/>
      <c r="BQM27" s="197"/>
      <c r="BQN27" s="197"/>
      <c r="BQO27" s="197"/>
      <c r="BQP27" s="197"/>
      <c r="BQQ27" s="197"/>
      <c r="BQR27" s="197"/>
      <c r="BQS27" s="197"/>
      <c r="BQT27" s="197"/>
      <c r="BQU27" s="197"/>
      <c r="BQV27" s="197"/>
      <c r="BQW27" s="197"/>
      <c r="BQX27" s="197"/>
      <c r="BQY27" s="197"/>
      <c r="BQZ27" s="197"/>
      <c r="BRA27" s="197"/>
      <c r="BRB27" s="197"/>
      <c r="BRC27" s="197"/>
      <c r="BRD27" s="197"/>
      <c r="BRE27" s="197"/>
      <c r="BRF27" s="197"/>
      <c r="BRG27" s="197"/>
      <c r="BRH27" s="197"/>
      <c r="BRI27" s="197"/>
      <c r="BRJ27" s="197"/>
      <c r="BRK27" s="197"/>
      <c r="BRL27" s="197"/>
      <c r="BRM27" s="197"/>
      <c r="BRN27" s="197"/>
      <c r="BRO27" s="197"/>
      <c r="BRP27" s="197"/>
      <c r="BRQ27" s="197"/>
      <c r="BRR27" s="197"/>
      <c r="BRS27" s="197"/>
      <c r="BRT27" s="197"/>
      <c r="BRU27" s="197"/>
      <c r="BRV27" s="197"/>
      <c r="BRW27" s="197"/>
      <c r="BRX27" s="197"/>
      <c r="BRY27" s="197"/>
      <c r="BRZ27" s="197"/>
      <c r="BSA27" s="197"/>
      <c r="BSB27" s="197"/>
      <c r="BSC27" s="197"/>
      <c r="BSD27" s="197"/>
      <c r="BSE27" s="197"/>
      <c r="BSF27" s="197"/>
      <c r="BSG27" s="197"/>
      <c r="BSH27" s="197"/>
      <c r="BSI27" s="197"/>
      <c r="BSJ27" s="197"/>
      <c r="BSK27" s="197"/>
      <c r="BSL27" s="197"/>
      <c r="BSM27" s="197"/>
      <c r="BSN27" s="197"/>
      <c r="BSO27" s="197"/>
      <c r="BSP27" s="197"/>
      <c r="BSQ27" s="197"/>
      <c r="BSR27" s="197"/>
      <c r="BSS27" s="197"/>
      <c r="BST27" s="197"/>
      <c r="BSU27" s="197"/>
      <c r="BSV27" s="197"/>
      <c r="BSW27" s="197"/>
      <c r="BSX27" s="197"/>
      <c r="BSY27" s="197"/>
      <c r="BSZ27" s="197"/>
      <c r="BTA27" s="197"/>
      <c r="BTB27" s="197"/>
      <c r="BTC27" s="197"/>
      <c r="BTD27" s="197"/>
      <c r="BTE27" s="197"/>
      <c r="BTF27" s="197"/>
      <c r="BTG27" s="197"/>
      <c r="BTH27" s="197"/>
      <c r="BTI27" s="197"/>
      <c r="BTJ27" s="197"/>
      <c r="BTK27" s="197"/>
      <c r="BTL27" s="197"/>
      <c r="BTM27" s="197"/>
      <c r="BTN27" s="197"/>
      <c r="BTO27" s="197"/>
      <c r="BTP27" s="197"/>
      <c r="BTQ27" s="197"/>
      <c r="BTR27" s="197"/>
      <c r="BTS27" s="197"/>
      <c r="BTT27" s="197"/>
      <c r="BTU27" s="197"/>
      <c r="BTV27" s="197"/>
      <c r="BTW27" s="197"/>
      <c r="BTX27" s="197"/>
      <c r="BTY27" s="197"/>
      <c r="BTZ27" s="197"/>
      <c r="BUA27" s="197"/>
      <c r="BUB27" s="197"/>
      <c r="BUC27" s="197"/>
      <c r="BUD27" s="197"/>
      <c r="BUE27" s="197"/>
      <c r="BUF27" s="197"/>
      <c r="BUG27" s="197"/>
      <c r="BUH27" s="197"/>
      <c r="BUI27" s="197"/>
      <c r="BUJ27" s="197"/>
      <c r="BUK27" s="197"/>
      <c r="BUL27" s="197"/>
      <c r="BUM27" s="197"/>
      <c r="BUN27" s="197"/>
      <c r="BUO27" s="197"/>
      <c r="BUP27" s="197"/>
      <c r="BUQ27" s="197"/>
      <c r="BUR27" s="197"/>
      <c r="BUS27" s="197"/>
      <c r="BUT27" s="197"/>
      <c r="BUU27" s="197"/>
      <c r="BUV27" s="197"/>
      <c r="BUW27" s="197"/>
      <c r="BUX27" s="197"/>
      <c r="BUY27" s="197"/>
      <c r="BUZ27" s="197"/>
      <c r="BVA27" s="197"/>
      <c r="BVB27" s="197"/>
      <c r="BVC27" s="197"/>
      <c r="BVD27" s="197"/>
      <c r="BVE27" s="197"/>
      <c r="BVF27" s="197"/>
      <c r="BVG27" s="197"/>
      <c r="BVH27" s="197"/>
      <c r="BVI27" s="197"/>
      <c r="BVJ27" s="197"/>
      <c r="BVK27" s="197"/>
      <c r="BVL27" s="197"/>
      <c r="BVM27" s="197"/>
      <c r="BVN27" s="197"/>
      <c r="BVO27" s="197"/>
      <c r="BVP27" s="197"/>
      <c r="BVQ27" s="197"/>
      <c r="BVR27" s="197"/>
      <c r="BVS27" s="197"/>
      <c r="BVT27" s="197"/>
      <c r="BVU27" s="197"/>
      <c r="BVV27" s="197"/>
      <c r="BVW27" s="197"/>
      <c r="BVX27" s="197"/>
      <c r="BVY27" s="197"/>
      <c r="BVZ27" s="197"/>
      <c r="BWA27" s="197"/>
      <c r="BWB27" s="197"/>
      <c r="BWC27" s="197"/>
      <c r="BWD27" s="197"/>
      <c r="BWE27" s="197"/>
      <c r="BWF27" s="197"/>
      <c r="BWG27" s="197"/>
      <c r="BWH27" s="197"/>
      <c r="BWI27" s="197"/>
      <c r="BWJ27" s="197"/>
      <c r="BWK27" s="197"/>
      <c r="BWL27" s="197"/>
      <c r="BWM27" s="197"/>
      <c r="BWN27" s="197"/>
      <c r="BWO27" s="197"/>
      <c r="BWP27" s="197"/>
      <c r="BWQ27" s="197"/>
      <c r="BWR27" s="197"/>
      <c r="BWS27" s="197"/>
      <c r="BWT27" s="197"/>
      <c r="BWU27" s="197"/>
      <c r="BWV27" s="197"/>
      <c r="BWW27" s="197"/>
      <c r="BWX27" s="197"/>
      <c r="BWY27" s="197"/>
      <c r="BWZ27" s="197"/>
      <c r="BXA27" s="197"/>
      <c r="BXB27" s="197"/>
      <c r="BXC27" s="197"/>
      <c r="BXD27" s="197"/>
      <c r="BXE27" s="197"/>
      <c r="BXF27" s="197"/>
      <c r="BXG27" s="197"/>
      <c r="BXH27" s="197"/>
      <c r="BXI27" s="197"/>
      <c r="BXJ27" s="197"/>
      <c r="BXK27" s="197"/>
      <c r="BXL27" s="197"/>
      <c r="BXM27" s="197"/>
      <c r="BXN27" s="197"/>
      <c r="BXO27" s="197"/>
      <c r="BXP27" s="197"/>
      <c r="BXQ27" s="197"/>
      <c r="BXR27" s="197"/>
      <c r="BXS27" s="197"/>
      <c r="BXT27" s="197"/>
      <c r="BXU27" s="197"/>
      <c r="BXV27" s="197"/>
      <c r="BXW27" s="197"/>
      <c r="BXX27" s="197"/>
      <c r="BXY27" s="197"/>
      <c r="BXZ27" s="197"/>
      <c r="BYA27" s="197"/>
      <c r="BYB27" s="197"/>
      <c r="BYC27" s="197"/>
      <c r="BYD27" s="197"/>
      <c r="BYE27" s="197"/>
      <c r="BYF27" s="197"/>
      <c r="BYG27" s="197"/>
    </row>
    <row r="28" spans="1:2009" s="100" customFormat="1" ht="12.75" hidden="1" customHeight="1" thickBot="1" x14ac:dyDescent="0.3">
      <c r="A28" s="97"/>
      <c r="B28" s="97"/>
      <c r="C28" s="169"/>
      <c r="D28" s="169"/>
      <c r="E28" s="169"/>
      <c r="F28" s="169"/>
      <c r="G28" s="646"/>
      <c r="H28" s="98"/>
      <c r="I28" s="75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155</v>
      </c>
      <c r="B29" s="141"/>
      <c r="C29" s="180"/>
      <c r="D29" s="180"/>
      <c r="E29" s="181"/>
      <c r="F29" s="181"/>
      <c r="G29" s="654"/>
      <c r="H29" s="93"/>
      <c r="I29" s="555"/>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7"/>
      <c r="B30" s="113" t="s">
        <v>476</v>
      </c>
      <c r="C30" s="182"/>
      <c r="D30" s="182"/>
      <c r="E30" s="183"/>
      <c r="F30" s="183"/>
      <c r="G30" s="655">
        <f>SUM(C30:F30)</f>
        <v>0</v>
      </c>
      <c r="H30" s="93"/>
      <c r="I30" s="555"/>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477</v>
      </c>
      <c r="C31" s="182">
        <v>19215.86</v>
      </c>
      <c r="D31" s="182">
        <v>21726.45</v>
      </c>
      <c r="E31" s="183">
        <v>27298.75</v>
      </c>
      <c r="F31" s="183"/>
      <c r="G31" s="655">
        <f>SUM(C31:F31)</f>
        <v>68241.06</v>
      </c>
      <c r="H31" s="93"/>
      <c r="I31" s="555"/>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8" customFormat="1" ht="24.95" customHeight="1" thickBot="1" x14ac:dyDescent="0.3">
      <c r="A32" s="214"/>
      <c r="B32" s="215" t="s">
        <v>156</v>
      </c>
      <c r="C32" s="216">
        <f>SUM(C30:C31)</f>
        <v>19215.86</v>
      </c>
      <c r="D32" s="216">
        <f>D30+D31</f>
        <v>21726.45</v>
      </c>
      <c r="E32" s="216">
        <f>E30+E31</f>
        <v>27298.75</v>
      </c>
      <c r="F32" s="216"/>
      <c r="G32" s="656">
        <f>SUM(G30:G31)</f>
        <v>68241.06</v>
      </c>
      <c r="H32" s="196"/>
      <c r="I32" s="555"/>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c r="EO32" s="217"/>
      <c r="EP32" s="217"/>
      <c r="EQ32" s="217"/>
      <c r="ER32" s="217"/>
      <c r="ES32" s="217"/>
      <c r="ET32" s="217"/>
      <c r="EU32" s="217"/>
      <c r="EV32" s="217"/>
      <c r="EW32" s="217"/>
      <c r="EX32" s="217"/>
      <c r="EY32" s="217"/>
      <c r="EZ32" s="217"/>
      <c r="FA32" s="217"/>
      <c r="FB32" s="217"/>
      <c r="FC32" s="217"/>
      <c r="FD32" s="217"/>
      <c r="FE32" s="217"/>
      <c r="FF32" s="217"/>
      <c r="FG32" s="217"/>
      <c r="FH32" s="217"/>
      <c r="FI32" s="217"/>
      <c r="FJ32" s="217"/>
      <c r="FK32" s="217"/>
      <c r="FL32" s="217"/>
      <c r="FM32" s="217"/>
      <c r="FN32" s="217"/>
      <c r="FO32" s="217"/>
      <c r="FP32" s="217"/>
      <c r="FQ32" s="217"/>
      <c r="FR32" s="217"/>
      <c r="FS32" s="217"/>
      <c r="FT32" s="217"/>
      <c r="FU32" s="217"/>
      <c r="FV32" s="217"/>
      <c r="FW32" s="217"/>
      <c r="FX32" s="217"/>
      <c r="FY32" s="217"/>
      <c r="FZ32" s="217"/>
      <c r="GA32" s="217"/>
      <c r="GB32" s="217"/>
      <c r="GC32" s="217"/>
      <c r="GD32" s="217"/>
      <c r="GE32" s="217"/>
      <c r="GF32" s="217"/>
      <c r="GG32" s="217"/>
      <c r="GH32" s="217"/>
      <c r="GI32" s="217"/>
      <c r="GJ32" s="217"/>
      <c r="GK32" s="217"/>
      <c r="GL32" s="217"/>
      <c r="GM32" s="217"/>
      <c r="GN32" s="217"/>
      <c r="GO32" s="217"/>
      <c r="GP32" s="217"/>
      <c r="GQ32" s="217"/>
      <c r="GR32" s="217"/>
      <c r="GS32" s="217"/>
      <c r="GT32" s="217"/>
      <c r="GU32" s="217"/>
      <c r="GV32" s="217"/>
      <c r="GW32" s="217"/>
      <c r="GX32" s="217"/>
      <c r="GY32" s="217"/>
      <c r="GZ32" s="217"/>
      <c r="HA32" s="217"/>
      <c r="HB32" s="217"/>
      <c r="HC32" s="217"/>
      <c r="HD32" s="217"/>
      <c r="HE32" s="217"/>
      <c r="HF32" s="217"/>
      <c r="HG32" s="217"/>
      <c r="HH32" s="217"/>
      <c r="HI32" s="217"/>
      <c r="HJ32" s="217"/>
      <c r="HK32" s="217"/>
      <c r="HL32" s="217"/>
      <c r="HM32" s="217"/>
      <c r="HN32" s="217"/>
      <c r="HO32" s="217"/>
      <c r="HP32" s="217"/>
      <c r="HQ32" s="217"/>
      <c r="HR32" s="217"/>
      <c r="HS32" s="217"/>
      <c r="HT32" s="217"/>
      <c r="HU32" s="217"/>
      <c r="HV32" s="217"/>
      <c r="HW32" s="217"/>
      <c r="HX32" s="217"/>
      <c r="HY32" s="217"/>
      <c r="HZ32" s="217"/>
      <c r="IA32" s="217"/>
      <c r="IB32" s="217"/>
      <c r="IC32" s="217"/>
      <c r="ID32" s="217"/>
      <c r="IE32" s="217"/>
      <c r="IF32" s="217"/>
      <c r="IG32" s="217"/>
      <c r="IH32" s="217"/>
      <c r="II32" s="217"/>
      <c r="IJ32" s="217"/>
      <c r="IK32" s="217"/>
      <c r="IL32" s="217"/>
      <c r="IM32" s="217"/>
      <c r="IN32" s="217"/>
      <c r="IO32" s="217"/>
      <c r="IP32" s="217"/>
      <c r="IQ32" s="217"/>
      <c r="IR32" s="217"/>
      <c r="IS32" s="217"/>
      <c r="IT32" s="217"/>
      <c r="IU32" s="217"/>
      <c r="IV32" s="217"/>
      <c r="IW32" s="217"/>
      <c r="IX32" s="217"/>
      <c r="IY32" s="217"/>
      <c r="IZ32" s="217"/>
      <c r="JA32" s="217"/>
      <c r="JB32" s="217"/>
      <c r="JC32" s="217"/>
      <c r="JD32" s="217"/>
      <c r="JE32" s="217"/>
      <c r="JF32" s="217"/>
      <c r="JG32" s="217"/>
      <c r="JH32" s="217"/>
      <c r="JI32" s="217"/>
      <c r="JJ32" s="217"/>
      <c r="JK32" s="217"/>
      <c r="JL32" s="217"/>
      <c r="JM32" s="217"/>
      <c r="JN32" s="217"/>
      <c r="JO32" s="217"/>
      <c r="JP32" s="217"/>
      <c r="JQ32" s="217"/>
      <c r="JR32" s="217"/>
      <c r="JS32" s="217"/>
      <c r="JT32" s="217"/>
      <c r="JU32" s="217"/>
      <c r="JV32" s="217"/>
      <c r="JW32" s="217"/>
      <c r="JX32" s="217"/>
      <c r="JY32" s="217"/>
      <c r="JZ32" s="217"/>
      <c r="KA32" s="217"/>
      <c r="KB32" s="217"/>
      <c r="KC32" s="217"/>
      <c r="KD32" s="217"/>
      <c r="KE32" s="217"/>
      <c r="KF32" s="217"/>
      <c r="KG32" s="217"/>
      <c r="KH32" s="217"/>
      <c r="KI32" s="217"/>
      <c r="KJ32" s="217"/>
      <c r="KK32" s="217"/>
      <c r="KL32" s="217"/>
      <c r="KM32" s="217"/>
      <c r="KN32" s="217"/>
      <c r="KO32" s="217"/>
      <c r="KP32" s="217"/>
      <c r="KQ32" s="217"/>
      <c r="KR32" s="217"/>
      <c r="KS32" s="217"/>
      <c r="KT32" s="217"/>
      <c r="KU32" s="217"/>
      <c r="KV32" s="217"/>
      <c r="KW32" s="217"/>
      <c r="KX32" s="217"/>
      <c r="KY32" s="217"/>
      <c r="KZ32" s="217"/>
      <c r="LA32" s="217"/>
      <c r="LB32" s="217"/>
      <c r="LC32" s="217"/>
      <c r="LD32" s="217"/>
      <c r="LE32" s="217"/>
      <c r="LF32" s="217"/>
      <c r="LG32" s="217"/>
      <c r="LH32" s="217"/>
      <c r="LI32" s="217"/>
      <c r="LJ32" s="217"/>
      <c r="LK32" s="217"/>
      <c r="LL32" s="217"/>
      <c r="LM32" s="217"/>
      <c r="LN32" s="217"/>
      <c r="LO32" s="217"/>
      <c r="LP32" s="217"/>
      <c r="LQ32" s="217"/>
      <c r="LR32" s="217"/>
      <c r="LS32" s="217"/>
      <c r="LT32" s="217"/>
      <c r="LU32" s="217"/>
      <c r="LV32" s="217"/>
      <c r="LW32" s="217"/>
      <c r="LX32" s="217"/>
      <c r="LY32" s="217"/>
      <c r="LZ32" s="217"/>
      <c r="MA32" s="217"/>
      <c r="MB32" s="217"/>
      <c r="MC32" s="217"/>
      <c r="MD32" s="217"/>
      <c r="ME32" s="217"/>
      <c r="MF32" s="217"/>
      <c r="MG32" s="217"/>
      <c r="MH32" s="217"/>
      <c r="MI32" s="217"/>
      <c r="MJ32" s="217"/>
      <c r="MK32" s="217"/>
      <c r="ML32" s="217"/>
      <c r="MM32" s="217"/>
      <c r="MN32" s="217"/>
      <c r="MO32" s="217"/>
      <c r="MP32" s="217"/>
      <c r="MQ32" s="217"/>
      <c r="MR32" s="217"/>
      <c r="MS32" s="217"/>
      <c r="MT32" s="217"/>
      <c r="MU32" s="217"/>
      <c r="MV32" s="217"/>
      <c r="MW32" s="217"/>
      <c r="MX32" s="217"/>
      <c r="MY32" s="217"/>
      <c r="MZ32" s="217"/>
      <c r="NA32" s="217"/>
      <c r="NB32" s="217"/>
      <c r="NC32" s="217"/>
      <c r="ND32" s="217"/>
      <c r="NE32" s="217"/>
      <c r="NF32" s="217"/>
      <c r="NG32" s="217"/>
      <c r="NH32" s="217"/>
      <c r="NI32" s="217"/>
      <c r="NJ32" s="217"/>
      <c r="NK32" s="217"/>
      <c r="NL32" s="217"/>
      <c r="NM32" s="217"/>
      <c r="NN32" s="217"/>
      <c r="NO32" s="217"/>
      <c r="NP32" s="217"/>
      <c r="NQ32" s="217"/>
      <c r="NR32" s="217"/>
      <c r="NS32" s="217"/>
      <c r="NT32" s="217"/>
      <c r="NU32" s="217"/>
      <c r="NV32" s="217"/>
      <c r="NW32" s="217"/>
      <c r="NX32" s="217"/>
      <c r="NY32" s="217"/>
      <c r="NZ32" s="217"/>
      <c r="OA32" s="217"/>
      <c r="OB32" s="217"/>
      <c r="OC32" s="217"/>
      <c r="OD32" s="217"/>
      <c r="OE32" s="217"/>
      <c r="OF32" s="217"/>
      <c r="OG32" s="217"/>
      <c r="OH32" s="217"/>
      <c r="OI32" s="217"/>
      <c r="OJ32" s="217"/>
      <c r="OK32" s="217"/>
      <c r="OL32" s="217"/>
      <c r="OM32" s="217"/>
      <c r="ON32" s="217"/>
      <c r="OO32" s="217"/>
      <c r="OP32" s="217"/>
      <c r="OQ32" s="217"/>
      <c r="OR32" s="217"/>
      <c r="OS32" s="217"/>
      <c r="OT32" s="217"/>
      <c r="OU32" s="217"/>
      <c r="OV32" s="217"/>
      <c r="OW32" s="217"/>
      <c r="OX32" s="217"/>
      <c r="OY32" s="217"/>
      <c r="OZ32" s="217"/>
      <c r="PA32" s="217"/>
      <c r="PB32" s="217"/>
      <c r="PC32" s="217"/>
      <c r="PD32" s="217"/>
      <c r="PE32" s="217"/>
      <c r="PF32" s="217"/>
      <c r="PG32" s="217"/>
      <c r="PH32" s="217"/>
      <c r="PI32" s="217"/>
      <c r="PJ32" s="217"/>
      <c r="PK32" s="217"/>
      <c r="PL32" s="217"/>
      <c r="PM32" s="217"/>
      <c r="PN32" s="217"/>
      <c r="PO32" s="217"/>
      <c r="PP32" s="217"/>
      <c r="PQ32" s="217"/>
      <c r="PR32" s="217"/>
      <c r="PS32" s="217"/>
      <c r="PT32" s="217"/>
      <c r="PU32" s="217"/>
      <c r="PV32" s="217"/>
      <c r="PW32" s="217"/>
      <c r="PX32" s="217"/>
      <c r="PY32" s="217"/>
      <c r="PZ32" s="217"/>
      <c r="QA32" s="217"/>
      <c r="QB32" s="217"/>
      <c r="QC32" s="217"/>
      <c r="QD32" s="217"/>
      <c r="QE32" s="217"/>
      <c r="QF32" s="217"/>
      <c r="QG32" s="217"/>
      <c r="QH32" s="217"/>
      <c r="QI32" s="217"/>
      <c r="QJ32" s="217"/>
      <c r="QK32" s="217"/>
      <c r="QL32" s="217"/>
      <c r="QM32" s="217"/>
      <c r="QN32" s="217"/>
      <c r="QO32" s="217"/>
      <c r="QP32" s="217"/>
      <c r="QQ32" s="217"/>
      <c r="QR32" s="217"/>
      <c r="QS32" s="217"/>
      <c r="QT32" s="217"/>
      <c r="QU32" s="217"/>
      <c r="QV32" s="217"/>
      <c r="QW32" s="217"/>
      <c r="QX32" s="217"/>
      <c r="QY32" s="217"/>
      <c r="QZ32" s="217"/>
      <c r="RA32" s="217"/>
      <c r="RB32" s="217"/>
      <c r="RC32" s="217"/>
      <c r="RD32" s="217"/>
      <c r="RE32" s="217"/>
      <c r="RF32" s="217"/>
      <c r="RG32" s="217"/>
      <c r="RH32" s="217"/>
      <c r="RI32" s="217"/>
      <c r="RJ32" s="217"/>
      <c r="RK32" s="217"/>
      <c r="RL32" s="217"/>
      <c r="RM32" s="217"/>
      <c r="RN32" s="217"/>
      <c r="RO32" s="217"/>
      <c r="RP32" s="217"/>
      <c r="RQ32" s="217"/>
      <c r="RR32" s="217"/>
      <c r="RS32" s="217"/>
      <c r="RT32" s="217"/>
      <c r="RU32" s="217"/>
      <c r="RV32" s="217"/>
      <c r="RW32" s="217"/>
      <c r="RX32" s="217"/>
      <c r="RY32" s="217"/>
      <c r="RZ32" s="217"/>
      <c r="SA32" s="217"/>
      <c r="SB32" s="217"/>
      <c r="SC32" s="217"/>
      <c r="SD32" s="217"/>
      <c r="SE32" s="217"/>
      <c r="SF32" s="217"/>
      <c r="SG32" s="217"/>
      <c r="SH32" s="217"/>
      <c r="SI32" s="217"/>
      <c r="SJ32" s="217"/>
      <c r="SK32" s="217"/>
      <c r="SL32" s="217"/>
      <c r="SM32" s="217"/>
      <c r="SN32" s="217"/>
      <c r="SO32" s="217"/>
      <c r="SP32" s="217"/>
      <c r="SQ32" s="217"/>
      <c r="SR32" s="217"/>
      <c r="SS32" s="217"/>
      <c r="ST32" s="217"/>
      <c r="SU32" s="217"/>
      <c r="SV32" s="217"/>
      <c r="SW32" s="217"/>
      <c r="SX32" s="217"/>
      <c r="SY32" s="217"/>
      <c r="SZ32" s="217"/>
      <c r="TA32" s="217"/>
      <c r="TB32" s="217"/>
      <c r="TC32" s="217"/>
      <c r="TD32" s="217"/>
      <c r="TE32" s="217"/>
      <c r="TF32" s="217"/>
      <c r="TG32" s="217"/>
      <c r="TH32" s="217"/>
      <c r="TI32" s="217"/>
      <c r="TJ32" s="217"/>
      <c r="TK32" s="217"/>
      <c r="TL32" s="217"/>
      <c r="TM32" s="217"/>
      <c r="TN32" s="217"/>
      <c r="TO32" s="217"/>
      <c r="TP32" s="217"/>
      <c r="TQ32" s="217"/>
      <c r="TR32" s="217"/>
      <c r="TS32" s="217"/>
      <c r="TT32" s="217"/>
      <c r="TU32" s="217"/>
      <c r="TV32" s="217"/>
      <c r="TW32" s="217"/>
      <c r="TX32" s="217"/>
      <c r="TY32" s="217"/>
      <c r="TZ32" s="217"/>
      <c r="UA32" s="217"/>
      <c r="UB32" s="217"/>
      <c r="UC32" s="217"/>
      <c r="UD32" s="217"/>
      <c r="UE32" s="217"/>
      <c r="UF32" s="217"/>
      <c r="UG32" s="217"/>
      <c r="UH32" s="217"/>
      <c r="UI32" s="217"/>
      <c r="UJ32" s="217"/>
      <c r="UK32" s="217"/>
      <c r="UL32" s="217"/>
      <c r="UM32" s="217"/>
      <c r="UN32" s="217"/>
      <c r="UO32" s="217"/>
      <c r="UP32" s="217"/>
      <c r="UQ32" s="217"/>
      <c r="UR32" s="217"/>
      <c r="US32" s="217"/>
      <c r="UT32" s="217"/>
      <c r="UU32" s="217"/>
      <c r="UV32" s="217"/>
      <c r="UW32" s="217"/>
      <c r="UX32" s="217"/>
      <c r="UY32" s="217"/>
      <c r="UZ32" s="217"/>
      <c r="VA32" s="217"/>
      <c r="VB32" s="217"/>
      <c r="VC32" s="217"/>
      <c r="VD32" s="217"/>
      <c r="VE32" s="217"/>
      <c r="VF32" s="217"/>
      <c r="VG32" s="217"/>
      <c r="VH32" s="217"/>
      <c r="VI32" s="217"/>
      <c r="VJ32" s="217"/>
      <c r="VK32" s="217"/>
      <c r="VL32" s="217"/>
      <c r="VM32" s="217"/>
      <c r="VN32" s="217"/>
      <c r="VO32" s="217"/>
      <c r="VP32" s="217"/>
      <c r="VQ32" s="217"/>
      <c r="VR32" s="217"/>
      <c r="VS32" s="217"/>
      <c r="VT32" s="217"/>
      <c r="VU32" s="217"/>
      <c r="VV32" s="217"/>
      <c r="VW32" s="217"/>
      <c r="VX32" s="217"/>
      <c r="VY32" s="217"/>
      <c r="VZ32" s="217"/>
      <c r="WA32" s="217"/>
      <c r="WB32" s="217"/>
      <c r="WC32" s="217"/>
      <c r="WD32" s="217"/>
      <c r="WE32" s="217"/>
      <c r="WF32" s="217"/>
      <c r="WG32" s="217"/>
      <c r="WH32" s="217"/>
      <c r="WI32" s="217"/>
      <c r="WJ32" s="217"/>
      <c r="WK32" s="217"/>
      <c r="WL32" s="217"/>
      <c r="WM32" s="217"/>
      <c r="WN32" s="217"/>
      <c r="WO32" s="217"/>
      <c r="WP32" s="217"/>
      <c r="WQ32" s="217"/>
      <c r="WR32" s="217"/>
      <c r="WS32" s="217"/>
      <c r="WT32" s="217"/>
      <c r="WU32" s="217"/>
      <c r="WV32" s="217"/>
      <c r="WW32" s="217"/>
      <c r="WX32" s="217"/>
      <c r="WY32" s="217"/>
      <c r="WZ32" s="217"/>
      <c r="XA32" s="217"/>
      <c r="XB32" s="217"/>
      <c r="XC32" s="217"/>
      <c r="XD32" s="217"/>
      <c r="XE32" s="217"/>
      <c r="XF32" s="217"/>
      <c r="XG32" s="217"/>
      <c r="XH32" s="217"/>
      <c r="XI32" s="217"/>
      <c r="XJ32" s="217"/>
      <c r="XK32" s="217"/>
      <c r="XL32" s="217"/>
      <c r="XM32" s="217"/>
      <c r="XN32" s="217"/>
      <c r="XO32" s="217"/>
      <c r="XP32" s="217"/>
      <c r="XQ32" s="217"/>
      <c r="XR32" s="217"/>
      <c r="XS32" s="217"/>
      <c r="XT32" s="217"/>
      <c r="XU32" s="217"/>
      <c r="XV32" s="217"/>
      <c r="XW32" s="217"/>
      <c r="XX32" s="217"/>
      <c r="XY32" s="217"/>
      <c r="XZ32" s="217"/>
      <c r="YA32" s="217"/>
      <c r="YB32" s="217"/>
      <c r="YC32" s="217"/>
      <c r="YD32" s="217"/>
      <c r="YE32" s="217"/>
      <c r="YF32" s="217"/>
      <c r="YG32" s="217"/>
      <c r="YH32" s="217"/>
      <c r="YI32" s="217"/>
      <c r="YJ32" s="217"/>
      <c r="YK32" s="217"/>
      <c r="YL32" s="217"/>
      <c r="YM32" s="217"/>
      <c r="YN32" s="217"/>
      <c r="YO32" s="217"/>
      <c r="YP32" s="217"/>
      <c r="YQ32" s="217"/>
      <c r="YR32" s="217"/>
      <c r="YS32" s="217"/>
      <c r="YT32" s="217"/>
      <c r="YU32" s="217"/>
      <c r="YV32" s="217"/>
      <c r="YW32" s="217"/>
      <c r="YX32" s="217"/>
      <c r="YY32" s="217"/>
      <c r="YZ32" s="217"/>
      <c r="ZA32" s="217"/>
      <c r="ZB32" s="217"/>
      <c r="ZC32" s="217"/>
      <c r="ZD32" s="217"/>
      <c r="ZE32" s="217"/>
      <c r="ZF32" s="217"/>
      <c r="ZG32" s="217"/>
      <c r="ZH32" s="217"/>
      <c r="ZI32" s="217"/>
      <c r="ZJ32" s="217"/>
      <c r="ZK32" s="217"/>
      <c r="ZL32" s="217"/>
      <c r="ZM32" s="217"/>
      <c r="ZN32" s="217"/>
      <c r="ZO32" s="217"/>
      <c r="ZP32" s="217"/>
      <c r="ZQ32" s="217"/>
      <c r="ZR32" s="217"/>
      <c r="ZS32" s="217"/>
      <c r="ZT32" s="217"/>
      <c r="ZU32" s="217"/>
      <c r="ZV32" s="217"/>
      <c r="ZW32" s="217"/>
      <c r="ZX32" s="217"/>
      <c r="ZY32" s="217"/>
      <c r="ZZ32" s="217"/>
      <c r="AAA32" s="217"/>
      <c r="AAB32" s="217"/>
      <c r="AAC32" s="217"/>
      <c r="AAD32" s="217"/>
      <c r="AAE32" s="217"/>
      <c r="AAF32" s="217"/>
      <c r="AAG32" s="217"/>
      <c r="AAH32" s="217"/>
      <c r="AAI32" s="217"/>
      <c r="AAJ32" s="217"/>
      <c r="AAK32" s="217"/>
      <c r="AAL32" s="217"/>
      <c r="AAM32" s="217"/>
      <c r="AAN32" s="217"/>
      <c r="AAO32" s="217"/>
      <c r="AAP32" s="217"/>
      <c r="AAQ32" s="217"/>
      <c r="AAR32" s="217"/>
      <c r="AAS32" s="217"/>
      <c r="AAT32" s="217"/>
      <c r="AAU32" s="217"/>
      <c r="AAV32" s="217"/>
      <c r="AAW32" s="217"/>
      <c r="AAX32" s="217"/>
      <c r="AAY32" s="217"/>
      <c r="AAZ32" s="217"/>
      <c r="ABA32" s="217"/>
      <c r="ABB32" s="217"/>
      <c r="ABC32" s="217"/>
      <c r="ABD32" s="217"/>
      <c r="ABE32" s="217"/>
      <c r="ABF32" s="217"/>
      <c r="ABG32" s="217"/>
      <c r="ABH32" s="217"/>
      <c r="ABI32" s="217"/>
      <c r="ABJ32" s="217"/>
      <c r="ABK32" s="217"/>
      <c r="ABL32" s="217"/>
      <c r="ABM32" s="217"/>
      <c r="ABN32" s="217"/>
      <c r="ABO32" s="217"/>
      <c r="ABP32" s="217"/>
      <c r="ABQ32" s="217"/>
      <c r="ABR32" s="217"/>
      <c r="ABS32" s="217"/>
      <c r="ABT32" s="217"/>
      <c r="ABU32" s="217"/>
      <c r="ABV32" s="217"/>
      <c r="ABW32" s="217"/>
      <c r="ABX32" s="217"/>
      <c r="ABY32" s="217"/>
      <c r="ABZ32" s="217"/>
      <c r="ACA32" s="217"/>
      <c r="ACB32" s="217"/>
      <c r="ACC32" s="217"/>
      <c r="ACD32" s="217"/>
      <c r="ACE32" s="217"/>
      <c r="ACF32" s="217"/>
      <c r="ACG32" s="217"/>
      <c r="ACH32" s="217"/>
      <c r="ACI32" s="217"/>
      <c r="ACJ32" s="217"/>
      <c r="ACK32" s="217"/>
      <c r="ACL32" s="217"/>
      <c r="ACM32" s="217"/>
      <c r="ACN32" s="217"/>
      <c r="ACO32" s="217"/>
      <c r="ACP32" s="217"/>
      <c r="ACQ32" s="217"/>
      <c r="ACR32" s="217"/>
      <c r="ACS32" s="217"/>
      <c r="ACT32" s="217"/>
      <c r="ACU32" s="217"/>
      <c r="ACV32" s="217"/>
      <c r="ACW32" s="217"/>
      <c r="ACX32" s="217"/>
      <c r="ACY32" s="217"/>
      <c r="ACZ32" s="217"/>
      <c r="ADA32" s="217"/>
      <c r="ADB32" s="217"/>
      <c r="ADC32" s="217"/>
      <c r="ADD32" s="217"/>
      <c r="ADE32" s="217"/>
      <c r="ADF32" s="217"/>
      <c r="ADG32" s="217"/>
      <c r="ADH32" s="217"/>
      <c r="ADI32" s="217"/>
      <c r="ADJ32" s="217"/>
      <c r="ADK32" s="217"/>
      <c r="ADL32" s="217"/>
      <c r="ADM32" s="217"/>
      <c r="ADN32" s="217"/>
      <c r="ADO32" s="217"/>
      <c r="ADP32" s="217"/>
      <c r="ADQ32" s="217"/>
      <c r="ADR32" s="217"/>
      <c r="ADS32" s="217"/>
      <c r="ADT32" s="217"/>
      <c r="ADU32" s="217"/>
      <c r="ADV32" s="217"/>
      <c r="ADW32" s="217"/>
      <c r="ADX32" s="217"/>
      <c r="ADY32" s="217"/>
      <c r="ADZ32" s="217"/>
      <c r="AEA32" s="217"/>
      <c r="AEB32" s="217"/>
      <c r="AEC32" s="217"/>
      <c r="AED32" s="217"/>
      <c r="AEE32" s="217"/>
      <c r="AEF32" s="217"/>
      <c r="AEG32" s="217"/>
      <c r="AEH32" s="217"/>
      <c r="AEI32" s="217"/>
      <c r="AEJ32" s="217"/>
      <c r="AEK32" s="217"/>
      <c r="AEL32" s="217"/>
      <c r="AEM32" s="217"/>
      <c r="AEN32" s="217"/>
      <c r="AEO32" s="217"/>
      <c r="AEP32" s="217"/>
      <c r="AEQ32" s="217"/>
      <c r="AER32" s="217"/>
      <c r="AES32" s="217"/>
      <c r="AET32" s="217"/>
      <c r="AEU32" s="217"/>
      <c r="AEV32" s="217"/>
      <c r="AEW32" s="217"/>
      <c r="AEX32" s="217"/>
      <c r="AEY32" s="217"/>
      <c r="AEZ32" s="217"/>
      <c r="AFA32" s="217"/>
      <c r="AFB32" s="217"/>
      <c r="AFC32" s="217"/>
      <c r="AFD32" s="217"/>
      <c r="AFE32" s="217"/>
      <c r="AFF32" s="217"/>
      <c r="AFG32" s="217"/>
      <c r="AFH32" s="217"/>
      <c r="AFI32" s="217"/>
      <c r="AFJ32" s="217"/>
      <c r="AFK32" s="217"/>
      <c r="AFL32" s="217"/>
      <c r="AFM32" s="217"/>
      <c r="AFN32" s="217"/>
      <c r="AFO32" s="217"/>
      <c r="AFP32" s="217"/>
      <c r="AFQ32" s="217"/>
      <c r="AFR32" s="217"/>
      <c r="AFS32" s="217"/>
      <c r="AFT32" s="217"/>
      <c r="AFU32" s="217"/>
      <c r="AFV32" s="217"/>
      <c r="AFW32" s="217"/>
      <c r="AFX32" s="217"/>
      <c r="AFY32" s="217"/>
      <c r="AFZ32" s="217"/>
      <c r="AGA32" s="217"/>
      <c r="AGB32" s="217"/>
      <c r="AGC32" s="217"/>
      <c r="AGD32" s="217"/>
      <c r="AGE32" s="217"/>
      <c r="AGF32" s="217"/>
      <c r="AGG32" s="217"/>
      <c r="AGH32" s="217"/>
      <c r="AGI32" s="217"/>
      <c r="AGJ32" s="217"/>
      <c r="AGK32" s="217"/>
      <c r="AGL32" s="217"/>
      <c r="AGM32" s="217"/>
      <c r="AGN32" s="217"/>
      <c r="AGO32" s="217"/>
      <c r="AGP32" s="217"/>
      <c r="AGQ32" s="217"/>
      <c r="AGR32" s="217"/>
      <c r="AGS32" s="217"/>
      <c r="AGT32" s="217"/>
      <c r="AGU32" s="217"/>
      <c r="AGV32" s="217"/>
      <c r="AGW32" s="217"/>
      <c r="AGX32" s="217"/>
      <c r="AGY32" s="217"/>
      <c r="AGZ32" s="217"/>
      <c r="AHA32" s="217"/>
      <c r="AHB32" s="217"/>
      <c r="AHC32" s="217"/>
      <c r="AHD32" s="217"/>
      <c r="AHE32" s="217"/>
      <c r="AHF32" s="217"/>
      <c r="AHG32" s="217"/>
      <c r="AHH32" s="217"/>
      <c r="AHI32" s="217"/>
      <c r="AHJ32" s="217"/>
      <c r="AHK32" s="217"/>
      <c r="AHL32" s="217"/>
      <c r="AHM32" s="217"/>
      <c r="AHN32" s="217"/>
      <c r="AHO32" s="217"/>
      <c r="AHP32" s="217"/>
      <c r="AHQ32" s="217"/>
      <c r="AHR32" s="217"/>
      <c r="AHS32" s="217"/>
      <c r="AHT32" s="217"/>
      <c r="AHU32" s="217"/>
      <c r="AHV32" s="217"/>
      <c r="AHW32" s="217"/>
      <c r="AHX32" s="217"/>
      <c r="AHY32" s="217"/>
      <c r="AHZ32" s="217"/>
      <c r="AIA32" s="217"/>
      <c r="AIB32" s="217"/>
      <c r="AIC32" s="217"/>
      <c r="AID32" s="217"/>
      <c r="AIE32" s="217"/>
      <c r="AIF32" s="217"/>
      <c r="AIG32" s="217"/>
      <c r="AIH32" s="217"/>
      <c r="AII32" s="217"/>
      <c r="AIJ32" s="217"/>
      <c r="AIK32" s="217"/>
      <c r="AIL32" s="217"/>
      <c r="AIM32" s="217"/>
      <c r="AIN32" s="217"/>
      <c r="AIO32" s="217"/>
      <c r="AIP32" s="217"/>
      <c r="AIQ32" s="217"/>
      <c r="AIR32" s="217"/>
      <c r="AIS32" s="217"/>
      <c r="AIT32" s="217"/>
      <c r="AIU32" s="217"/>
      <c r="AIV32" s="217"/>
      <c r="AIW32" s="217"/>
      <c r="AIX32" s="217"/>
      <c r="AIY32" s="217"/>
      <c r="AIZ32" s="217"/>
      <c r="AJA32" s="217"/>
      <c r="AJB32" s="217"/>
      <c r="AJC32" s="217"/>
      <c r="AJD32" s="217"/>
      <c r="AJE32" s="217"/>
      <c r="AJF32" s="217"/>
      <c r="AJG32" s="217"/>
      <c r="AJH32" s="217"/>
      <c r="AJI32" s="217"/>
      <c r="AJJ32" s="217"/>
      <c r="AJK32" s="217"/>
      <c r="AJL32" s="217"/>
      <c r="AJM32" s="217"/>
      <c r="AJN32" s="217"/>
      <c r="AJO32" s="217"/>
      <c r="AJP32" s="217"/>
      <c r="AJQ32" s="217"/>
      <c r="AJR32" s="217"/>
      <c r="AJS32" s="217"/>
      <c r="AJT32" s="217"/>
      <c r="AJU32" s="217"/>
      <c r="AJV32" s="217"/>
      <c r="AJW32" s="217"/>
      <c r="AJX32" s="217"/>
      <c r="AJY32" s="217"/>
      <c r="AJZ32" s="217"/>
      <c r="AKA32" s="217"/>
      <c r="AKB32" s="217"/>
      <c r="AKC32" s="217"/>
      <c r="AKD32" s="217"/>
      <c r="AKE32" s="217"/>
      <c r="AKF32" s="217"/>
      <c r="AKG32" s="217"/>
      <c r="AKH32" s="217"/>
      <c r="AKI32" s="217"/>
      <c r="AKJ32" s="217"/>
      <c r="AKK32" s="217"/>
      <c r="AKL32" s="217"/>
      <c r="AKM32" s="217"/>
      <c r="AKN32" s="217"/>
      <c r="AKO32" s="217"/>
      <c r="AKP32" s="217"/>
      <c r="AKQ32" s="217"/>
      <c r="AKR32" s="217"/>
      <c r="AKS32" s="217"/>
      <c r="AKT32" s="217"/>
      <c r="AKU32" s="217"/>
      <c r="AKV32" s="217"/>
      <c r="AKW32" s="217"/>
      <c r="AKX32" s="217"/>
      <c r="AKY32" s="217"/>
      <c r="AKZ32" s="217"/>
      <c r="ALA32" s="217"/>
      <c r="ALB32" s="217"/>
      <c r="ALC32" s="217"/>
      <c r="ALD32" s="217"/>
      <c r="ALE32" s="217"/>
      <c r="ALF32" s="217"/>
      <c r="ALG32" s="217"/>
      <c r="ALH32" s="217"/>
      <c r="ALI32" s="217"/>
      <c r="ALJ32" s="217"/>
      <c r="ALK32" s="217"/>
      <c r="ALL32" s="217"/>
      <c r="ALM32" s="217"/>
      <c r="ALN32" s="217"/>
      <c r="ALO32" s="217"/>
      <c r="ALP32" s="217"/>
      <c r="ALQ32" s="217"/>
      <c r="ALR32" s="217"/>
      <c r="ALS32" s="217"/>
      <c r="ALT32" s="217"/>
      <c r="ALU32" s="217"/>
      <c r="ALV32" s="217"/>
      <c r="ALW32" s="217"/>
      <c r="ALX32" s="217"/>
      <c r="ALY32" s="217"/>
      <c r="ALZ32" s="217"/>
      <c r="AMA32" s="217"/>
      <c r="AMB32" s="217"/>
      <c r="AMC32" s="217"/>
      <c r="AMD32" s="217"/>
      <c r="AME32" s="217"/>
      <c r="AMF32" s="217"/>
      <c r="AMG32" s="217"/>
      <c r="AMH32" s="217"/>
      <c r="AMI32" s="217"/>
      <c r="AMJ32" s="217"/>
      <c r="AMK32" s="217"/>
      <c r="AML32" s="217"/>
      <c r="AMM32" s="217"/>
      <c r="AMN32" s="217"/>
      <c r="AMO32" s="217"/>
      <c r="AMP32" s="217"/>
      <c r="AMQ32" s="217"/>
      <c r="AMR32" s="217"/>
      <c r="AMS32" s="217"/>
      <c r="AMT32" s="217"/>
      <c r="AMU32" s="217"/>
      <c r="AMV32" s="217"/>
      <c r="AMW32" s="217"/>
      <c r="AMX32" s="217"/>
      <c r="AMY32" s="217"/>
      <c r="AMZ32" s="217"/>
      <c r="ANA32" s="217"/>
      <c r="ANB32" s="217"/>
      <c r="ANC32" s="217"/>
      <c r="AND32" s="217"/>
      <c r="ANE32" s="217"/>
      <c r="ANF32" s="217"/>
      <c r="ANG32" s="217"/>
      <c r="ANH32" s="217"/>
      <c r="ANI32" s="217"/>
      <c r="ANJ32" s="217"/>
      <c r="ANK32" s="217"/>
      <c r="ANL32" s="217"/>
      <c r="ANM32" s="217"/>
      <c r="ANN32" s="217"/>
      <c r="ANO32" s="217"/>
      <c r="ANP32" s="217"/>
      <c r="ANQ32" s="217"/>
      <c r="ANR32" s="217"/>
      <c r="ANS32" s="217"/>
      <c r="ANT32" s="217"/>
      <c r="ANU32" s="217"/>
      <c r="ANV32" s="217"/>
      <c r="ANW32" s="217"/>
      <c r="ANX32" s="217"/>
      <c r="ANY32" s="217"/>
      <c r="ANZ32" s="217"/>
      <c r="AOA32" s="217"/>
      <c r="AOB32" s="217"/>
      <c r="AOC32" s="217"/>
      <c r="AOD32" s="217"/>
      <c r="AOE32" s="217"/>
      <c r="AOF32" s="217"/>
      <c r="AOG32" s="217"/>
      <c r="AOH32" s="217"/>
      <c r="AOI32" s="217"/>
      <c r="AOJ32" s="217"/>
      <c r="AOK32" s="217"/>
      <c r="AOL32" s="217"/>
      <c r="AOM32" s="217"/>
      <c r="AON32" s="217"/>
      <c r="AOO32" s="217"/>
      <c r="AOP32" s="217"/>
      <c r="AOQ32" s="217"/>
      <c r="AOR32" s="217"/>
      <c r="AOS32" s="217"/>
      <c r="AOT32" s="217"/>
      <c r="AOU32" s="217"/>
      <c r="AOV32" s="217"/>
      <c r="AOW32" s="217"/>
      <c r="AOX32" s="217"/>
      <c r="AOY32" s="217"/>
      <c r="AOZ32" s="217"/>
      <c r="APA32" s="217"/>
      <c r="APB32" s="217"/>
      <c r="APC32" s="217"/>
      <c r="APD32" s="217"/>
      <c r="APE32" s="217"/>
      <c r="APF32" s="217"/>
      <c r="APG32" s="217"/>
      <c r="APH32" s="217"/>
      <c r="API32" s="217"/>
      <c r="APJ32" s="217"/>
      <c r="APK32" s="217"/>
      <c r="APL32" s="217"/>
      <c r="APM32" s="217"/>
      <c r="APN32" s="217"/>
      <c r="APO32" s="217"/>
      <c r="APP32" s="217"/>
      <c r="APQ32" s="217"/>
      <c r="APR32" s="217"/>
      <c r="APS32" s="217"/>
      <c r="APT32" s="217"/>
      <c r="APU32" s="217"/>
      <c r="APV32" s="217"/>
      <c r="APW32" s="217"/>
      <c r="APX32" s="217"/>
      <c r="APY32" s="217"/>
      <c r="APZ32" s="217"/>
      <c r="AQA32" s="217"/>
      <c r="AQB32" s="217"/>
      <c r="AQC32" s="217"/>
      <c r="AQD32" s="217"/>
      <c r="AQE32" s="217"/>
      <c r="AQF32" s="217"/>
      <c r="AQG32" s="217"/>
      <c r="AQH32" s="217"/>
      <c r="AQI32" s="217"/>
      <c r="AQJ32" s="217"/>
      <c r="AQK32" s="217"/>
      <c r="AQL32" s="217"/>
      <c r="AQM32" s="217"/>
      <c r="AQN32" s="217"/>
      <c r="AQO32" s="217"/>
      <c r="AQP32" s="217"/>
      <c r="AQQ32" s="217"/>
      <c r="AQR32" s="217"/>
      <c r="AQS32" s="217"/>
      <c r="AQT32" s="217"/>
      <c r="AQU32" s="217"/>
      <c r="AQV32" s="217"/>
      <c r="AQW32" s="217"/>
      <c r="AQX32" s="217"/>
      <c r="AQY32" s="217"/>
      <c r="AQZ32" s="217"/>
      <c r="ARA32" s="217"/>
      <c r="ARB32" s="217"/>
      <c r="ARC32" s="217"/>
      <c r="ARD32" s="217"/>
      <c r="ARE32" s="217"/>
      <c r="ARF32" s="217"/>
      <c r="ARG32" s="217"/>
      <c r="ARH32" s="217"/>
      <c r="ARI32" s="217"/>
      <c r="ARJ32" s="217"/>
      <c r="ARK32" s="217"/>
      <c r="ARL32" s="217"/>
      <c r="ARM32" s="217"/>
      <c r="ARN32" s="217"/>
      <c r="ARO32" s="217"/>
      <c r="ARP32" s="217"/>
      <c r="ARQ32" s="217"/>
      <c r="ARR32" s="217"/>
      <c r="ARS32" s="217"/>
      <c r="ART32" s="217"/>
      <c r="ARU32" s="217"/>
      <c r="ARV32" s="217"/>
      <c r="ARW32" s="217"/>
      <c r="ARX32" s="217"/>
      <c r="ARY32" s="217"/>
      <c r="ARZ32" s="217"/>
      <c r="ASA32" s="217"/>
      <c r="ASB32" s="217"/>
      <c r="ASC32" s="217"/>
      <c r="ASD32" s="217"/>
      <c r="ASE32" s="217"/>
      <c r="ASF32" s="217"/>
      <c r="ASG32" s="217"/>
      <c r="ASH32" s="217"/>
      <c r="ASI32" s="217"/>
      <c r="ASJ32" s="217"/>
      <c r="ASK32" s="217"/>
      <c r="ASL32" s="217"/>
      <c r="ASM32" s="217"/>
      <c r="ASN32" s="217"/>
      <c r="ASO32" s="217"/>
      <c r="ASP32" s="217"/>
      <c r="ASQ32" s="217"/>
      <c r="ASR32" s="217"/>
      <c r="ASS32" s="217"/>
      <c r="AST32" s="217"/>
      <c r="ASU32" s="217"/>
      <c r="ASV32" s="217"/>
      <c r="ASW32" s="217"/>
      <c r="ASX32" s="217"/>
      <c r="ASY32" s="217"/>
      <c r="ASZ32" s="217"/>
      <c r="ATA32" s="217"/>
      <c r="ATB32" s="217"/>
      <c r="ATC32" s="217"/>
      <c r="ATD32" s="217"/>
      <c r="ATE32" s="217"/>
      <c r="ATF32" s="217"/>
      <c r="ATG32" s="217"/>
      <c r="ATH32" s="217"/>
      <c r="ATI32" s="217"/>
      <c r="ATJ32" s="217"/>
      <c r="ATK32" s="217"/>
      <c r="ATL32" s="217"/>
      <c r="ATM32" s="217"/>
      <c r="ATN32" s="217"/>
      <c r="ATO32" s="217"/>
      <c r="ATP32" s="217"/>
      <c r="ATQ32" s="217"/>
      <c r="ATR32" s="217"/>
      <c r="ATS32" s="217"/>
      <c r="ATT32" s="217"/>
      <c r="ATU32" s="217"/>
      <c r="ATV32" s="217"/>
      <c r="ATW32" s="217"/>
      <c r="ATX32" s="217"/>
      <c r="ATY32" s="217"/>
      <c r="ATZ32" s="217"/>
      <c r="AUA32" s="217"/>
      <c r="AUB32" s="217"/>
      <c r="AUC32" s="217"/>
      <c r="AUD32" s="217"/>
      <c r="AUE32" s="217"/>
      <c r="AUF32" s="217"/>
      <c r="AUG32" s="217"/>
      <c r="AUH32" s="217"/>
      <c r="AUI32" s="217"/>
      <c r="AUJ32" s="217"/>
      <c r="AUK32" s="217"/>
      <c r="AUL32" s="217"/>
      <c r="AUM32" s="217"/>
      <c r="AUN32" s="217"/>
      <c r="AUO32" s="217"/>
      <c r="AUP32" s="217"/>
      <c r="AUQ32" s="217"/>
      <c r="AUR32" s="217"/>
      <c r="AUS32" s="217"/>
      <c r="AUT32" s="217"/>
      <c r="AUU32" s="217"/>
      <c r="AUV32" s="217"/>
      <c r="AUW32" s="217"/>
      <c r="AUX32" s="217"/>
      <c r="AUY32" s="217"/>
      <c r="AUZ32" s="217"/>
      <c r="AVA32" s="217"/>
      <c r="AVB32" s="217"/>
      <c r="AVC32" s="217"/>
      <c r="AVD32" s="217"/>
      <c r="AVE32" s="217"/>
      <c r="AVF32" s="217"/>
      <c r="AVG32" s="217"/>
      <c r="AVH32" s="217"/>
      <c r="AVI32" s="217"/>
      <c r="AVJ32" s="217"/>
      <c r="AVK32" s="217"/>
      <c r="AVL32" s="217"/>
      <c r="AVM32" s="217"/>
      <c r="AVN32" s="217"/>
      <c r="AVO32" s="217"/>
      <c r="AVP32" s="217"/>
      <c r="AVQ32" s="217"/>
      <c r="AVR32" s="217"/>
      <c r="AVS32" s="217"/>
      <c r="AVT32" s="217"/>
      <c r="AVU32" s="217"/>
      <c r="AVV32" s="217"/>
      <c r="AVW32" s="217"/>
      <c r="AVX32" s="217"/>
      <c r="AVY32" s="217"/>
      <c r="AVZ32" s="217"/>
      <c r="AWA32" s="217"/>
      <c r="AWB32" s="217"/>
      <c r="AWC32" s="217"/>
      <c r="AWD32" s="217"/>
      <c r="AWE32" s="217"/>
      <c r="AWF32" s="217"/>
      <c r="AWG32" s="217"/>
      <c r="AWH32" s="217"/>
      <c r="AWI32" s="217"/>
      <c r="AWJ32" s="217"/>
      <c r="AWK32" s="217"/>
      <c r="AWL32" s="217"/>
      <c r="AWM32" s="217"/>
      <c r="AWN32" s="217"/>
      <c r="AWO32" s="217"/>
      <c r="AWP32" s="217"/>
      <c r="AWQ32" s="217"/>
      <c r="AWR32" s="217"/>
      <c r="AWS32" s="217"/>
      <c r="AWT32" s="217"/>
      <c r="AWU32" s="217"/>
      <c r="AWV32" s="217"/>
      <c r="AWW32" s="217"/>
      <c r="AWX32" s="217"/>
      <c r="AWY32" s="217"/>
      <c r="AWZ32" s="217"/>
      <c r="AXA32" s="217"/>
      <c r="AXB32" s="217"/>
      <c r="AXC32" s="217"/>
      <c r="AXD32" s="217"/>
      <c r="AXE32" s="217"/>
      <c r="AXF32" s="217"/>
      <c r="AXG32" s="217"/>
      <c r="AXH32" s="217"/>
      <c r="AXI32" s="217"/>
      <c r="AXJ32" s="217"/>
      <c r="AXK32" s="217"/>
      <c r="AXL32" s="217"/>
      <c r="AXM32" s="217"/>
      <c r="AXN32" s="217"/>
      <c r="AXO32" s="217"/>
      <c r="AXP32" s="217"/>
      <c r="AXQ32" s="217"/>
      <c r="AXR32" s="217"/>
      <c r="AXS32" s="217"/>
      <c r="AXT32" s="217"/>
      <c r="AXU32" s="217"/>
      <c r="AXV32" s="217"/>
      <c r="AXW32" s="217"/>
      <c r="AXX32" s="217"/>
      <c r="AXY32" s="217"/>
      <c r="AXZ32" s="217"/>
      <c r="AYA32" s="217"/>
      <c r="AYB32" s="217"/>
      <c r="AYC32" s="217"/>
      <c r="AYD32" s="217"/>
      <c r="AYE32" s="217"/>
      <c r="AYF32" s="217"/>
      <c r="AYG32" s="217"/>
      <c r="AYH32" s="217"/>
      <c r="AYI32" s="217"/>
      <c r="AYJ32" s="217"/>
      <c r="AYK32" s="217"/>
      <c r="AYL32" s="217"/>
      <c r="AYM32" s="217"/>
      <c r="AYN32" s="217"/>
      <c r="AYO32" s="217"/>
      <c r="AYP32" s="217"/>
      <c r="AYQ32" s="217"/>
      <c r="AYR32" s="217"/>
      <c r="AYS32" s="217"/>
      <c r="AYT32" s="217"/>
      <c r="AYU32" s="217"/>
      <c r="AYV32" s="217"/>
      <c r="AYW32" s="217"/>
      <c r="AYX32" s="217"/>
      <c r="AYY32" s="217"/>
      <c r="AYZ32" s="217"/>
      <c r="AZA32" s="217"/>
      <c r="AZB32" s="217"/>
      <c r="AZC32" s="217"/>
      <c r="AZD32" s="217"/>
      <c r="AZE32" s="217"/>
      <c r="AZF32" s="217"/>
      <c r="AZG32" s="217"/>
      <c r="AZH32" s="217"/>
      <c r="AZI32" s="217"/>
      <c r="AZJ32" s="217"/>
      <c r="AZK32" s="217"/>
      <c r="AZL32" s="217"/>
      <c r="AZM32" s="217"/>
      <c r="AZN32" s="217"/>
      <c r="AZO32" s="217"/>
      <c r="AZP32" s="217"/>
      <c r="AZQ32" s="217"/>
      <c r="AZR32" s="217"/>
      <c r="AZS32" s="217"/>
      <c r="AZT32" s="217"/>
      <c r="AZU32" s="217"/>
      <c r="AZV32" s="217"/>
      <c r="AZW32" s="217"/>
      <c r="AZX32" s="217"/>
      <c r="AZY32" s="217"/>
      <c r="AZZ32" s="217"/>
      <c r="BAA32" s="217"/>
      <c r="BAB32" s="217"/>
      <c r="BAC32" s="217"/>
      <c r="BAD32" s="217"/>
      <c r="BAE32" s="217"/>
      <c r="BAF32" s="217"/>
      <c r="BAG32" s="217"/>
      <c r="BAH32" s="217"/>
      <c r="BAI32" s="217"/>
      <c r="BAJ32" s="217"/>
      <c r="BAK32" s="217"/>
      <c r="BAL32" s="217"/>
      <c r="BAM32" s="217"/>
      <c r="BAN32" s="217"/>
      <c r="BAO32" s="217"/>
      <c r="BAP32" s="217"/>
      <c r="BAQ32" s="217"/>
      <c r="BAR32" s="217"/>
      <c r="BAS32" s="217"/>
      <c r="BAT32" s="217"/>
      <c r="BAU32" s="217"/>
      <c r="BAV32" s="217"/>
      <c r="BAW32" s="217"/>
      <c r="BAX32" s="217"/>
      <c r="BAY32" s="217"/>
      <c r="BAZ32" s="217"/>
      <c r="BBA32" s="217"/>
      <c r="BBB32" s="217"/>
      <c r="BBC32" s="217"/>
      <c r="BBD32" s="217"/>
      <c r="BBE32" s="217"/>
      <c r="BBF32" s="217"/>
      <c r="BBG32" s="217"/>
      <c r="BBH32" s="217"/>
      <c r="BBI32" s="217"/>
      <c r="BBJ32" s="217"/>
      <c r="BBK32" s="217"/>
      <c r="BBL32" s="217"/>
      <c r="BBM32" s="217"/>
      <c r="BBN32" s="217"/>
      <c r="BBO32" s="217"/>
      <c r="BBP32" s="217"/>
      <c r="BBQ32" s="217"/>
      <c r="BBR32" s="217"/>
      <c r="BBS32" s="217"/>
      <c r="BBT32" s="217"/>
      <c r="BBU32" s="217"/>
      <c r="BBV32" s="217"/>
      <c r="BBW32" s="217"/>
      <c r="BBX32" s="217"/>
      <c r="BBY32" s="217"/>
      <c r="BBZ32" s="217"/>
      <c r="BCA32" s="217"/>
      <c r="BCB32" s="217"/>
      <c r="BCC32" s="217"/>
      <c r="BCD32" s="217"/>
      <c r="BCE32" s="217"/>
      <c r="BCF32" s="217"/>
      <c r="BCG32" s="217"/>
      <c r="BCH32" s="217"/>
      <c r="BCI32" s="217"/>
      <c r="BCJ32" s="217"/>
      <c r="BCK32" s="217"/>
      <c r="BCL32" s="217"/>
      <c r="BCM32" s="217"/>
      <c r="BCN32" s="217"/>
      <c r="BCO32" s="217"/>
      <c r="BCP32" s="217"/>
      <c r="BCQ32" s="217"/>
      <c r="BCR32" s="217"/>
      <c r="BCS32" s="217"/>
      <c r="BCT32" s="217"/>
      <c r="BCU32" s="217"/>
      <c r="BCV32" s="217"/>
      <c r="BCW32" s="217"/>
      <c r="BCX32" s="217"/>
      <c r="BCY32" s="217"/>
      <c r="BCZ32" s="217"/>
      <c r="BDA32" s="217"/>
      <c r="BDB32" s="217"/>
      <c r="BDC32" s="217"/>
      <c r="BDD32" s="217"/>
      <c r="BDE32" s="217"/>
      <c r="BDF32" s="217"/>
      <c r="BDG32" s="217"/>
      <c r="BDH32" s="217"/>
      <c r="BDI32" s="217"/>
      <c r="BDJ32" s="217"/>
      <c r="BDK32" s="217"/>
      <c r="BDL32" s="217"/>
      <c r="BDM32" s="217"/>
      <c r="BDN32" s="217"/>
      <c r="BDO32" s="217"/>
      <c r="BDP32" s="217"/>
      <c r="BDQ32" s="217"/>
      <c r="BDR32" s="217"/>
      <c r="BDS32" s="217"/>
      <c r="BDT32" s="217"/>
      <c r="BDU32" s="217"/>
      <c r="BDV32" s="217"/>
      <c r="BDW32" s="217"/>
      <c r="BDX32" s="217"/>
      <c r="BDY32" s="217"/>
      <c r="BDZ32" s="217"/>
      <c r="BEA32" s="217"/>
      <c r="BEB32" s="217"/>
      <c r="BEC32" s="217"/>
      <c r="BED32" s="217"/>
      <c r="BEE32" s="217"/>
      <c r="BEF32" s="217"/>
      <c r="BEG32" s="217"/>
      <c r="BEH32" s="217"/>
      <c r="BEI32" s="217"/>
      <c r="BEJ32" s="217"/>
      <c r="BEK32" s="217"/>
      <c r="BEL32" s="217"/>
      <c r="BEM32" s="217"/>
      <c r="BEN32" s="217"/>
      <c r="BEO32" s="217"/>
      <c r="BEP32" s="217"/>
      <c r="BEQ32" s="217"/>
      <c r="BER32" s="217"/>
      <c r="BES32" s="217"/>
      <c r="BET32" s="217"/>
      <c r="BEU32" s="217"/>
      <c r="BEV32" s="217"/>
      <c r="BEW32" s="217"/>
      <c r="BEX32" s="217"/>
      <c r="BEY32" s="217"/>
      <c r="BEZ32" s="217"/>
      <c r="BFA32" s="217"/>
      <c r="BFB32" s="217"/>
      <c r="BFC32" s="217"/>
      <c r="BFD32" s="217"/>
      <c r="BFE32" s="217"/>
      <c r="BFF32" s="217"/>
      <c r="BFG32" s="217"/>
      <c r="BFH32" s="217"/>
      <c r="BFI32" s="217"/>
      <c r="BFJ32" s="217"/>
      <c r="BFK32" s="217"/>
      <c r="BFL32" s="217"/>
      <c r="BFM32" s="217"/>
      <c r="BFN32" s="217"/>
      <c r="BFO32" s="217"/>
      <c r="BFP32" s="217"/>
      <c r="BFQ32" s="217"/>
      <c r="BFR32" s="217"/>
      <c r="BFS32" s="217"/>
      <c r="BFT32" s="217"/>
      <c r="BFU32" s="217"/>
      <c r="BFV32" s="217"/>
      <c r="BFW32" s="217"/>
      <c r="BFX32" s="217"/>
      <c r="BFY32" s="217"/>
      <c r="BFZ32" s="217"/>
      <c r="BGA32" s="217"/>
      <c r="BGB32" s="217"/>
      <c r="BGC32" s="217"/>
      <c r="BGD32" s="217"/>
      <c r="BGE32" s="217"/>
      <c r="BGF32" s="217"/>
      <c r="BGG32" s="217"/>
      <c r="BGH32" s="217"/>
      <c r="BGI32" s="217"/>
      <c r="BGJ32" s="217"/>
      <c r="BGK32" s="217"/>
      <c r="BGL32" s="217"/>
      <c r="BGM32" s="217"/>
      <c r="BGN32" s="217"/>
      <c r="BGO32" s="217"/>
      <c r="BGP32" s="217"/>
      <c r="BGQ32" s="217"/>
      <c r="BGR32" s="217"/>
      <c r="BGS32" s="217"/>
      <c r="BGT32" s="217"/>
      <c r="BGU32" s="217"/>
      <c r="BGV32" s="217"/>
      <c r="BGW32" s="217"/>
      <c r="BGX32" s="217"/>
      <c r="BGY32" s="217"/>
      <c r="BGZ32" s="217"/>
      <c r="BHA32" s="217"/>
      <c r="BHB32" s="217"/>
      <c r="BHC32" s="217"/>
      <c r="BHD32" s="217"/>
      <c r="BHE32" s="217"/>
      <c r="BHF32" s="217"/>
      <c r="BHG32" s="217"/>
      <c r="BHH32" s="217"/>
      <c r="BHI32" s="217"/>
      <c r="BHJ32" s="217"/>
      <c r="BHK32" s="217"/>
      <c r="BHL32" s="217"/>
      <c r="BHM32" s="217"/>
      <c r="BHN32" s="217"/>
      <c r="BHO32" s="217"/>
      <c r="BHP32" s="217"/>
      <c r="BHQ32" s="217"/>
      <c r="BHR32" s="217"/>
      <c r="BHS32" s="217"/>
      <c r="BHT32" s="217"/>
      <c r="BHU32" s="217"/>
      <c r="BHV32" s="217"/>
      <c r="BHW32" s="217"/>
      <c r="BHX32" s="217"/>
      <c r="BHY32" s="217"/>
      <c r="BHZ32" s="217"/>
      <c r="BIA32" s="217"/>
      <c r="BIB32" s="217"/>
      <c r="BIC32" s="217"/>
      <c r="BID32" s="217"/>
      <c r="BIE32" s="217"/>
      <c r="BIF32" s="217"/>
      <c r="BIG32" s="217"/>
      <c r="BIH32" s="217"/>
      <c r="BII32" s="217"/>
      <c r="BIJ32" s="217"/>
      <c r="BIK32" s="217"/>
      <c r="BIL32" s="217"/>
      <c r="BIM32" s="217"/>
      <c r="BIN32" s="217"/>
      <c r="BIO32" s="217"/>
      <c r="BIP32" s="217"/>
      <c r="BIQ32" s="217"/>
      <c r="BIR32" s="217"/>
      <c r="BIS32" s="217"/>
      <c r="BIT32" s="217"/>
      <c r="BIU32" s="217"/>
      <c r="BIV32" s="217"/>
      <c r="BIW32" s="217"/>
      <c r="BIX32" s="217"/>
      <c r="BIY32" s="217"/>
      <c r="BIZ32" s="217"/>
      <c r="BJA32" s="217"/>
      <c r="BJB32" s="217"/>
      <c r="BJC32" s="217"/>
      <c r="BJD32" s="217"/>
      <c r="BJE32" s="217"/>
      <c r="BJF32" s="217"/>
      <c r="BJG32" s="217"/>
      <c r="BJH32" s="217"/>
      <c r="BJI32" s="217"/>
      <c r="BJJ32" s="217"/>
      <c r="BJK32" s="217"/>
      <c r="BJL32" s="217"/>
      <c r="BJM32" s="217"/>
      <c r="BJN32" s="217"/>
      <c r="BJO32" s="217"/>
      <c r="BJP32" s="217"/>
      <c r="BJQ32" s="217"/>
      <c r="BJR32" s="217"/>
      <c r="BJS32" s="217"/>
      <c r="BJT32" s="217"/>
      <c r="BJU32" s="217"/>
      <c r="BJV32" s="217"/>
      <c r="BJW32" s="217"/>
      <c r="BJX32" s="217"/>
      <c r="BJY32" s="217"/>
      <c r="BJZ32" s="217"/>
      <c r="BKA32" s="217"/>
      <c r="BKB32" s="217"/>
      <c r="BKC32" s="217"/>
      <c r="BKD32" s="217"/>
      <c r="BKE32" s="217"/>
      <c r="BKF32" s="217"/>
      <c r="BKG32" s="217"/>
      <c r="BKH32" s="217"/>
      <c r="BKI32" s="217"/>
      <c r="BKJ32" s="217"/>
      <c r="BKK32" s="217"/>
      <c r="BKL32" s="217"/>
      <c r="BKM32" s="217"/>
      <c r="BKN32" s="217"/>
      <c r="BKO32" s="217"/>
      <c r="BKP32" s="217"/>
      <c r="BKQ32" s="217"/>
      <c r="BKR32" s="217"/>
      <c r="BKS32" s="217"/>
      <c r="BKT32" s="217"/>
      <c r="BKU32" s="217"/>
      <c r="BKV32" s="217"/>
      <c r="BKW32" s="217"/>
      <c r="BKX32" s="217"/>
      <c r="BKY32" s="217"/>
      <c r="BKZ32" s="217"/>
      <c r="BLA32" s="217"/>
      <c r="BLB32" s="217"/>
      <c r="BLC32" s="217"/>
      <c r="BLD32" s="217"/>
      <c r="BLE32" s="217"/>
      <c r="BLF32" s="217"/>
      <c r="BLG32" s="217"/>
      <c r="BLH32" s="217"/>
      <c r="BLI32" s="217"/>
      <c r="BLJ32" s="217"/>
      <c r="BLK32" s="217"/>
      <c r="BLL32" s="217"/>
      <c r="BLM32" s="217"/>
      <c r="BLN32" s="217"/>
      <c r="BLO32" s="217"/>
      <c r="BLP32" s="217"/>
      <c r="BLQ32" s="217"/>
      <c r="BLR32" s="217"/>
      <c r="BLS32" s="217"/>
      <c r="BLT32" s="217"/>
      <c r="BLU32" s="217"/>
      <c r="BLV32" s="217"/>
      <c r="BLW32" s="217"/>
      <c r="BLX32" s="217"/>
      <c r="BLY32" s="217"/>
      <c r="BLZ32" s="217"/>
      <c r="BMA32" s="217"/>
      <c r="BMB32" s="217"/>
      <c r="BMC32" s="217"/>
      <c r="BMD32" s="217"/>
      <c r="BME32" s="217"/>
      <c r="BMF32" s="217"/>
      <c r="BMG32" s="217"/>
      <c r="BMH32" s="217"/>
      <c r="BMI32" s="217"/>
      <c r="BMJ32" s="217"/>
      <c r="BMK32" s="217"/>
      <c r="BML32" s="217"/>
      <c r="BMM32" s="217"/>
      <c r="BMN32" s="217"/>
      <c r="BMO32" s="217"/>
      <c r="BMP32" s="217"/>
      <c r="BMQ32" s="217"/>
      <c r="BMR32" s="217"/>
      <c r="BMS32" s="217"/>
      <c r="BMT32" s="217"/>
      <c r="BMU32" s="217"/>
      <c r="BMV32" s="217"/>
      <c r="BMW32" s="217"/>
      <c r="BMX32" s="217"/>
      <c r="BMY32" s="217"/>
      <c r="BMZ32" s="217"/>
      <c r="BNA32" s="217"/>
      <c r="BNB32" s="217"/>
      <c r="BNC32" s="217"/>
      <c r="BND32" s="217"/>
      <c r="BNE32" s="217"/>
      <c r="BNF32" s="217"/>
      <c r="BNG32" s="217"/>
      <c r="BNH32" s="217"/>
      <c r="BNI32" s="217"/>
      <c r="BNJ32" s="217"/>
      <c r="BNK32" s="217"/>
      <c r="BNL32" s="217"/>
      <c r="BNM32" s="217"/>
      <c r="BNN32" s="217"/>
      <c r="BNO32" s="217"/>
      <c r="BNP32" s="217"/>
      <c r="BNQ32" s="217"/>
      <c r="BNR32" s="217"/>
      <c r="BNS32" s="217"/>
      <c r="BNT32" s="217"/>
      <c r="BNU32" s="217"/>
      <c r="BNV32" s="217"/>
      <c r="BNW32" s="217"/>
      <c r="BNX32" s="217"/>
      <c r="BNY32" s="217"/>
      <c r="BNZ32" s="217"/>
      <c r="BOA32" s="217"/>
      <c r="BOB32" s="217"/>
      <c r="BOC32" s="217"/>
      <c r="BOD32" s="217"/>
      <c r="BOE32" s="217"/>
      <c r="BOF32" s="217"/>
      <c r="BOG32" s="217"/>
      <c r="BOH32" s="217"/>
      <c r="BOI32" s="217"/>
      <c r="BOJ32" s="217"/>
      <c r="BOK32" s="217"/>
      <c r="BOL32" s="217"/>
      <c r="BOM32" s="217"/>
      <c r="BON32" s="217"/>
      <c r="BOO32" s="217"/>
      <c r="BOP32" s="217"/>
      <c r="BOQ32" s="217"/>
      <c r="BOR32" s="217"/>
      <c r="BOS32" s="217"/>
      <c r="BOT32" s="217"/>
      <c r="BOU32" s="217"/>
      <c r="BOV32" s="217"/>
      <c r="BOW32" s="217"/>
      <c r="BOX32" s="217"/>
      <c r="BOY32" s="217"/>
      <c r="BOZ32" s="217"/>
      <c r="BPA32" s="217"/>
      <c r="BPB32" s="217"/>
      <c r="BPC32" s="217"/>
      <c r="BPD32" s="217"/>
      <c r="BPE32" s="217"/>
      <c r="BPF32" s="217"/>
      <c r="BPG32" s="217"/>
      <c r="BPH32" s="217"/>
      <c r="BPI32" s="217"/>
      <c r="BPJ32" s="217"/>
      <c r="BPK32" s="217"/>
      <c r="BPL32" s="217"/>
      <c r="BPM32" s="217"/>
      <c r="BPN32" s="217"/>
      <c r="BPO32" s="217"/>
      <c r="BPP32" s="217"/>
      <c r="BPQ32" s="217"/>
      <c r="BPR32" s="217"/>
      <c r="BPS32" s="217"/>
      <c r="BPT32" s="217"/>
      <c r="BPU32" s="217"/>
      <c r="BPV32" s="217"/>
      <c r="BPW32" s="217"/>
      <c r="BPX32" s="217"/>
      <c r="BPY32" s="217"/>
      <c r="BPZ32" s="217"/>
      <c r="BQA32" s="217"/>
      <c r="BQB32" s="217"/>
      <c r="BQC32" s="217"/>
      <c r="BQD32" s="217"/>
      <c r="BQE32" s="217"/>
      <c r="BQF32" s="217"/>
      <c r="BQG32" s="217"/>
      <c r="BQH32" s="217"/>
      <c r="BQI32" s="217"/>
      <c r="BQJ32" s="217"/>
      <c r="BQK32" s="217"/>
      <c r="BQL32" s="217"/>
      <c r="BQM32" s="217"/>
      <c r="BQN32" s="217"/>
      <c r="BQO32" s="217"/>
      <c r="BQP32" s="217"/>
      <c r="BQQ32" s="217"/>
      <c r="BQR32" s="217"/>
      <c r="BQS32" s="217"/>
      <c r="BQT32" s="217"/>
      <c r="BQU32" s="217"/>
      <c r="BQV32" s="217"/>
      <c r="BQW32" s="217"/>
      <c r="BQX32" s="217"/>
      <c r="BQY32" s="217"/>
      <c r="BQZ32" s="217"/>
      <c r="BRA32" s="217"/>
      <c r="BRB32" s="217"/>
      <c r="BRC32" s="217"/>
      <c r="BRD32" s="217"/>
      <c r="BRE32" s="217"/>
      <c r="BRF32" s="217"/>
      <c r="BRG32" s="217"/>
      <c r="BRH32" s="217"/>
      <c r="BRI32" s="217"/>
      <c r="BRJ32" s="217"/>
      <c r="BRK32" s="217"/>
      <c r="BRL32" s="217"/>
      <c r="BRM32" s="217"/>
      <c r="BRN32" s="217"/>
      <c r="BRO32" s="217"/>
      <c r="BRP32" s="217"/>
      <c r="BRQ32" s="217"/>
      <c r="BRR32" s="217"/>
      <c r="BRS32" s="217"/>
      <c r="BRT32" s="217"/>
      <c r="BRU32" s="217"/>
      <c r="BRV32" s="217"/>
      <c r="BRW32" s="217"/>
      <c r="BRX32" s="217"/>
      <c r="BRY32" s="217"/>
      <c r="BRZ32" s="217"/>
      <c r="BSA32" s="217"/>
      <c r="BSB32" s="217"/>
      <c r="BSC32" s="217"/>
      <c r="BSD32" s="217"/>
      <c r="BSE32" s="217"/>
      <c r="BSF32" s="217"/>
      <c r="BSG32" s="217"/>
      <c r="BSH32" s="217"/>
      <c r="BSI32" s="217"/>
      <c r="BSJ32" s="217"/>
      <c r="BSK32" s="217"/>
      <c r="BSL32" s="217"/>
      <c r="BSM32" s="217"/>
      <c r="BSN32" s="217"/>
      <c r="BSO32" s="217"/>
      <c r="BSP32" s="217"/>
      <c r="BSQ32" s="217"/>
      <c r="BSR32" s="217"/>
      <c r="BSS32" s="217"/>
      <c r="BST32" s="217"/>
      <c r="BSU32" s="217"/>
      <c r="BSV32" s="217"/>
      <c r="BSW32" s="217"/>
      <c r="BSX32" s="217"/>
      <c r="BSY32" s="217"/>
      <c r="BSZ32" s="217"/>
      <c r="BTA32" s="217"/>
      <c r="BTB32" s="217"/>
      <c r="BTC32" s="217"/>
      <c r="BTD32" s="217"/>
      <c r="BTE32" s="217"/>
      <c r="BTF32" s="217"/>
      <c r="BTG32" s="217"/>
      <c r="BTH32" s="217"/>
      <c r="BTI32" s="217"/>
      <c r="BTJ32" s="217"/>
      <c r="BTK32" s="217"/>
      <c r="BTL32" s="217"/>
      <c r="BTM32" s="217"/>
      <c r="BTN32" s="217"/>
      <c r="BTO32" s="217"/>
      <c r="BTP32" s="217"/>
      <c r="BTQ32" s="217"/>
      <c r="BTR32" s="217"/>
      <c r="BTS32" s="217"/>
      <c r="BTT32" s="217"/>
      <c r="BTU32" s="217"/>
      <c r="BTV32" s="217"/>
      <c r="BTW32" s="217"/>
      <c r="BTX32" s="217"/>
      <c r="BTY32" s="217"/>
      <c r="BTZ32" s="217"/>
      <c r="BUA32" s="217"/>
      <c r="BUB32" s="217"/>
      <c r="BUC32" s="217"/>
      <c r="BUD32" s="217"/>
      <c r="BUE32" s="217"/>
      <c r="BUF32" s="217"/>
      <c r="BUG32" s="217"/>
      <c r="BUH32" s="217"/>
      <c r="BUI32" s="217"/>
      <c r="BUJ32" s="217"/>
      <c r="BUK32" s="217"/>
      <c r="BUL32" s="217"/>
      <c r="BUM32" s="217"/>
      <c r="BUN32" s="217"/>
      <c r="BUO32" s="217"/>
      <c r="BUP32" s="217"/>
      <c r="BUQ32" s="217"/>
      <c r="BUR32" s="217"/>
      <c r="BUS32" s="217"/>
      <c r="BUT32" s="217"/>
      <c r="BUU32" s="217"/>
      <c r="BUV32" s="217"/>
      <c r="BUW32" s="217"/>
      <c r="BUX32" s="217"/>
      <c r="BUY32" s="217"/>
      <c r="BUZ32" s="217"/>
      <c r="BVA32" s="217"/>
      <c r="BVB32" s="217"/>
      <c r="BVC32" s="217"/>
      <c r="BVD32" s="217"/>
      <c r="BVE32" s="217"/>
      <c r="BVF32" s="217"/>
      <c r="BVG32" s="217"/>
      <c r="BVH32" s="217"/>
      <c r="BVI32" s="217"/>
      <c r="BVJ32" s="217"/>
      <c r="BVK32" s="217"/>
      <c r="BVL32" s="217"/>
      <c r="BVM32" s="217"/>
      <c r="BVN32" s="217"/>
      <c r="BVO32" s="217"/>
      <c r="BVP32" s="217"/>
      <c r="BVQ32" s="217"/>
      <c r="BVR32" s="217"/>
      <c r="BVS32" s="217"/>
      <c r="BVT32" s="217"/>
      <c r="BVU32" s="217"/>
      <c r="BVV32" s="217"/>
      <c r="BVW32" s="217"/>
      <c r="BVX32" s="217"/>
      <c r="BVY32" s="217"/>
      <c r="BVZ32" s="217"/>
      <c r="BWA32" s="217"/>
      <c r="BWB32" s="217"/>
      <c r="BWC32" s="217"/>
      <c r="BWD32" s="217"/>
      <c r="BWE32" s="217"/>
      <c r="BWF32" s="217"/>
      <c r="BWG32" s="217"/>
      <c r="BWH32" s="217"/>
      <c r="BWI32" s="217"/>
      <c r="BWJ32" s="217"/>
      <c r="BWK32" s="217"/>
      <c r="BWL32" s="217"/>
      <c r="BWM32" s="217"/>
      <c r="BWN32" s="217"/>
      <c r="BWO32" s="217"/>
      <c r="BWP32" s="217"/>
      <c r="BWQ32" s="217"/>
      <c r="BWR32" s="217"/>
      <c r="BWS32" s="217"/>
      <c r="BWT32" s="217"/>
      <c r="BWU32" s="217"/>
      <c r="BWV32" s="217"/>
      <c r="BWW32" s="217"/>
      <c r="BWX32" s="217"/>
      <c r="BWY32" s="217"/>
      <c r="BWZ32" s="217"/>
      <c r="BXA32" s="217"/>
      <c r="BXB32" s="217"/>
      <c r="BXC32" s="217"/>
      <c r="BXD32" s="217"/>
      <c r="BXE32" s="217"/>
      <c r="BXF32" s="217"/>
      <c r="BXG32" s="217"/>
      <c r="BXH32" s="217"/>
      <c r="BXI32" s="217"/>
      <c r="BXJ32" s="217"/>
      <c r="BXK32" s="217"/>
      <c r="BXL32" s="217"/>
      <c r="BXM32" s="217"/>
      <c r="BXN32" s="217"/>
      <c r="BXO32" s="217"/>
      <c r="BXP32" s="217"/>
      <c r="BXQ32" s="217"/>
      <c r="BXR32" s="217"/>
      <c r="BXS32" s="217"/>
      <c r="BXT32" s="217"/>
      <c r="BXU32" s="217"/>
      <c r="BXV32" s="217"/>
      <c r="BXW32" s="217"/>
      <c r="BXX32" s="217"/>
      <c r="BXY32" s="217"/>
      <c r="BXZ32" s="217"/>
      <c r="BYA32" s="217"/>
      <c r="BYB32" s="217"/>
      <c r="BYC32" s="217"/>
      <c r="BYD32" s="217"/>
      <c r="BYE32" s="217"/>
      <c r="BYF32" s="217"/>
      <c r="BYG32" s="217"/>
    </row>
    <row r="33" spans="1:2009" s="93" customFormat="1" ht="17.25" customHeight="1" thickBot="1" x14ac:dyDescent="0.3">
      <c r="A33" s="110"/>
      <c r="B33" s="110"/>
      <c r="C33" s="175"/>
      <c r="D33" s="175"/>
      <c r="E33" s="175"/>
      <c r="F33" s="175"/>
      <c r="G33" s="650"/>
      <c r="I33" s="555"/>
      <c r="N33" s="196"/>
    </row>
    <row r="34" spans="1:2009" s="112" customFormat="1" ht="24.95" hidden="1" customHeight="1" x14ac:dyDescent="0.25">
      <c r="A34" s="140" t="s">
        <v>41</v>
      </c>
      <c r="B34" s="141"/>
      <c r="C34" s="184"/>
      <c r="D34" s="184"/>
      <c r="E34" s="185"/>
      <c r="F34" s="185"/>
      <c r="G34" s="657"/>
      <c r="H34" s="93"/>
      <c r="I34" s="555"/>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42</v>
      </c>
      <c r="C35" s="182"/>
      <c r="D35" s="182"/>
      <c r="E35" s="183"/>
      <c r="F35" s="183"/>
      <c r="G35" s="655"/>
      <c r="H35" s="93"/>
      <c r="I35" s="555"/>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8" customFormat="1" ht="24.95" hidden="1" customHeight="1" thickBot="1" x14ac:dyDescent="0.3">
      <c r="A36" s="219"/>
      <c r="B36" s="215" t="s">
        <v>73</v>
      </c>
      <c r="C36" s="216"/>
      <c r="D36" s="216"/>
      <c r="E36" s="216"/>
      <c r="F36" s="216"/>
      <c r="G36" s="656"/>
      <c r="H36" s="196"/>
      <c r="I36" s="555"/>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c r="EO36" s="217"/>
      <c r="EP36" s="217"/>
      <c r="EQ36" s="217"/>
      <c r="ER36" s="217"/>
      <c r="ES36" s="217"/>
      <c r="ET36" s="217"/>
      <c r="EU36" s="217"/>
      <c r="EV36" s="217"/>
      <c r="EW36" s="217"/>
      <c r="EX36" s="217"/>
      <c r="EY36" s="217"/>
      <c r="EZ36" s="217"/>
      <c r="FA36" s="217"/>
      <c r="FB36" s="217"/>
      <c r="FC36" s="217"/>
      <c r="FD36" s="217"/>
      <c r="FE36" s="217"/>
      <c r="FF36" s="217"/>
      <c r="FG36" s="217"/>
      <c r="FH36" s="217"/>
      <c r="FI36" s="217"/>
      <c r="FJ36" s="217"/>
      <c r="FK36" s="217"/>
      <c r="FL36" s="217"/>
      <c r="FM36" s="217"/>
      <c r="FN36" s="217"/>
      <c r="FO36" s="217"/>
      <c r="FP36" s="217"/>
      <c r="FQ36" s="217"/>
      <c r="FR36" s="217"/>
      <c r="FS36" s="217"/>
      <c r="FT36" s="217"/>
      <c r="FU36" s="217"/>
      <c r="FV36" s="217"/>
      <c r="FW36" s="217"/>
      <c r="FX36" s="217"/>
      <c r="FY36" s="217"/>
      <c r="FZ36" s="217"/>
      <c r="GA36" s="217"/>
      <c r="GB36" s="217"/>
      <c r="GC36" s="217"/>
      <c r="GD36" s="217"/>
      <c r="GE36" s="217"/>
      <c r="GF36" s="217"/>
      <c r="GG36" s="217"/>
      <c r="GH36" s="217"/>
      <c r="GI36" s="217"/>
      <c r="GJ36" s="217"/>
      <c r="GK36" s="217"/>
      <c r="GL36" s="217"/>
      <c r="GM36" s="217"/>
      <c r="GN36" s="217"/>
      <c r="GO36" s="217"/>
      <c r="GP36" s="217"/>
      <c r="GQ36" s="217"/>
      <c r="GR36" s="217"/>
      <c r="GS36" s="217"/>
      <c r="GT36" s="217"/>
      <c r="GU36" s="217"/>
      <c r="GV36" s="217"/>
      <c r="GW36" s="217"/>
      <c r="GX36" s="217"/>
      <c r="GY36" s="217"/>
      <c r="GZ36" s="217"/>
      <c r="HA36" s="217"/>
      <c r="HB36" s="217"/>
      <c r="HC36" s="217"/>
      <c r="HD36" s="217"/>
      <c r="HE36" s="217"/>
      <c r="HF36" s="217"/>
      <c r="HG36" s="217"/>
      <c r="HH36" s="217"/>
      <c r="HI36" s="217"/>
      <c r="HJ36" s="217"/>
      <c r="HK36" s="217"/>
      <c r="HL36" s="217"/>
      <c r="HM36" s="217"/>
      <c r="HN36" s="217"/>
      <c r="HO36" s="217"/>
      <c r="HP36" s="217"/>
      <c r="HQ36" s="217"/>
      <c r="HR36" s="217"/>
      <c r="HS36" s="217"/>
      <c r="HT36" s="217"/>
      <c r="HU36" s="217"/>
      <c r="HV36" s="217"/>
      <c r="HW36" s="217"/>
      <c r="HX36" s="217"/>
      <c r="HY36" s="217"/>
      <c r="HZ36" s="217"/>
      <c r="IA36" s="217"/>
      <c r="IB36" s="217"/>
      <c r="IC36" s="217"/>
      <c r="ID36" s="217"/>
      <c r="IE36" s="217"/>
      <c r="IF36" s="217"/>
      <c r="IG36" s="217"/>
      <c r="IH36" s="217"/>
      <c r="II36" s="217"/>
      <c r="IJ36" s="217"/>
      <c r="IK36" s="217"/>
      <c r="IL36" s="217"/>
      <c r="IM36" s="217"/>
      <c r="IN36" s="217"/>
      <c r="IO36" s="217"/>
      <c r="IP36" s="217"/>
      <c r="IQ36" s="217"/>
      <c r="IR36" s="217"/>
      <c r="IS36" s="217"/>
      <c r="IT36" s="217"/>
      <c r="IU36" s="217"/>
      <c r="IV36" s="217"/>
      <c r="IW36" s="217"/>
      <c r="IX36" s="217"/>
      <c r="IY36" s="217"/>
      <c r="IZ36" s="217"/>
      <c r="JA36" s="217"/>
      <c r="JB36" s="217"/>
      <c r="JC36" s="217"/>
      <c r="JD36" s="217"/>
      <c r="JE36" s="217"/>
      <c r="JF36" s="217"/>
      <c r="JG36" s="217"/>
      <c r="JH36" s="217"/>
      <c r="JI36" s="217"/>
      <c r="JJ36" s="217"/>
      <c r="JK36" s="217"/>
      <c r="JL36" s="217"/>
      <c r="JM36" s="217"/>
      <c r="JN36" s="217"/>
      <c r="JO36" s="217"/>
      <c r="JP36" s="217"/>
      <c r="JQ36" s="217"/>
      <c r="JR36" s="217"/>
      <c r="JS36" s="217"/>
      <c r="JT36" s="217"/>
      <c r="JU36" s="217"/>
      <c r="JV36" s="217"/>
      <c r="JW36" s="217"/>
      <c r="JX36" s="217"/>
      <c r="JY36" s="217"/>
      <c r="JZ36" s="217"/>
      <c r="KA36" s="217"/>
      <c r="KB36" s="217"/>
      <c r="KC36" s="217"/>
      <c r="KD36" s="217"/>
      <c r="KE36" s="217"/>
      <c r="KF36" s="217"/>
      <c r="KG36" s="217"/>
      <c r="KH36" s="217"/>
      <c r="KI36" s="217"/>
      <c r="KJ36" s="217"/>
      <c r="KK36" s="217"/>
      <c r="KL36" s="217"/>
      <c r="KM36" s="217"/>
      <c r="KN36" s="217"/>
      <c r="KO36" s="217"/>
      <c r="KP36" s="217"/>
      <c r="KQ36" s="217"/>
      <c r="KR36" s="217"/>
      <c r="KS36" s="217"/>
      <c r="KT36" s="217"/>
      <c r="KU36" s="217"/>
      <c r="KV36" s="217"/>
      <c r="KW36" s="217"/>
      <c r="KX36" s="217"/>
      <c r="KY36" s="217"/>
      <c r="KZ36" s="217"/>
      <c r="LA36" s="217"/>
      <c r="LB36" s="217"/>
      <c r="LC36" s="217"/>
      <c r="LD36" s="217"/>
      <c r="LE36" s="217"/>
      <c r="LF36" s="217"/>
      <c r="LG36" s="217"/>
      <c r="LH36" s="217"/>
      <c r="LI36" s="217"/>
      <c r="LJ36" s="217"/>
      <c r="LK36" s="217"/>
      <c r="LL36" s="217"/>
      <c r="LM36" s="217"/>
      <c r="LN36" s="217"/>
      <c r="LO36" s="217"/>
      <c r="LP36" s="217"/>
      <c r="LQ36" s="217"/>
      <c r="LR36" s="217"/>
      <c r="LS36" s="217"/>
      <c r="LT36" s="217"/>
      <c r="LU36" s="217"/>
      <c r="LV36" s="217"/>
      <c r="LW36" s="217"/>
      <c r="LX36" s="217"/>
      <c r="LY36" s="217"/>
      <c r="LZ36" s="217"/>
      <c r="MA36" s="217"/>
      <c r="MB36" s="217"/>
      <c r="MC36" s="217"/>
      <c r="MD36" s="217"/>
      <c r="ME36" s="217"/>
      <c r="MF36" s="217"/>
      <c r="MG36" s="217"/>
      <c r="MH36" s="217"/>
      <c r="MI36" s="217"/>
      <c r="MJ36" s="217"/>
      <c r="MK36" s="217"/>
      <c r="ML36" s="217"/>
      <c r="MM36" s="217"/>
      <c r="MN36" s="217"/>
      <c r="MO36" s="217"/>
      <c r="MP36" s="217"/>
      <c r="MQ36" s="217"/>
      <c r="MR36" s="217"/>
      <c r="MS36" s="217"/>
      <c r="MT36" s="217"/>
      <c r="MU36" s="217"/>
      <c r="MV36" s="217"/>
      <c r="MW36" s="217"/>
      <c r="MX36" s="217"/>
      <c r="MY36" s="217"/>
      <c r="MZ36" s="217"/>
      <c r="NA36" s="217"/>
      <c r="NB36" s="217"/>
      <c r="NC36" s="217"/>
      <c r="ND36" s="217"/>
      <c r="NE36" s="217"/>
      <c r="NF36" s="217"/>
      <c r="NG36" s="217"/>
      <c r="NH36" s="217"/>
      <c r="NI36" s="217"/>
      <c r="NJ36" s="217"/>
      <c r="NK36" s="217"/>
      <c r="NL36" s="217"/>
      <c r="NM36" s="217"/>
      <c r="NN36" s="217"/>
      <c r="NO36" s="217"/>
      <c r="NP36" s="217"/>
      <c r="NQ36" s="217"/>
      <c r="NR36" s="217"/>
      <c r="NS36" s="217"/>
      <c r="NT36" s="217"/>
      <c r="NU36" s="217"/>
      <c r="NV36" s="217"/>
      <c r="NW36" s="217"/>
      <c r="NX36" s="217"/>
      <c r="NY36" s="217"/>
      <c r="NZ36" s="217"/>
      <c r="OA36" s="217"/>
      <c r="OB36" s="217"/>
      <c r="OC36" s="217"/>
      <c r="OD36" s="217"/>
      <c r="OE36" s="217"/>
      <c r="OF36" s="217"/>
      <c r="OG36" s="217"/>
      <c r="OH36" s="217"/>
      <c r="OI36" s="217"/>
      <c r="OJ36" s="217"/>
      <c r="OK36" s="217"/>
      <c r="OL36" s="217"/>
      <c r="OM36" s="217"/>
      <c r="ON36" s="217"/>
      <c r="OO36" s="217"/>
      <c r="OP36" s="217"/>
      <c r="OQ36" s="217"/>
      <c r="OR36" s="217"/>
      <c r="OS36" s="217"/>
      <c r="OT36" s="217"/>
      <c r="OU36" s="217"/>
      <c r="OV36" s="217"/>
      <c r="OW36" s="217"/>
      <c r="OX36" s="217"/>
      <c r="OY36" s="217"/>
      <c r="OZ36" s="217"/>
      <c r="PA36" s="217"/>
      <c r="PB36" s="217"/>
      <c r="PC36" s="217"/>
      <c r="PD36" s="217"/>
      <c r="PE36" s="217"/>
      <c r="PF36" s="217"/>
      <c r="PG36" s="217"/>
      <c r="PH36" s="217"/>
      <c r="PI36" s="217"/>
      <c r="PJ36" s="217"/>
      <c r="PK36" s="217"/>
      <c r="PL36" s="217"/>
      <c r="PM36" s="217"/>
      <c r="PN36" s="217"/>
      <c r="PO36" s="217"/>
      <c r="PP36" s="217"/>
      <c r="PQ36" s="217"/>
      <c r="PR36" s="217"/>
      <c r="PS36" s="217"/>
      <c r="PT36" s="217"/>
      <c r="PU36" s="217"/>
      <c r="PV36" s="217"/>
      <c r="PW36" s="217"/>
      <c r="PX36" s="217"/>
      <c r="PY36" s="217"/>
      <c r="PZ36" s="217"/>
      <c r="QA36" s="217"/>
      <c r="QB36" s="217"/>
      <c r="QC36" s="217"/>
      <c r="QD36" s="217"/>
      <c r="QE36" s="217"/>
      <c r="QF36" s="217"/>
      <c r="QG36" s="217"/>
      <c r="QH36" s="217"/>
      <c r="QI36" s="217"/>
      <c r="QJ36" s="217"/>
      <c r="QK36" s="217"/>
      <c r="QL36" s="217"/>
      <c r="QM36" s="217"/>
      <c r="QN36" s="217"/>
      <c r="QO36" s="217"/>
      <c r="QP36" s="217"/>
      <c r="QQ36" s="217"/>
      <c r="QR36" s="217"/>
      <c r="QS36" s="217"/>
      <c r="QT36" s="217"/>
      <c r="QU36" s="217"/>
      <c r="QV36" s="217"/>
      <c r="QW36" s="217"/>
      <c r="QX36" s="217"/>
      <c r="QY36" s="217"/>
      <c r="QZ36" s="217"/>
      <c r="RA36" s="217"/>
      <c r="RB36" s="217"/>
      <c r="RC36" s="217"/>
      <c r="RD36" s="217"/>
      <c r="RE36" s="217"/>
      <c r="RF36" s="217"/>
      <c r="RG36" s="217"/>
      <c r="RH36" s="217"/>
      <c r="RI36" s="217"/>
      <c r="RJ36" s="217"/>
      <c r="RK36" s="217"/>
      <c r="RL36" s="217"/>
      <c r="RM36" s="217"/>
      <c r="RN36" s="217"/>
      <c r="RO36" s="217"/>
      <c r="RP36" s="217"/>
      <c r="RQ36" s="217"/>
      <c r="RR36" s="217"/>
      <c r="RS36" s="217"/>
      <c r="RT36" s="217"/>
      <c r="RU36" s="217"/>
      <c r="RV36" s="217"/>
      <c r="RW36" s="217"/>
      <c r="RX36" s="217"/>
      <c r="RY36" s="217"/>
      <c r="RZ36" s="217"/>
      <c r="SA36" s="217"/>
      <c r="SB36" s="217"/>
      <c r="SC36" s="217"/>
      <c r="SD36" s="217"/>
      <c r="SE36" s="217"/>
      <c r="SF36" s="217"/>
      <c r="SG36" s="217"/>
      <c r="SH36" s="217"/>
      <c r="SI36" s="217"/>
      <c r="SJ36" s="217"/>
      <c r="SK36" s="217"/>
      <c r="SL36" s="217"/>
      <c r="SM36" s="217"/>
      <c r="SN36" s="217"/>
      <c r="SO36" s="217"/>
      <c r="SP36" s="217"/>
      <c r="SQ36" s="217"/>
      <c r="SR36" s="217"/>
      <c r="SS36" s="217"/>
      <c r="ST36" s="217"/>
      <c r="SU36" s="217"/>
      <c r="SV36" s="217"/>
      <c r="SW36" s="217"/>
      <c r="SX36" s="217"/>
      <c r="SY36" s="217"/>
      <c r="SZ36" s="217"/>
      <c r="TA36" s="217"/>
      <c r="TB36" s="217"/>
      <c r="TC36" s="217"/>
      <c r="TD36" s="217"/>
      <c r="TE36" s="217"/>
      <c r="TF36" s="217"/>
      <c r="TG36" s="217"/>
      <c r="TH36" s="217"/>
      <c r="TI36" s="217"/>
      <c r="TJ36" s="217"/>
      <c r="TK36" s="217"/>
      <c r="TL36" s="217"/>
      <c r="TM36" s="217"/>
      <c r="TN36" s="217"/>
      <c r="TO36" s="217"/>
      <c r="TP36" s="217"/>
      <c r="TQ36" s="217"/>
      <c r="TR36" s="217"/>
      <c r="TS36" s="217"/>
      <c r="TT36" s="217"/>
      <c r="TU36" s="217"/>
      <c r="TV36" s="217"/>
      <c r="TW36" s="217"/>
      <c r="TX36" s="217"/>
      <c r="TY36" s="217"/>
      <c r="TZ36" s="217"/>
      <c r="UA36" s="217"/>
      <c r="UB36" s="217"/>
      <c r="UC36" s="217"/>
      <c r="UD36" s="217"/>
      <c r="UE36" s="217"/>
      <c r="UF36" s="217"/>
      <c r="UG36" s="217"/>
      <c r="UH36" s="217"/>
      <c r="UI36" s="217"/>
      <c r="UJ36" s="217"/>
      <c r="UK36" s="217"/>
      <c r="UL36" s="217"/>
      <c r="UM36" s="217"/>
      <c r="UN36" s="217"/>
      <c r="UO36" s="217"/>
      <c r="UP36" s="217"/>
      <c r="UQ36" s="217"/>
      <c r="UR36" s="217"/>
      <c r="US36" s="217"/>
      <c r="UT36" s="217"/>
      <c r="UU36" s="217"/>
      <c r="UV36" s="217"/>
      <c r="UW36" s="217"/>
      <c r="UX36" s="217"/>
      <c r="UY36" s="217"/>
      <c r="UZ36" s="217"/>
      <c r="VA36" s="217"/>
      <c r="VB36" s="217"/>
      <c r="VC36" s="217"/>
      <c r="VD36" s="217"/>
      <c r="VE36" s="217"/>
      <c r="VF36" s="217"/>
      <c r="VG36" s="217"/>
      <c r="VH36" s="217"/>
      <c r="VI36" s="217"/>
      <c r="VJ36" s="217"/>
      <c r="VK36" s="217"/>
      <c r="VL36" s="217"/>
      <c r="VM36" s="217"/>
      <c r="VN36" s="217"/>
      <c r="VO36" s="217"/>
      <c r="VP36" s="217"/>
      <c r="VQ36" s="217"/>
      <c r="VR36" s="217"/>
      <c r="VS36" s="217"/>
      <c r="VT36" s="217"/>
      <c r="VU36" s="217"/>
      <c r="VV36" s="217"/>
      <c r="VW36" s="217"/>
      <c r="VX36" s="217"/>
      <c r="VY36" s="217"/>
      <c r="VZ36" s="217"/>
      <c r="WA36" s="217"/>
      <c r="WB36" s="217"/>
      <c r="WC36" s="217"/>
      <c r="WD36" s="217"/>
      <c r="WE36" s="217"/>
      <c r="WF36" s="217"/>
      <c r="WG36" s="217"/>
      <c r="WH36" s="217"/>
      <c r="WI36" s="217"/>
      <c r="WJ36" s="217"/>
      <c r="WK36" s="217"/>
      <c r="WL36" s="217"/>
      <c r="WM36" s="217"/>
      <c r="WN36" s="217"/>
      <c r="WO36" s="217"/>
      <c r="WP36" s="217"/>
      <c r="WQ36" s="217"/>
      <c r="WR36" s="217"/>
      <c r="WS36" s="217"/>
      <c r="WT36" s="217"/>
      <c r="WU36" s="217"/>
      <c r="WV36" s="217"/>
      <c r="WW36" s="217"/>
      <c r="WX36" s="217"/>
      <c r="WY36" s="217"/>
      <c r="WZ36" s="217"/>
      <c r="XA36" s="217"/>
      <c r="XB36" s="217"/>
      <c r="XC36" s="217"/>
      <c r="XD36" s="217"/>
      <c r="XE36" s="217"/>
      <c r="XF36" s="217"/>
      <c r="XG36" s="217"/>
      <c r="XH36" s="217"/>
      <c r="XI36" s="217"/>
      <c r="XJ36" s="217"/>
      <c r="XK36" s="217"/>
      <c r="XL36" s="217"/>
      <c r="XM36" s="217"/>
      <c r="XN36" s="217"/>
      <c r="XO36" s="217"/>
      <c r="XP36" s="217"/>
      <c r="XQ36" s="217"/>
      <c r="XR36" s="217"/>
      <c r="XS36" s="217"/>
      <c r="XT36" s="217"/>
      <c r="XU36" s="217"/>
      <c r="XV36" s="217"/>
      <c r="XW36" s="217"/>
      <c r="XX36" s="217"/>
      <c r="XY36" s="217"/>
      <c r="XZ36" s="217"/>
      <c r="YA36" s="217"/>
      <c r="YB36" s="217"/>
      <c r="YC36" s="217"/>
      <c r="YD36" s="217"/>
      <c r="YE36" s="217"/>
      <c r="YF36" s="217"/>
      <c r="YG36" s="217"/>
      <c r="YH36" s="217"/>
      <c r="YI36" s="217"/>
      <c r="YJ36" s="217"/>
      <c r="YK36" s="217"/>
      <c r="YL36" s="217"/>
      <c r="YM36" s="217"/>
      <c r="YN36" s="217"/>
      <c r="YO36" s="217"/>
      <c r="YP36" s="217"/>
      <c r="YQ36" s="217"/>
      <c r="YR36" s="217"/>
      <c r="YS36" s="217"/>
      <c r="YT36" s="217"/>
      <c r="YU36" s="217"/>
      <c r="YV36" s="217"/>
      <c r="YW36" s="217"/>
      <c r="YX36" s="217"/>
      <c r="YY36" s="217"/>
      <c r="YZ36" s="217"/>
      <c r="ZA36" s="217"/>
      <c r="ZB36" s="217"/>
      <c r="ZC36" s="217"/>
      <c r="ZD36" s="217"/>
      <c r="ZE36" s="217"/>
      <c r="ZF36" s="217"/>
      <c r="ZG36" s="217"/>
      <c r="ZH36" s="217"/>
      <c r="ZI36" s="217"/>
      <c r="ZJ36" s="217"/>
      <c r="ZK36" s="217"/>
      <c r="ZL36" s="217"/>
      <c r="ZM36" s="217"/>
      <c r="ZN36" s="217"/>
      <c r="ZO36" s="217"/>
      <c r="ZP36" s="217"/>
      <c r="ZQ36" s="217"/>
      <c r="ZR36" s="217"/>
      <c r="ZS36" s="217"/>
      <c r="ZT36" s="217"/>
      <c r="ZU36" s="217"/>
      <c r="ZV36" s="217"/>
      <c r="ZW36" s="217"/>
      <c r="ZX36" s="217"/>
      <c r="ZY36" s="217"/>
      <c r="ZZ36" s="217"/>
      <c r="AAA36" s="217"/>
      <c r="AAB36" s="217"/>
      <c r="AAC36" s="217"/>
      <c r="AAD36" s="217"/>
      <c r="AAE36" s="217"/>
      <c r="AAF36" s="217"/>
      <c r="AAG36" s="217"/>
      <c r="AAH36" s="217"/>
      <c r="AAI36" s="217"/>
      <c r="AAJ36" s="217"/>
      <c r="AAK36" s="217"/>
      <c r="AAL36" s="217"/>
      <c r="AAM36" s="217"/>
      <c r="AAN36" s="217"/>
      <c r="AAO36" s="217"/>
      <c r="AAP36" s="217"/>
      <c r="AAQ36" s="217"/>
      <c r="AAR36" s="217"/>
      <c r="AAS36" s="217"/>
      <c r="AAT36" s="217"/>
      <c r="AAU36" s="217"/>
      <c r="AAV36" s="217"/>
      <c r="AAW36" s="217"/>
      <c r="AAX36" s="217"/>
      <c r="AAY36" s="217"/>
      <c r="AAZ36" s="217"/>
      <c r="ABA36" s="217"/>
      <c r="ABB36" s="217"/>
      <c r="ABC36" s="217"/>
      <c r="ABD36" s="217"/>
      <c r="ABE36" s="217"/>
      <c r="ABF36" s="217"/>
      <c r="ABG36" s="217"/>
      <c r="ABH36" s="217"/>
      <c r="ABI36" s="217"/>
      <c r="ABJ36" s="217"/>
      <c r="ABK36" s="217"/>
      <c r="ABL36" s="217"/>
      <c r="ABM36" s="217"/>
      <c r="ABN36" s="217"/>
      <c r="ABO36" s="217"/>
      <c r="ABP36" s="217"/>
      <c r="ABQ36" s="217"/>
      <c r="ABR36" s="217"/>
      <c r="ABS36" s="217"/>
      <c r="ABT36" s="217"/>
      <c r="ABU36" s="217"/>
      <c r="ABV36" s="217"/>
      <c r="ABW36" s="217"/>
      <c r="ABX36" s="217"/>
      <c r="ABY36" s="217"/>
      <c r="ABZ36" s="217"/>
      <c r="ACA36" s="217"/>
      <c r="ACB36" s="217"/>
      <c r="ACC36" s="217"/>
      <c r="ACD36" s="217"/>
      <c r="ACE36" s="217"/>
      <c r="ACF36" s="217"/>
      <c r="ACG36" s="217"/>
      <c r="ACH36" s="217"/>
      <c r="ACI36" s="217"/>
      <c r="ACJ36" s="217"/>
      <c r="ACK36" s="217"/>
      <c r="ACL36" s="217"/>
      <c r="ACM36" s="217"/>
      <c r="ACN36" s="217"/>
      <c r="ACO36" s="217"/>
      <c r="ACP36" s="217"/>
      <c r="ACQ36" s="217"/>
      <c r="ACR36" s="217"/>
      <c r="ACS36" s="217"/>
      <c r="ACT36" s="217"/>
      <c r="ACU36" s="217"/>
      <c r="ACV36" s="217"/>
      <c r="ACW36" s="217"/>
      <c r="ACX36" s="217"/>
      <c r="ACY36" s="217"/>
      <c r="ACZ36" s="217"/>
      <c r="ADA36" s="217"/>
      <c r="ADB36" s="217"/>
      <c r="ADC36" s="217"/>
      <c r="ADD36" s="217"/>
      <c r="ADE36" s="217"/>
      <c r="ADF36" s="217"/>
      <c r="ADG36" s="217"/>
      <c r="ADH36" s="217"/>
      <c r="ADI36" s="217"/>
      <c r="ADJ36" s="217"/>
      <c r="ADK36" s="217"/>
      <c r="ADL36" s="217"/>
      <c r="ADM36" s="217"/>
      <c r="ADN36" s="217"/>
      <c r="ADO36" s="217"/>
      <c r="ADP36" s="217"/>
      <c r="ADQ36" s="217"/>
      <c r="ADR36" s="217"/>
      <c r="ADS36" s="217"/>
      <c r="ADT36" s="217"/>
      <c r="ADU36" s="217"/>
      <c r="ADV36" s="217"/>
      <c r="ADW36" s="217"/>
      <c r="ADX36" s="217"/>
      <c r="ADY36" s="217"/>
      <c r="ADZ36" s="217"/>
      <c r="AEA36" s="217"/>
      <c r="AEB36" s="217"/>
      <c r="AEC36" s="217"/>
      <c r="AED36" s="217"/>
      <c r="AEE36" s="217"/>
      <c r="AEF36" s="217"/>
      <c r="AEG36" s="217"/>
      <c r="AEH36" s="217"/>
      <c r="AEI36" s="217"/>
      <c r="AEJ36" s="217"/>
      <c r="AEK36" s="217"/>
      <c r="AEL36" s="217"/>
      <c r="AEM36" s="217"/>
      <c r="AEN36" s="217"/>
      <c r="AEO36" s="217"/>
      <c r="AEP36" s="217"/>
      <c r="AEQ36" s="217"/>
      <c r="AER36" s="217"/>
      <c r="AES36" s="217"/>
      <c r="AET36" s="217"/>
      <c r="AEU36" s="217"/>
      <c r="AEV36" s="217"/>
      <c r="AEW36" s="217"/>
      <c r="AEX36" s="217"/>
      <c r="AEY36" s="217"/>
      <c r="AEZ36" s="217"/>
      <c r="AFA36" s="217"/>
      <c r="AFB36" s="217"/>
      <c r="AFC36" s="217"/>
      <c r="AFD36" s="217"/>
      <c r="AFE36" s="217"/>
      <c r="AFF36" s="217"/>
      <c r="AFG36" s="217"/>
      <c r="AFH36" s="217"/>
      <c r="AFI36" s="217"/>
      <c r="AFJ36" s="217"/>
      <c r="AFK36" s="217"/>
      <c r="AFL36" s="217"/>
      <c r="AFM36" s="217"/>
      <c r="AFN36" s="217"/>
      <c r="AFO36" s="217"/>
      <c r="AFP36" s="217"/>
      <c r="AFQ36" s="217"/>
      <c r="AFR36" s="217"/>
      <c r="AFS36" s="217"/>
      <c r="AFT36" s="217"/>
      <c r="AFU36" s="217"/>
      <c r="AFV36" s="217"/>
      <c r="AFW36" s="217"/>
      <c r="AFX36" s="217"/>
      <c r="AFY36" s="217"/>
      <c r="AFZ36" s="217"/>
      <c r="AGA36" s="217"/>
      <c r="AGB36" s="217"/>
      <c r="AGC36" s="217"/>
      <c r="AGD36" s="217"/>
      <c r="AGE36" s="217"/>
      <c r="AGF36" s="217"/>
      <c r="AGG36" s="217"/>
      <c r="AGH36" s="217"/>
      <c r="AGI36" s="217"/>
      <c r="AGJ36" s="217"/>
      <c r="AGK36" s="217"/>
      <c r="AGL36" s="217"/>
      <c r="AGM36" s="217"/>
      <c r="AGN36" s="217"/>
      <c r="AGO36" s="217"/>
      <c r="AGP36" s="217"/>
      <c r="AGQ36" s="217"/>
      <c r="AGR36" s="217"/>
      <c r="AGS36" s="217"/>
      <c r="AGT36" s="217"/>
      <c r="AGU36" s="217"/>
      <c r="AGV36" s="217"/>
      <c r="AGW36" s="217"/>
      <c r="AGX36" s="217"/>
      <c r="AGY36" s="217"/>
      <c r="AGZ36" s="217"/>
      <c r="AHA36" s="217"/>
      <c r="AHB36" s="217"/>
      <c r="AHC36" s="217"/>
      <c r="AHD36" s="217"/>
      <c r="AHE36" s="217"/>
      <c r="AHF36" s="217"/>
      <c r="AHG36" s="217"/>
      <c r="AHH36" s="217"/>
      <c r="AHI36" s="217"/>
      <c r="AHJ36" s="217"/>
      <c r="AHK36" s="217"/>
      <c r="AHL36" s="217"/>
      <c r="AHM36" s="217"/>
      <c r="AHN36" s="217"/>
      <c r="AHO36" s="217"/>
      <c r="AHP36" s="217"/>
      <c r="AHQ36" s="217"/>
      <c r="AHR36" s="217"/>
      <c r="AHS36" s="217"/>
      <c r="AHT36" s="217"/>
      <c r="AHU36" s="217"/>
      <c r="AHV36" s="217"/>
      <c r="AHW36" s="217"/>
      <c r="AHX36" s="217"/>
      <c r="AHY36" s="217"/>
      <c r="AHZ36" s="217"/>
      <c r="AIA36" s="217"/>
      <c r="AIB36" s="217"/>
      <c r="AIC36" s="217"/>
      <c r="AID36" s="217"/>
      <c r="AIE36" s="217"/>
      <c r="AIF36" s="217"/>
      <c r="AIG36" s="217"/>
      <c r="AIH36" s="217"/>
      <c r="AII36" s="217"/>
      <c r="AIJ36" s="217"/>
      <c r="AIK36" s="217"/>
      <c r="AIL36" s="217"/>
      <c r="AIM36" s="217"/>
      <c r="AIN36" s="217"/>
      <c r="AIO36" s="217"/>
      <c r="AIP36" s="217"/>
      <c r="AIQ36" s="217"/>
      <c r="AIR36" s="217"/>
      <c r="AIS36" s="217"/>
      <c r="AIT36" s="217"/>
      <c r="AIU36" s="217"/>
      <c r="AIV36" s="217"/>
      <c r="AIW36" s="217"/>
      <c r="AIX36" s="217"/>
      <c r="AIY36" s="217"/>
      <c r="AIZ36" s="217"/>
      <c r="AJA36" s="217"/>
      <c r="AJB36" s="217"/>
      <c r="AJC36" s="217"/>
      <c r="AJD36" s="217"/>
      <c r="AJE36" s="217"/>
      <c r="AJF36" s="217"/>
      <c r="AJG36" s="217"/>
      <c r="AJH36" s="217"/>
      <c r="AJI36" s="217"/>
      <c r="AJJ36" s="217"/>
      <c r="AJK36" s="217"/>
      <c r="AJL36" s="217"/>
      <c r="AJM36" s="217"/>
      <c r="AJN36" s="217"/>
      <c r="AJO36" s="217"/>
      <c r="AJP36" s="217"/>
      <c r="AJQ36" s="217"/>
      <c r="AJR36" s="217"/>
      <c r="AJS36" s="217"/>
      <c r="AJT36" s="217"/>
      <c r="AJU36" s="217"/>
      <c r="AJV36" s="217"/>
      <c r="AJW36" s="217"/>
      <c r="AJX36" s="217"/>
      <c r="AJY36" s="217"/>
      <c r="AJZ36" s="217"/>
      <c r="AKA36" s="217"/>
      <c r="AKB36" s="217"/>
      <c r="AKC36" s="217"/>
      <c r="AKD36" s="217"/>
      <c r="AKE36" s="217"/>
      <c r="AKF36" s="217"/>
      <c r="AKG36" s="217"/>
      <c r="AKH36" s="217"/>
      <c r="AKI36" s="217"/>
      <c r="AKJ36" s="217"/>
      <c r="AKK36" s="217"/>
      <c r="AKL36" s="217"/>
      <c r="AKM36" s="217"/>
      <c r="AKN36" s="217"/>
      <c r="AKO36" s="217"/>
      <c r="AKP36" s="217"/>
      <c r="AKQ36" s="217"/>
      <c r="AKR36" s="217"/>
      <c r="AKS36" s="217"/>
      <c r="AKT36" s="217"/>
      <c r="AKU36" s="217"/>
      <c r="AKV36" s="217"/>
      <c r="AKW36" s="217"/>
      <c r="AKX36" s="217"/>
      <c r="AKY36" s="217"/>
      <c r="AKZ36" s="217"/>
      <c r="ALA36" s="217"/>
      <c r="ALB36" s="217"/>
      <c r="ALC36" s="217"/>
      <c r="ALD36" s="217"/>
      <c r="ALE36" s="217"/>
      <c r="ALF36" s="217"/>
      <c r="ALG36" s="217"/>
      <c r="ALH36" s="217"/>
      <c r="ALI36" s="217"/>
      <c r="ALJ36" s="217"/>
      <c r="ALK36" s="217"/>
      <c r="ALL36" s="217"/>
      <c r="ALM36" s="217"/>
      <c r="ALN36" s="217"/>
      <c r="ALO36" s="217"/>
      <c r="ALP36" s="217"/>
      <c r="ALQ36" s="217"/>
      <c r="ALR36" s="217"/>
      <c r="ALS36" s="217"/>
      <c r="ALT36" s="217"/>
      <c r="ALU36" s="217"/>
      <c r="ALV36" s="217"/>
      <c r="ALW36" s="217"/>
      <c r="ALX36" s="217"/>
      <c r="ALY36" s="217"/>
      <c r="ALZ36" s="217"/>
      <c r="AMA36" s="217"/>
      <c r="AMB36" s="217"/>
      <c r="AMC36" s="217"/>
      <c r="AMD36" s="217"/>
      <c r="AME36" s="217"/>
      <c r="AMF36" s="217"/>
      <c r="AMG36" s="217"/>
      <c r="AMH36" s="217"/>
      <c r="AMI36" s="217"/>
      <c r="AMJ36" s="217"/>
      <c r="AMK36" s="217"/>
      <c r="AML36" s="217"/>
      <c r="AMM36" s="217"/>
      <c r="AMN36" s="217"/>
      <c r="AMO36" s="217"/>
      <c r="AMP36" s="217"/>
      <c r="AMQ36" s="217"/>
      <c r="AMR36" s="217"/>
      <c r="AMS36" s="217"/>
      <c r="AMT36" s="217"/>
      <c r="AMU36" s="217"/>
      <c r="AMV36" s="217"/>
      <c r="AMW36" s="217"/>
      <c r="AMX36" s="217"/>
      <c r="AMY36" s="217"/>
      <c r="AMZ36" s="217"/>
      <c r="ANA36" s="217"/>
      <c r="ANB36" s="217"/>
      <c r="ANC36" s="217"/>
      <c r="AND36" s="217"/>
      <c r="ANE36" s="217"/>
      <c r="ANF36" s="217"/>
      <c r="ANG36" s="217"/>
      <c r="ANH36" s="217"/>
      <c r="ANI36" s="217"/>
      <c r="ANJ36" s="217"/>
      <c r="ANK36" s="217"/>
      <c r="ANL36" s="217"/>
      <c r="ANM36" s="217"/>
      <c r="ANN36" s="217"/>
      <c r="ANO36" s="217"/>
      <c r="ANP36" s="217"/>
      <c r="ANQ36" s="217"/>
      <c r="ANR36" s="217"/>
      <c r="ANS36" s="217"/>
      <c r="ANT36" s="217"/>
      <c r="ANU36" s="217"/>
      <c r="ANV36" s="217"/>
      <c r="ANW36" s="217"/>
      <c r="ANX36" s="217"/>
      <c r="ANY36" s="217"/>
      <c r="ANZ36" s="217"/>
      <c r="AOA36" s="217"/>
      <c r="AOB36" s="217"/>
      <c r="AOC36" s="217"/>
      <c r="AOD36" s="217"/>
      <c r="AOE36" s="217"/>
      <c r="AOF36" s="217"/>
      <c r="AOG36" s="217"/>
      <c r="AOH36" s="217"/>
      <c r="AOI36" s="217"/>
      <c r="AOJ36" s="217"/>
      <c r="AOK36" s="217"/>
      <c r="AOL36" s="217"/>
      <c r="AOM36" s="217"/>
      <c r="AON36" s="217"/>
      <c r="AOO36" s="217"/>
      <c r="AOP36" s="217"/>
      <c r="AOQ36" s="217"/>
      <c r="AOR36" s="217"/>
      <c r="AOS36" s="217"/>
      <c r="AOT36" s="217"/>
      <c r="AOU36" s="217"/>
      <c r="AOV36" s="217"/>
      <c r="AOW36" s="217"/>
      <c r="AOX36" s="217"/>
      <c r="AOY36" s="217"/>
      <c r="AOZ36" s="217"/>
      <c r="APA36" s="217"/>
      <c r="APB36" s="217"/>
      <c r="APC36" s="217"/>
      <c r="APD36" s="217"/>
      <c r="APE36" s="217"/>
      <c r="APF36" s="217"/>
      <c r="APG36" s="217"/>
      <c r="APH36" s="217"/>
      <c r="API36" s="217"/>
      <c r="APJ36" s="217"/>
      <c r="APK36" s="217"/>
      <c r="APL36" s="217"/>
      <c r="APM36" s="217"/>
      <c r="APN36" s="217"/>
      <c r="APO36" s="217"/>
      <c r="APP36" s="217"/>
      <c r="APQ36" s="217"/>
      <c r="APR36" s="217"/>
      <c r="APS36" s="217"/>
      <c r="APT36" s="217"/>
      <c r="APU36" s="217"/>
      <c r="APV36" s="217"/>
      <c r="APW36" s="217"/>
      <c r="APX36" s="217"/>
      <c r="APY36" s="217"/>
      <c r="APZ36" s="217"/>
      <c r="AQA36" s="217"/>
      <c r="AQB36" s="217"/>
      <c r="AQC36" s="217"/>
      <c r="AQD36" s="217"/>
      <c r="AQE36" s="217"/>
      <c r="AQF36" s="217"/>
      <c r="AQG36" s="217"/>
      <c r="AQH36" s="217"/>
      <c r="AQI36" s="217"/>
      <c r="AQJ36" s="217"/>
      <c r="AQK36" s="217"/>
      <c r="AQL36" s="217"/>
      <c r="AQM36" s="217"/>
      <c r="AQN36" s="217"/>
      <c r="AQO36" s="217"/>
      <c r="AQP36" s="217"/>
      <c r="AQQ36" s="217"/>
      <c r="AQR36" s="217"/>
      <c r="AQS36" s="217"/>
      <c r="AQT36" s="217"/>
      <c r="AQU36" s="217"/>
      <c r="AQV36" s="217"/>
      <c r="AQW36" s="217"/>
      <c r="AQX36" s="217"/>
      <c r="AQY36" s="217"/>
      <c r="AQZ36" s="217"/>
      <c r="ARA36" s="217"/>
      <c r="ARB36" s="217"/>
      <c r="ARC36" s="217"/>
      <c r="ARD36" s="217"/>
      <c r="ARE36" s="217"/>
      <c r="ARF36" s="217"/>
      <c r="ARG36" s="217"/>
      <c r="ARH36" s="217"/>
      <c r="ARI36" s="217"/>
      <c r="ARJ36" s="217"/>
      <c r="ARK36" s="217"/>
      <c r="ARL36" s="217"/>
      <c r="ARM36" s="217"/>
      <c r="ARN36" s="217"/>
      <c r="ARO36" s="217"/>
      <c r="ARP36" s="217"/>
      <c r="ARQ36" s="217"/>
      <c r="ARR36" s="217"/>
      <c r="ARS36" s="217"/>
      <c r="ART36" s="217"/>
      <c r="ARU36" s="217"/>
      <c r="ARV36" s="217"/>
      <c r="ARW36" s="217"/>
      <c r="ARX36" s="217"/>
      <c r="ARY36" s="217"/>
      <c r="ARZ36" s="217"/>
      <c r="ASA36" s="217"/>
      <c r="ASB36" s="217"/>
      <c r="ASC36" s="217"/>
      <c r="ASD36" s="217"/>
      <c r="ASE36" s="217"/>
      <c r="ASF36" s="217"/>
      <c r="ASG36" s="217"/>
      <c r="ASH36" s="217"/>
      <c r="ASI36" s="217"/>
      <c r="ASJ36" s="217"/>
      <c r="ASK36" s="217"/>
      <c r="ASL36" s="217"/>
      <c r="ASM36" s="217"/>
      <c r="ASN36" s="217"/>
      <c r="ASO36" s="217"/>
      <c r="ASP36" s="217"/>
      <c r="ASQ36" s="217"/>
      <c r="ASR36" s="217"/>
      <c r="ASS36" s="217"/>
      <c r="AST36" s="217"/>
      <c r="ASU36" s="217"/>
      <c r="ASV36" s="217"/>
      <c r="ASW36" s="217"/>
      <c r="ASX36" s="217"/>
      <c r="ASY36" s="217"/>
      <c r="ASZ36" s="217"/>
      <c r="ATA36" s="217"/>
      <c r="ATB36" s="217"/>
      <c r="ATC36" s="217"/>
      <c r="ATD36" s="217"/>
      <c r="ATE36" s="217"/>
      <c r="ATF36" s="217"/>
      <c r="ATG36" s="217"/>
      <c r="ATH36" s="217"/>
      <c r="ATI36" s="217"/>
      <c r="ATJ36" s="217"/>
      <c r="ATK36" s="217"/>
      <c r="ATL36" s="217"/>
      <c r="ATM36" s="217"/>
      <c r="ATN36" s="217"/>
      <c r="ATO36" s="217"/>
      <c r="ATP36" s="217"/>
      <c r="ATQ36" s="217"/>
      <c r="ATR36" s="217"/>
      <c r="ATS36" s="217"/>
      <c r="ATT36" s="217"/>
      <c r="ATU36" s="217"/>
      <c r="ATV36" s="217"/>
      <c r="ATW36" s="217"/>
      <c r="ATX36" s="217"/>
      <c r="ATY36" s="217"/>
      <c r="ATZ36" s="217"/>
      <c r="AUA36" s="217"/>
      <c r="AUB36" s="217"/>
      <c r="AUC36" s="217"/>
      <c r="AUD36" s="217"/>
      <c r="AUE36" s="217"/>
      <c r="AUF36" s="217"/>
      <c r="AUG36" s="217"/>
      <c r="AUH36" s="217"/>
      <c r="AUI36" s="217"/>
      <c r="AUJ36" s="217"/>
      <c r="AUK36" s="217"/>
      <c r="AUL36" s="217"/>
      <c r="AUM36" s="217"/>
      <c r="AUN36" s="217"/>
      <c r="AUO36" s="217"/>
      <c r="AUP36" s="217"/>
      <c r="AUQ36" s="217"/>
      <c r="AUR36" s="217"/>
      <c r="AUS36" s="217"/>
      <c r="AUT36" s="217"/>
      <c r="AUU36" s="217"/>
      <c r="AUV36" s="217"/>
      <c r="AUW36" s="217"/>
      <c r="AUX36" s="217"/>
      <c r="AUY36" s="217"/>
      <c r="AUZ36" s="217"/>
      <c r="AVA36" s="217"/>
      <c r="AVB36" s="217"/>
      <c r="AVC36" s="217"/>
      <c r="AVD36" s="217"/>
      <c r="AVE36" s="217"/>
      <c r="AVF36" s="217"/>
      <c r="AVG36" s="217"/>
      <c r="AVH36" s="217"/>
      <c r="AVI36" s="217"/>
      <c r="AVJ36" s="217"/>
      <c r="AVK36" s="217"/>
      <c r="AVL36" s="217"/>
      <c r="AVM36" s="217"/>
      <c r="AVN36" s="217"/>
      <c r="AVO36" s="217"/>
      <c r="AVP36" s="217"/>
      <c r="AVQ36" s="217"/>
      <c r="AVR36" s="217"/>
      <c r="AVS36" s="217"/>
      <c r="AVT36" s="217"/>
      <c r="AVU36" s="217"/>
      <c r="AVV36" s="217"/>
      <c r="AVW36" s="217"/>
      <c r="AVX36" s="217"/>
      <c r="AVY36" s="217"/>
      <c r="AVZ36" s="217"/>
      <c r="AWA36" s="217"/>
      <c r="AWB36" s="217"/>
      <c r="AWC36" s="217"/>
      <c r="AWD36" s="217"/>
      <c r="AWE36" s="217"/>
      <c r="AWF36" s="217"/>
      <c r="AWG36" s="217"/>
      <c r="AWH36" s="217"/>
      <c r="AWI36" s="217"/>
      <c r="AWJ36" s="217"/>
      <c r="AWK36" s="217"/>
      <c r="AWL36" s="217"/>
      <c r="AWM36" s="217"/>
      <c r="AWN36" s="217"/>
      <c r="AWO36" s="217"/>
      <c r="AWP36" s="217"/>
      <c r="AWQ36" s="217"/>
      <c r="AWR36" s="217"/>
      <c r="AWS36" s="217"/>
      <c r="AWT36" s="217"/>
      <c r="AWU36" s="217"/>
      <c r="AWV36" s="217"/>
      <c r="AWW36" s="217"/>
      <c r="AWX36" s="217"/>
      <c r="AWY36" s="217"/>
      <c r="AWZ36" s="217"/>
      <c r="AXA36" s="217"/>
      <c r="AXB36" s="217"/>
      <c r="AXC36" s="217"/>
      <c r="AXD36" s="217"/>
      <c r="AXE36" s="217"/>
      <c r="AXF36" s="217"/>
      <c r="AXG36" s="217"/>
      <c r="AXH36" s="217"/>
      <c r="AXI36" s="217"/>
      <c r="AXJ36" s="217"/>
      <c r="AXK36" s="217"/>
      <c r="AXL36" s="217"/>
      <c r="AXM36" s="217"/>
      <c r="AXN36" s="217"/>
      <c r="AXO36" s="217"/>
      <c r="AXP36" s="217"/>
      <c r="AXQ36" s="217"/>
      <c r="AXR36" s="217"/>
      <c r="AXS36" s="217"/>
      <c r="AXT36" s="217"/>
      <c r="AXU36" s="217"/>
      <c r="AXV36" s="217"/>
      <c r="AXW36" s="217"/>
      <c r="AXX36" s="217"/>
      <c r="AXY36" s="217"/>
      <c r="AXZ36" s="217"/>
      <c r="AYA36" s="217"/>
      <c r="AYB36" s="217"/>
      <c r="AYC36" s="217"/>
      <c r="AYD36" s="217"/>
      <c r="AYE36" s="217"/>
      <c r="AYF36" s="217"/>
      <c r="AYG36" s="217"/>
      <c r="AYH36" s="217"/>
      <c r="AYI36" s="217"/>
      <c r="AYJ36" s="217"/>
      <c r="AYK36" s="217"/>
      <c r="AYL36" s="217"/>
      <c r="AYM36" s="217"/>
      <c r="AYN36" s="217"/>
      <c r="AYO36" s="217"/>
      <c r="AYP36" s="217"/>
      <c r="AYQ36" s="217"/>
      <c r="AYR36" s="217"/>
      <c r="AYS36" s="217"/>
      <c r="AYT36" s="217"/>
      <c r="AYU36" s="217"/>
      <c r="AYV36" s="217"/>
      <c r="AYW36" s="217"/>
      <c r="AYX36" s="217"/>
      <c r="AYY36" s="217"/>
      <c r="AYZ36" s="217"/>
      <c r="AZA36" s="217"/>
      <c r="AZB36" s="217"/>
      <c r="AZC36" s="217"/>
      <c r="AZD36" s="217"/>
      <c r="AZE36" s="217"/>
      <c r="AZF36" s="217"/>
      <c r="AZG36" s="217"/>
      <c r="AZH36" s="217"/>
      <c r="AZI36" s="217"/>
      <c r="AZJ36" s="217"/>
      <c r="AZK36" s="217"/>
      <c r="AZL36" s="217"/>
      <c r="AZM36" s="217"/>
      <c r="AZN36" s="217"/>
      <c r="AZO36" s="217"/>
      <c r="AZP36" s="217"/>
      <c r="AZQ36" s="217"/>
      <c r="AZR36" s="217"/>
      <c r="AZS36" s="217"/>
      <c r="AZT36" s="217"/>
      <c r="AZU36" s="217"/>
      <c r="AZV36" s="217"/>
      <c r="AZW36" s="217"/>
      <c r="AZX36" s="217"/>
      <c r="AZY36" s="217"/>
      <c r="AZZ36" s="217"/>
      <c r="BAA36" s="217"/>
      <c r="BAB36" s="217"/>
      <c r="BAC36" s="217"/>
      <c r="BAD36" s="217"/>
      <c r="BAE36" s="217"/>
      <c r="BAF36" s="217"/>
      <c r="BAG36" s="217"/>
      <c r="BAH36" s="217"/>
      <c r="BAI36" s="217"/>
      <c r="BAJ36" s="217"/>
      <c r="BAK36" s="217"/>
      <c r="BAL36" s="217"/>
      <c r="BAM36" s="217"/>
      <c r="BAN36" s="217"/>
      <c r="BAO36" s="217"/>
      <c r="BAP36" s="217"/>
      <c r="BAQ36" s="217"/>
      <c r="BAR36" s="217"/>
      <c r="BAS36" s="217"/>
      <c r="BAT36" s="217"/>
      <c r="BAU36" s="217"/>
      <c r="BAV36" s="217"/>
      <c r="BAW36" s="217"/>
      <c r="BAX36" s="217"/>
      <c r="BAY36" s="217"/>
      <c r="BAZ36" s="217"/>
      <c r="BBA36" s="217"/>
      <c r="BBB36" s="217"/>
      <c r="BBC36" s="217"/>
      <c r="BBD36" s="217"/>
      <c r="BBE36" s="217"/>
      <c r="BBF36" s="217"/>
      <c r="BBG36" s="217"/>
      <c r="BBH36" s="217"/>
      <c r="BBI36" s="217"/>
      <c r="BBJ36" s="217"/>
      <c r="BBK36" s="217"/>
      <c r="BBL36" s="217"/>
      <c r="BBM36" s="217"/>
      <c r="BBN36" s="217"/>
      <c r="BBO36" s="217"/>
      <c r="BBP36" s="217"/>
      <c r="BBQ36" s="217"/>
      <c r="BBR36" s="217"/>
      <c r="BBS36" s="217"/>
      <c r="BBT36" s="217"/>
      <c r="BBU36" s="217"/>
      <c r="BBV36" s="217"/>
      <c r="BBW36" s="217"/>
      <c r="BBX36" s="217"/>
      <c r="BBY36" s="217"/>
      <c r="BBZ36" s="217"/>
      <c r="BCA36" s="217"/>
      <c r="BCB36" s="217"/>
      <c r="BCC36" s="217"/>
      <c r="BCD36" s="217"/>
      <c r="BCE36" s="217"/>
      <c r="BCF36" s="217"/>
      <c r="BCG36" s="217"/>
      <c r="BCH36" s="217"/>
      <c r="BCI36" s="217"/>
      <c r="BCJ36" s="217"/>
      <c r="BCK36" s="217"/>
      <c r="BCL36" s="217"/>
      <c r="BCM36" s="217"/>
      <c r="BCN36" s="217"/>
      <c r="BCO36" s="217"/>
      <c r="BCP36" s="217"/>
      <c r="BCQ36" s="217"/>
      <c r="BCR36" s="217"/>
      <c r="BCS36" s="217"/>
      <c r="BCT36" s="217"/>
      <c r="BCU36" s="217"/>
      <c r="BCV36" s="217"/>
      <c r="BCW36" s="217"/>
      <c r="BCX36" s="217"/>
      <c r="BCY36" s="217"/>
      <c r="BCZ36" s="217"/>
      <c r="BDA36" s="217"/>
      <c r="BDB36" s="217"/>
      <c r="BDC36" s="217"/>
      <c r="BDD36" s="217"/>
      <c r="BDE36" s="217"/>
      <c r="BDF36" s="217"/>
      <c r="BDG36" s="217"/>
      <c r="BDH36" s="217"/>
      <c r="BDI36" s="217"/>
      <c r="BDJ36" s="217"/>
      <c r="BDK36" s="217"/>
      <c r="BDL36" s="217"/>
      <c r="BDM36" s="217"/>
      <c r="BDN36" s="217"/>
      <c r="BDO36" s="217"/>
      <c r="BDP36" s="217"/>
      <c r="BDQ36" s="217"/>
      <c r="BDR36" s="217"/>
      <c r="BDS36" s="217"/>
      <c r="BDT36" s="217"/>
      <c r="BDU36" s="217"/>
      <c r="BDV36" s="217"/>
      <c r="BDW36" s="217"/>
      <c r="BDX36" s="217"/>
      <c r="BDY36" s="217"/>
      <c r="BDZ36" s="217"/>
      <c r="BEA36" s="217"/>
      <c r="BEB36" s="217"/>
      <c r="BEC36" s="217"/>
      <c r="BED36" s="217"/>
      <c r="BEE36" s="217"/>
      <c r="BEF36" s="217"/>
      <c r="BEG36" s="217"/>
      <c r="BEH36" s="217"/>
      <c r="BEI36" s="217"/>
      <c r="BEJ36" s="217"/>
      <c r="BEK36" s="217"/>
      <c r="BEL36" s="217"/>
      <c r="BEM36" s="217"/>
      <c r="BEN36" s="217"/>
      <c r="BEO36" s="217"/>
      <c r="BEP36" s="217"/>
      <c r="BEQ36" s="217"/>
      <c r="BER36" s="217"/>
      <c r="BES36" s="217"/>
      <c r="BET36" s="217"/>
      <c r="BEU36" s="217"/>
      <c r="BEV36" s="217"/>
      <c r="BEW36" s="217"/>
      <c r="BEX36" s="217"/>
      <c r="BEY36" s="217"/>
      <c r="BEZ36" s="217"/>
      <c r="BFA36" s="217"/>
      <c r="BFB36" s="217"/>
      <c r="BFC36" s="217"/>
      <c r="BFD36" s="217"/>
      <c r="BFE36" s="217"/>
      <c r="BFF36" s="217"/>
      <c r="BFG36" s="217"/>
      <c r="BFH36" s="217"/>
      <c r="BFI36" s="217"/>
      <c r="BFJ36" s="217"/>
      <c r="BFK36" s="217"/>
      <c r="BFL36" s="217"/>
      <c r="BFM36" s="217"/>
      <c r="BFN36" s="217"/>
      <c r="BFO36" s="217"/>
      <c r="BFP36" s="217"/>
      <c r="BFQ36" s="217"/>
      <c r="BFR36" s="217"/>
      <c r="BFS36" s="217"/>
      <c r="BFT36" s="217"/>
      <c r="BFU36" s="217"/>
      <c r="BFV36" s="217"/>
      <c r="BFW36" s="217"/>
      <c r="BFX36" s="217"/>
      <c r="BFY36" s="217"/>
      <c r="BFZ36" s="217"/>
      <c r="BGA36" s="217"/>
      <c r="BGB36" s="217"/>
      <c r="BGC36" s="217"/>
      <c r="BGD36" s="217"/>
      <c r="BGE36" s="217"/>
      <c r="BGF36" s="217"/>
      <c r="BGG36" s="217"/>
      <c r="BGH36" s="217"/>
      <c r="BGI36" s="217"/>
      <c r="BGJ36" s="217"/>
      <c r="BGK36" s="217"/>
      <c r="BGL36" s="217"/>
      <c r="BGM36" s="217"/>
      <c r="BGN36" s="217"/>
      <c r="BGO36" s="217"/>
      <c r="BGP36" s="217"/>
      <c r="BGQ36" s="217"/>
      <c r="BGR36" s="217"/>
      <c r="BGS36" s="217"/>
      <c r="BGT36" s="217"/>
      <c r="BGU36" s="217"/>
      <c r="BGV36" s="217"/>
      <c r="BGW36" s="217"/>
      <c r="BGX36" s="217"/>
      <c r="BGY36" s="217"/>
      <c r="BGZ36" s="217"/>
      <c r="BHA36" s="217"/>
      <c r="BHB36" s="217"/>
      <c r="BHC36" s="217"/>
      <c r="BHD36" s="217"/>
      <c r="BHE36" s="217"/>
      <c r="BHF36" s="217"/>
      <c r="BHG36" s="217"/>
      <c r="BHH36" s="217"/>
      <c r="BHI36" s="217"/>
      <c r="BHJ36" s="217"/>
      <c r="BHK36" s="217"/>
      <c r="BHL36" s="217"/>
      <c r="BHM36" s="217"/>
      <c r="BHN36" s="217"/>
      <c r="BHO36" s="217"/>
      <c r="BHP36" s="217"/>
      <c r="BHQ36" s="217"/>
      <c r="BHR36" s="217"/>
      <c r="BHS36" s="217"/>
      <c r="BHT36" s="217"/>
      <c r="BHU36" s="217"/>
      <c r="BHV36" s="217"/>
      <c r="BHW36" s="217"/>
      <c r="BHX36" s="217"/>
      <c r="BHY36" s="217"/>
      <c r="BHZ36" s="217"/>
      <c r="BIA36" s="217"/>
      <c r="BIB36" s="217"/>
      <c r="BIC36" s="217"/>
      <c r="BID36" s="217"/>
      <c r="BIE36" s="217"/>
      <c r="BIF36" s="217"/>
      <c r="BIG36" s="217"/>
      <c r="BIH36" s="217"/>
      <c r="BII36" s="217"/>
      <c r="BIJ36" s="217"/>
      <c r="BIK36" s="217"/>
      <c r="BIL36" s="217"/>
      <c r="BIM36" s="217"/>
      <c r="BIN36" s="217"/>
      <c r="BIO36" s="217"/>
      <c r="BIP36" s="217"/>
      <c r="BIQ36" s="217"/>
      <c r="BIR36" s="217"/>
      <c r="BIS36" s="217"/>
      <c r="BIT36" s="217"/>
      <c r="BIU36" s="217"/>
      <c r="BIV36" s="217"/>
      <c r="BIW36" s="217"/>
      <c r="BIX36" s="217"/>
      <c r="BIY36" s="217"/>
      <c r="BIZ36" s="217"/>
      <c r="BJA36" s="217"/>
      <c r="BJB36" s="217"/>
      <c r="BJC36" s="217"/>
      <c r="BJD36" s="217"/>
      <c r="BJE36" s="217"/>
      <c r="BJF36" s="217"/>
      <c r="BJG36" s="217"/>
      <c r="BJH36" s="217"/>
      <c r="BJI36" s="217"/>
      <c r="BJJ36" s="217"/>
      <c r="BJK36" s="217"/>
      <c r="BJL36" s="217"/>
      <c r="BJM36" s="217"/>
      <c r="BJN36" s="217"/>
      <c r="BJO36" s="217"/>
      <c r="BJP36" s="217"/>
      <c r="BJQ36" s="217"/>
      <c r="BJR36" s="217"/>
      <c r="BJS36" s="217"/>
      <c r="BJT36" s="217"/>
      <c r="BJU36" s="217"/>
      <c r="BJV36" s="217"/>
      <c r="BJW36" s="217"/>
      <c r="BJX36" s="217"/>
      <c r="BJY36" s="217"/>
      <c r="BJZ36" s="217"/>
      <c r="BKA36" s="217"/>
      <c r="BKB36" s="217"/>
      <c r="BKC36" s="217"/>
      <c r="BKD36" s="217"/>
      <c r="BKE36" s="217"/>
      <c r="BKF36" s="217"/>
      <c r="BKG36" s="217"/>
      <c r="BKH36" s="217"/>
      <c r="BKI36" s="217"/>
      <c r="BKJ36" s="217"/>
      <c r="BKK36" s="217"/>
      <c r="BKL36" s="217"/>
      <c r="BKM36" s="217"/>
      <c r="BKN36" s="217"/>
      <c r="BKO36" s="217"/>
      <c r="BKP36" s="217"/>
      <c r="BKQ36" s="217"/>
      <c r="BKR36" s="217"/>
      <c r="BKS36" s="217"/>
      <c r="BKT36" s="217"/>
      <c r="BKU36" s="217"/>
      <c r="BKV36" s="217"/>
      <c r="BKW36" s="217"/>
      <c r="BKX36" s="217"/>
      <c r="BKY36" s="217"/>
      <c r="BKZ36" s="217"/>
      <c r="BLA36" s="217"/>
      <c r="BLB36" s="217"/>
      <c r="BLC36" s="217"/>
      <c r="BLD36" s="217"/>
      <c r="BLE36" s="217"/>
      <c r="BLF36" s="217"/>
      <c r="BLG36" s="217"/>
      <c r="BLH36" s="217"/>
      <c r="BLI36" s="217"/>
      <c r="BLJ36" s="217"/>
      <c r="BLK36" s="217"/>
      <c r="BLL36" s="217"/>
      <c r="BLM36" s="217"/>
      <c r="BLN36" s="217"/>
      <c r="BLO36" s="217"/>
      <c r="BLP36" s="217"/>
      <c r="BLQ36" s="217"/>
      <c r="BLR36" s="217"/>
      <c r="BLS36" s="217"/>
      <c r="BLT36" s="217"/>
      <c r="BLU36" s="217"/>
      <c r="BLV36" s="217"/>
      <c r="BLW36" s="217"/>
      <c r="BLX36" s="217"/>
      <c r="BLY36" s="217"/>
      <c r="BLZ36" s="217"/>
      <c r="BMA36" s="217"/>
      <c r="BMB36" s="217"/>
      <c r="BMC36" s="217"/>
      <c r="BMD36" s="217"/>
      <c r="BME36" s="217"/>
      <c r="BMF36" s="217"/>
      <c r="BMG36" s="217"/>
      <c r="BMH36" s="217"/>
      <c r="BMI36" s="217"/>
      <c r="BMJ36" s="217"/>
      <c r="BMK36" s="217"/>
      <c r="BML36" s="217"/>
      <c r="BMM36" s="217"/>
      <c r="BMN36" s="217"/>
      <c r="BMO36" s="217"/>
      <c r="BMP36" s="217"/>
      <c r="BMQ36" s="217"/>
      <c r="BMR36" s="217"/>
      <c r="BMS36" s="217"/>
      <c r="BMT36" s="217"/>
      <c r="BMU36" s="217"/>
      <c r="BMV36" s="217"/>
      <c r="BMW36" s="217"/>
      <c r="BMX36" s="217"/>
      <c r="BMY36" s="217"/>
      <c r="BMZ36" s="217"/>
      <c r="BNA36" s="217"/>
      <c r="BNB36" s="217"/>
      <c r="BNC36" s="217"/>
      <c r="BND36" s="217"/>
      <c r="BNE36" s="217"/>
      <c r="BNF36" s="217"/>
      <c r="BNG36" s="217"/>
      <c r="BNH36" s="217"/>
      <c r="BNI36" s="217"/>
      <c r="BNJ36" s="217"/>
      <c r="BNK36" s="217"/>
      <c r="BNL36" s="217"/>
      <c r="BNM36" s="217"/>
      <c r="BNN36" s="217"/>
      <c r="BNO36" s="217"/>
      <c r="BNP36" s="217"/>
      <c r="BNQ36" s="217"/>
      <c r="BNR36" s="217"/>
      <c r="BNS36" s="217"/>
      <c r="BNT36" s="217"/>
      <c r="BNU36" s="217"/>
      <c r="BNV36" s="217"/>
      <c r="BNW36" s="217"/>
      <c r="BNX36" s="217"/>
      <c r="BNY36" s="217"/>
      <c r="BNZ36" s="217"/>
      <c r="BOA36" s="217"/>
      <c r="BOB36" s="217"/>
      <c r="BOC36" s="217"/>
      <c r="BOD36" s="217"/>
      <c r="BOE36" s="217"/>
      <c r="BOF36" s="217"/>
      <c r="BOG36" s="217"/>
      <c r="BOH36" s="217"/>
      <c r="BOI36" s="217"/>
      <c r="BOJ36" s="217"/>
      <c r="BOK36" s="217"/>
      <c r="BOL36" s="217"/>
      <c r="BOM36" s="217"/>
      <c r="BON36" s="217"/>
      <c r="BOO36" s="217"/>
      <c r="BOP36" s="217"/>
      <c r="BOQ36" s="217"/>
      <c r="BOR36" s="217"/>
      <c r="BOS36" s="217"/>
      <c r="BOT36" s="217"/>
      <c r="BOU36" s="217"/>
      <c r="BOV36" s="217"/>
      <c r="BOW36" s="217"/>
      <c r="BOX36" s="217"/>
      <c r="BOY36" s="217"/>
      <c r="BOZ36" s="217"/>
      <c r="BPA36" s="217"/>
      <c r="BPB36" s="217"/>
      <c r="BPC36" s="217"/>
      <c r="BPD36" s="217"/>
      <c r="BPE36" s="217"/>
      <c r="BPF36" s="217"/>
      <c r="BPG36" s="217"/>
      <c r="BPH36" s="217"/>
      <c r="BPI36" s="217"/>
      <c r="BPJ36" s="217"/>
      <c r="BPK36" s="217"/>
      <c r="BPL36" s="217"/>
      <c r="BPM36" s="217"/>
      <c r="BPN36" s="217"/>
      <c r="BPO36" s="217"/>
      <c r="BPP36" s="217"/>
      <c r="BPQ36" s="217"/>
      <c r="BPR36" s="217"/>
      <c r="BPS36" s="217"/>
      <c r="BPT36" s="217"/>
      <c r="BPU36" s="217"/>
      <c r="BPV36" s="217"/>
      <c r="BPW36" s="217"/>
      <c r="BPX36" s="217"/>
      <c r="BPY36" s="217"/>
      <c r="BPZ36" s="217"/>
      <c r="BQA36" s="217"/>
      <c r="BQB36" s="217"/>
      <c r="BQC36" s="217"/>
      <c r="BQD36" s="217"/>
      <c r="BQE36" s="217"/>
      <c r="BQF36" s="217"/>
      <c r="BQG36" s="217"/>
      <c r="BQH36" s="217"/>
      <c r="BQI36" s="217"/>
      <c r="BQJ36" s="217"/>
      <c r="BQK36" s="217"/>
      <c r="BQL36" s="217"/>
      <c r="BQM36" s="217"/>
      <c r="BQN36" s="217"/>
      <c r="BQO36" s="217"/>
      <c r="BQP36" s="217"/>
      <c r="BQQ36" s="217"/>
      <c r="BQR36" s="217"/>
      <c r="BQS36" s="217"/>
      <c r="BQT36" s="217"/>
      <c r="BQU36" s="217"/>
      <c r="BQV36" s="217"/>
      <c r="BQW36" s="217"/>
      <c r="BQX36" s="217"/>
      <c r="BQY36" s="217"/>
      <c r="BQZ36" s="217"/>
      <c r="BRA36" s="217"/>
      <c r="BRB36" s="217"/>
      <c r="BRC36" s="217"/>
      <c r="BRD36" s="217"/>
      <c r="BRE36" s="217"/>
      <c r="BRF36" s="217"/>
      <c r="BRG36" s="217"/>
      <c r="BRH36" s="217"/>
      <c r="BRI36" s="217"/>
      <c r="BRJ36" s="217"/>
      <c r="BRK36" s="217"/>
      <c r="BRL36" s="217"/>
      <c r="BRM36" s="217"/>
      <c r="BRN36" s="217"/>
      <c r="BRO36" s="217"/>
      <c r="BRP36" s="217"/>
      <c r="BRQ36" s="217"/>
      <c r="BRR36" s="217"/>
      <c r="BRS36" s="217"/>
      <c r="BRT36" s="217"/>
      <c r="BRU36" s="217"/>
      <c r="BRV36" s="217"/>
      <c r="BRW36" s="217"/>
      <c r="BRX36" s="217"/>
      <c r="BRY36" s="217"/>
      <c r="BRZ36" s="217"/>
      <c r="BSA36" s="217"/>
      <c r="BSB36" s="217"/>
      <c r="BSC36" s="217"/>
      <c r="BSD36" s="217"/>
      <c r="BSE36" s="217"/>
      <c r="BSF36" s="217"/>
      <c r="BSG36" s="217"/>
      <c r="BSH36" s="217"/>
      <c r="BSI36" s="217"/>
      <c r="BSJ36" s="217"/>
      <c r="BSK36" s="217"/>
      <c r="BSL36" s="217"/>
      <c r="BSM36" s="217"/>
      <c r="BSN36" s="217"/>
      <c r="BSO36" s="217"/>
      <c r="BSP36" s="217"/>
      <c r="BSQ36" s="217"/>
      <c r="BSR36" s="217"/>
      <c r="BSS36" s="217"/>
      <c r="BST36" s="217"/>
      <c r="BSU36" s="217"/>
      <c r="BSV36" s="217"/>
      <c r="BSW36" s="217"/>
      <c r="BSX36" s="217"/>
      <c r="BSY36" s="217"/>
      <c r="BSZ36" s="217"/>
      <c r="BTA36" s="217"/>
      <c r="BTB36" s="217"/>
      <c r="BTC36" s="217"/>
      <c r="BTD36" s="217"/>
      <c r="BTE36" s="217"/>
      <c r="BTF36" s="217"/>
      <c r="BTG36" s="217"/>
      <c r="BTH36" s="217"/>
      <c r="BTI36" s="217"/>
      <c r="BTJ36" s="217"/>
      <c r="BTK36" s="217"/>
      <c r="BTL36" s="217"/>
      <c r="BTM36" s="217"/>
      <c r="BTN36" s="217"/>
      <c r="BTO36" s="217"/>
      <c r="BTP36" s="217"/>
      <c r="BTQ36" s="217"/>
      <c r="BTR36" s="217"/>
      <c r="BTS36" s="217"/>
      <c r="BTT36" s="217"/>
      <c r="BTU36" s="217"/>
      <c r="BTV36" s="217"/>
      <c r="BTW36" s="217"/>
      <c r="BTX36" s="217"/>
      <c r="BTY36" s="217"/>
      <c r="BTZ36" s="217"/>
      <c r="BUA36" s="217"/>
      <c r="BUB36" s="217"/>
      <c r="BUC36" s="217"/>
      <c r="BUD36" s="217"/>
      <c r="BUE36" s="217"/>
      <c r="BUF36" s="217"/>
      <c r="BUG36" s="217"/>
      <c r="BUH36" s="217"/>
      <c r="BUI36" s="217"/>
      <c r="BUJ36" s="217"/>
      <c r="BUK36" s="217"/>
      <c r="BUL36" s="217"/>
      <c r="BUM36" s="217"/>
      <c r="BUN36" s="217"/>
      <c r="BUO36" s="217"/>
      <c r="BUP36" s="217"/>
      <c r="BUQ36" s="217"/>
      <c r="BUR36" s="217"/>
      <c r="BUS36" s="217"/>
      <c r="BUT36" s="217"/>
      <c r="BUU36" s="217"/>
      <c r="BUV36" s="217"/>
      <c r="BUW36" s="217"/>
      <c r="BUX36" s="217"/>
      <c r="BUY36" s="217"/>
      <c r="BUZ36" s="217"/>
      <c r="BVA36" s="217"/>
      <c r="BVB36" s="217"/>
      <c r="BVC36" s="217"/>
      <c r="BVD36" s="217"/>
      <c r="BVE36" s="217"/>
      <c r="BVF36" s="217"/>
      <c r="BVG36" s="217"/>
      <c r="BVH36" s="217"/>
      <c r="BVI36" s="217"/>
      <c r="BVJ36" s="217"/>
      <c r="BVK36" s="217"/>
      <c r="BVL36" s="217"/>
      <c r="BVM36" s="217"/>
      <c r="BVN36" s="217"/>
      <c r="BVO36" s="217"/>
      <c r="BVP36" s="217"/>
      <c r="BVQ36" s="217"/>
      <c r="BVR36" s="217"/>
      <c r="BVS36" s="217"/>
      <c r="BVT36" s="217"/>
      <c r="BVU36" s="217"/>
      <c r="BVV36" s="217"/>
      <c r="BVW36" s="217"/>
      <c r="BVX36" s="217"/>
      <c r="BVY36" s="217"/>
      <c r="BVZ36" s="217"/>
      <c r="BWA36" s="217"/>
      <c r="BWB36" s="217"/>
      <c r="BWC36" s="217"/>
      <c r="BWD36" s="217"/>
      <c r="BWE36" s="217"/>
      <c r="BWF36" s="217"/>
      <c r="BWG36" s="217"/>
      <c r="BWH36" s="217"/>
      <c r="BWI36" s="217"/>
      <c r="BWJ36" s="217"/>
      <c r="BWK36" s="217"/>
      <c r="BWL36" s="217"/>
      <c r="BWM36" s="217"/>
      <c r="BWN36" s="217"/>
      <c r="BWO36" s="217"/>
      <c r="BWP36" s="217"/>
      <c r="BWQ36" s="217"/>
      <c r="BWR36" s="217"/>
      <c r="BWS36" s="217"/>
      <c r="BWT36" s="217"/>
      <c r="BWU36" s="217"/>
      <c r="BWV36" s="217"/>
      <c r="BWW36" s="217"/>
      <c r="BWX36" s="217"/>
      <c r="BWY36" s="217"/>
      <c r="BWZ36" s="217"/>
      <c r="BXA36" s="217"/>
      <c r="BXB36" s="217"/>
      <c r="BXC36" s="217"/>
      <c r="BXD36" s="217"/>
      <c r="BXE36" s="217"/>
      <c r="BXF36" s="217"/>
      <c r="BXG36" s="217"/>
      <c r="BXH36" s="217"/>
      <c r="BXI36" s="217"/>
      <c r="BXJ36" s="217"/>
      <c r="BXK36" s="217"/>
      <c r="BXL36" s="217"/>
      <c r="BXM36" s="217"/>
      <c r="BXN36" s="217"/>
      <c r="BXO36" s="217"/>
      <c r="BXP36" s="217"/>
      <c r="BXQ36" s="217"/>
      <c r="BXR36" s="217"/>
      <c r="BXS36" s="217"/>
      <c r="BXT36" s="217"/>
      <c r="BXU36" s="217"/>
      <c r="BXV36" s="217"/>
      <c r="BXW36" s="217"/>
      <c r="BXX36" s="217"/>
      <c r="BXY36" s="217"/>
      <c r="BXZ36" s="217"/>
      <c r="BYA36" s="217"/>
      <c r="BYB36" s="217"/>
      <c r="BYC36" s="217"/>
      <c r="BYD36" s="217"/>
      <c r="BYE36" s="217"/>
      <c r="BYF36" s="217"/>
      <c r="BYG36" s="217"/>
    </row>
    <row r="37" spans="1:2009" s="100" customFormat="1" ht="13.5" hidden="1" customHeight="1" thickBot="1" x14ac:dyDescent="0.3">
      <c r="A37" s="97"/>
      <c r="B37" s="97"/>
      <c r="C37" s="169"/>
      <c r="D37" s="169"/>
      <c r="E37" s="169"/>
      <c r="F37" s="169"/>
      <c r="G37" s="646"/>
      <c r="H37" s="98"/>
      <c r="I37" s="75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47</v>
      </c>
      <c r="B38" s="144"/>
      <c r="C38" s="186"/>
      <c r="D38" s="186"/>
      <c r="E38" s="187"/>
      <c r="F38" s="187"/>
      <c r="G38" s="658"/>
      <c r="H38" s="98"/>
      <c r="I38" s="758"/>
      <c r="J38" s="98"/>
      <c r="K38" s="98"/>
      <c r="L38" s="98"/>
      <c r="M38" s="98"/>
      <c r="N38" s="206"/>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139</v>
      </c>
      <c r="C39" s="188">
        <v>3791.67</v>
      </c>
      <c r="D39" s="188">
        <v>3791.67</v>
      </c>
      <c r="E39" s="189">
        <v>3750</v>
      </c>
      <c r="F39" s="189"/>
      <c r="G39" s="659">
        <f>ROUND(SUM(C39:F39),5)</f>
        <v>11333.34</v>
      </c>
      <c r="H39" s="98"/>
      <c r="I39" s="75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337</v>
      </c>
      <c r="C40" s="188">
        <v>1500</v>
      </c>
      <c r="D40" s="188">
        <v>1500</v>
      </c>
      <c r="E40" s="189">
        <v>4500</v>
      </c>
      <c r="F40" s="189"/>
      <c r="G40" s="659">
        <f>ROUND(SUM(C40:F40),5)</f>
        <v>7500</v>
      </c>
      <c r="H40" s="98"/>
      <c r="I40" s="758"/>
      <c r="J40" s="98"/>
      <c r="K40" s="98"/>
      <c r="L40" s="98"/>
      <c r="M40" s="98"/>
      <c r="N40" s="206"/>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350</v>
      </c>
      <c r="C41" s="188"/>
      <c r="D41" s="188"/>
      <c r="E41" s="189"/>
      <c r="F41" s="189">
        <v>190.32</v>
      </c>
      <c r="G41" s="659">
        <f>ROUND(SUM(C41:F41),5)</f>
        <v>190.32</v>
      </c>
      <c r="H41" s="98"/>
      <c r="I41" s="75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348</v>
      </c>
      <c r="C42" s="188"/>
      <c r="D42" s="188"/>
      <c r="E42" s="189"/>
      <c r="F42" s="189"/>
      <c r="G42" s="659">
        <f>ROUND(SUM(C42:F42),5)</f>
        <v>0</v>
      </c>
      <c r="H42" s="98"/>
      <c r="I42" s="75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48</v>
      </c>
      <c r="C43" s="188">
        <f>6096.62-1413.83</f>
        <v>4682.79</v>
      </c>
      <c r="D43" s="188">
        <f>1413.83+3548.39</f>
        <v>4962.2199999999993</v>
      </c>
      <c r="E43" s="189">
        <f>3270.22+101.94</f>
        <v>3372.16</v>
      </c>
      <c r="F43" s="189"/>
      <c r="G43" s="659">
        <f>ROUND(SUM(C43:F43),5)</f>
        <v>13017.17</v>
      </c>
      <c r="H43" s="98"/>
      <c r="I43" s="75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3" customFormat="1" ht="24.95" customHeight="1" thickBot="1" x14ac:dyDescent="0.3">
      <c r="A44" s="220"/>
      <c r="B44" s="221" t="s">
        <v>49</v>
      </c>
      <c r="C44" s="222">
        <f>SUM(C39:C43)</f>
        <v>9974.4599999999991</v>
      </c>
      <c r="D44" s="222">
        <f>SUM(D39:D43)</f>
        <v>10253.89</v>
      </c>
      <c r="E44" s="222">
        <f>SUM(E39:E43)</f>
        <v>11622.16</v>
      </c>
      <c r="F44" s="222">
        <f>SUM(F39:F43)</f>
        <v>190.32</v>
      </c>
      <c r="G44" s="660">
        <f>SUM(G39:G43)</f>
        <v>32040.83</v>
      </c>
      <c r="H44" s="206"/>
      <c r="I44" s="758"/>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c r="IC44" s="207"/>
      <c r="ID44" s="207"/>
      <c r="IE44" s="207"/>
      <c r="IF44" s="207"/>
      <c r="IG44" s="207"/>
      <c r="IH44" s="207"/>
      <c r="II44" s="207"/>
      <c r="IJ44" s="207"/>
      <c r="IK44" s="207"/>
      <c r="IL44" s="207"/>
      <c r="IM44" s="207"/>
      <c r="IN44" s="207"/>
      <c r="IO44" s="207"/>
      <c r="IP44" s="207"/>
      <c r="IQ44" s="207"/>
      <c r="IR44" s="207"/>
      <c r="IS44" s="207"/>
      <c r="IT44" s="207"/>
      <c r="IU44" s="207"/>
      <c r="IV44" s="207"/>
      <c r="IW44" s="207"/>
      <c r="IX44" s="207"/>
      <c r="IY44" s="207"/>
      <c r="IZ44" s="207"/>
      <c r="JA44" s="207"/>
      <c r="JB44" s="207"/>
      <c r="JC44" s="207"/>
      <c r="JD44" s="207"/>
      <c r="JE44" s="207"/>
      <c r="JF44" s="207"/>
      <c r="JG44" s="207"/>
      <c r="JH44" s="207"/>
      <c r="JI44" s="207"/>
      <c r="JJ44" s="207"/>
      <c r="JK44" s="207"/>
      <c r="JL44" s="207"/>
      <c r="JM44" s="207"/>
      <c r="JN44" s="207"/>
      <c r="JO44" s="207"/>
      <c r="JP44" s="207"/>
      <c r="JQ44" s="207"/>
      <c r="JR44" s="207"/>
      <c r="JS44" s="207"/>
      <c r="JT44" s="207"/>
      <c r="JU44" s="207"/>
      <c r="JV44" s="207"/>
      <c r="JW44" s="207"/>
      <c r="JX44" s="207"/>
      <c r="JY44" s="207"/>
      <c r="JZ44" s="207"/>
      <c r="KA44" s="207"/>
      <c r="KB44" s="207"/>
      <c r="KC44" s="207"/>
      <c r="KD44" s="207"/>
      <c r="KE44" s="207"/>
      <c r="KF44" s="207"/>
      <c r="KG44" s="207"/>
      <c r="KH44" s="207"/>
      <c r="KI44" s="207"/>
      <c r="KJ44" s="207"/>
      <c r="KK44" s="207"/>
      <c r="KL44" s="207"/>
      <c r="KM44" s="207"/>
      <c r="KN44" s="207"/>
      <c r="KO44" s="207"/>
      <c r="KP44" s="207"/>
      <c r="KQ44" s="207"/>
      <c r="KR44" s="207"/>
      <c r="KS44" s="207"/>
      <c r="KT44" s="207"/>
      <c r="KU44" s="207"/>
      <c r="KV44" s="207"/>
      <c r="KW44" s="207"/>
      <c r="KX44" s="207"/>
      <c r="KY44" s="207"/>
      <c r="KZ44" s="207"/>
      <c r="LA44" s="207"/>
      <c r="LB44" s="207"/>
      <c r="LC44" s="207"/>
      <c r="LD44" s="207"/>
      <c r="LE44" s="207"/>
      <c r="LF44" s="207"/>
      <c r="LG44" s="207"/>
      <c r="LH44" s="207"/>
      <c r="LI44" s="207"/>
      <c r="LJ44" s="207"/>
      <c r="LK44" s="207"/>
      <c r="LL44" s="207"/>
      <c r="LM44" s="207"/>
      <c r="LN44" s="207"/>
      <c r="LO44" s="207"/>
      <c r="LP44" s="207"/>
      <c r="LQ44" s="207"/>
      <c r="LR44" s="207"/>
      <c r="LS44" s="207"/>
      <c r="LT44" s="207"/>
      <c r="LU44" s="207"/>
      <c r="LV44" s="207"/>
      <c r="LW44" s="207"/>
      <c r="LX44" s="207"/>
      <c r="LY44" s="207"/>
      <c r="LZ44" s="207"/>
      <c r="MA44" s="207"/>
      <c r="MB44" s="207"/>
      <c r="MC44" s="207"/>
      <c r="MD44" s="207"/>
      <c r="ME44" s="207"/>
      <c r="MF44" s="207"/>
      <c r="MG44" s="207"/>
      <c r="MH44" s="207"/>
      <c r="MI44" s="207"/>
      <c r="MJ44" s="207"/>
      <c r="MK44" s="207"/>
      <c r="ML44" s="207"/>
      <c r="MM44" s="207"/>
      <c r="MN44" s="207"/>
      <c r="MO44" s="207"/>
      <c r="MP44" s="207"/>
      <c r="MQ44" s="207"/>
      <c r="MR44" s="207"/>
      <c r="MS44" s="207"/>
      <c r="MT44" s="207"/>
      <c r="MU44" s="207"/>
      <c r="MV44" s="207"/>
      <c r="MW44" s="207"/>
      <c r="MX44" s="207"/>
      <c r="MY44" s="207"/>
      <c r="MZ44" s="207"/>
      <c r="NA44" s="207"/>
      <c r="NB44" s="207"/>
      <c r="NC44" s="207"/>
      <c r="ND44" s="207"/>
      <c r="NE44" s="207"/>
      <c r="NF44" s="207"/>
      <c r="NG44" s="207"/>
      <c r="NH44" s="207"/>
      <c r="NI44" s="207"/>
      <c r="NJ44" s="207"/>
      <c r="NK44" s="207"/>
      <c r="NL44" s="207"/>
      <c r="NM44" s="207"/>
      <c r="NN44" s="207"/>
      <c r="NO44" s="207"/>
      <c r="NP44" s="207"/>
      <c r="NQ44" s="207"/>
      <c r="NR44" s="207"/>
      <c r="NS44" s="207"/>
      <c r="NT44" s="207"/>
      <c r="NU44" s="207"/>
      <c r="NV44" s="207"/>
      <c r="NW44" s="207"/>
      <c r="NX44" s="207"/>
      <c r="NY44" s="207"/>
      <c r="NZ44" s="207"/>
      <c r="OA44" s="207"/>
      <c r="OB44" s="207"/>
      <c r="OC44" s="207"/>
      <c r="OD44" s="207"/>
      <c r="OE44" s="207"/>
      <c r="OF44" s="207"/>
      <c r="OG44" s="207"/>
      <c r="OH44" s="207"/>
      <c r="OI44" s="207"/>
      <c r="OJ44" s="207"/>
      <c r="OK44" s="207"/>
      <c r="OL44" s="207"/>
      <c r="OM44" s="207"/>
      <c r="ON44" s="207"/>
      <c r="OO44" s="207"/>
      <c r="OP44" s="207"/>
      <c r="OQ44" s="207"/>
      <c r="OR44" s="207"/>
      <c r="OS44" s="207"/>
      <c r="OT44" s="207"/>
      <c r="OU44" s="207"/>
      <c r="OV44" s="207"/>
      <c r="OW44" s="207"/>
      <c r="OX44" s="207"/>
      <c r="OY44" s="207"/>
      <c r="OZ44" s="207"/>
      <c r="PA44" s="207"/>
      <c r="PB44" s="207"/>
      <c r="PC44" s="207"/>
      <c r="PD44" s="207"/>
      <c r="PE44" s="207"/>
      <c r="PF44" s="207"/>
      <c r="PG44" s="207"/>
      <c r="PH44" s="207"/>
      <c r="PI44" s="207"/>
      <c r="PJ44" s="207"/>
      <c r="PK44" s="207"/>
      <c r="PL44" s="207"/>
      <c r="PM44" s="207"/>
      <c r="PN44" s="207"/>
      <c r="PO44" s="207"/>
      <c r="PP44" s="207"/>
      <c r="PQ44" s="207"/>
      <c r="PR44" s="207"/>
      <c r="PS44" s="207"/>
      <c r="PT44" s="207"/>
      <c r="PU44" s="207"/>
      <c r="PV44" s="207"/>
      <c r="PW44" s="207"/>
      <c r="PX44" s="207"/>
      <c r="PY44" s="207"/>
      <c r="PZ44" s="207"/>
      <c r="QA44" s="207"/>
      <c r="QB44" s="207"/>
      <c r="QC44" s="207"/>
      <c r="QD44" s="207"/>
      <c r="QE44" s="207"/>
      <c r="QF44" s="207"/>
      <c r="QG44" s="207"/>
      <c r="QH44" s="207"/>
      <c r="QI44" s="207"/>
      <c r="QJ44" s="207"/>
      <c r="QK44" s="207"/>
      <c r="QL44" s="207"/>
      <c r="QM44" s="207"/>
      <c r="QN44" s="207"/>
      <c r="QO44" s="207"/>
      <c r="QP44" s="207"/>
      <c r="QQ44" s="207"/>
      <c r="QR44" s="207"/>
      <c r="QS44" s="207"/>
      <c r="QT44" s="207"/>
      <c r="QU44" s="207"/>
      <c r="QV44" s="207"/>
      <c r="QW44" s="207"/>
      <c r="QX44" s="207"/>
      <c r="QY44" s="207"/>
      <c r="QZ44" s="207"/>
      <c r="RA44" s="207"/>
      <c r="RB44" s="207"/>
      <c r="RC44" s="207"/>
      <c r="RD44" s="207"/>
      <c r="RE44" s="207"/>
      <c r="RF44" s="207"/>
      <c r="RG44" s="207"/>
      <c r="RH44" s="207"/>
      <c r="RI44" s="207"/>
      <c r="RJ44" s="207"/>
      <c r="RK44" s="207"/>
      <c r="RL44" s="207"/>
      <c r="RM44" s="207"/>
      <c r="RN44" s="207"/>
      <c r="RO44" s="207"/>
      <c r="RP44" s="207"/>
      <c r="RQ44" s="207"/>
      <c r="RR44" s="207"/>
      <c r="RS44" s="207"/>
      <c r="RT44" s="207"/>
      <c r="RU44" s="207"/>
      <c r="RV44" s="207"/>
      <c r="RW44" s="207"/>
      <c r="RX44" s="207"/>
      <c r="RY44" s="207"/>
      <c r="RZ44" s="207"/>
      <c r="SA44" s="207"/>
      <c r="SB44" s="207"/>
      <c r="SC44" s="207"/>
      <c r="SD44" s="207"/>
      <c r="SE44" s="207"/>
      <c r="SF44" s="207"/>
      <c r="SG44" s="207"/>
      <c r="SH44" s="207"/>
      <c r="SI44" s="207"/>
      <c r="SJ44" s="207"/>
      <c r="SK44" s="207"/>
      <c r="SL44" s="207"/>
      <c r="SM44" s="207"/>
      <c r="SN44" s="207"/>
      <c r="SO44" s="207"/>
      <c r="SP44" s="207"/>
      <c r="SQ44" s="207"/>
      <c r="SR44" s="207"/>
      <c r="SS44" s="207"/>
      <c r="ST44" s="207"/>
      <c r="SU44" s="207"/>
      <c r="SV44" s="207"/>
      <c r="SW44" s="207"/>
      <c r="SX44" s="207"/>
      <c r="SY44" s="207"/>
      <c r="SZ44" s="207"/>
      <c r="TA44" s="207"/>
      <c r="TB44" s="207"/>
      <c r="TC44" s="207"/>
      <c r="TD44" s="207"/>
      <c r="TE44" s="207"/>
      <c r="TF44" s="207"/>
      <c r="TG44" s="207"/>
      <c r="TH44" s="207"/>
      <c r="TI44" s="207"/>
      <c r="TJ44" s="207"/>
      <c r="TK44" s="207"/>
      <c r="TL44" s="207"/>
      <c r="TM44" s="207"/>
      <c r="TN44" s="207"/>
      <c r="TO44" s="207"/>
      <c r="TP44" s="207"/>
      <c r="TQ44" s="207"/>
      <c r="TR44" s="207"/>
      <c r="TS44" s="207"/>
      <c r="TT44" s="207"/>
      <c r="TU44" s="207"/>
      <c r="TV44" s="207"/>
      <c r="TW44" s="207"/>
      <c r="TX44" s="207"/>
      <c r="TY44" s="207"/>
      <c r="TZ44" s="207"/>
      <c r="UA44" s="207"/>
      <c r="UB44" s="207"/>
      <c r="UC44" s="207"/>
      <c r="UD44" s="207"/>
      <c r="UE44" s="207"/>
      <c r="UF44" s="207"/>
      <c r="UG44" s="207"/>
      <c r="UH44" s="207"/>
      <c r="UI44" s="207"/>
      <c r="UJ44" s="207"/>
      <c r="UK44" s="207"/>
      <c r="UL44" s="207"/>
      <c r="UM44" s="207"/>
      <c r="UN44" s="207"/>
      <c r="UO44" s="207"/>
      <c r="UP44" s="207"/>
      <c r="UQ44" s="207"/>
      <c r="UR44" s="207"/>
      <c r="US44" s="207"/>
      <c r="UT44" s="207"/>
      <c r="UU44" s="207"/>
      <c r="UV44" s="207"/>
      <c r="UW44" s="207"/>
      <c r="UX44" s="207"/>
      <c r="UY44" s="207"/>
      <c r="UZ44" s="207"/>
      <c r="VA44" s="207"/>
      <c r="VB44" s="207"/>
      <c r="VC44" s="207"/>
      <c r="VD44" s="207"/>
      <c r="VE44" s="207"/>
      <c r="VF44" s="207"/>
      <c r="VG44" s="207"/>
      <c r="VH44" s="207"/>
      <c r="VI44" s="207"/>
      <c r="VJ44" s="207"/>
      <c r="VK44" s="207"/>
      <c r="VL44" s="207"/>
      <c r="VM44" s="207"/>
      <c r="VN44" s="207"/>
      <c r="VO44" s="207"/>
      <c r="VP44" s="207"/>
      <c r="VQ44" s="207"/>
      <c r="VR44" s="207"/>
      <c r="VS44" s="207"/>
      <c r="VT44" s="207"/>
      <c r="VU44" s="207"/>
      <c r="VV44" s="207"/>
      <c r="VW44" s="207"/>
      <c r="VX44" s="207"/>
      <c r="VY44" s="207"/>
      <c r="VZ44" s="207"/>
      <c r="WA44" s="207"/>
      <c r="WB44" s="207"/>
      <c r="WC44" s="207"/>
      <c r="WD44" s="207"/>
      <c r="WE44" s="207"/>
      <c r="WF44" s="207"/>
      <c r="WG44" s="207"/>
      <c r="WH44" s="207"/>
      <c r="WI44" s="207"/>
      <c r="WJ44" s="207"/>
      <c r="WK44" s="207"/>
      <c r="WL44" s="207"/>
      <c r="WM44" s="207"/>
      <c r="WN44" s="207"/>
      <c r="WO44" s="207"/>
      <c r="WP44" s="207"/>
      <c r="WQ44" s="207"/>
      <c r="WR44" s="207"/>
      <c r="WS44" s="207"/>
      <c r="WT44" s="207"/>
      <c r="WU44" s="207"/>
      <c r="WV44" s="207"/>
      <c r="WW44" s="207"/>
      <c r="WX44" s="207"/>
      <c r="WY44" s="207"/>
      <c r="WZ44" s="207"/>
      <c r="XA44" s="207"/>
      <c r="XB44" s="207"/>
      <c r="XC44" s="207"/>
      <c r="XD44" s="207"/>
      <c r="XE44" s="207"/>
      <c r="XF44" s="207"/>
      <c r="XG44" s="207"/>
      <c r="XH44" s="207"/>
      <c r="XI44" s="207"/>
      <c r="XJ44" s="207"/>
      <c r="XK44" s="207"/>
      <c r="XL44" s="207"/>
      <c r="XM44" s="207"/>
      <c r="XN44" s="207"/>
      <c r="XO44" s="207"/>
      <c r="XP44" s="207"/>
      <c r="XQ44" s="207"/>
      <c r="XR44" s="207"/>
      <c r="XS44" s="207"/>
      <c r="XT44" s="207"/>
      <c r="XU44" s="207"/>
      <c r="XV44" s="207"/>
      <c r="XW44" s="207"/>
      <c r="XX44" s="207"/>
      <c r="XY44" s="207"/>
      <c r="XZ44" s="207"/>
      <c r="YA44" s="207"/>
      <c r="YB44" s="207"/>
      <c r="YC44" s="207"/>
      <c r="YD44" s="207"/>
      <c r="YE44" s="207"/>
      <c r="YF44" s="207"/>
      <c r="YG44" s="207"/>
      <c r="YH44" s="207"/>
      <c r="YI44" s="207"/>
      <c r="YJ44" s="207"/>
      <c r="YK44" s="207"/>
      <c r="YL44" s="207"/>
      <c r="YM44" s="207"/>
      <c r="YN44" s="207"/>
      <c r="YO44" s="207"/>
      <c r="YP44" s="207"/>
      <c r="YQ44" s="207"/>
      <c r="YR44" s="207"/>
      <c r="YS44" s="207"/>
      <c r="YT44" s="207"/>
      <c r="YU44" s="207"/>
      <c r="YV44" s="207"/>
      <c r="YW44" s="207"/>
      <c r="YX44" s="207"/>
      <c r="YY44" s="207"/>
      <c r="YZ44" s="207"/>
      <c r="ZA44" s="207"/>
      <c r="ZB44" s="207"/>
      <c r="ZC44" s="207"/>
      <c r="ZD44" s="207"/>
      <c r="ZE44" s="207"/>
      <c r="ZF44" s="207"/>
      <c r="ZG44" s="207"/>
      <c r="ZH44" s="207"/>
      <c r="ZI44" s="207"/>
      <c r="ZJ44" s="207"/>
      <c r="ZK44" s="207"/>
      <c r="ZL44" s="207"/>
      <c r="ZM44" s="207"/>
      <c r="ZN44" s="207"/>
      <c r="ZO44" s="207"/>
      <c r="ZP44" s="207"/>
      <c r="ZQ44" s="207"/>
      <c r="ZR44" s="207"/>
      <c r="ZS44" s="207"/>
      <c r="ZT44" s="207"/>
      <c r="ZU44" s="207"/>
      <c r="ZV44" s="207"/>
      <c r="ZW44" s="207"/>
      <c r="ZX44" s="207"/>
      <c r="ZY44" s="207"/>
      <c r="ZZ44" s="207"/>
      <c r="AAA44" s="207"/>
      <c r="AAB44" s="207"/>
      <c r="AAC44" s="207"/>
      <c r="AAD44" s="207"/>
      <c r="AAE44" s="207"/>
      <c r="AAF44" s="207"/>
      <c r="AAG44" s="207"/>
      <c r="AAH44" s="207"/>
      <c r="AAI44" s="207"/>
      <c r="AAJ44" s="207"/>
      <c r="AAK44" s="207"/>
      <c r="AAL44" s="207"/>
      <c r="AAM44" s="207"/>
      <c r="AAN44" s="207"/>
      <c r="AAO44" s="207"/>
      <c r="AAP44" s="207"/>
      <c r="AAQ44" s="207"/>
      <c r="AAR44" s="207"/>
      <c r="AAS44" s="207"/>
      <c r="AAT44" s="207"/>
      <c r="AAU44" s="207"/>
      <c r="AAV44" s="207"/>
      <c r="AAW44" s="207"/>
      <c r="AAX44" s="207"/>
      <c r="AAY44" s="207"/>
      <c r="AAZ44" s="207"/>
      <c r="ABA44" s="207"/>
      <c r="ABB44" s="207"/>
      <c r="ABC44" s="207"/>
      <c r="ABD44" s="207"/>
      <c r="ABE44" s="207"/>
      <c r="ABF44" s="207"/>
      <c r="ABG44" s="207"/>
      <c r="ABH44" s="207"/>
      <c r="ABI44" s="207"/>
      <c r="ABJ44" s="207"/>
      <c r="ABK44" s="207"/>
      <c r="ABL44" s="207"/>
      <c r="ABM44" s="207"/>
      <c r="ABN44" s="207"/>
      <c r="ABO44" s="207"/>
      <c r="ABP44" s="207"/>
      <c r="ABQ44" s="207"/>
      <c r="ABR44" s="207"/>
      <c r="ABS44" s="207"/>
      <c r="ABT44" s="207"/>
      <c r="ABU44" s="207"/>
      <c r="ABV44" s="207"/>
      <c r="ABW44" s="207"/>
      <c r="ABX44" s="207"/>
      <c r="ABY44" s="207"/>
      <c r="ABZ44" s="207"/>
      <c r="ACA44" s="207"/>
      <c r="ACB44" s="207"/>
      <c r="ACC44" s="207"/>
      <c r="ACD44" s="207"/>
      <c r="ACE44" s="207"/>
      <c r="ACF44" s="207"/>
      <c r="ACG44" s="207"/>
      <c r="ACH44" s="207"/>
      <c r="ACI44" s="207"/>
      <c r="ACJ44" s="207"/>
      <c r="ACK44" s="207"/>
      <c r="ACL44" s="207"/>
      <c r="ACM44" s="207"/>
      <c r="ACN44" s="207"/>
      <c r="ACO44" s="207"/>
      <c r="ACP44" s="207"/>
      <c r="ACQ44" s="207"/>
      <c r="ACR44" s="207"/>
      <c r="ACS44" s="207"/>
      <c r="ACT44" s="207"/>
      <c r="ACU44" s="207"/>
      <c r="ACV44" s="207"/>
      <c r="ACW44" s="207"/>
      <c r="ACX44" s="207"/>
      <c r="ACY44" s="207"/>
      <c r="ACZ44" s="207"/>
      <c r="ADA44" s="207"/>
      <c r="ADB44" s="207"/>
      <c r="ADC44" s="207"/>
      <c r="ADD44" s="207"/>
      <c r="ADE44" s="207"/>
      <c r="ADF44" s="207"/>
      <c r="ADG44" s="207"/>
      <c r="ADH44" s="207"/>
      <c r="ADI44" s="207"/>
      <c r="ADJ44" s="207"/>
      <c r="ADK44" s="207"/>
      <c r="ADL44" s="207"/>
      <c r="ADM44" s="207"/>
      <c r="ADN44" s="207"/>
      <c r="ADO44" s="207"/>
      <c r="ADP44" s="207"/>
      <c r="ADQ44" s="207"/>
      <c r="ADR44" s="207"/>
      <c r="ADS44" s="207"/>
      <c r="ADT44" s="207"/>
      <c r="ADU44" s="207"/>
      <c r="ADV44" s="207"/>
      <c r="ADW44" s="207"/>
      <c r="ADX44" s="207"/>
      <c r="ADY44" s="207"/>
      <c r="ADZ44" s="207"/>
      <c r="AEA44" s="207"/>
      <c r="AEB44" s="207"/>
      <c r="AEC44" s="207"/>
      <c r="AED44" s="207"/>
      <c r="AEE44" s="207"/>
      <c r="AEF44" s="207"/>
      <c r="AEG44" s="207"/>
      <c r="AEH44" s="207"/>
      <c r="AEI44" s="207"/>
      <c r="AEJ44" s="207"/>
      <c r="AEK44" s="207"/>
      <c r="AEL44" s="207"/>
      <c r="AEM44" s="207"/>
      <c r="AEN44" s="207"/>
      <c r="AEO44" s="207"/>
      <c r="AEP44" s="207"/>
      <c r="AEQ44" s="207"/>
      <c r="AER44" s="207"/>
      <c r="AES44" s="207"/>
      <c r="AET44" s="207"/>
      <c r="AEU44" s="207"/>
      <c r="AEV44" s="207"/>
      <c r="AEW44" s="207"/>
      <c r="AEX44" s="207"/>
      <c r="AEY44" s="207"/>
      <c r="AEZ44" s="207"/>
      <c r="AFA44" s="207"/>
      <c r="AFB44" s="207"/>
      <c r="AFC44" s="207"/>
      <c r="AFD44" s="207"/>
      <c r="AFE44" s="207"/>
      <c r="AFF44" s="207"/>
      <c r="AFG44" s="207"/>
      <c r="AFH44" s="207"/>
      <c r="AFI44" s="207"/>
      <c r="AFJ44" s="207"/>
      <c r="AFK44" s="207"/>
      <c r="AFL44" s="207"/>
      <c r="AFM44" s="207"/>
      <c r="AFN44" s="207"/>
      <c r="AFO44" s="207"/>
      <c r="AFP44" s="207"/>
      <c r="AFQ44" s="207"/>
      <c r="AFR44" s="207"/>
      <c r="AFS44" s="207"/>
      <c r="AFT44" s="207"/>
      <c r="AFU44" s="207"/>
      <c r="AFV44" s="207"/>
      <c r="AFW44" s="207"/>
      <c r="AFX44" s="207"/>
      <c r="AFY44" s="207"/>
      <c r="AFZ44" s="207"/>
      <c r="AGA44" s="207"/>
      <c r="AGB44" s="207"/>
      <c r="AGC44" s="207"/>
      <c r="AGD44" s="207"/>
      <c r="AGE44" s="207"/>
      <c r="AGF44" s="207"/>
      <c r="AGG44" s="207"/>
      <c r="AGH44" s="207"/>
      <c r="AGI44" s="207"/>
      <c r="AGJ44" s="207"/>
      <c r="AGK44" s="207"/>
      <c r="AGL44" s="207"/>
      <c r="AGM44" s="207"/>
      <c r="AGN44" s="207"/>
      <c r="AGO44" s="207"/>
      <c r="AGP44" s="207"/>
      <c r="AGQ44" s="207"/>
      <c r="AGR44" s="207"/>
      <c r="AGS44" s="207"/>
      <c r="AGT44" s="207"/>
      <c r="AGU44" s="207"/>
      <c r="AGV44" s="207"/>
      <c r="AGW44" s="207"/>
      <c r="AGX44" s="207"/>
      <c r="AGY44" s="207"/>
      <c r="AGZ44" s="207"/>
      <c r="AHA44" s="207"/>
      <c r="AHB44" s="207"/>
      <c r="AHC44" s="207"/>
      <c r="AHD44" s="207"/>
      <c r="AHE44" s="207"/>
      <c r="AHF44" s="207"/>
      <c r="AHG44" s="207"/>
      <c r="AHH44" s="207"/>
      <c r="AHI44" s="207"/>
      <c r="AHJ44" s="207"/>
      <c r="AHK44" s="207"/>
      <c r="AHL44" s="207"/>
      <c r="AHM44" s="207"/>
      <c r="AHN44" s="207"/>
      <c r="AHO44" s="207"/>
      <c r="AHP44" s="207"/>
      <c r="AHQ44" s="207"/>
      <c r="AHR44" s="207"/>
      <c r="AHS44" s="207"/>
      <c r="AHT44" s="207"/>
      <c r="AHU44" s="207"/>
      <c r="AHV44" s="207"/>
      <c r="AHW44" s="207"/>
      <c r="AHX44" s="207"/>
      <c r="AHY44" s="207"/>
      <c r="AHZ44" s="207"/>
      <c r="AIA44" s="207"/>
      <c r="AIB44" s="207"/>
      <c r="AIC44" s="207"/>
      <c r="AID44" s="207"/>
      <c r="AIE44" s="207"/>
      <c r="AIF44" s="207"/>
      <c r="AIG44" s="207"/>
      <c r="AIH44" s="207"/>
      <c r="AII44" s="207"/>
      <c r="AIJ44" s="207"/>
      <c r="AIK44" s="207"/>
      <c r="AIL44" s="207"/>
      <c r="AIM44" s="207"/>
      <c r="AIN44" s="207"/>
      <c r="AIO44" s="207"/>
      <c r="AIP44" s="207"/>
      <c r="AIQ44" s="207"/>
      <c r="AIR44" s="207"/>
      <c r="AIS44" s="207"/>
      <c r="AIT44" s="207"/>
      <c r="AIU44" s="207"/>
      <c r="AIV44" s="207"/>
      <c r="AIW44" s="207"/>
      <c r="AIX44" s="207"/>
      <c r="AIY44" s="207"/>
      <c r="AIZ44" s="207"/>
      <c r="AJA44" s="207"/>
      <c r="AJB44" s="207"/>
      <c r="AJC44" s="207"/>
      <c r="AJD44" s="207"/>
      <c r="AJE44" s="207"/>
      <c r="AJF44" s="207"/>
      <c r="AJG44" s="207"/>
      <c r="AJH44" s="207"/>
      <c r="AJI44" s="207"/>
      <c r="AJJ44" s="207"/>
      <c r="AJK44" s="207"/>
      <c r="AJL44" s="207"/>
      <c r="AJM44" s="207"/>
      <c r="AJN44" s="207"/>
      <c r="AJO44" s="207"/>
      <c r="AJP44" s="207"/>
      <c r="AJQ44" s="207"/>
      <c r="AJR44" s="207"/>
      <c r="AJS44" s="207"/>
      <c r="AJT44" s="207"/>
      <c r="AJU44" s="207"/>
      <c r="AJV44" s="207"/>
      <c r="AJW44" s="207"/>
      <c r="AJX44" s="207"/>
      <c r="AJY44" s="207"/>
      <c r="AJZ44" s="207"/>
      <c r="AKA44" s="207"/>
      <c r="AKB44" s="207"/>
      <c r="AKC44" s="207"/>
      <c r="AKD44" s="207"/>
      <c r="AKE44" s="207"/>
      <c r="AKF44" s="207"/>
      <c r="AKG44" s="207"/>
      <c r="AKH44" s="207"/>
      <c r="AKI44" s="207"/>
      <c r="AKJ44" s="207"/>
      <c r="AKK44" s="207"/>
      <c r="AKL44" s="207"/>
      <c r="AKM44" s="207"/>
      <c r="AKN44" s="207"/>
      <c r="AKO44" s="207"/>
      <c r="AKP44" s="207"/>
      <c r="AKQ44" s="207"/>
      <c r="AKR44" s="207"/>
      <c r="AKS44" s="207"/>
      <c r="AKT44" s="207"/>
      <c r="AKU44" s="207"/>
      <c r="AKV44" s="207"/>
      <c r="AKW44" s="207"/>
      <c r="AKX44" s="207"/>
      <c r="AKY44" s="207"/>
      <c r="AKZ44" s="207"/>
      <c r="ALA44" s="207"/>
      <c r="ALB44" s="207"/>
      <c r="ALC44" s="207"/>
      <c r="ALD44" s="207"/>
      <c r="ALE44" s="207"/>
      <c r="ALF44" s="207"/>
      <c r="ALG44" s="207"/>
      <c r="ALH44" s="207"/>
      <c r="ALI44" s="207"/>
      <c r="ALJ44" s="207"/>
      <c r="ALK44" s="207"/>
      <c r="ALL44" s="207"/>
      <c r="ALM44" s="207"/>
      <c r="ALN44" s="207"/>
      <c r="ALO44" s="207"/>
      <c r="ALP44" s="207"/>
      <c r="ALQ44" s="207"/>
      <c r="ALR44" s="207"/>
      <c r="ALS44" s="207"/>
      <c r="ALT44" s="207"/>
      <c r="ALU44" s="207"/>
      <c r="ALV44" s="207"/>
      <c r="ALW44" s="207"/>
      <c r="ALX44" s="207"/>
      <c r="ALY44" s="207"/>
      <c r="ALZ44" s="207"/>
      <c r="AMA44" s="207"/>
      <c r="AMB44" s="207"/>
      <c r="AMC44" s="207"/>
      <c r="AMD44" s="207"/>
      <c r="AME44" s="207"/>
      <c r="AMF44" s="207"/>
      <c r="AMG44" s="207"/>
      <c r="AMH44" s="207"/>
      <c r="AMI44" s="207"/>
      <c r="AMJ44" s="207"/>
      <c r="AMK44" s="207"/>
      <c r="AML44" s="207"/>
      <c r="AMM44" s="207"/>
      <c r="AMN44" s="207"/>
      <c r="AMO44" s="207"/>
      <c r="AMP44" s="207"/>
      <c r="AMQ44" s="207"/>
      <c r="AMR44" s="207"/>
      <c r="AMS44" s="207"/>
      <c r="AMT44" s="207"/>
      <c r="AMU44" s="207"/>
      <c r="AMV44" s="207"/>
      <c r="AMW44" s="207"/>
      <c r="AMX44" s="207"/>
      <c r="AMY44" s="207"/>
      <c r="AMZ44" s="207"/>
      <c r="ANA44" s="207"/>
      <c r="ANB44" s="207"/>
      <c r="ANC44" s="207"/>
      <c r="AND44" s="207"/>
      <c r="ANE44" s="207"/>
      <c r="ANF44" s="207"/>
      <c r="ANG44" s="207"/>
      <c r="ANH44" s="207"/>
      <c r="ANI44" s="207"/>
      <c r="ANJ44" s="207"/>
      <c r="ANK44" s="207"/>
      <c r="ANL44" s="207"/>
      <c r="ANM44" s="207"/>
      <c r="ANN44" s="207"/>
      <c r="ANO44" s="207"/>
      <c r="ANP44" s="207"/>
      <c r="ANQ44" s="207"/>
      <c r="ANR44" s="207"/>
      <c r="ANS44" s="207"/>
      <c r="ANT44" s="207"/>
      <c r="ANU44" s="207"/>
      <c r="ANV44" s="207"/>
      <c r="ANW44" s="207"/>
      <c r="ANX44" s="207"/>
      <c r="ANY44" s="207"/>
      <c r="ANZ44" s="207"/>
      <c r="AOA44" s="207"/>
      <c r="AOB44" s="207"/>
      <c r="AOC44" s="207"/>
      <c r="AOD44" s="207"/>
      <c r="AOE44" s="207"/>
      <c r="AOF44" s="207"/>
      <c r="AOG44" s="207"/>
      <c r="AOH44" s="207"/>
      <c r="AOI44" s="207"/>
      <c r="AOJ44" s="207"/>
      <c r="AOK44" s="207"/>
      <c r="AOL44" s="207"/>
      <c r="AOM44" s="207"/>
      <c r="AON44" s="207"/>
      <c r="AOO44" s="207"/>
      <c r="AOP44" s="207"/>
      <c r="AOQ44" s="207"/>
      <c r="AOR44" s="207"/>
      <c r="AOS44" s="207"/>
      <c r="AOT44" s="207"/>
      <c r="AOU44" s="207"/>
      <c r="AOV44" s="207"/>
      <c r="AOW44" s="207"/>
      <c r="AOX44" s="207"/>
      <c r="AOY44" s="207"/>
      <c r="AOZ44" s="207"/>
      <c r="APA44" s="207"/>
      <c r="APB44" s="207"/>
      <c r="APC44" s="207"/>
      <c r="APD44" s="207"/>
      <c r="APE44" s="207"/>
      <c r="APF44" s="207"/>
      <c r="APG44" s="207"/>
      <c r="APH44" s="207"/>
      <c r="API44" s="207"/>
      <c r="APJ44" s="207"/>
      <c r="APK44" s="207"/>
      <c r="APL44" s="207"/>
      <c r="APM44" s="207"/>
      <c r="APN44" s="207"/>
      <c r="APO44" s="207"/>
      <c r="APP44" s="207"/>
      <c r="APQ44" s="207"/>
      <c r="APR44" s="207"/>
      <c r="APS44" s="207"/>
      <c r="APT44" s="207"/>
      <c r="APU44" s="207"/>
      <c r="APV44" s="207"/>
      <c r="APW44" s="207"/>
      <c r="APX44" s="207"/>
      <c r="APY44" s="207"/>
      <c r="APZ44" s="207"/>
      <c r="AQA44" s="207"/>
      <c r="AQB44" s="207"/>
      <c r="AQC44" s="207"/>
      <c r="AQD44" s="207"/>
      <c r="AQE44" s="207"/>
      <c r="AQF44" s="207"/>
      <c r="AQG44" s="207"/>
      <c r="AQH44" s="207"/>
      <c r="AQI44" s="207"/>
      <c r="AQJ44" s="207"/>
      <c r="AQK44" s="207"/>
      <c r="AQL44" s="207"/>
      <c r="AQM44" s="207"/>
      <c r="AQN44" s="207"/>
      <c r="AQO44" s="207"/>
      <c r="AQP44" s="207"/>
      <c r="AQQ44" s="207"/>
      <c r="AQR44" s="207"/>
      <c r="AQS44" s="207"/>
      <c r="AQT44" s="207"/>
      <c r="AQU44" s="207"/>
      <c r="AQV44" s="207"/>
      <c r="AQW44" s="207"/>
      <c r="AQX44" s="207"/>
      <c r="AQY44" s="207"/>
      <c r="AQZ44" s="207"/>
      <c r="ARA44" s="207"/>
      <c r="ARB44" s="207"/>
      <c r="ARC44" s="207"/>
      <c r="ARD44" s="207"/>
      <c r="ARE44" s="207"/>
      <c r="ARF44" s="207"/>
      <c r="ARG44" s="207"/>
      <c r="ARH44" s="207"/>
      <c r="ARI44" s="207"/>
      <c r="ARJ44" s="207"/>
      <c r="ARK44" s="207"/>
      <c r="ARL44" s="207"/>
      <c r="ARM44" s="207"/>
      <c r="ARN44" s="207"/>
      <c r="ARO44" s="207"/>
      <c r="ARP44" s="207"/>
      <c r="ARQ44" s="207"/>
      <c r="ARR44" s="207"/>
      <c r="ARS44" s="207"/>
      <c r="ART44" s="207"/>
      <c r="ARU44" s="207"/>
      <c r="ARV44" s="207"/>
      <c r="ARW44" s="207"/>
      <c r="ARX44" s="207"/>
      <c r="ARY44" s="207"/>
      <c r="ARZ44" s="207"/>
      <c r="ASA44" s="207"/>
      <c r="ASB44" s="207"/>
      <c r="ASC44" s="207"/>
      <c r="ASD44" s="207"/>
      <c r="ASE44" s="207"/>
      <c r="ASF44" s="207"/>
      <c r="ASG44" s="207"/>
      <c r="ASH44" s="207"/>
      <c r="ASI44" s="207"/>
      <c r="ASJ44" s="207"/>
      <c r="ASK44" s="207"/>
      <c r="ASL44" s="207"/>
      <c r="ASM44" s="207"/>
      <c r="ASN44" s="207"/>
      <c r="ASO44" s="207"/>
      <c r="ASP44" s="207"/>
      <c r="ASQ44" s="207"/>
      <c r="ASR44" s="207"/>
      <c r="ASS44" s="207"/>
      <c r="AST44" s="207"/>
      <c r="ASU44" s="207"/>
      <c r="ASV44" s="207"/>
      <c r="ASW44" s="207"/>
      <c r="ASX44" s="207"/>
      <c r="ASY44" s="207"/>
      <c r="ASZ44" s="207"/>
      <c r="ATA44" s="207"/>
      <c r="ATB44" s="207"/>
      <c r="ATC44" s="207"/>
      <c r="ATD44" s="207"/>
      <c r="ATE44" s="207"/>
      <c r="ATF44" s="207"/>
      <c r="ATG44" s="207"/>
      <c r="ATH44" s="207"/>
      <c r="ATI44" s="207"/>
      <c r="ATJ44" s="207"/>
      <c r="ATK44" s="207"/>
      <c r="ATL44" s="207"/>
      <c r="ATM44" s="207"/>
      <c r="ATN44" s="207"/>
      <c r="ATO44" s="207"/>
      <c r="ATP44" s="207"/>
      <c r="ATQ44" s="207"/>
      <c r="ATR44" s="207"/>
      <c r="ATS44" s="207"/>
      <c r="ATT44" s="207"/>
      <c r="ATU44" s="207"/>
      <c r="ATV44" s="207"/>
      <c r="ATW44" s="207"/>
      <c r="ATX44" s="207"/>
      <c r="ATY44" s="207"/>
      <c r="ATZ44" s="207"/>
      <c r="AUA44" s="207"/>
      <c r="AUB44" s="207"/>
      <c r="AUC44" s="207"/>
      <c r="AUD44" s="207"/>
      <c r="AUE44" s="207"/>
      <c r="AUF44" s="207"/>
      <c r="AUG44" s="207"/>
      <c r="AUH44" s="207"/>
      <c r="AUI44" s="207"/>
      <c r="AUJ44" s="207"/>
      <c r="AUK44" s="207"/>
      <c r="AUL44" s="207"/>
      <c r="AUM44" s="207"/>
      <c r="AUN44" s="207"/>
      <c r="AUO44" s="207"/>
      <c r="AUP44" s="207"/>
      <c r="AUQ44" s="207"/>
      <c r="AUR44" s="207"/>
      <c r="AUS44" s="207"/>
      <c r="AUT44" s="207"/>
      <c r="AUU44" s="207"/>
      <c r="AUV44" s="207"/>
      <c r="AUW44" s="207"/>
      <c r="AUX44" s="207"/>
      <c r="AUY44" s="207"/>
      <c r="AUZ44" s="207"/>
      <c r="AVA44" s="207"/>
      <c r="AVB44" s="207"/>
      <c r="AVC44" s="207"/>
      <c r="AVD44" s="207"/>
      <c r="AVE44" s="207"/>
      <c r="AVF44" s="207"/>
      <c r="AVG44" s="207"/>
      <c r="AVH44" s="207"/>
      <c r="AVI44" s="207"/>
      <c r="AVJ44" s="207"/>
      <c r="AVK44" s="207"/>
      <c r="AVL44" s="207"/>
      <c r="AVM44" s="207"/>
      <c r="AVN44" s="207"/>
      <c r="AVO44" s="207"/>
      <c r="AVP44" s="207"/>
      <c r="AVQ44" s="207"/>
      <c r="AVR44" s="207"/>
      <c r="AVS44" s="207"/>
      <c r="AVT44" s="207"/>
      <c r="AVU44" s="207"/>
      <c r="AVV44" s="207"/>
      <c r="AVW44" s="207"/>
      <c r="AVX44" s="207"/>
      <c r="AVY44" s="207"/>
      <c r="AVZ44" s="207"/>
      <c r="AWA44" s="207"/>
      <c r="AWB44" s="207"/>
      <c r="AWC44" s="207"/>
      <c r="AWD44" s="207"/>
      <c r="AWE44" s="207"/>
      <c r="AWF44" s="207"/>
      <c r="AWG44" s="207"/>
      <c r="AWH44" s="207"/>
      <c r="AWI44" s="207"/>
      <c r="AWJ44" s="207"/>
      <c r="AWK44" s="207"/>
      <c r="AWL44" s="207"/>
      <c r="AWM44" s="207"/>
      <c r="AWN44" s="207"/>
      <c r="AWO44" s="207"/>
      <c r="AWP44" s="207"/>
      <c r="AWQ44" s="207"/>
      <c r="AWR44" s="207"/>
      <c r="AWS44" s="207"/>
      <c r="AWT44" s="207"/>
      <c r="AWU44" s="207"/>
      <c r="AWV44" s="207"/>
      <c r="AWW44" s="207"/>
      <c r="AWX44" s="207"/>
      <c r="AWY44" s="207"/>
      <c r="AWZ44" s="207"/>
      <c r="AXA44" s="207"/>
      <c r="AXB44" s="207"/>
      <c r="AXC44" s="207"/>
      <c r="AXD44" s="207"/>
      <c r="AXE44" s="207"/>
      <c r="AXF44" s="207"/>
      <c r="AXG44" s="207"/>
      <c r="AXH44" s="207"/>
      <c r="AXI44" s="207"/>
      <c r="AXJ44" s="207"/>
      <c r="AXK44" s="207"/>
      <c r="AXL44" s="207"/>
      <c r="AXM44" s="207"/>
      <c r="AXN44" s="207"/>
      <c r="AXO44" s="207"/>
      <c r="AXP44" s="207"/>
      <c r="AXQ44" s="207"/>
      <c r="AXR44" s="207"/>
      <c r="AXS44" s="207"/>
      <c r="AXT44" s="207"/>
      <c r="AXU44" s="207"/>
      <c r="AXV44" s="207"/>
      <c r="AXW44" s="207"/>
      <c r="AXX44" s="207"/>
      <c r="AXY44" s="207"/>
      <c r="AXZ44" s="207"/>
      <c r="AYA44" s="207"/>
      <c r="AYB44" s="207"/>
      <c r="AYC44" s="207"/>
      <c r="AYD44" s="207"/>
      <c r="AYE44" s="207"/>
      <c r="AYF44" s="207"/>
      <c r="AYG44" s="207"/>
      <c r="AYH44" s="207"/>
      <c r="AYI44" s="207"/>
      <c r="AYJ44" s="207"/>
      <c r="AYK44" s="207"/>
      <c r="AYL44" s="207"/>
      <c r="AYM44" s="207"/>
      <c r="AYN44" s="207"/>
      <c r="AYO44" s="207"/>
      <c r="AYP44" s="207"/>
      <c r="AYQ44" s="207"/>
      <c r="AYR44" s="207"/>
      <c r="AYS44" s="207"/>
      <c r="AYT44" s="207"/>
      <c r="AYU44" s="207"/>
      <c r="AYV44" s="207"/>
      <c r="AYW44" s="207"/>
      <c r="AYX44" s="207"/>
      <c r="AYY44" s="207"/>
      <c r="AYZ44" s="207"/>
      <c r="AZA44" s="207"/>
      <c r="AZB44" s="207"/>
      <c r="AZC44" s="207"/>
      <c r="AZD44" s="207"/>
      <c r="AZE44" s="207"/>
      <c r="AZF44" s="207"/>
      <c r="AZG44" s="207"/>
      <c r="AZH44" s="207"/>
      <c r="AZI44" s="207"/>
      <c r="AZJ44" s="207"/>
      <c r="AZK44" s="207"/>
      <c r="AZL44" s="207"/>
      <c r="AZM44" s="207"/>
      <c r="AZN44" s="207"/>
      <c r="AZO44" s="207"/>
      <c r="AZP44" s="207"/>
      <c r="AZQ44" s="207"/>
      <c r="AZR44" s="207"/>
      <c r="AZS44" s="207"/>
      <c r="AZT44" s="207"/>
      <c r="AZU44" s="207"/>
      <c r="AZV44" s="207"/>
      <c r="AZW44" s="207"/>
      <c r="AZX44" s="207"/>
      <c r="AZY44" s="207"/>
      <c r="AZZ44" s="207"/>
      <c r="BAA44" s="207"/>
      <c r="BAB44" s="207"/>
      <c r="BAC44" s="207"/>
      <c r="BAD44" s="207"/>
      <c r="BAE44" s="207"/>
      <c r="BAF44" s="207"/>
      <c r="BAG44" s="207"/>
      <c r="BAH44" s="207"/>
      <c r="BAI44" s="207"/>
      <c r="BAJ44" s="207"/>
      <c r="BAK44" s="207"/>
      <c r="BAL44" s="207"/>
      <c r="BAM44" s="207"/>
      <c r="BAN44" s="207"/>
      <c r="BAO44" s="207"/>
      <c r="BAP44" s="207"/>
      <c r="BAQ44" s="207"/>
      <c r="BAR44" s="207"/>
      <c r="BAS44" s="207"/>
      <c r="BAT44" s="207"/>
      <c r="BAU44" s="207"/>
      <c r="BAV44" s="207"/>
      <c r="BAW44" s="207"/>
      <c r="BAX44" s="207"/>
      <c r="BAY44" s="207"/>
      <c r="BAZ44" s="207"/>
      <c r="BBA44" s="207"/>
      <c r="BBB44" s="207"/>
      <c r="BBC44" s="207"/>
      <c r="BBD44" s="207"/>
      <c r="BBE44" s="207"/>
      <c r="BBF44" s="207"/>
      <c r="BBG44" s="207"/>
      <c r="BBH44" s="207"/>
      <c r="BBI44" s="207"/>
      <c r="BBJ44" s="207"/>
      <c r="BBK44" s="207"/>
      <c r="BBL44" s="207"/>
      <c r="BBM44" s="207"/>
      <c r="BBN44" s="207"/>
      <c r="BBO44" s="207"/>
      <c r="BBP44" s="207"/>
      <c r="BBQ44" s="207"/>
      <c r="BBR44" s="207"/>
      <c r="BBS44" s="207"/>
      <c r="BBT44" s="207"/>
      <c r="BBU44" s="207"/>
      <c r="BBV44" s="207"/>
      <c r="BBW44" s="207"/>
      <c r="BBX44" s="207"/>
      <c r="BBY44" s="207"/>
      <c r="BBZ44" s="207"/>
      <c r="BCA44" s="207"/>
      <c r="BCB44" s="207"/>
      <c r="BCC44" s="207"/>
      <c r="BCD44" s="207"/>
      <c r="BCE44" s="207"/>
      <c r="BCF44" s="207"/>
      <c r="BCG44" s="207"/>
      <c r="BCH44" s="207"/>
      <c r="BCI44" s="207"/>
      <c r="BCJ44" s="207"/>
      <c r="BCK44" s="207"/>
      <c r="BCL44" s="207"/>
      <c r="BCM44" s="207"/>
      <c r="BCN44" s="207"/>
      <c r="BCO44" s="207"/>
      <c r="BCP44" s="207"/>
      <c r="BCQ44" s="207"/>
      <c r="BCR44" s="207"/>
      <c r="BCS44" s="207"/>
      <c r="BCT44" s="207"/>
      <c r="BCU44" s="207"/>
      <c r="BCV44" s="207"/>
      <c r="BCW44" s="207"/>
      <c r="BCX44" s="207"/>
      <c r="BCY44" s="207"/>
      <c r="BCZ44" s="207"/>
      <c r="BDA44" s="207"/>
      <c r="BDB44" s="207"/>
      <c r="BDC44" s="207"/>
      <c r="BDD44" s="207"/>
      <c r="BDE44" s="207"/>
      <c r="BDF44" s="207"/>
      <c r="BDG44" s="207"/>
      <c r="BDH44" s="207"/>
      <c r="BDI44" s="207"/>
      <c r="BDJ44" s="207"/>
      <c r="BDK44" s="207"/>
      <c r="BDL44" s="207"/>
      <c r="BDM44" s="207"/>
      <c r="BDN44" s="207"/>
      <c r="BDO44" s="207"/>
      <c r="BDP44" s="207"/>
      <c r="BDQ44" s="207"/>
      <c r="BDR44" s="207"/>
      <c r="BDS44" s="207"/>
      <c r="BDT44" s="207"/>
      <c r="BDU44" s="207"/>
      <c r="BDV44" s="207"/>
      <c r="BDW44" s="207"/>
      <c r="BDX44" s="207"/>
      <c r="BDY44" s="207"/>
      <c r="BDZ44" s="207"/>
      <c r="BEA44" s="207"/>
      <c r="BEB44" s="207"/>
      <c r="BEC44" s="207"/>
      <c r="BED44" s="207"/>
      <c r="BEE44" s="207"/>
      <c r="BEF44" s="207"/>
      <c r="BEG44" s="207"/>
      <c r="BEH44" s="207"/>
      <c r="BEI44" s="207"/>
      <c r="BEJ44" s="207"/>
      <c r="BEK44" s="207"/>
      <c r="BEL44" s="207"/>
      <c r="BEM44" s="207"/>
      <c r="BEN44" s="207"/>
      <c r="BEO44" s="207"/>
      <c r="BEP44" s="207"/>
      <c r="BEQ44" s="207"/>
      <c r="BER44" s="207"/>
      <c r="BES44" s="207"/>
      <c r="BET44" s="207"/>
      <c r="BEU44" s="207"/>
      <c r="BEV44" s="207"/>
      <c r="BEW44" s="207"/>
      <c r="BEX44" s="207"/>
      <c r="BEY44" s="207"/>
      <c r="BEZ44" s="207"/>
      <c r="BFA44" s="207"/>
      <c r="BFB44" s="207"/>
      <c r="BFC44" s="207"/>
      <c r="BFD44" s="207"/>
      <c r="BFE44" s="207"/>
      <c r="BFF44" s="207"/>
      <c r="BFG44" s="207"/>
      <c r="BFH44" s="207"/>
      <c r="BFI44" s="207"/>
      <c r="BFJ44" s="207"/>
      <c r="BFK44" s="207"/>
      <c r="BFL44" s="207"/>
      <c r="BFM44" s="207"/>
      <c r="BFN44" s="207"/>
      <c r="BFO44" s="207"/>
      <c r="BFP44" s="207"/>
      <c r="BFQ44" s="207"/>
      <c r="BFR44" s="207"/>
      <c r="BFS44" s="207"/>
      <c r="BFT44" s="207"/>
      <c r="BFU44" s="207"/>
      <c r="BFV44" s="207"/>
      <c r="BFW44" s="207"/>
      <c r="BFX44" s="207"/>
      <c r="BFY44" s="207"/>
      <c r="BFZ44" s="207"/>
      <c r="BGA44" s="207"/>
      <c r="BGB44" s="207"/>
      <c r="BGC44" s="207"/>
      <c r="BGD44" s="207"/>
      <c r="BGE44" s="207"/>
      <c r="BGF44" s="207"/>
      <c r="BGG44" s="207"/>
      <c r="BGH44" s="207"/>
      <c r="BGI44" s="207"/>
      <c r="BGJ44" s="207"/>
      <c r="BGK44" s="207"/>
      <c r="BGL44" s="207"/>
      <c r="BGM44" s="207"/>
      <c r="BGN44" s="207"/>
      <c r="BGO44" s="207"/>
      <c r="BGP44" s="207"/>
      <c r="BGQ44" s="207"/>
      <c r="BGR44" s="207"/>
      <c r="BGS44" s="207"/>
      <c r="BGT44" s="207"/>
      <c r="BGU44" s="207"/>
      <c r="BGV44" s="207"/>
      <c r="BGW44" s="207"/>
      <c r="BGX44" s="207"/>
      <c r="BGY44" s="207"/>
      <c r="BGZ44" s="207"/>
      <c r="BHA44" s="207"/>
      <c r="BHB44" s="207"/>
      <c r="BHC44" s="207"/>
      <c r="BHD44" s="207"/>
      <c r="BHE44" s="207"/>
      <c r="BHF44" s="207"/>
      <c r="BHG44" s="207"/>
      <c r="BHH44" s="207"/>
      <c r="BHI44" s="207"/>
      <c r="BHJ44" s="207"/>
      <c r="BHK44" s="207"/>
      <c r="BHL44" s="207"/>
      <c r="BHM44" s="207"/>
      <c r="BHN44" s="207"/>
      <c r="BHO44" s="207"/>
      <c r="BHP44" s="207"/>
      <c r="BHQ44" s="207"/>
      <c r="BHR44" s="207"/>
      <c r="BHS44" s="207"/>
      <c r="BHT44" s="207"/>
      <c r="BHU44" s="207"/>
      <c r="BHV44" s="207"/>
      <c r="BHW44" s="207"/>
      <c r="BHX44" s="207"/>
      <c r="BHY44" s="207"/>
      <c r="BHZ44" s="207"/>
      <c r="BIA44" s="207"/>
      <c r="BIB44" s="207"/>
      <c r="BIC44" s="207"/>
      <c r="BID44" s="207"/>
      <c r="BIE44" s="207"/>
      <c r="BIF44" s="207"/>
      <c r="BIG44" s="207"/>
      <c r="BIH44" s="207"/>
      <c r="BII44" s="207"/>
      <c r="BIJ44" s="207"/>
      <c r="BIK44" s="207"/>
      <c r="BIL44" s="207"/>
      <c r="BIM44" s="207"/>
      <c r="BIN44" s="207"/>
      <c r="BIO44" s="207"/>
      <c r="BIP44" s="207"/>
      <c r="BIQ44" s="207"/>
      <c r="BIR44" s="207"/>
      <c r="BIS44" s="207"/>
      <c r="BIT44" s="207"/>
      <c r="BIU44" s="207"/>
      <c r="BIV44" s="207"/>
      <c r="BIW44" s="207"/>
      <c r="BIX44" s="207"/>
      <c r="BIY44" s="207"/>
      <c r="BIZ44" s="207"/>
      <c r="BJA44" s="207"/>
      <c r="BJB44" s="207"/>
      <c r="BJC44" s="207"/>
      <c r="BJD44" s="207"/>
      <c r="BJE44" s="207"/>
      <c r="BJF44" s="207"/>
      <c r="BJG44" s="207"/>
      <c r="BJH44" s="207"/>
      <c r="BJI44" s="207"/>
      <c r="BJJ44" s="207"/>
      <c r="BJK44" s="207"/>
      <c r="BJL44" s="207"/>
      <c r="BJM44" s="207"/>
      <c r="BJN44" s="207"/>
      <c r="BJO44" s="207"/>
      <c r="BJP44" s="207"/>
      <c r="BJQ44" s="207"/>
      <c r="BJR44" s="207"/>
      <c r="BJS44" s="207"/>
      <c r="BJT44" s="207"/>
      <c r="BJU44" s="207"/>
      <c r="BJV44" s="207"/>
      <c r="BJW44" s="207"/>
      <c r="BJX44" s="207"/>
      <c r="BJY44" s="207"/>
      <c r="BJZ44" s="207"/>
      <c r="BKA44" s="207"/>
      <c r="BKB44" s="207"/>
      <c r="BKC44" s="207"/>
      <c r="BKD44" s="207"/>
      <c r="BKE44" s="207"/>
      <c r="BKF44" s="207"/>
      <c r="BKG44" s="207"/>
      <c r="BKH44" s="207"/>
      <c r="BKI44" s="207"/>
      <c r="BKJ44" s="207"/>
      <c r="BKK44" s="207"/>
      <c r="BKL44" s="207"/>
      <c r="BKM44" s="207"/>
      <c r="BKN44" s="207"/>
      <c r="BKO44" s="207"/>
      <c r="BKP44" s="207"/>
      <c r="BKQ44" s="207"/>
      <c r="BKR44" s="207"/>
      <c r="BKS44" s="207"/>
      <c r="BKT44" s="207"/>
      <c r="BKU44" s="207"/>
      <c r="BKV44" s="207"/>
      <c r="BKW44" s="207"/>
      <c r="BKX44" s="207"/>
      <c r="BKY44" s="207"/>
      <c r="BKZ44" s="207"/>
      <c r="BLA44" s="207"/>
      <c r="BLB44" s="207"/>
      <c r="BLC44" s="207"/>
      <c r="BLD44" s="207"/>
      <c r="BLE44" s="207"/>
      <c r="BLF44" s="207"/>
      <c r="BLG44" s="207"/>
      <c r="BLH44" s="207"/>
      <c r="BLI44" s="207"/>
      <c r="BLJ44" s="207"/>
      <c r="BLK44" s="207"/>
      <c r="BLL44" s="207"/>
      <c r="BLM44" s="207"/>
      <c r="BLN44" s="207"/>
      <c r="BLO44" s="207"/>
      <c r="BLP44" s="207"/>
      <c r="BLQ44" s="207"/>
      <c r="BLR44" s="207"/>
      <c r="BLS44" s="207"/>
      <c r="BLT44" s="207"/>
      <c r="BLU44" s="207"/>
      <c r="BLV44" s="207"/>
      <c r="BLW44" s="207"/>
      <c r="BLX44" s="207"/>
      <c r="BLY44" s="207"/>
      <c r="BLZ44" s="207"/>
      <c r="BMA44" s="207"/>
      <c r="BMB44" s="207"/>
      <c r="BMC44" s="207"/>
      <c r="BMD44" s="207"/>
      <c r="BME44" s="207"/>
      <c r="BMF44" s="207"/>
      <c r="BMG44" s="207"/>
      <c r="BMH44" s="207"/>
      <c r="BMI44" s="207"/>
      <c r="BMJ44" s="207"/>
      <c r="BMK44" s="207"/>
      <c r="BML44" s="207"/>
      <c r="BMM44" s="207"/>
      <c r="BMN44" s="207"/>
      <c r="BMO44" s="207"/>
      <c r="BMP44" s="207"/>
      <c r="BMQ44" s="207"/>
      <c r="BMR44" s="207"/>
      <c r="BMS44" s="207"/>
      <c r="BMT44" s="207"/>
      <c r="BMU44" s="207"/>
      <c r="BMV44" s="207"/>
      <c r="BMW44" s="207"/>
      <c r="BMX44" s="207"/>
      <c r="BMY44" s="207"/>
      <c r="BMZ44" s="207"/>
      <c r="BNA44" s="207"/>
      <c r="BNB44" s="207"/>
      <c r="BNC44" s="207"/>
      <c r="BND44" s="207"/>
      <c r="BNE44" s="207"/>
      <c r="BNF44" s="207"/>
      <c r="BNG44" s="207"/>
      <c r="BNH44" s="207"/>
      <c r="BNI44" s="207"/>
      <c r="BNJ44" s="207"/>
      <c r="BNK44" s="207"/>
      <c r="BNL44" s="207"/>
      <c r="BNM44" s="207"/>
      <c r="BNN44" s="207"/>
      <c r="BNO44" s="207"/>
      <c r="BNP44" s="207"/>
      <c r="BNQ44" s="207"/>
      <c r="BNR44" s="207"/>
      <c r="BNS44" s="207"/>
      <c r="BNT44" s="207"/>
      <c r="BNU44" s="207"/>
      <c r="BNV44" s="207"/>
      <c r="BNW44" s="207"/>
      <c r="BNX44" s="207"/>
      <c r="BNY44" s="207"/>
      <c r="BNZ44" s="207"/>
      <c r="BOA44" s="207"/>
      <c r="BOB44" s="207"/>
      <c r="BOC44" s="207"/>
      <c r="BOD44" s="207"/>
      <c r="BOE44" s="207"/>
      <c r="BOF44" s="207"/>
      <c r="BOG44" s="207"/>
      <c r="BOH44" s="207"/>
      <c r="BOI44" s="207"/>
      <c r="BOJ44" s="207"/>
      <c r="BOK44" s="207"/>
      <c r="BOL44" s="207"/>
      <c r="BOM44" s="207"/>
      <c r="BON44" s="207"/>
      <c r="BOO44" s="207"/>
      <c r="BOP44" s="207"/>
      <c r="BOQ44" s="207"/>
      <c r="BOR44" s="207"/>
      <c r="BOS44" s="207"/>
      <c r="BOT44" s="207"/>
      <c r="BOU44" s="207"/>
      <c r="BOV44" s="207"/>
      <c r="BOW44" s="207"/>
      <c r="BOX44" s="207"/>
      <c r="BOY44" s="207"/>
      <c r="BOZ44" s="207"/>
      <c r="BPA44" s="207"/>
      <c r="BPB44" s="207"/>
      <c r="BPC44" s="207"/>
      <c r="BPD44" s="207"/>
      <c r="BPE44" s="207"/>
      <c r="BPF44" s="207"/>
      <c r="BPG44" s="207"/>
      <c r="BPH44" s="207"/>
      <c r="BPI44" s="207"/>
      <c r="BPJ44" s="207"/>
      <c r="BPK44" s="207"/>
      <c r="BPL44" s="207"/>
      <c r="BPM44" s="207"/>
      <c r="BPN44" s="207"/>
      <c r="BPO44" s="207"/>
      <c r="BPP44" s="207"/>
      <c r="BPQ44" s="207"/>
      <c r="BPR44" s="207"/>
      <c r="BPS44" s="207"/>
      <c r="BPT44" s="207"/>
      <c r="BPU44" s="207"/>
      <c r="BPV44" s="207"/>
      <c r="BPW44" s="207"/>
      <c r="BPX44" s="207"/>
      <c r="BPY44" s="207"/>
      <c r="BPZ44" s="207"/>
      <c r="BQA44" s="207"/>
      <c r="BQB44" s="207"/>
      <c r="BQC44" s="207"/>
      <c r="BQD44" s="207"/>
      <c r="BQE44" s="207"/>
      <c r="BQF44" s="207"/>
      <c r="BQG44" s="207"/>
      <c r="BQH44" s="207"/>
      <c r="BQI44" s="207"/>
      <c r="BQJ44" s="207"/>
      <c r="BQK44" s="207"/>
      <c r="BQL44" s="207"/>
      <c r="BQM44" s="207"/>
      <c r="BQN44" s="207"/>
      <c r="BQO44" s="207"/>
      <c r="BQP44" s="207"/>
      <c r="BQQ44" s="207"/>
      <c r="BQR44" s="207"/>
      <c r="BQS44" s="207"/>
      <c r="BQT44" s="207"/>
      <c r="BQU44" s="207"/>
      <c r="BQV44" s="207"/>
      <c r="BQW44" s="207"/>
      <c r="BQX44" s="207"/>
      <c r="BQY44" s="207"/>
      <c r="BQZ44" s="207"/>
      <c r="BRA44" s="207"/>
      <c r="BRB44" s="207"/>
      <c r="BRC44" s="207"/>
      <c r="BRD44" s="207"/>
      <c r="BRE44" s="207"/>
      <c r="BRF44" s="207"/>
      <c r="BRG44" s="207"/>
      <c r="BRH44" s="207"/>
      <c r="BRI44" s="207"/>
      <c r="BRJ44" s="207"/>
      <c r="BRK44" s="207"/>
      <c r="BRL44" s="207"/>
      <c r="BRM44" s="207"/>
      <c r="BRN44" s="207"/>
      <c r="BRO44" s="207"/>
      <c r="BRP44" s="207"/>
      <c r="BRQ44" s="207"/>
      <c r="BRR44" s="207"/>
      <c r="BRS44" s="207"/>
      <c r="BRT44" s="207"/>
      <c r="BRU44" s="207"/>
      <c r="BRV44" s="207"/>
      <c r="BRW44" s="207"/>
      <c r="BRX44" s="207"/>
      <c r="BRY44" s="207"/>
      <c r="BRZ44" s="207"/>
      <c r="BSA44" s="207"/>
      <c r="BSB44" s="207"/>
      <c r="BSC44" s="207"/>
      <c r="BSD44" s="207"/>
      <c r="BSE44" s="207"/>
      <c r="BSF44" s="207"/>
      <c r="BSG44" s="207"/>
      <c r="BSH44" s="207"/>
      <c r="BSI44" s="207"/>
      <c r="BSJ44" s="207"/>
      <c r="BSK44" s="207"/>
      <c r="BSL44" s="207"/>
      <c r="BSM44" s="207"/>
      <c r="BSN44" s="207"/>
      <c r="BSO44" s="207"/>
      <c r="BSP44" s="207"/>
      <c r="BSQ44" s="207"/>
      <c r="BSR44" s="207"/>
      <c r="BSS44" s="207"/>
      <c r="BST44" s="207"/>
      <c r="BSU44" s="207"/>
      <c r="BSV44" s="207"/>
      <c r="BSW44" s="207"/>
      <c r="BSX44" s="207"/>
      <c r="BSY44" s="207"/>
      <c r="BSZ44" s="207"/>
      <c r="BTA44" s="207"/>
      <c r="BTB44" s="207"/>
      <c r="BTC44" s="207"/>
      <c r="BTD44" s="207"/>
      <c r="BTE44" s="207"/>
      <c r="BTF44" s="207"/>
      <c r="BTG44" s="207"/>
      <c r="BTH44" s="207"/>
      <c r="BTI44" s="207"/>
      <c r="BTJ44" s="207"/>
      <c r="BTK44" s="207"/>
      <c r="BTL44" s="207"/>
      <c r="BTM44" s="207"/>
      <c r="BTN44" s="207"/>
      <c r="BTO44" s="207"/>
      <c r="BTP44" s="207"/>
      <c r="BTQ44" s="207"/>
      <c r="BTR44" s="207"/>
      <c r="BTS44" s="207"/>
      <c r="BTT44" s="207"/>
      <c r="BTU44" s="207"/>
      <c r="BTV44" s="207"/>
      <c r="BTW44" s="207"/>
      <c r="BTX44" s="207"/>
      <c r="BTY44" s="207"/>
      <c r="BTZ44" s="207"/>
      <c r="BUA44" s="207"/>
      <c r="BUB44" s="207"/>
      <c r="BUC44" s="207"/>
      <c r="BUD44" s="207"/>
      <c r="BUE44" s="207"/>
      <c r="BUF44" s="207"/>
      <c r="BUG44" s="207"/>
      <c r="BUH44" s="207"/>
      <c r="BUI44" s="207"/>
      <c r="BUJ44" s="207"/>
      <c r="BUK44" s="207"/>
      <c r="BUL44" s="207"/>
      <c r="BUM44" s="207"/>
      <c r="BUN44" s="207"/>
      <c r="BUO44" s="207"/>
      <c r="BUP44" s="207"/>
      <c r="BUQ44" s="207"/>
      <c r="BUR44" s="207"/>
      <c r="BUS44" s="207"/>
      <c r="BUT44" s="207"/>
      <c r="BUU44" s="207"/>
      <c r="BUV44" s="207"/>
      <c r="BUW44" s="207"/>
      <c r="BUX44" s="207"/>
      <c r="BUY44" s="207"/>
      <c r="BUZ44" s="207"/>
      <c r="BVA44" s="207"/>
      <c r="BVB44" s="207"/>
      <c r="BVC44" s="207"/>
      <c r="BVD44" s="207"/>
      <c r="BVE44" s="207"/>
      <c r="BVF44" s="207"/>
      <c r="BVG44" s="207"/>
      <c r="BVH44" s="207"/>
      <c r="BVI44" s="207"/>
      <c r="BVJ44" s="207"/>
      <c r="BVK44" s="207"/>
      <c r="BVL44" s="207"/>
      <c r="BVM44" s="207"/>
      <c r="BVN44" s="207"/>
      <c r="BVO44" s="207"/>
      <c r="BVP44" s="207"/>
      <c r="BVQ44" s="207"/>
      <c r="BVR44" s="207"/>
      <c r="BVS44" s="207"/>
      <c r="BVT44" s="207"/>
      <c r="BVU44" s="207"/>
      <c r="BVV44" s="207"/>
      <c r="BVW44" s="207"/>
      <c r="BVX44" s="207"/>
      <c r="BVY44" s="207"/>
      <c r="BVZ44" s="207"/>
      <c r="BWA44" s="207"/>
      <c r="BWB44" s="207"/>
      <c r="BWC44" s="207"/>
      <c r="BWD44" s="207"/>
      <c r="BWE44" s="207"/>
      <c r="BWF44" s="207"/>
      <c r="BWG44" s="207"/>
      <c r="BWH44" s="207"/>
      <c r="BWI44" s="207"/>
      <c r="BWJ44" s="207"/>
      <c r="BWK44" s="207"/>
      <c r="BWL44" s="207"/>
      <c r="BWM44" s="207"/>
      <c r="BWN44" s="207"/>
      <c r="BWO44" s="207"/>
      <c r="BWP44" s="207"/>
      <c r="BWQ44" s="207"/>
      <c r="BWR44" s="207"/>
      <c r="BWS44" s="207"/>
      <c r="BWT44" s="207"/>
      <c r="BWU44" s="207"/>
      <c r="BWV44" s="207"/>
      <c r="BWW44" s="207"/>
      <c r="BWX44" s="207"/>
      <c r="BWY44" s="207"/>
      <c r="BWZ44" s="207"/>
      <c r="BXA44" s="207"/>
      <c r="BXB44" s="207"/>
      <c r="BXC44" s="207"/>
      <c r="BXD44" s="207"/>
      <c r="BXE44" s="207"/>
      <c r="BXF44" s="207"/>
      <c r="BXG44" s="207"/>
      <c r="BXH44" s="207"/>
      <c r="BXI44" s="207"/>
      <c r="BXJ44" s="207"/>
      <c r="BXK44" s="207"/>
      <c r="BXL44" s="207"/>
      <c r="BXM44" s="207"/>
      <c r="BXN44" s="207"/>
      <c r="BXO44" s="207"/>
      <c r="BXP44" s="207"/>
      <c r="BXQ44" s="207"/>
      <c r="BXR44" s="207"/>
      <c r="BXS44" s="207"/>
      <c r="BXT44" s="207"/>
      <c r="BXU44" s="207"/>
      <c r="BXV44" s="207"/>
      <c r="BXW44" s="207"/>
      <c r="BXX44" s="207"/>
      <c r="BXY44" s="207"/>
      <c r="BXZ44" s="207"/>
      <c r="BYA44" s="207"/>
      <c r="BYB44" s="207"/>
      <c r="BYC44" s="207"/>
      <c r="BYD44" s="207"/>
      <c r="BYE44" s="207"/>
      <c r="BYF44" s="207"/>
      <c r="BYG44" s="207"/>
    </row>
    <row r="45" spans="1:2009" s="100" customFormat="1" ht="12.75" customHeight="1" thickBot="1" x14ac:dyDescent="0.3">
      <c r="A45" s="97"/>
      <c r="B45" s="128"/>
      <c r="C45" s="170"/>
      <c r="D45" s="170"/>
      <c r="E45" s="170"/>
      <c r="F45" s="170"/>
      <c r="G45" s="661"/>
      <c r="H45" s="98"/>
      <c r="I45" s="75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274</v>
      </c>
      <c r="B46" s="424"/>
      <c r="C46" s="425"/>
      <c r="D46" s="425"/>
      <c r="E46" s="425"/>
      <c r="F46" s="426"/>
      <c r="G46" s="662"/>
      <c r="H46" s="98"/>
      <c r="I46" s="75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71"/>
      <c r="B47" s="430" t="s">
        <v>433</v>
      </c>
      <c r="C47" s="456"/>
      <c r="D47" s="456"/>
      <c r="E47" s="432"/>
      <c r="F47" s="433"/>
      <c r="G47" s="663">
        <f>ROUND(SUM(C47:F47),5)</f>
        <v>0</v>
      </c>
      <c r="H47" s="98"/>
      <c r="I47" s="75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customHeight="1" x14ac:dyDescent="0.25">
      <c r="A48" s="371"/>
      <c r="B48" s="430" t="s">
        <v>496</v>
      </c>
      <c r="C48" s="456"/>
      <c r="D48" s="456">
        <v>2259.9899999999998</v>
      </c>
      <c r="E48" s="456"/>
      <c r="F48" s="522"/>
      <c r="G48" s="663">
        <f>ROUND(SUM(C48:F48),5)</f>
        <v>2259.9899999999998</v>
      </c>
      <c r="H48" s="98"/>
      <c r="I48" s="75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customHeight="1" x14ac:dyDescent="0.25">
      <c r="A49" s="372"/>
      <c r="B49" s="616" t="s">
        <v>432</v>
      </c>
      <c r="C49" s="457">
        <v>10640.2</v>
      </c>
      <c r="D49" s="457">
        <v>12003.43</v>
      </c>
      <c r="E49" s="457">
        <v>13000.93</v>
      </c>
      <c r="F49" s="617"/>
      <c r="G49" s="664">
        <f>ROUND(SUM(C49:F49),5)</f>
        <v>35644.559999999998</v>
      </c>
      <c r="H49" s="98"/>
      <c r="I49" s="75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hidden="1" customHeight="1" x14ac:dyDescent="0.25">
      <c r="A50" s="372"/>
      <c r="B50" s="430" t="s">
        <v>287</v>
      </c>
      <c r="C50" s="457"/>
      <c r="D50" s="457"/>
      <c r="E50" s="457"/>
      <c r="F50" s="434"/>
      <c r="G50" s="664">
        <f>ROUND(SUM(C50:F50),5)</f>
        <v>0</v>
      </c>
      <c r="H50" s="98"/>
      <c r="I50" s="75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5" customFormat="1" ht="24.95" customHeight="1" thickBot="1" x14ac:dyDescent="0.3">
      <c r="A51" s="224"/>
      <c r="B51" s="431" t="s">
        <v>197</v>
      </c>
      <c r="C51" s="427">
        <f>SUM(C46:C50)</f>
        <v>10640.2</v>
      </c>
      <c r="D51" s="427">
        <f t="shared" ref="D51:E51" si="1">SUM(D46:D50)</f>
        <v>14263.42</v>
      </c>
      <c r="E51" s="427">
        <f t="shared" si="1"/>
        <v>13000.93</v>
      </c>
      <c r="F51" s="427"/>
      <c r="G51" s="665">
        <f>ROUND(SUM(C51:F51),5)</f>
        <v>37904.550000000003</v>
      </c>
      <c r="H51" s="196"/>
      <c r="I51" s="555"/>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c r="HZ51" s="197"/>
      <c r="IA51" s="197"/>
      <c r="IB51" s="197"/>
      <c r="IC51" s="197"/>
      <c r="ID51" s="197"/>
      <c r="IE51" s="197"/>
      <c r="IF51" s="197"/>
      <c r="IG51" s="197"/>
      <c r="IH51" s="197"/>
      <c r="II51" s="197"/>
      <c r="IJ51" s="197"/>
      <c r="IK51" s="197"/>
      <c r="IL51" s="197"/>
      <c r="IM51" s="197"/>
      <c r="IN51" s="197"/>
      <c r="IO51" s="197"/>
      <c r="IP51" s="197"/>
      <c r="IQ51" s="197"/>
      <c r="IR51" s="197"/>
      <c r="IS51" s="197"/>
      <c r="IT51" s="197"/>
      <c r="IU51" s="197"/>
      <c r="IV51" s="197"/>
      <c r="IW51" s="197"/>
      <c r="IX51" s="197"/>
      <c r="IY51" s="197"/>
      <c r="IZ51" s="197"/>
      <c r="JA51" s="197"/>
      <c r="JB51" s="197"/>
      <c r="JC51" s="197"/>
      <c r="JD51" s="197"/>
      <c r="JE51" s="197"/>
      <c r="JF51" s="197"/>
      <c r="JG51" s="197"/>
      <c r="JH51" s="197"/>
      <c r="JI51" s="197"/>
      <c r="JJ51" s="197"/>
      <c r="JK51" s="197"/>
      <c r="JL51" s="197"/>
      <c r="JM51" s="197"/>
      <c r="JN51" s="197"/>
      <c r="JO51" s="197"/>
      <c r="JP51" s="197"/>
      <c r="JQ51" s="197"/>
      <c r="JR51" s="197"/>
      <c r="JS51" s="197"/>
      <c r="JT51" s="197"/>
      <c r="JU51" s="197"/>
      <c r="JV51" s="197"/>
      <c r="JW51" s="197"/>
      <c r="JX51" s="197"/>
      <c r="JY51" s="197"/>
      <c r="JZ51" s="197"/>
      <c r="KA51" s="197"/>
      <c r="KB51" s="197"/>
      <c r="KC51" s="197"/>
      <c r="KD51" s="197"/>
      <c r="KE51" s="197"/>
      <c r="KF51" s="197"/>
      <c r="KG51" s="197"/>
      <c r="KH51" s="197"/>
      <c r="KI51" s="197"/>
      <c r="KJ51" s="197"/>
      <c r="KK51" s="197"/>
      <c r="KL51" s="197"/>
      <c r="KM51" s="197"/>
      <c r="KN51" s="197"/>
      <c r="KO51" s="197"/>
      <c r="KP51" s="197"/>
      <c r="KQ51" s="197"/>
      <c r="KR51" s="197"/>
      <c r="KS51" s="197"/>
      <c r="KT51" s="197"/>
      <c r="KU51" s="197"/>
      <c r="KV51" s="197"/>
      <c r="KW51" s="197"/>
      <c r="KX51" s="197"/>
      <c r="KY51" s="197"/>
      <c r="KZ51" s="197"/>
      <c r="LA51" s="197"/>
      <c r="LB51" s="197"/>
      <c r="LC51" s="197"/>
      <c r="LD51" s="197"/>
      <c r="LE51" s="197"/>
      <c r="LF51" s="197"/>
      <c r="LG51" s="197"/>
      <c r="LH51" s="197"/>
      <c r="LI51" s="197"/>
      <c r="LJ51" s="197"/>
      <c r="LK51" s="197"/>
      <c r="LL51" s="197"/>
      <c r="LM51" s="197"/>
      <c r="LN51" s="197"/>
      <c r="LO51" s="197"/>
      <c r="LP51" s="197"/>
      <c r="LQ51" s="197"/>
      <c r="LR51" s="197"/>
      <c r="LS51" s="197"/>
      <c r="LT51" s="197"/>
      <c r="LU51" s="197"/>
      <c r="LV51" s="197"/>
      <c r="LW51" s="197"/>
      <c r="LX51" s="197"/>
      <c r="LY51" s="197"/>
      <c r="LZ51" s="197"/>
      <c r="MA51" s="197"/>
      <c r="MB51" s="197"/>
      <c r="MC51" s="197"/>
      <c r="MD51" s="197"/>
      <c r="ME51" s="197"/>
      <c r="MF51" s="197"/>
      <c r="MG51" s="197"/>
      <c r="MH51" s="197"/>
      <c r="MI51" s="197"/>
      <c r="MJ51" s="197"/>
      <c r="MK51" s="197"/>
      <c r="ML51" s="197"/>
      <c r="MM51" s="197"/>
      <c r="MN51" s="197"/>
      <c r="MO51" s="197"/>
      <c r="MP51" s="197"/>
      <c r="MQ51" s="197"/>
      <c r="MR51" s="197"/>
      <c r="MS51" s="197"/>
      <c r="MT51" s="197"/>
      <c r="MU51" s="197"/>
      <c r="MV51" s="197"/>
      <c r="MW51" s="197"/>
      <c r="MX51" s="197"/>
      <c r="MY51" s="197"/>
      <c r="MZ51" s="197"/>
      <c r="NA51" s="197"/>
      <c r="NB51" s="197"/>
      <c r="NC51" s="197"/>
      <c r="ND51" s="197"/>
      <c r="NE51" s="197"/>
      <c r="NF51" s="197"/>
      <c r="NG51" s="197"/>
      <c r="NH51" s="197"/>
      <c r="NI51" s="197"/>
      <c r="NJ51" s="197"/>
      <c r="NK51" s="197"/>
      <c r="NL51" s="197"/>
      <c r="NM51" s="197"/>
      <c r="NN51" s="197"/>
      <c r="NO51" s="197"/>
      <c r="NP51" s="197"/>
      <c r="NQ51" s="197"/>
      <c r="NR51" s="197"/>
      <c r="NS51" s="197"/>
      <c r="NT51" s="197"/>
      <c r="NU51" s="197"/>
      <c r="NV51" s="197"/>
      <c r="NW51" s="197"/>
      <c r="NX51" s="197"/>
      <c r="NY51" s="197"/>
      <c r="NZ51" s="197"/>
      <c r="OA51" s="197"/>
      <c r="OB51" s="197"/>
      <c r="OC51" s="197"/>
      <c r="OD51" s="197"/>
      <c r="OE51" s="197"/>
      <c r="OF51" s="197"/>
      <c r="OG51" s="197"/>
      <c r="OH51" s="197"/>
      <c r="OI51" s="197"/>
      <c r="OJ51" s="197"/>
      <c r="OK51" s="197"/>
      <c r="OL51" s="197"/>
      <c r="OM51" s="197"/>
      <c r="ON51" s="197"/>
      <c r="OO51" s="197"/>
      <c r="OP51" s="197"/>
      <c r="OQ51" s="197"/>
      <c r="OR51" s="197"/>
      <c r="OS51" s="197"/>
      <c r="OT51" s="197"/>
      <c r="OU51" s="197"/>
      <c r="OV51" s="197"/>
      <c r="OW51" s="197"/>
      <c r="OX51" s="197"/>
      <c r="OY51" s="197"/>
      <c r="OZ51" s="197"/>
      <c r="PA51" s="197"/>
      <c r="PB51" s="197"/>
      <c r="PC51" s="197"/>
      <c r="PD51" s="197"/>
      <c r="PE51" s="197"/>
      <c r="PF51" s="197"/>
      <c r="PG51" s="197"/>
      <c r="PH51" s="197"/>
      <c r="PI51" s="197"/>
      <c r="PJ51" s="197"/>
      <c r="PK51" s="197"/>
      <c r="PL51" s="197"/>
      <c r="PM51" s="197"/>
      <c r="PN51" s="197"/>
      <c r="PO51" s="197"/>
      <c r="PP51" s="197"/>
      <c r="PQ51" s="197"/>
      <c r="PR51" s="197"/>
      <c r="PS51" s="197"/>
      <c r="PT51" s="197"/>
      <c r="PU51" s="197"/>
      <c r="PV51" s="197"/>
      <c r="PW51" s="197"/>
      <c r="PX51" s="197"/>
      <c r="PY51" s="197"/>
      <c r="PZ51" s="197"/>
      <c r="QA51" s="197"/>
      <c r="QB51" s="197"/>
      <c r="QC51" s="197"/>
      <c r="QD51" s="197"/>
      <c r="QE51" s="197"/>
      <c r="QF51" s="197"/>
      <c r="QG51" s="197"/>
      <c r="QH51" s="197"/>
      <c r="QI51" s="197"/>
      <c r="QJ51" s="197"/>
      <c r="QK51" s="197"/>
      <c r="QL51" s="197"/>
      <c r="QM51" s="197"/>
      <c r="QN51" s="197"/>
      <c r="QO51" s="197"/>
      <c r="QP51" s="197"/>
      <c r="QQ51" s="197"/>
      <c r="QR51" s="197"/>
      <c r="QS51" s="197"/>
      <c r="QT51" s="197"/>
      <c r="QU51" s="197"/>
      <c r="QV51" s="197"/>
      <c r="QW51" s="197"/>
      <c r="QX51" s="197"/>
      <c r="QY51" s="197"/>
      <c r="QZ51" s="197"/>
      <c r="RA51" s="197"/>
      <c r="RB51" s="197"/>
      <c r="RC51" s="197"/>
      <c r="RD51" s="197"/>
      <c r="RE51" s="197"/>
      <c r="RF51" s="197"/>
      <c r="RG51" s="197"/>
      <c r="RH51" s="197"/>
      <c r="RI51" s="197"/>
      <c r="RJ51" s="197"/>
      <c r="RK51" s="197"/>
      <c r="RL51" s="197"/>
      <c r="RM51" s="197"/>
      <c r="RN51" s="197"/>
      <c r="RO51" s="197"/>
      <c r="RP51" s="197"/>
      <c r="RQ51" s="197"/>
      <c r="RR51" s="197"/>
      <c r="RS51" s="197"/>
      <c r="RT51" s="197"/>
      <c r="RU51" s="197"/>
      <c r="RV51" s="197"/>
      <c r="RW51" s="197"/>
      <c r="RX51" s="197"/>
      <c r="RY51" s="197"/>
      <c r="RZ51" s="197"/>
      <c r="SA51" s="197"/>
      <c r="SB51" s="197"/>
      <c r="SC51" s="197"/>
      <c r="SD51" s="197"/>
      <c r="SE51" s="197"/>
      <c r="SF51" s="197"/>
      <c r="SG51" s="197"/>
      <c r="SH51" s="197"/>
      <c r="SI51" s="197"/>
      <c r="SJ51" s="197"/>
      <c r="SK51" s="197"/>
      <c r="SL51" s="197"/>
      <c r="SM51" s="197"/>
      <c r="SN51" s="197"/>
      <c r="SO51" s="197"/>
      <c r="SP51" s="197"/>
      <c r="SQ51" s="197"/>
      <c r="SR51" s="197"/>
      <c r="SS51" s="197"/>
      <c r="ST51" s="197"/>
      <c r="SU51" s="197"/>
      <c r="SV51" s="197"/>
      <c r="SW51" s="197"/>
      <c r="SX51" s="197"/>
      <c r="SY51" s="197"/>
      <c r="SZ51" s="197"/>
      <c r="TA51" s="197"/>
      <c r="TB51" s="197"/>
      <c r="TC51" s="197"/>
      <c r="TD51" s="197"/>
      <c r="TE51" s="197"/>
      <c r="TF51" s="197"/>
      <c r="TG51" s="197"/>
      <c r="TH51" s="197"/>
      <c r="TI51" s="197"/>
      <c r="TJ51" s="197"/>
      <c r="TK51" s="197"/>
      <c r="TL51" s="197"/>
      <c r="TM51" s="197"/>
      <c r="TN51" s="197"/>
      <c r="TO51" s="197"/>
      <c r="TP51" s="197"/>
      <c r="TQ51" s="197"/>
      <c r="TR51" s="197"/>
      <c r="TS51" s="197"/>
      <c r="TT51" s="197"/>
      <c r="TU51" s="197"/>
      <c r="TV51" s="197"/>
      <c r="TW51" s="197"/>
      <c r="TX51" s="197"/>
      <c r="TY51" s="197"/>
      <c r="TZ51" s="197"/>
      <c r="UA51" s="197"/>
      <c r="UB51" s="197"/>
      <c r="UC51" s="197"/>
      <c r="UD51" s="197"/>
      <c r="UE51" s="197"/>
      <c r="UF51" s="197"/>
      <c r="UG51" s="197"/>
      <c r="UH51" s="197"/>
      <c r="UI51" s="197"/>
      <c r="UJ51" s="197"/>
      <c r="UK51" s="197"/>
      <c r="UL51" s="197"/>
      <c r="UM51" s="197"/>
      <c r="UN51" s="197"/>
      <c r="UO51" s="197"/>
      <c r="UP51" s="197"/>
      <c r="UQ51" s="197"/>
      <c r="UR51" s="197"/>
      <c r="US51" s="197"/>
      <c r="UT51" s="197"/>
      <c r="UU51" s="197"/>
      <c r="UV51" s="197"/>
      <c r="UW51" s="197"/>
      <c r="UX51" s="197"/>
      <c r="UY51" s="197"/>
      <c r="UZ51" s="197"/>
      <c r="VA51" s="197"/>
      <c r="VB51" s="197"/>
      <c r="VC51" s="197"/>
      <c r="VD51" s="197"/>
      <c r="VE51" s="197"/>
      <c r="VF51" s="197"/>
      <c r="VG51" s="197"/>
      <c r="VH51" s="197"/>
      <c r="VI51" s="197"/>
      <c r="VJ51" s="197"/>
      <c r="VK51" s="197"/>
      <c r="VL51" s="197"/>
      <c r="VM51" s="197"/>
      <c r="VN51" s="197"/>
      <c r="VO51" s="197"/>
      <c r="VP51" s="197"/>
      <c r="VQ51" s="197"/>
      <c r="VR51" s="197"/>
      <c r="VS51" s="197"/>
      <c r="VT51" s="197"/>
      <c r="VU51" s="197"/>
      <c r="VV51" s="197"/>
      <c r="VW51" s="197"/>
      <c r="VX51" s="197"/>
      <c r="VY51" s="197"/>
      <c r="VZ51" s="197"/>
      <c r="WA51" s="197"/>
      <c r="WB51" s="197"/>
      <c r="WC51" s="197"/>
      <c r="WD51" s="197"/>
      <c r="WE51" s="197"/>
      <c r="WF51" s="197"/>
      <c r="WG51" s="197"/>
      <c r="WH51" s="197"/>
      <c r="WI51" s="197"/>
      <c r="WJ51" s="197"/>
      <c r="WK51" s="197"/>
      <c r="WL51" s="197"/>
      <c r="WM51" s="197"/>
      <c r="WN51" s="197"/>
      <c r="WO51" s="197"/>
      <c r="WP51" s="197"/>
      <c r="WQ51" s="197"/>
      <c r="WR51" s="197"/>
      <c r="WS51" s="197"/>
      <c r="WT51" s="197"/>
      <c r="WU51" s="197"/>
      <c r="WV51" s="197"/>
      <c r="WW51" s="197"/>
      <c r="WX51" s="197"/>
      <c r="WY51" s="197"/>
      <c r="WZ51" s="197"/>
      <c r="XA51" s="197"/>
      <c r="XB51" s="197"/>
      <c r="XC51" s="197"/>
      <c r="XD51" s="197"/>
      <c r="XE51" s="197"/>
      <c r="XF51" s="197"/>
      <c r="XG51" s="197"/>
      <c r="XH51" s="197"/>
      <c r="XI51" s="197"/>
      <c r="XJ51" s="197"/>
      <c r="XK51" s="197"/>
      <c r="XL51" s="197"/>
      <c r="XM51" s="197"/>
      <c r="XN51" s="197"/>
      <c r="XO51" s="197"/>
      <c r="XP51" s="197"/>
      <c r="XQ51" s="197"/>
      <c r="XR51" s="197"/>
      <c r="XS51" s="197"/>
      <c r="XT51" s="197"/>
      <c r="XU51" s="197"/>
      <c r="XV51" s="197"/>
      <c r="XW51" s="197"/>
      <c r="XX51" s="197"/>
      <c r="XY51" s="197"/>
      <c r="XZ51" s="197"/>
      <c r="YA51" s="197"/>
      <c r="YB51" s="197"/>
      <c r="YC51" s="197"/>
      <c r="YD51" s="197"/>
      <c r="YE51" s="197"/>
      <c r="YF51" s="197"/>
      <c r="YG51" s="197"/>
      <c r="YH51" s="197"/>
      <c r="YI51" s="197"/>
      <c r="YJ51" s="197"/>
      <c r="YK51" s="197"/>
      <c r="YL51" s="197"/>
      <c r="YM51" s="197"/>
      <c r="YN51" s="197"/>
      <c r="YO51" s="197"/>
      <c r="YP51" s="197"/>
      <c r="YQ51" s="197"/>
      <c r="YR51" s="197"/>
      <c r="YS51" s="197"/>
      <c r="YT51" s="197"/>
      <c r="YU51" s="197"/>
      <c r="YV51" s="197"/>
      <c r="YW51" s="197"/>
      <c r="YX51" s="197"/>
      <c r="YY51" s="197"/>
      <c r="YZ51" s="197"/>
      <c r="ZA51" s="197"/>
      <c r="ZB51" s="197"/>
      <c r="ZC51" s="197"/>
      <c r="ZD51" s="197"/>
      <c r="ZE51" s="197"/>
      <c r="ZF51" s="197"/>
      <c r="ZG51" s="197"/>
      <c r="ZH51" s="197"/>
      <c r="ZI51" s="197"/>
      <c r="ZJ51" s="197"/>
      <c r="ZK51" s="197"/>
      <c r="ZL51" s="197"/>
      <c r="ZM51" s="197"/>
      <c r="ZN51" s="197"/>
      <c r="ZO51" s="197"/>
      <c r="ZP51" s="197"/>
      <c r="ZQ51" s="197"/>
      <c r="ZR51" s="197"/>
      <c r="ZS51" s="197"/>
      <c r="ZT51" s="197"/>
      <c r="ZU51" s="197"/>
      <c r="ZV51" s="197"/>
      <c r="ZW51" s="197"/>
      <c r="ZX51" s="197"/>
      <c r="ZY51" s="197"/>
      <c r="ZZ51" s="197"/>
      <c r="AAA51" s="197"/>
      <c r="AAB51" s="197"/>
      <c r="AAC51" s="197"/>
      <c r="AAD51" s="197"/>
      <c r="AAE51" s="197"/>
      <c r="AAF51" s="197"/>
      <c r="AAG51" s="197"/>
      <c r="AAH51" s="197"/>
      <c r="AAI51" s="197"/>
      <c r="AAJ51" s="197"/>
      <c r="AAK51" s="197"/>
      <c r="AAL51" s="197"/>
      <c r="AAM51" s="197"/>
      <c r="AAN51" s="197"/>
      <c r="AAO51" s="197"/>
      <c r="AAP51" s="197"/>
      <c r="AAQ51" s="197"/>
      <c r="AAR51" s="197"/>
      <c r="AAS51" s="197"/>
      <c r="AAT51" s="197"/>
      <c r="AAU51" s="197"/>
      <c r="AAV51" s="197"/>
      <c r="AAW51" s="197"/>
      <c r="AAX51" s="197"/>
      <c r="AAY51" s="197"/>
      <c r="AAZ51" s="197"/>
      <c r="ABA51" s="197"/>
      <c r="ABB51" s="197"/>
      <c r="ABC51" s="197"/>
      <c r="ABD51" s="197"/>
      <c r="ABE51" s="197"/>
      <c r="ABF51" s="197"/>
      <c r="ABG51" s="197"/>
      <c r="ABH51" s="197"/>
      <c r="ABI51" s="197"/>
      <c r="ABJ51" s="197"/>
      <c r="ABK51" s="197"/>
      <c r="ABL51" s="197"/>
      <c r="ABM51" s="197"/>
      <c r="ABN51" s="197"/>
      <c r="ABO51" s="197"/>
      <c r="ABP51" s="197"/>
      <c r="ABQ51" s="197"/>
      <c r="ABR51" s="197"/>
      <c r="ABS51" s="197"/>
      <c r="ABT51" s="197"/>
      <c r="ABU51" s="197"/>
      <c r="ABV51" s="197"/>
      <c r="ABW51" s="197"/>
      <c r="ABX51" s="197"/>
      <c r="ABY51" s="197"/>
      <c r="ABZ51" s="197"/>
      <c r="ACA51" s="197"/>
      <c r="ACB51" s="197"/>
      <c r="ACC51" s="197"/>
      <c r="ACD51" s="197"/>
      <c r="ACE51" s="197"/>
      <c r="ACF51" s="197"/>
      <c r="ACG51" s="197"/>
      <c r="ACH51" s="197"/>
      <c r="ACI51" s="197"/>
      <c r="ACJ51" s="197"/>
      <c r="ACK51" s="197"/>
      <c r="ACL51" s="197"/>
      <c r="ACM51" s="197"/>
      <c r="ACN51" s="197"/>
      <c r="ACO51" s="197"/>
      <c r="ACP51" s="197"/>
      <c r="ACQ51" s="197"/>
      <c r="ACR51" s="197"/>
      <c r="ACS51" s="197"/>
      <c r="ACT51" s="197"/>
      <c r="ACU51" s="197"/>
      <c r="ACV51" s="197"/>
      <c r="ACW51" s="197"/>
      <c r="ACX51" s="197"/>
      <c r="ACY51" s="197"/>
      <c r="ACZ51" s="197"/>
      <c r="ADA51" s="197"/>
      <c r="ADB51" s="197"/>
      <c r="ADC51" s="197"/>
      <c r="ADD51" s="197"/>
      <c r="ADE51" s="197"/>
      <c r="ADF51" s="197"/>
      <c r="ADG51" s="197"/>
      <c r="ADH51" s="197"/>
      <c r="ADI51" s="197"/>
      <c r="ADJ51" s="197"/>
      <c r="ADK51" s="197"/>
      <c r="ADL51" s="197"/>
      <c r="ADM51" s="197"/>
      <c r="ADN51" s="197"/>
      <c r="ADO51" s="197"/>
      <c r="ADP51" s="197"/>
      <c r="ADQ51" s="197"/>
      <c r="ADR51" s="197"/>
      <c r="ADS51" s="197"/>
      <c r="ADT51" s="197"/>
      <c r="ADU51" s="197"/>
      <c r="ADV51" s="197"/>
      <c r="ADW51" s="197"/>
      <c r="ADX51" s="197"/>
      <c r="ADY51" s="197"/>
      <c r="ADZ51" s="197"/>
      <c r="AEA51" s="197"/>
      <c r="AEB51" s="197"/>
      <c r="AEC51" s="197"/>
      <c r="AED51" s="197"/>
      <c r="AEE51" s="197"/>
      <c r="AEF51" s="197"/>
      <c r="AEG51" s="197"/>
      <c r="AEH51" s="197"/>
      <c r="AEI51" s="197"/>
      <c r="AEJ51" s="197"/>
      <c r="AEK51" s="197"/>
      <c r="AEL51" s="197"/>
      <c r="AEM51" s="197"/>
      <c r="AEN51" s="197"/>
      <c r="AEO51" s="197"/>
      <c r="AEP51" s="197"/>
      <c r="AEQ51" s="197"/>
      <c r="AER51" s="197"/>
      <c r="AES51" s="197"/>
      <c r="AET51" s="197"/>
      <c r="AEU51" s="197"/>
      <c r="AEV51" s="197"/>
      <c r="AEW51" s="197"/>
      <c r="AEX51" s="197"/>
      <c r="AEY51" s="197"/>
      <c r="AEZ51" s="197"/>
      <c r="AFA51" s="197"/>
      <c r="AFB51" s="197"/>
      <c r="AFC51" s="197"/>
      <c r="AFD51" s="197"/>
      <c r="AFE51" s="197"/>
      <c r="AFF51" s="197"/>
      <c r="AFG51" s="197"/>
      <c r="AFH51" s="197"/>
      <c r="AFI51" s="197"/>
      <c r="AFJ51" s="197"/>
      <c r="AFK51" s="197"/>
      <c r="AFL51" s="197"/>
      <c r="AFM51" s="197"/>
      <c r="AFN51" s="197"/>
      <c r="AFO51" s="197"/>
      <c r="AFP51" s="197"/>
      <c r="AFQ51" s="197"/>
      <c r="AFR51" s="197"/>
      <c r="AFS51" s="197"/>
      <c r="AFT51" s="197"/>
      <c r="AFU51" s="197"/>
      <c r="AFV51" s="197"/>
      <c r="AFW51" s="197"/>
      <c r="AFX51" s="197"/>
      <c r="AFY51" s="197"/>
      <c r="AFZ51" s="197"/>
      <c r="AGA51" s="197"/>
      <c r="AGB51" s="197"/>
      <c r="AGC51" s="197"/>
      <c r="AGD51" s="197"/>
      <c r="AGE51" s="197"/>
      <c r="AGF51" s="197"/>
      <c r="AGG51" s="197"/>
      <c r="AGH51" s="197"/>
      <c r="AGI51" s="197"/>
      <c r="AGJ51" s="197"/>
      <c r="AGK51" s="197"/>
      <c r="AGL51" s="197"/>
      <c r="AGM51" s="197"/>
      <c r="AGN51" s="197"/>
      <c r="AGO51" s="197"/>
      <c r="AGP51" s="197"/>
      <c r="AGQ51" s="197"/>
      <c r="AGR51" s="197"/>
      <c r="AGS51" s="197"/>
      <c r="AGT51" s="197"/>
      <c r="AGU51" s="197"/>
      <c r="AGV51" s="197"/>
      <c r="AGW51" s="197"/>
      <c r="AGX51" s="197"/>
      <c r="AGY51" s="197"/>
      <c r="AGZ51" s="197"/>
      <c r="AHA51" s="197"/>
      <c r="AHB51" s="197"/>
      <c r="AHC51" s="197"/>
      <c r="AHD51" s="197"/>
      <c r="AHE51" s="197"/>
      <c r="AHF51" s="197"/>
      <c r="AHG51" s="197"/>
      <c r="AHH51" s="197"/>
      <c r="AHI51" s="197"/>
      <c r="AHJ51" s="197"/>
      <c r="AHK51" s="197"/>
      <c r="AHL51" s="197"/>
      <c r="AHM51" s="197"/>
      <c r="AHN51" s="197"/>
      <c r="AHO51" s="197"/>
      <c r="AHP51" s="197"/>
      <c r="AHQ51" s="197"/>
      <c r="AHR51" s="197"/>
      <c r="AHS51" s="197"/>
      <c r="AHT51" s="197"/>
      <c r="AHU51" s="197"/>
      <c r="AHV51" s="197"/>
      <c r="AHW51" s="197"/>
      <c r="AHX51" s="197"/>
      <c r="AHY51" s="197"/>
      <c r="AHZ51" s="197"/>
      <c r="AIA51" s="197"/>
      <c r="AIB51" s="197"/>
      <c r="AIC51" s="197"/>
      <c r="AID51" s="197"/>
      <c r="AIE51" s="197"/>
      <c r="AIF51" s="197"/>
      <c r="AIG51" s="197"/>
      <c r="AIH51" s="197"/>
      <c r="AII51" s="197"/>
      <c r="AIJ51" s="197"/>
      <c r="AIK51" s="197"/>
      <c r="AIL51" s="197"/>
      <c r="AIM51" s="197"/>
      <c r="AIN51" s="197"/>
      <c r="AIO51" s="197"/>
      <c r="AIP51" s="197"/>
      <c r="AIQ51" s="197"/>
      <c r="AIR51" s="197"/>
      <c r="AIS51" s="197"/>
      <c r="AIT51" s="197"/>
      <c r="AIU51" s="197"/>
      <c r="AIV51" s="197"/>
      <c r="AIW51" s="197"/>
      <c r="AIX51" s="197"/>
      <c r="AIY51" s="197"/>
      <c r="AIZ51" s="197"/>
      <c r="AJA51" s="197"/>
      <c r="AJB51" s="197"/>
      <c r="AJC51" s="197"/>
      <c r="AJD51" s="197"/>
      <c r="AJE51" s="197"/>
      <c r="AJF51" s="197"/>
      <c r="AJG51" s="197"/>
      <c r="AJH51" s="197"/>
      <c r="AJI51" s="197"/>
      <c r="AJJ51" s="197"/>
      <c r="AJK51" s="197"/>
      <c r="AJL51" s="197"/>
      <c r="AJM51" s="197"/>
      <c r="AJN51" s="197"/>
      <c r="AJO51" s="197"/>
      <c r="AJP51" s="197"/>
      <c r="AJQ51" s="197"/>
      <c r="AJR51" s="197"/>
      <c r="AJS51" s="197"/>
      <c r="AJT51" s="197"/>
      <c r="AJU51" s="197"/>
      <c r="AJV51" s="197"/>
      <c r="AJW51" s="197"/>
      <c r="AJX51" s="197"/>
      <c r="AJY51" s="197"/>
      <c r="AJZ51" s="197"/>
      <c r="AKA51" s="197"/>
      <c r="AKB51" s="197"/>
      <c r="AKC51" s="197"/>
      <c r="AKD51" s="197"/>
      <c r="AKE51" s="197"/>
      <c r="AKF51" s="197"/>
      <c r="AKG51" s="197"/>
      <c r="AKH51" s="197"/>
      <c r="AKI51" s="197"/>
      <c r="AKJ51" s="197"/>
      <c r="AKK51" s="197"/>
      <c r="AKL51" s="197"/>
      <c r="AKM51" s="197"/>
      <c r="AKN51" s="197"/>
      <c r="AKO51" s="197"/>
      <c r="AKP51" s="197"/>
      <c r="AKQ51" s="197"/>
      <c r="AKR51" s="197"/>
      <c r="AKS51" s="197"/>
      <c r="AKT51" s="197"/>
      <c r="AKU51" s="197"/>
      <c r="AKV51" s="197"/>
      <c r="AKW51" s="197"/>
      <c r="AKX51" s="197"/>
      <c r="AKY51" s="197"/>
      <c r="AKZ51" s="197"/>
      <c r="ALA51" s="197"/>
      <c r="ALB51" s="197"/>
      <c r="ALC51" s="197"/>
      <c r="ALD51" s="197"/>
      <c r="ALE51" s="197"/>
      <c r="ALF51" s="197"/>
      <c r="ALG51" s="197"/>
      <c r="ALH51" s="197"/>
      <c r="ALI51" s="197"/>
      <c r="ALJ51" s="197"/>
      <c r="ALK51" s="197"/>
      <c r="ALL51" s="197"/>
      <c r="ALM51" s="197"/>
      <c r="ALN51" s="197"/>
      <c r="ALO51" s="197"/>
      <c r="ALP51" s="197"/>
      <c r="ALQ51" s="197"/>
      <c r="ALR51" s="197"/>
      <c r="ALS51" s="197"/>
      <c r="ALT51" s="197"/>
      <c r="ALU51" s="197"/>
      <c r="ALV51" s="197"/>
      <c r="ALW51" s="197"/>
      <c r="ALX51" s="197"/>
      <c r="ALY51" s="197"/>
      <c r="ALZ51" s="197"/>
      <c r="AMA51" s="197"/>
      <c r="AMB51" s="197"/>
      <c r="AMC51" s="197"/>
      <c r="AMD51" s="197"/>
      <c r="AME51" s="197"/>
      <c r="AMF51" s="197"/>
      <c r="AMG51" s="197"/>
      <c r="AMH51" s="197"/>
      <c r="AMI51" s="197"/>
      <c r="AMJ51" s="197"/>
      <c r="AMK51" s="197"/>
      <c r="AML51" s="197"/>
      <c r="AMM51" s="197"/>
      <c r="AMN51" s="197"/>
      <c r="AMO51" s="197"/>
      <c r="AMP51" s="197"/>
      <c r="AMQ51" s="197"/>
      <c r="AMR51" s="197"/>
      <c r="AMS51" s="197"/>
      <c r="AMT51" s="197"/>
      <c r="AMU51" s="197"/>
      <c r="AMV51" s="197"/>
      <c r="AMW51" s="197"/>
      <c r="AMX51" s="197"/>
      <c r="AMY51" s="197"/>
      <c r="AMZ51" s="197"/>
      <c r="ANA51" s="197"/>
      <c r="ANB51" s="197"/>
      <c r="ANC51" s="197"/>
      <c r="AND51" s="197"/>
      <c r="ANE51" s="197"/>
      <c r="ANF51" s="197"/>
      <c r="ANG51" s="197"/>
      <c r="ANH51" s="197"/>
      <c r="ANI51" s="197"/>
      <c r="ANJ51" s="197"/>
      <c r="ANK51" s="197"/>
      <c r="ANL51" s="197"/>
      <c r="ANM51" s="197"/>
      <c r="ANN51" s="197"/>
      <c r="ANO51" s="197"/>
      <c r="ANP51" s="197"/>
      <c r="ANQ51" s="197"/>
      <c r="ANR51" s="197"/>
      <c r="ANS51" s="197"/>
      <c r="ANT51" s="197"/>
      <c r="ANU51" s="197"/>
      <c r="ANV51" s="197"/>
      <c r="ANW51" s="197"/>
      <c r="ANX51" s="197"/>
      <c r="ANY51" s="197"/>
      <c r="ANZ51" s="197"/>
      <c r="AOA51" s="197"/>
      <c r="AOB51" s="197"/>
      <c r="AOC51" s="197"/>
      <c r="AOD51" s="197"/>
      <c r="AOE51" s="197"/>
      <c r="AOF51" s="197"/>
      <c r="AOG51" s="197"/>
      <c r="AOH51" s="197"/>
      <c r="AOI51" s="197"/>
      <c r="AOJ51" s="197"/>
      <c r="AOK51" s="197"/>
      <c r="AOL51" s="197"/>
      <c r="AOM51" s="197"/>
      <c r="AON51" s="197"/>
      <c r="AOO51" s="197"/>
      <c r="AOP51" s="197"/>
      <c r="AOQ51" s="197"/>
      <c r="AOR51" s="197"/>
      <c r="AOS51" s="197"/>
      <c r="AOT51" s="197"/>
      <c r="AOU51" s="197"/>
      <c r="AOV51" s="197"/>
      <c r="AOW51" s="197"/>
      <c r="AOX51" s="197"/>
      <c r="AOY51" s="197"/>
      <c r="AOZ51" s="197"/>
      <c r="APA51" s="197"/>
      <c r="APB51" s="197"/>
      <c r="APC51" s="197"/>
      <c r="APD51" s="197"/>
      <c r="APE51" s="197"/>
      <c r="APF51" s="197"/>
      <c r="APG51" s="197"/>
      <c r="APH51" s="197"/>
      <c r="API51" s="197"/>
      <c r="APJ51" s="197"/>
      <c r="APK51" s="197"/>
      <c r="APL51" s="197"/>
      <c r="APM51" s="197"/>
      <c r="APN51" s="197"/>
      <c r="APO51" s="197"/>
      <c r="APP51" s="197"/>
      <c r="APQ51" s="197"/>
      <c r="APR51" s="197"/>
      <c r="APS51" s="197"/>
      <c r="APT51" s="197"/>
      <c r="APU51" s="197"/>
      <c r="APV51" s="197"/>
      <c r="APW51" s="197"/>
      <c r="APX51" s="197"/>
      <c r="APY51" s="197"/>
      <c r="APZ51" s="197"/>
      <c r="AQA51" s="197"/>
      <c r="AQB51" s="197"/>
      <c r="AQC51" s="197"/>
      <c r="AQD51" s="197"/>
      <c r="AQE51" s="197"/>
      <c r="AQF51" s="197"/>
      <c r="AQG51" s="197"/>
      <c r="AQH51" s="197"/>
      <c r="AQI51" s="197"/>
      <c r="AQJ51" s="197"/>
      <c r="AQK51" s="197"/>
      <c r="AQL51" s="197"/>
      <c r="AQM51" s="197"/>
      <c r="AQN51" s="197"/>
      <c r="AQO51" s="197"/>
      <c r="AQP51" s="197"/>
      <c r="AQQ51" s="197"/>
      <c r="AQR51" s="197"/>
      <c r="AQS51" s="197"/>
      <c r="AQT51" s="197"/>
      <c r="AQU51" s="197"/>
      <c r="AQV51" s="197"/>
      <c r="AQW51" s="197"/>
      <c r="AQX51" s="197"/>
      <c r="AQY51" s="197"/>
      <c r="AQZ51" s="197"/>
      <c r="ARA51" s="197"/>
      <c r="ARB51" s="197"/>
      <c r="ARC51" s="197"/>
      <c r="ARD51" s="197"/>
      <c r="ARE51" s="197"/>
      <c r="ARF51" s="197"/>
      <c r="ARG51" s="197"/>
      <c r="ARH51" s="197"/>
      <c r="ARI51" s="197"/>
      <c r="ARJ51" s="197"/>
      <c r="ARK51" s="197"/>
      <c r="ARL51" s="197"/>
      <c r="ARM51" s="197"/>
      <c r="ARN51" s="197"/>
      <c r="ARO51" s="197"/>
      <c r="ARP51" s="197"/>
      <c r="ARQ51" s="197"/>
      <c r="ARR51" s="197"/>
      <c r="ARS51" s="197"/>
      <c r="ART51" s="197"/>
      <c r="ARU51" s="197"/>
      <c r="ARV51" s="197"/>
      <c r="ARW51" s="197"/>
      <c r="ARX51" s="197"/>
      <c r="ARY51" s="197"/>
      <c r="ARZ51" s="197"/>
      <c r="ASA51" s="197"/>
      <c r="ASB51" s="197"/>
      <c r="ASC51" s="197"/>
      <c r="ASD51" s="197"/>
      <c r="ASE51" s="197"/>
      <c r="ASF51" s="197"/>
      <c r="ASG51" s="197"/>
      <c r="ASH51" s="197"/>
      <c r="ASI51" s="197"/>
      <c r="ASJ51" s="197"/>
      <c r="ASK51" s="197"/>
      <c r="ASL51" s="197"/>
      <c r="ASM51" s="197"/>
      <c r="ASN51" s="197"/>
      <c r="ASO51" s="197"/>
      <c r="ASP51" s="197"/>
      <c r="ASQ51" s="197"/>
      <c r="ASR51" s="197"/>
      <c r="ASS51" s="197"/>
      <c r="AST51" s="197"/>
      <c r="ASU51" s="197"/>
      <c r="ASV51" s="197"/>
      <c r="ASW51" s="197"/>
      <c r="ASX51" s="197"/>
      <c r="ASY51" s="197"/>
      <c r="ASZ51" s="197"/>
      <c r="ATA51" s="197"/>
      <c r="ATB51" s="197"/>
      <c r="ATC51" s="197"/>
      <c r="ATD51" s="197"/>
      <c r="ATE51" s="197"/>
      <c r="ATF51" s="197"/>
      <c r="ATG51" s="197"/>
      <c r="ATH51" s="197"/>
      <c r="ATI51" s="197"/>
      <c r="ATJ51" s="197"/>
      <c r="ATK51" s="197"/>
      <c r="ATL51" s="197"/>
      <c r="ATM51" s="197"/>
      <c r="ATN51" s="197"/>
      <c r="ATO51" s="197"/>
      <c r="ATP51" s="197"/>
      <c r="ATQ51" s="197"/>
      <c r="ATR51" s="197"/>
      <c r="ATS51" s="197"/>
      <c r="ATT51" s="197"/>
      <c r="ATU51" s="197"/>
      <c r="ATV51" s="197"/>
      <c r="ATW51" s="197"/>
      <c r="ATX51" s="197"/>
      <c r="ATY51" s="197"/>
      <c r="ATZ51" s="197"/>
      <c r="AUA51" s="197"/>
      <c r="AUB51" s="197"/>
      <c r="AUC51" s="197"/>
      <c r="AUD51" s="197"/>
      <c r="AUE51" s="197"/>
      <c r="AUF51" s="197"/>
      <c r="AUG51" s="197"/>
      <c r="AUH51" s="197"/>
      <c r="AUI51" s="197"/>
      <c r="AUJ51" s="197"/>
      <c r="AUK51" s="197"/>
      <c r="AUL51" s="197"/>
      <c r="AUM51" s="197"/>
      <c r="AUN51" s="197"/>
      <c r="AUO51" s="197"/>
      <c r="AUP51" s="197"/>
      <c r="AUQ51" s="197"/>
      <c r="AUR51" s="197"/>
      <c r="AUS51" s="197"/>
      <c r="AUT51" s="197"/>
      <c r="AUU51" s="197"/>
      <c r="AUV51" s="197"/>
      <c r="AUW51" s="197"/>
      <c r="AUX51" s="197"/>
      <c r="AUY51" s="197"/>
      <c r="AUZ51" s="197"/>
      <c r="AVA51" s="197"/>
      <c r="AVB51" s="197"/>
      <c r="AVC51" s="197"/>
      <c r="AVD51" s="197"/>
      <c r="AVE51" s="197"/>
      <c r="AVF51" s="197"/>
      <c r="AVG51" s="197"/>
      <c r="AVH51" s="197"/>
      <c r="AVI51" s="197"/>
      <c r="AVJ51" s="197"/>
      <c r="AVK51" s="197"/>
      <c r="AVL51" s="197"/>
      <c r="AVM51" s="197"/>
      <c r="AVN51" s="197"/>
      <c r="AVO51" s="197"/>
      <c r="AVP51" s="197"/>
      <c r="AVQ51" s="197"/>
      <c r="AVR51" s="197"/>
      <c r="AVS51" s="197"/>
      <c r="AVT51" s="197"/>
      <c r="AVU51" s="197"/>
      <c r="AVV51" s="197"/>
      <c r="AVW51" s="197"/>
      <c r="AVX51" s="197"/>
      <c r="AVY51" s="197"/>
      <c r="AVZ51" s="197"/>
      <c r="AWA51" s="197"/>
      <c r="AWB51" s="197"/>
      <c r="AWC51" s="197"/>
      <c r="AWD51" s="197"/>
      <c r="AWE51" s="197"/>
      <c r="AWF51" s="197"/>
      <c r="AWG51" s="197"/>
      <c r="AWH51" s="197"/>
      <c r="AWI51" s="197"/>
      <c r="AWJ51" s="197"/>
      <c r="AWK51" s="197"/>
      <c r="AWL51" s="197"/>
      <c r="AWM51" s="197"/>
      <c r="AWN51" s="197"/>
      <c r="AWO51" s="197"/>
      <c r="AWP51" s="197"/>
      <c r="AWQ51" s="197"/>
      <c r="AWR51" s="197"/>
      <c r="AWS51" s="197"/>
      <c r="AWT51" s="197"/>
      <c r="AWU51" s="197"/>
      <c r="AWV51" s="197"/>
      <c r="AWW51" s="197"/>
      <c r="AWX51" s="197"/>
      <c r="AWY51" s="197"/>
      <c r="AWZ51" s="197"/>
      <c r="AXA51" s="197"/>
      <c r="AXB51" s="197"/>
      <c r="AXC51" s="197"/>
      <c r="AXD51" s="197"/>
      <c r="AXE51" s="197"/>
      <c r="AXF51" s="197"/>
      <c r="AXG51" s="197"/>
      <c r="AXH51" s="197"/>
      <c r="AXI51" s="197"/>
      <c r="AXJ51" s="197"/>
      <c r="AXK51" s="197"/>
      <c r="AXL51" s="197"/>
      <c r="AXM51" s="197"/>
      <c r="AXN51" s="197"/>
      <c r="AXO51" s="197"/>
      <c r="AXP51" s="197"/>
      <c r="AXQ51" s="197"/>
      <c r="AXR51" s="197"/>
      <c r="AXS51" s="197"/>
      <c r="AXT51" s="197"/>
      <c r="AXU51" s="197"/>
      <c r="AXV51" s="197"/>
      <c r="AXW51" s="197"/>
      <c r="AXX51" s="197"/>
      <c r="AXY51" s="197"/>
      <c r="AXZ51" s="197"/>
      <c r="AYA51" s="197"/>
      <c r="AYB51" s="197"/>
      <c r="AYC51" s="197"/>
      <c r="AYD51" s="197"/>
      <c r="AYE51" s="197"/>
      <c r="AYF51" s="197"/>
      <c r="AYG51" s="197"/>
      <c r="AYH51" s="197"/>
      <c r="AYI51" s="197"/>
      <c r="AYJ51" s="197"/>
      <c r="AYK51" s="197"/>
      <c r="AYL51" s="197"/>
      <c r="AYM51" s="197"/>
      <c r="AYN51" s="197"/>
      <c r="AYO51" s="197"/>
      <c r="AYP51" s="197"/>
      <c r="AYQ51" s="197"/>
      <c r="AYR51" s="197"/>
      <c r="AYS51" s="197"/>
      <c r="AYT51" s="197"/>
      <c r="AYU51" s="197"/>
      <c r="AYV51" s="197"/>
      <c r="AYW51" s="197"/>
      <c r="AYX51" s="197"/>
      <c r="AYY51" s="197"/>
      <c r="AYZ51" s="197"/>
      <c r="AZA51" s="197"/>
      <c r="AZB51" s="197"/>
      <c r="AZC51" s="197"/>
      <c r="AZD51" s="197"/>
      <c r="AZE51" s="197"/>
      <c r="AZF51" s="197"/>
      <c r="AZG51" s="197"/>
      <c r="AZH51" s="197"/>
      <c r="AZI51" s="197"/>
      <c r="AZJ51" s="197"/>
      <c r="AZK51" s="197"/>
      <c r="AZL51" s="197"/>
      <c r="AZM51" s="197"/>
      <c r="AZN51" s="197"/>
      <c r="AZO51" s="197"/>
      <c r="AZP51" s="197"/>
      <c r="AZQ51" s="197"/>
      <c r="AZR51" s="197"/>
      <c r="AZS51" s="197"/>
      <c r="AZT51" s="197"/>
      <c r="AZU51" s="197"/>
      <c r="AZV51" s="197"/>
      <c r="AZW51" s="197"/>
      <c r="AZX51" s="197"/>
      <c r="AZY51" s="197"/>
      <c r="AZZ51" s="197"/>
      <c r="BAA51" s="197"/>
      <c r="BAB51" s="197"/>
      <c r="BAC51" s="197"/>
      <c r="BAD51" s="197"/>
      <c r="BAE51" s="197"/>
      <c r="BAF51" s="197"/>
      <c r="BAG51" s="197"/>
      <c r="BAH51" s="197"/>
      <c r="BAI51" s="197"/>
      <c r="BAJ51" s="197"/>
      <c r="BAK51" s="197"/>
      <c r="BAL51" s="197"/>
      <c r="BAM51" s="197"/>
      <c r="BAN51" s="197"/>
      <c r="BAO51" s="197"/>
      <c r="BAP51" s="197"/>
      <c r="BAQ51" s="197"/>
      <c r="BAR51" s="197"/>
      <c r="BAS51" s="197"/>
      <c r="BAT51" s="197"/>
      <c r="BAU51" s="197"/>
      <c r="BAV51" s="197"/>
      <c r="BAW51" s="197"/>
      <c r="BAX51" s="197"/>
      <c r="BAY51" s="197"/>
      <c r="BAZ51" s="197"/>
      <c r="BBA51" s="197"/>
      <c r="BBB51" s="197"/>
      <c r="BBC51" s="197"/>
      <c r="BBD51" s="197"/>
      <c r="BBE51" s="197"/>
      <c r="BBF51" s="197"/>
      <c r="BBG51" s="197"/>
      <c r="BBH51" s="197"/>
      <c r="BBI51" s="197"/>
      <c r="BBJ51" s="197"/>
      <c r="BBK51" s="197"/>
      <c r="BBL51" s="197"/>
      <c r="BBM51" s="197"/>
      <c r="BBN51" s="197"/>
      <c r="BBO51" s="197"/>
      <c r="BBP51" s="197"/>
      <c r="BBQ51" s="197"/>
      <c r="BBR51" s="197"/>
      <c r="BBS51" s="197"/>
      <c r="BBT51" s="197"/>
      <c r="BBU51" s="197"/>
      <c r="BBV51" s="197"/>
      <c r="BBW51" s="197"/>
      <c r="BBX51" s="197"/>
      <c r="BBY51" s="197"/>
      <c r="BBZ51" s="197"/>
      <c r="BCA51" s="197"/>
      <c r="BCB51" s="197"/>
      <c r="BCC51" s="197"/>
      <c r="BCD51" s="197"/>
      <c r="BCE51" s="197"/>
      <c r="BCF51" s="197"/>
      <c r="BCG51" s="197"/>
      <c r="BCH51" s="197"/>
      <c r="BCI51" s="197"/>
      <c r="BCJ51" s="197"/>
      <c r="BCK51" s="197"/>
      <c r="BCL51" s="197"/>
      <c r="BCM51" s="197"/>
      <c r="BCN51" s="197"/>
      <c r="BCO51" s="197"/>
      <c r="BCP51" s="197"/>
      <c r="BCQ51" s="197"/>
      <c r="BCR51" s="197"/>
      <c r="BCS51" s="197"/>
      <c r="BCT51" s="197"/>
      <c r="BCU51" s="197"/>
      <c r="BCV51" s="197"/>
      <c r="BCW51" s="197"/>
      <c r="BCX51" s="197"/>
      <c r="BCY51" s="197"/>
      <c r="BCZ51" s="197"/>
      <c r="BDA51" s="197"/>
      <c r="BDB51" s="197"/>
      <c r="BDC51" s="197"/>
      <c r="BDD51" s="197"/>
      <c r="BDE51" s="197"/>
      <c r="BDF51" s="197"/>
      <c r="BDG51" s="197"/>
      <c r="BDH51" s="197"/>
      <c r="BDI51" s="197"/>
      <c r="BDJ51" s="197"/>
      <c r="BDK51" s="197"/>
      <c r="BDL51" s="197"/>
      <c r="BDM51" s="197"/>
      <c r="BDN51" s="197"/>
      <c r="BDO51" s="197"/>
      <c r="BDP51" s="197"/>
      <c r="BDQ51" s="197"/>
      <c r="BDR51" s="197"/>
      <c r="BDS51" s="197"/>
      <c r="BDT51" s="197"/>
      <c r="BDU51" s="197"/>
      <c r="BDV51" s="197"/>
      <c r="BDW51" s="197"/>
      <c r="BDX51" s="197"/>
      <c r="BDY51" s="197"/>
      <c r="BDZ51" s="197"/>
      <c r="BEA51" s="197"/>
      <c r="BEB51" s="197"/>
      <c r="BEC51" s="197"/>
      <c r="BED51" s="197"/>
      <c r="BEE51" s="197"/>
      <c r="BEF51" s="197"/>
      <c r="BEG51" s="197"/>
      <c r="BEH51" s="197"/>
      <c r="BEI51" s="197"/>
      <c r="BEJ51" s="197"/>
      <c r="BEK51" s="197"/>
      <c r="BEL51" s="197"/>
      <c r="BEM51" s="197"/>
      <c r="BEN51" s="197"/>
      <c r="BEO51" s="197"/>
      <c r="BEP51" s="197"/>
      <c r="BEQ51" s="197"/>
      <c r="BER51" s="197"/>
      <c r="BES51" s="197"/>
      <c r="BET51" s="197"/>
      <c r="BEU51" s="197"/>
      <c r="BEV51" s="197"/>
      <c r="BEW51" s="197"/>
      <c r="BEX51" s="197"/>
      <c r="BEY51" s="197"/>
      <c r="BEZ51" s="197"/>
      <c r="BFA51" s="197"/>
      <c r="BFB51" s="197"/>
      <c r="BFC51" s="197"/>
      <c r="BFD51" s="197"/>
      <c r="BFE51" s="197"/>
      <c r="BFF51" s="197"/>
      <c r="BFG51" s="197"/>
      <c r="BFH51" s="197"/>
      <c r="BFI51" s="197"/>
      <c r="BFJ51" s="197"/>
      <c r="BFK51" s="197"/>
      <c r="BFL51" s="197"/>
      <c r="BFM51" s="197"/>
      <c r="BFN51" s="197"/>
      <c r="BFO51" s="197"/>
      <c r="BFP51" s="197"/>
      <c r="BFQ51" s="197"/>
      <c r="BFR51" s="197"/>
      <c r="BFS51" s="197"/>
      <c r="BFT51" s="197"/>
      <c r="BFU51" s="197"/>
      <c r="BFV51" s="197"/>
      <c r="BFW51" s="197"/>
      <c r="BFX51" s="197"/>
      <c r="BFY51" s="197"/>
      <c r="BFZ51" s="197"/>
      <c r="BGA51" s="197"/>
      <c r="BGB51" s="197"/>
      <c r="BGC51" s="197"/>
      <c r="BGD51" s="197"/>
      <c r="BGE51" s="197"/>
      <c r="BGF51" s="197"/>
      <c r="BGG51" s="197"/>
      <c r="BGH51" s="197"/>
      <c r="BGI51" s="197"/>
      <c r="BGJ51" s="197"/>
      <c r="BGK51" s="197"/>
      <c r="BGL51" s="197"/>
      <c r="BGM51" s="197"/>
      <c r="BGN51" s="197"/>
      <c r="BGO51" s="197"/>
      <c r="BGP51" s="197"/>
      <c r="BGQ51" s="197"/>
      <c r="BGR51" s="197"/>
      <c r="BGS51" s="197"/>
      <c r="BGT51" s="197"/>
      <c r="BGU51" s="197"/>
      <c r="BGV51" s="197"/>
      <c r="BGW51" s="197"/>
      <c r="BGX51" s="197"/>
      <c r="BGY51" s="197"/>
      <c r="BGZ51" s="197"/>
      <c r="BHA51" s="197"/>
      <c r="BHB51" s="197"/>
      <c r="BHC51" s="197"/>
      <c r="BHD51" s="197"/>
      <c r="BHE51" s="197"/>
      <c r="BHF51" s="197"/>
      <c r="BHG51" s="197"/>
      <c r="BHH51" s="197"/>
      <c r="BHI51" s="197"/>
      <c r="BHJ51" s="197"/>
      <c r="BHK51" s="197"/>
      <c r="BHL51" s="197"/>
      <c r="BHM51" s="197"/>
      <c r="BHN51" s="197"/>
      <c r="BHO51" s="197"/>
      <c r="BHP51" s="197"/>
      <c r="BHQ51" s="197"/>
      <c r="BHR51" s="197"/>
      <c r="BHS51" s="197"/>
      <c r="BHT51" s="197"/>
      <c r="BHU51" s="197"/>
      <c r="BHV51" s="197"/>
      <c r="BHW51" s="197"/>
      <c r="BHX51" s="197"/>
      <c r="BHY51" s="197"/>
      <c r="BHZ51" s="197"/>
      <c r="BIA51" s="197"/>
      <c r="BIB51" s="197"/>
      <c r="BIC51" s="197"/>
      <c r="BID51" s="197"/>
      <c r="BIE51" s="197"/>
      <c r="BIF51" s="197"/>
      <c r="BIG51" s="197"/>
      <c r="BIH51" s="197"/>
      <c r="BII51" s="197"/>
      <c r="BIJ51" s="197"/>
      <c r="BIK51" s="197"/>
      <c r="BIL51" s="197"/>
      <c r="BIM51" s="197"/>
      <c r="BIN51" s="197"/>
      <c r="BIO51" s="197"/>
      <c r="BIP51" s="197"/>
      <c r="BIQ51" s="197"/>
      <c r="BIR51" s="197"/>
      <c r="BIS51" s="197"/>
      <c r="BIT51" s="197"/>
      <c r="BIU51" s="197"/>
      <c r="BIV51" s="197"/>
      <c r="BIW51" s="197"/>
      <c r="BIX51" s="197"/>
      <c r="BIY51" s="197"/>
      <c r="BIZ51" s="197"/>
      <c r="BJA51" s="197"/>
      <c r="BJB51" s="197"/>
      <c r="BJC51" s="197"/>
      <c r="BJD51" s="197"/>
      <c r="BJE51" s="197"/>
      <c r="BJF51" s="197"/>
      <c r="BJG51" s="197"/>
      <c r="BJH51" s="197"/>
      <c r="BJI51" s="197"/>
      <c r="BJJ51" s="197"/>
      <c r="BJK51" s="197"/>
      <c r="BJL51" s="197"/>
      <c r="BJM51" s="197"/>
      <c r="BJN51" s="197"/>
      <c r="BJO51" s="197"/>
      <c r="BJP51" s="197"/>
      <c r="BJQ51" s="197"/>
      <c r="BJR51" s="197"/>
      <c r="BJS51" s="197"/>
      <c r="BJT51" s="197"/>
      <c r="BJU51" s="197"/>
      <c r="BJV51" s="197"/>
      <c r="BJW51" s="197"/>
      <c r="BJX51" s="197"/>
      <c r="BJY51" s="197"/>
      <c r="BJZ51" s="197"/>
      <c r="BKA51" s="197"/>
      <c r="BKB51" s="197"/>
      <c r="BKC51" s="197"/>
      <c r="BKD51" s="197"/>
      <c r="BKE51" s="197"/>
      <c r="BKF51" s="197"/>
      <c r="BKG51" s="197"/>
      <c r="BKH51" s="197"/>
      <c r="BKI51" s="197"/>
      <c r="BKJ51" s="197"/>
      <c r="BKK51" s="197"/>
      <c r="BKL51" s="197"/>
      <c r="BKM51" s="197"/>
      <c r="BKN51" s="197"/>
      <c r="BKO51" s="197"/>
      <c r="BKP51" s="197"/>
      <c r="BKQ51" s="197"/>
      <c r="BKR51" s="197"/>
      <c r="BKS51" s="197"/>
      <c r="BKT51" s="197"/>
      <c r="BKU51" s="197"/>
      <c r="BKV51" s="197"/>
      <c r="BKW51" s="197"/>
      <c r="BKX51" s="197"/>
      <c r="BKY51" s="197"/>
      <c r="BKZ51" s="197"/>
      <c r="BLA51" s="197"/>
      <c r="BLB51" s="197"/>
      <c r="BLC51" s="197"/>
      <c r="BLD51" s="197"/>
      <c r="BLE51" s="197"/>
      <c r="BLF51" s="197"/>
      <c r="BLG51" s="197"/>
      <c r="BLH51" s="197"/>
      <c r="BLI51" s="197"/>
      <c r="BLJ51" s="197"/>
      <c r="BLK51" s="197"/>
      <c r="BLL51" s="197"/>
      <c r="BLM51" s="197"/>
      <c r="BLN51" s="197"/>
      <c r="BLO51" s="197"/>
      <c r="BLP51" s="197"/>
      <c r="BLQ51" s="197"/>
      <c r="BLR51" s="197"/>
      <c r="BLS51" s="197"/>
      <c r="BLT51" s="197"/>
      <c r="BLU51" s="197"/>
      <c r="BLV51" s="197"/>
      <c r="BLW51" s="197"/>
      <c r="BLX51" s="197"/>
      <c r="BLY51" s="197"/>
      <c r="BLZ51" s="197"/>
      <c r="BMA51" s="197"/>
      <c r="BMB51" s="197"/>
      <c r="BMC51" s="197"/>
      <c r="BMD51" s="197"/>
      <c r="BME51" s="197"/>
      <c r="BMF51" s="197"/>
      <c r="BMG51" s="197"/>
      <c r="BMH51" s="197"/>
      <c r="BMI51" s="197"/>
      <c r="BMJ51" s="197"/>
      <c r="BMK51" s="197"/>
      <c r="BML51" s="197"/>
      <c r="BMM51" s="197"/>
      <c r="BMN51" s="197"/>
      <c r="BMO51" s="197"/>
      <c r="BMP51" s="197"/>
      <c r="BMQ51" s="197"/>
      <c r="BMR51" s="197"/>
      <c r="BMS51" s="197"/>
      <c r="BMT51" s="197"/>
      <c r="BMU51" s="197"/>
      <c r="BMV51" s="197"/>
      <c r="BMW51" s="197"/>
      <c r="BMX51" s="197"/>
      <c r="BMY51" s="197"/>
      <c r="BMZ51" s="197"/>
      <c r="BNA51" s="197"/>
      <c r="BNB51" s="197"/>
      <c r="BNC51" s="197"/>
      <c r="BND51" s="197"/>
      <c r="BNE51" s="197"/>
      <c r="BNF51" s="197"/>
      <c r="BNG51" s="197"/>
      <c r="BNH51" s="197"/>
      <c r="BNI51" s="197"/>
      <c r="BNJ51" s="197"/>
      <c r="BNK51" s="197"/>
      <c r="BNL51" s="197"/>
      <c r="BNM51" s="197"/>
      <c r="BNN51" s="197"/>
      <c r="BNO51" s="197"/>
      <c r="BNP51" s="197"/>
      <c r="BNQ51" s="197"/>
      <c r="BNR51" s="197"/>
      <c r="BNS51" s="197"/>
      <c r="BNT51" s="197"/>
      <c r="BNU51" s="197"/>
      <c r="BNV51" s="197"/>
      <c r="BNW51" s="197"/>
      <c r="BNX51" s="197"/>
      <c r="BNY51" s="197"/>
      <c r="BNZ51" s="197"/>
      <c r="BOA51" s="197"/>
      <c r="BOB51" s="197"/>
      <c r="BOC51" s="197"/>
      <c r="BOD51" s="197"/>
      <c r="BOE51" s="197"/>
      <c r="BOF51" s="197"/>
      <c r="BOG51" s="197"/>
      <c r="BOH51" s="197"/>
      <c r="BOI51" s="197"/>
      <c r="BOJ51" s="197"/>
      <c r="BOK51" s="197"/>
      <c r="BOL51" s="197"/>
      <c r="BOM51" s="197"/>
      <c r="BON51" s="197"/>
      <c r="BOO51" s="197"/>
      <c r="BOP51" s="197"/>
      <c r="BOQ51" s="197"/>
      <c r="BOR51" s="197"/>
      <c r="BOS51" s="197"/>
      <c r="BOT51" s="197"/>
      <c r="BOU51" s="197"/>
      <c r="BOV51" s="197"/>
      <c r="BOW51" s="197"/>
      <c r="BOX51" s="197"/>
      <c r="BOY51" s="197"/>
      <c r="BOZ51" s="197"/>
      <c r="BPA51" s="197"/>
      <c r="BPB51" s="197"/>
      <c r="BPC51" s="197"/>
      <c r="BPD51" s="197"/>
      <c r="BPE51" s="197"/>
      <c r="BPF51" s="197"/>
      <c r="BPG51" s="197"/>
      <c r="BPH51" s="197"/>
      <c r="BPI51" s="197"/>
      <c r="BPJ51" s="197"/>
      <c r="BPK51" s="197"/>
      <c r="BPL51" s="197"/>
      <c r="BPM51" s="197"/>
      <c r="BPN51" s="197"/>
      <c r="BPO51" s="197"/>
      <c r="BPP51" s="197"/>
      <c r="BPQ51" s="197"/>
      <c r="BPR51" s="197"/>
      <c r="BPS51" s="197"/>
      <c r="BPT51" s="197"/>
      <c r="BPU51" s="197"/>
      <c r="BPV51" s="197"/>
      <c r="BPW51" s="197"/>
      <c r="BPX51" s="197"/>
      <c r="BPY51" s="197"/>
      <c r="BPZ51" s="197"/>
      <c r="BQA51" s="197"/>
      <c r="BQB51" s="197"/>
      <c r="BQC51" s="197"/>
      <c r="BQD51" s="197"/>
      <c r="BQE51" s="197"/>
      <c r="BQF51" s="197"/>
      <c r="BQG51" s="197"/>
      <c r="BQH51" s="197"/>
      <c r="BQI51" s="197"/>
      <c r="BQJ51" s="197"/>
      <c r="BQK51" s="197"/>
      <c r="BQL51" s="197"/>
      <c r="BQM51" s="197"/>
      <c r="BQN51" s="197"/>
      <c r="BQO51" s="197"/>
      <c r="BQP51" s="197"/>
      <c r="BQQ51" s="197"/>
      <c r="BQR51" s="197"/>
      <c r="BQS51" s="197"/>
      <c r="BQT51" s="197"/>
      <c r="BQU51" s="197"/>
      <c r="BQV51" s="197"/>
      <c r="BQW51" s="197"/>
      <c r="BQX51" s="197"/>
      <c r="BQY51" s="197"/>
      <c r="BQZ51" s="197"/>
      <c r="BRA51" s="197"/>
      <c r="BRB51" s="197"/>
      <c r="BRC51" s="197"/>
      <c r="BRD51" s="197"/>
      <c r="BRE51" s="197"/>
      <c r="BRF51" s="197"/>
      <c r="BRG51" s="197"/>
      <c r="BRH51" s="197"/>
      <c r="BRI51" s="197"/>
      <c r="BRJ51" s="197"/>
      <c r="BRK51" s="197"/>
      <c r="BRL51" s="197"/>
      <c r="BRM51" s="197"/>
      <c r="BRN51" s="197"/>
      <c r="BRO51" s="197"/>
      <c r="BRP51" s="197"/>
      <c r="BRQ51" s="197"/>
      <c r="BRR51" s="197"/>
      <c r="BRS51" s="197"/>
      <c r="BRT51" s="197"/>
      <c r="BRU51" s="197"/>
      <c r="BRV51" s="197"/>
      <c r="BRW51" s="197"/>
      <c r="BRX51" s="197"/>
      <c r="BRY51" s="197"/>
      <c r="BRZ51" s="197"/>
      <c r="BSA51" s="197"/>
      <c r="BSB51" s="197"/>
      <c r="BSC51" s="197"/>
      <c r="BSD51" s="197"/>
      <c r="BSE51" s="197"/>
      <c r="BSF51" s="197"/>
      <c r="BSG51" s="197"/>
      <c r="BSH51" s="197"/>
      <c r="BSI51" s="197"/>
      <c r="BSJ51" s="197"/>
      <c r="BSK51" s="197"/>
      <c r="BSL51" s="197"/>
      <c r="BSM51" s="197"/>
      <c r="BSN51" s="197"/>
      <c r="BSO51" s="197"/>
      <c r="BSP51" s="197"/>
      <c r="BSQ51" s="197"/>
      <c r="BSR51" s="197"/>
      <c r="BSS51" s="197"/>
      <c r="BST51" s="197"/>
      <c r="BSU51" s="197"/>
      <c r="BSV51" s="197"/>
      <c r="BSW51" s="197"/>
      <c r="BSX51" s="197"/>
      <c r="BSY51" s="197"/>
      <c r="BSZ51" s="197"/>
      <c r="BTA51" s="197"/>
      <c r="BTB51" s="197"/>
      <c r="BTC51" s="197"/>
      <c r="BTD51" s="197"/>
      <c r="BTE51" s="197"/>
      <c r="BTF51" s="197"/>
      <c r="BTG51" s="197"/>
      <c r="BTH51" s="197"/>
      <c r="BTI51" s="197"/>
      <c r="BTJ51" s="197"/>
      <c r="BTK51" s="197"/>
      <c r="BTL51" s="197"/>
      <c r="BTM51" s="197"/>
      <c r="BTN51" s="197"/>
      <c r="BTO51" s="197"/>
      <c r="BTP51" s="197"/>
      <c r="BTQ51" s="197"/>
      <c r="BTR51" s="197"/>
      <c r="BTS51" s="197"/>
      <c r="BTT51" s="197"/>
      <c r="BTU51" s="197"/>
      <c r="BTV51" s="197"/>
      <c r="BTW51" s="197"/>
      <c r="BTX51" s="197"/>
      <c r="BTY51" s="197"/>
      <c r="BTZ51" s="197"/>
      <c r="BUA51" s="197"/>
      <c r="BUB51" s="197"/>
      <c r="BUC51" s="197"/>
      <c r="BUD51" s="197"/>
      <c r="BUE51" s="197"/>
      <c r="BUF51" s="197"/>
      <c r="BUG51" s="197"/>
      <c r="BUH51" s="197"/>
      <c r="BUI51" s="197"/>
      <c r="BUJ51" s="197"/>
      <c r="BUK51" s="197"/>
      <c r="BUL51" s="197"/>
      <c r="BUM51" s="197"/>
      <c r="BUN51" s="197"/>
      <c r="BUO51" s="197"/>
      <c r="BUP51" s="197"/>
      <c r="BUQ51" s="197"/>
      <c r="BUR51" s="197"/>
      <c r="BUS51" s="197"/>
      <c r="BUT51" s="197"/>
      <c r="BUU51" s="197"/>
      <c r="BUV51" s="197"/>
      <c r="BUW51" s="197"/>
      <c r="BUX51" s="197"/>
      <c r="BUY51" s="197"/>
      <c r="BUZ51" s="197"/>
      <c r="BVA51" s="197"/>
      <c r="BVB51" s="197"/>
      <c r="BVC51" s="197"/>
      <c r="BVD51" s="197"/>
      <c r="BVE51" s="197"/>
      <c r="BVF51" s="197"/>
      <c r="BVG51" s="197"/>
      <c r="BVH51" s="197"/>
      <c r="BVI51" s="197"/>
      <c r="BVJ51" s="197"/>
      <c r="BVK51" s="197"/>
      <c r="BVL51" s="197"/>
      <c r="BVM51" s="197"/>
      <c r="BVN51" s="197"/>
      <c r="BVO51" s="197"/>
      <c r="BVP51" s="197"/>
      <c r="BVQ51" s="197"/>
      <c r="BVR51" s="197"/>
      <c r="BVS51" s="197"/>
      <c r="BVT51" s="197"/>
      <c r="BVU51" s="197"/>
      <c r="BVV51" s="197"/>
      <c r="BVW51" s="197"/>
      <c r="BVX51" s="197"/>
      <c r="BVY51" s="197"/>
      <c r="BVZ51" s="197"/>
      <c r="BWA51" s="197"/>
      <c r="BWB51" s="197"/>
      <c r="BWC51" s="197"/>
      <c r="BWD51" s="197"/>
      <c r="BWE51" s="197"/>
      <c r="BWF51" s="197"/>
      <c r="BWG51" s="197"/>
      <c r="BWH51" s="197"/>
      <c r="BWI51" s="197"/>
      <c r="BWJ51" s="197"/>
      <c r="BWK51" s="197"/>
      <c r="BWL51" s="197"/>
      <c r="BWM51" s="197"/>
      <c r="BWN51" s="197"/>
      <c r="BWO51" s="197"/>
      <c r="BWP51" s="197"/>
      <c r="BWQ51" s="197"/>
      <c r="BWR51" s="197"/>
      <c r="BWS51" s="197"/>
      <c r="BWT51" s="197"/>
      <c r="BWU51" s="197"/>
      <c r="BWV51" s="197"/>
      <c r="BWW51" s="197"/>
      <c r="BWX51" s="197"/>
      <c r="BWY51" s="197"/>
      <c r="BWZ51" s="197"/>
      <c r="BXA51" s="197"/>
      <c r="BXB51" s="197"/>
      <c r="BXC51" s="197"/>
      <c r="BXD51" s="197"/>
      <c r="BXE51" s="197"/>
      <c r="BXF51" s="197"/>
      <c r="BXG51" s="197"/>
      <c r="BXH51" s="197"/>
      <c r="BXI51" s="197"/>
      <c r="BXJ51" s="197"/>
      <c r="BXK51" s="197"/>
      <c r="BXL51" s="197"/>
      <c r="BXM51" s="197"/>
      <c r="BXN51" s="197"/>
      <c r="BXO51" s="197"/>
      <c r="BXP51" s="197"/>
      <c r="BXQ51" s="197"/>
      <c r="BXR51" s="197"/>
      <c r="BXS51" s="197"/>
      <c r="BXT51" s="197"/>
      <c r="BXU51" s="197"/>
      <c r="BXV51" s="197"/>
      <c r="BXW51" s="197"/>
      <c r="BXX51" s="197"/>
      <c r="BXY51" s="197"/>
      <c r="BXZ51" s="197"/>
      <c r="BYA51" s="197"/>
      <c r="BYB51" s="197"/>
      <c r="BYC51" s="197"/>
      <c r="BYD51" s="197"/>
      <c r="BYE51" s="197"/>
      <c r="BYF51" s="197"/>
      <c r="BYG51" s="197"/>
    </row>
    <row r="52" spans="1:2009" s="95" customFormat="1" ht="12.75" customHeight="1" x14ac:dyDescent="0.25">
      <c r="A52" s="118"/>
      <c r="B52" s="119"/>
      <c r="C52" s="170"/>
      <c r="D52" s="170"/>
      <c r="E52" s="170"/>
      <c r="F52" s="170"/>
      <c r="G52" s="661"/>
      <c r="H52" s="93"/>
      <c r="I52" s="555"/>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4" t="s">
        <v>179</v>
      </c>
      <c r="B53" s="345"/>
      <c r="C53" s="346"/>
      <c r="D53" s="356"/>
      <c r="E53" s="356"/>
      <c r="F53" s="356"/>
      <c r="G53" s="666"/>
      <c r="H53" s="93"/>
      <c r="I53" s="555"/>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7"/>
      <c r="B54" s="350" t="s">
        <v>216</v>
      </c>
      <c r="C54" s="458"/>
      <c r="D54" s="458"/>
      <c r="E54" s="458"/>
      <c r="F54" s="458"/>
      <c r="G54" s="667">
        <f>SUM(C54:F54)</f>
        <v>0</v>
      </c>
      <c r="H54" s="93"/>
      <c r="I54" s="555"/>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8"/>
      <c r="B55" s="351" t="s">
        <v>217</v>
      </c>
      <c r="C55" s="459"/>
      <c r="D55" s="459"/>
      <c r="E55" s="459"/>
      <c r="F55" s="459"/>
      <c r="G55" s="668">
        <f>SUM(C55:F55)</f>
        <v>0</v>
      </c>
      <c r="H55" s="93"/>
      <c r="I55" s="555"/>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909" t="s">
        <v>180</v>
      </c>
      <c r="B56" s="910"/>
      <c r="C56" s="349">
        <f t="shared" ref="C56" si="2">SUM(C53:C55)</f>
        <v>0</v>
      </c>
      <c r="D56" s="349"/>
      <c r="E56" s="349"/>
      <c r="F56" s="349"/>
      <c r="G56" s="669">
        <f t="shared" ref="G56" si="3">SUM(G53:G55)</f>
        <v>0</v>
      </c>
      <c r="H56" s="93"/>
      <c r="I56" s="555"/>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50"/>
      <c r="H57" s="93"/>
      <c r="I57" s="555"/>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6" t="s">
        <v>324</v>
      </c>
      <c r="B58" s="463"/>
      <c r="C58" s="464"/>
      <c r="D58" s="465"/>
      <c r="E58" s="465"/>
      <c r="F58" s="465"/>
      <c r="G58" s="670">
        <f>SUM(C58:F58)</f>
        <v>0</v>
      </c>
      <c r="H58" s="93"/>
      <c r="I58" s="555"/>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50"/>
      <c r="H59" s="93"/>
      <c r="I59" s="555"/>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6" t="s">
        <v>315</v>
      </c>
      <c r="B60" s="373"/>
      <c r="C60" s="374">
        <v>3811.19</v>
      </c>
      <c r="D60" s="375"/>
      <c r="E60" s="374"/>
      <c r="F60" s="375"/>
      <c r="G60" s="671">
        <f>SUM(C60:F60)</f>
        <v>3811.19</v>
      </c>
      <c r="H60" s="93"/>
      <c r="I60" s="555"/>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5"/>
      <c r="D61" s="175"/>
      <c r="E61" s="175"/>
      <c r="F61" s="175"/>
      <c r="G61" s="650"/>
      <c r="H61" s="93"/>
      <c r="I61" s="555"/>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62" t="s">
        <v>499</v>
      </c>
      <c r="B62" s="461"/>
      <c r="C62" s="436">
        <v>1041.5899999999999</v>
      </c>
      <c r="D62" s="437">
        <v>1124.23</v>
      </c>
      <c r="E62" s="437"/>
      <c r="F62" s="437"/>
      <c r="G62" s="672">
        <f>SUM(C62:F62)</f>
        <v>2165.8199999999997</v>
      </c>
      <c r="H62" s="93"/>
      <c r="I62" s="555"/>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76"/>
      <c r="B63" s="676"/>
      <c r="C63" s="435"/>
      <c r="D63" s="175"/>
      <c r="E63" s="175"/>
      <c r="F63" s="175"/>
      <c r="G63" s="650"/>
      <c r="H63" s="93"/>
      <c r="I63" s="555"/>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4.95" customHeight="1" thickBot="1" x14ac:dyDescent="0.3">
      <c r="A64" s="677" t="s">
        <v>349</v>
      </c>
      <c r="B64" s="678"/>
      <c r="C64" s="679"/>
      <c r="D64" s="680"/>
      <c r="E64" s="680">
        <v>5000</v>
      </c>
      <c r="F64" s="680"/>
      <c r="G64" s="681">
        <f>SUM(C64:F64)</f>
        <v>5000</v>
      </c>
      <c r="H64" s="93"/>
      <c r="I64" s="555"/>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12" customHeight="1" thickBot="1" x14ac:dyDescent="0.3">
      <c r="A65" s="676"/>
      <c r="B65" s="676"/>
      <c r="C65" s="435"/>
      <c r="D65" s="175"/>
      <c r="E65" s="175"/>
      <c r="F65" s="175"/>
      <c r="G65" s="650"/>
      <c r="H65" s="93"/>
      <c r="I65" s="555"/>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24.95" customHeight="1" thickBot="1" x14ac:dyDescent="0.3">
      <c r="A66" s="730" t="s">
        <v>500</v>
      </c>
      <c r="B66" s="731"/>
      <c r="C66" s="732">
        <v>4850.3</v>
      </c>
      <c r="D66" s="733">
        <f>41600+8500</f>
        <v>50100</v>
      </c>
      <c r="E66" s="733"/>
      <c r="F66" s="733"/>
      <c r="G66" s="734">
        <f>SUM(C66:F66)</f>
        <v>54950.3</v>
      </c>
      <c r="H66" s="93"/>
      <c r="I66" s="555"/>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94" customFormat="1" ht="9" customHeight="1" thickBot="1" x14ac:dyDescent="0.3">
      <c r="A67" s="676"/>
      <c r="B67" s="676"/>
      <c r="C67" s="435"/>
      <c r="D67" s="175"/>
      <c r="E67" s="175"/>
      <c r="F67" s="175"/>
      <c r="G67" s="650"/>
      <c r="H67" s="93"/>
      <c r="I67" s="555"/>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2009" s="94" customFormat="1" ht="24.95" customHeight="1" thickBot="1" x14ac:dyDescent="0.3">
      <c r="A68" s="751" t="s">
        <v>434</v>
      </c>
      <c r="B68" s="752"/>
      <c r="C68" s="753">
        <v>9176.74</v>
      </c>
      <c r="D68" s="753">
        <v>9635.58</v>
      </c>
      <c r="E68" s="753">
        <v>10189.35</v>
      </c>
      <c r="F68" s="753"/>
      <c r="G68" s="754">
        <f>SUM(C68:F68)</f>
        <v>29001.67</v>
      </c>
      <c r="H68" s="93"/>
      <c r="I68" s="555"/>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5" customFormat="1" ht="12.75" customHeight="1" thickBot="1" x14ac:dyDescent="0.3">
      <c r="A69" s="119"/>
      <c r="B69" s="119"/>
      <c r="C69" s="170"/>
      <c r="D69" s="170"/>
      <c r="E69" s="170"/>
      <c r="F69" s="170"/>
      <c r="G69" s="661"/>
      <c r="H69" s="93"/>
      <c r="I69" s="555"/>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94"/>
      <c r="GC69" s="94"/>
      <c r="GD69" s="94"/>
      <c r="GE69" s="94"/>
      <c r="GF69" s="94"/>
      <c r="GG69" s="94"/>
      <c r="GH69" s="94"/>
      <c r="GI69" s="94"/>
      <c r="GJ69" s="94"/>
      <c r="GK69" s="94"/>
      <c r="GL69" s="94"/>
      <c r="GM69" s="94"/>
      <c r="GN69" s="94"/>
      <c r="GO69" s="94"/>
      <c r="GP69" s="94"/>
      <c r="GQ69" s="94"/>
      <c r="GR69" s="94"/>
      <c r="GS69" s="94"/>
      <c r="GT69" s="94"/>
      <c r="GU69" s="94"/>
      <c r="GV69" s="94"/>
      <c r="GW69" s="94"/>
      <c r="GX69" s="94"/>
      <c r="GY69" s="94"/>
      <c r="GZ69" s="94"/>
      <c r="HA69" s="94"/>
      <c r="HB69" s="94"/>
      <c r="HC69" s="94"/>
      <c r="HD69" s="94"/>
      <c r="HE69" s="94"/>
      <c r="HF69" s="94"/>
      <c r="HG69" s="94"/>
      <c r="HH69" s="94"/>
      <c r="HI69" s="94"/>
      <c r="HJ69" s="94"/>
      <c r="HK69" s="94"/>
      <c r="HL69" s="94"/>
      <c r="HM69" s="94"/>
      <c r="HN69" s="94"/>
      <c r="HO69" s="94"/>
      <c r="HP69" s="94"/>
      <c r="HQ69" s="94"/>
      <c r="HR69" s="94"/>
      <c r="HS69" s="94"/>
      <c r="HT69" s="94"/>
      <c r="HU69" s="94"/>
      <c r="HV69" s="94"/>
      <c r="HW69" s="94"/>
      <c r="HX69" s="94"/>
      <c r="HY69" s="94"/>
      <c r="HZ69" s="94"/>
      <c r="IA69" s="94"/>
      <c r="IB69" s="94"/>
      <c r="IC69" s="94"/>
      <c r="ID69" s="94"/>
      <c r="IE69" s="94"/>
      <c r="IF69" s="94"/>
      <c r="IG69" s="94"/>
      <c r="IH69" s="94"/>
      <c r="II69" s="94"/>
      <c r="IJ69" s="94"/>
      <c r="IK69" s="94"/>
      <c r="IL69" s="94"/>
      <c r="IM69" s="94"/>
      <c r="IN69" s="94"/>
      <c r="IO69" s="94"/>
      <c r="IP69" s="94"/>
      <c r="IQ69" s="94"/>
      <c r="IR69" s="94"/>
      <c r="IS69" s="94"/>
      <c r="IT69" s="94"/>
      <c r="IU69" s="94"/>
      <c r="IV69" s="94"/>
      <c r="IW69" s="94"/>
      <c r="IX69" s="94"/>
      <c r="IY69" s="94"/>
      <c r="IZ69" s="94"/>
      <c r="JA69" s="94"/>
      <c r="JB69" s="94"/>
      <c r="JC69" s="94"/>
      <c r="JD69" s="94"/>
      <c r="JE69" s="94"/>
      <c r="JF69" s="94"/>
      <c r="JG69" s="94"/>
      <c r="JH69" s="94"/>
      <c r="JI69" s="94"/>
      <c r="JJ69" s="94"/>
      <c r="JK69" s="94"/>
      <c r="JL69" s="94"/>
      <c r="JM69" s="94"/>
      <c r="JN69" s="94"/>
      <c r="JO69" s="94"/>
      <c r="JP69" s="94"/>
      <c r="JQ69" s="94"/>
      <c r="JR69" s="94"/>
      <c r="JS69" s="94"/>
      <c r="JT69" s="94"/>
      <c r="JU69" s="94"/>
      <c r="JV69" s="94"/>
      <c r="JW69" s="94"/>
      <c r="JX69" s="94"/>
      <c r="JY69" s="94"/>
      <c r="JZ69" s="94"/>
      <c r="KA69" s="94"/>
      <c r="KB69" s="94"/>
      <c r="KC69" s="94"/>
      <c r="KD69" s="94"/>
      <c r="KE69" s="94"/>
      <c r="KF69" s="94"/>
      <c r="KG69" s="94"/>
      <c r="KH69" s="94"/>
      <c r="KI69" s="94"/>
      <c r="KJ69" s="94"/>
      <c r="KK69" s="94"/>
      <c r="KL69" s="94"/>
      <c r="KM69" s="94"/>
      <c r="KN69" s="94"/>
      <c r="KO69" s="94"/>
      <c r="KP69" s="94"/>
      <c r="KQ69" s="94"/>
      <c r="KR69" s="94"/>
      <c r="KS69" s="94"/>
      <c r="KT69" s="94"/>
      <c r="KU69" s="94"/>
      <c r="KV69" s="94"/>
      <c r="KW69" s="94"/>
      <c r="KX69" s="94"/>
      <c r="KY69" s="94"/>
      <c r="KZ69" s="94"/>
      <c r="LA69" s="94"/>
      <c r="LB69" s="94"/>
      <c r="LC69" s="94"/>
      <c r="LD69" s="94"/>
      <c r="LE69" s="94"/>
      <c r="LF69" s="94"/>
      <c r="LG69" s="94"/>
      <c r="LH69" s="94"/>
      <c r="LI69" s="94"/>
      <c r="LJ69" s="94"/>
      <c r="LK69" s="94"/>
      <c r="LL69" s="94"/>
      <c r="LM69" s="94"/>
      <c r="LN69" s="94"/>
      <c r="LO69" s="94"/>
      <c r="LP69" s="94"/>
      <c r="LQ69" s="94"/>
      <c r="LR69" s="94"/>
      <c r="LS69" s="94"/>
      <c r="LT69" s="94"/>
      <c r="LU69" s="94"/>
      <c r="LV69" s="94"/>
      <c r="LW69" s="94"/>
      <c r="LX69" s="94"/>
      <c r="LY69" s="94"/>
      <c r="LZ69" s="94"/>
      <c r="MA69" s="94"/>
      <c r="MB69" s="94"/>
      <c r="MC69" s="94"/>
      <c r="MD69" s="94"/>
      <c r="ME69" s="94"/>
      <c r="MF69" s="94"/>
      <c r="MG69" s="94"/>
      <c r="MH69" s="94"/>
      <c r="MI69" s="94"/>
      <c r="MJ69" s="94"/>
      <c r="MK69" s="94"/>
      <c r="ML69" s="94"/>
      <c r="MM69" s="94"/>
      <c r="MN69" s="94"/>
      <c r="MO69" s="94"/>
      <c r="MP69" s="94"/>
      <c r="MQ69" s="94"/>
      <c r="MR69" s="94"/>
      <c r="MS69" s="94"/>
      <c r="MT69" s="94"/>
      <c r="MU69" s="94"/>
      <c r="MV69" s="94"/>
      <c r="MW69" s="94"/>
      <c r="MX69" s="94"/>
      <c r="MY69" s="94"/>
      <c r="MZ69" s="94"/>
      <c r="NA69" s="94"/>
      <c r="NB69" s="94"/>
      <c r="NC69" s="94"/>
      <c r="ND69" s="94"/>
      <c r="NE69" s="94"/>
      <c r="NF69" s="94"/>
      <c r="NG69" s="94"/>
      <c r="NH69" s="94"/>
      <c r="NI69" s="94"/>
      <c r="NJ69" s="94"/>
      <c r="NK69" s="94"/>
      <c r="NL69" s="94"/>
      <c r="NM69" s="94"/>
      <c r="NN69" s="94"/>
      <c r="NO69" s="94"/>
      <c r="NP69" s="94"/>
      <c r="NQ69" s="94"/>
      <c r="NR69" s="94"/>
      <c r="NS69" s="94"/>
      <c r="NT69" s="94"/>
      <c r="NU69" s="94"/>
      <c r="NV69" s="94"/>
      <c r="NW69" s="94"/>
      <c r="NX69" s="94"/>
      <c r="NY69" s="94"/>
      <c r="NZ69" s="94"/>
      <c r="OA69" s="94"/>
      <c r="OB69" s="94"/>
      <c r="OC69" s="94"/>
      <c r="OD69" s="94"/>
      <c r="OE69" s="94"/>
      <c r="OF69" s="94"/>
      <c r="OG69" s="94"/>
      <c r="OH69" s="94"/>
      <c r="OI69" s="94"/>
      <c r="OJ69" s="94"/>
      <c r="OK69" s="94"/>
      <c r="OL69" s="94"/>
      <c r="OM69" s="94"/>
      <c r="ON69" s="94"/>
      <c r="OO69" s="94"/>
      <c r="OP69" s="94"/>
      <c r="OQ69" s="94"/>
      <c r="OR69" s="94"/>
      <c r="OS69" s="94"/>
      <c r="OT69" s="94"/>
      <c r="OU69" s="94"/>
      <c r="OV69" s="94"/>
      <c r="OW69" s="94"/>
      <c r="OX69" s="94"/>
      <c r="OY69" s="94"/>
      <c r="OZ69" s="94"/>
      <c r="PA69" s="94"/>
      <c r="PB69" s="94"/>
      <c r="PC69" s="94"/>
      <c r="PD69" s="94"/>
      <c r="PE69" s="94"/>
      <c r="PF69" s="94"/>
      <c r="PG69" s="94"/>
      <c r="PH69" s="94"/>
      <c r="PI69" s="94"/>
      <c r="PJ69" s="94"/>
      <c r="PK69" s="94"/>
      <c r="PL69" s="94"/>
      <c r="PM69" s="94"/>
      <c r="PN69" s="94"/>
      <c r="PO69" s="94"/>
      <c r="PP69" s="94"/>
      <c r="PQ69" s="94"/>
      <c r="PR69" s="94"/>
      <c r="PS69" s="94"/>
      <c r="PT69" s="94"/>
      <c r="PU69" s="94"/>
      <c r="PV69" s="94"/>
      <c r="PW69" s="94"/>
      <c r="PX69" s="94"/>
      <c r="PY69" s="94"/>
      <c r="PZ69" s="94"/>
      <c r="QA69" s="94"/>
      <c r="QB69" s="94"/>
      <c r="QC69" s="94"/>
      <c r="QD69" s="94"/>
      <c r="QE69" s="94"/>
      <c r="QF69" s="94"/>
      <c r="QG69" s="94"/>
      <c r="QH69" s="94"/>
      <c r="QI69" s="94"/>
      <c r="QJ69" s="94"/>
      <c r="QK69" s="94"/>
      <c r="QL69" s="94"/>
      <c r="QM69" s="94"/>
      <c r="QN69" s="94"/>
      <c r="QO69" s="94"/>
      <c r="QP69" s="94"/>
      <c r="QQ69" s="94"/>
      <c r="QR69" s="94"/>
      <c r="QS69" s="94"/>
      <c r="QT69" s="94"/>
      <c r="QU69" s="94"/>
      <c r="QV69" s="94"/>
      <c r="QW69" s="94"/>
      <c r="QX69" s="94"/>
      <c r="QY69" s="94"/>
      <c r="QZ69" s="94"/>
      <c r="RA69" s="94"/>
      <c r="RB69" s="94"/>
      <c r="RC69" s="94"/>
      <c r="RD69" s="94"/>
      <c r="RE69" s="94"/>
      <c r="RF69" s="94"/>
      <c r="RG69" s="94"/>
      <c r="RH69" s="94"/>
      <c r="RI69" s="94"/>
      <c r="RJ69" s="94"/>
      <c r="RK69" s="94"/>
      <c r="RL69" s="94"/>
      <c r="RM69" s="94"/>
      <c r="RN69" s="94"/>
      <c r="RO69" s="94"/>
      <c r="RP69" s="94"/>
      <c r="RQ69" s="94"/>
      <c r="RR69" s="94"/>
      <c r="RS69" s="94"/>
      <c r="RT69" s="94"/>
      <c r="RU69" s="94"/>
      <c r="RV69" s="94"/>
      <c r="RW69" s="94"/>
      <c r="RX69" s="94"/>
      <c r="RY69" s="94"/>
      <c r="RZ69" s="94"/>
      <c r="SA69" s="94"/>
      <c r="SB69" s="94"/>
      <c r="SC69" s="94"/>
      <c r="SD69" s="94"/>
      <c r="SE69" s="94"/>
      <c r="SF69" s="94"/>
      <c r="SG69" s="94"/>
      <c r="SH69" s="94"/>
      <c r="SI69" s="94"/>
      <c r="SJ69" s="94"/>
      <c r="SK69" s="94"/>
      <c r="SL69" s="94"/>
      <c r="SM69" s="94"/>
      <c r="SN69" s="94"/>
      <c r="SO69" s="94"/>
      <c r="SP69" s="94"/>
      <c r="SQ69" s="94"/>
      <c r="SR69" s="94"/>
      <c r="SS69" s="94"/>
      <c r="ST69" s="94"/>
      <c r="SU69" s="94"/>
      <c r="SV69" s="94"/>
      <c r="SW69" s="94"/>
      <c r="SX69" s="94"/>
      <c r="SY69" s="94"/>
      <c r="SZ69" s="94"/>
      <c r="TA69" s="94"/>
      <c r="TB69" s="94"/>
      <c r="TC69" s="94"/>
      <c r="TD69" s="94"/>
      <c r="TE69" s="94"/>
      <c r="TF69" s="94"/>
      <c r="TG69" s="94"/>
      <c r="TH69" s="94"/>
      <c r="TI69" s="94"/>
      <c r="TJ69" s="94"/>
      <c r="TK69" s="94"/>
      <c r="TL69" s="94"/>
      <c r="TM69" s="94"/>
      <c r="TN69" s="94"/>
      <c r="TO69" s="94"/>
      <c r="TP69" s="94"/>
      <c r="TQ69" s="94"/>
      <c r="TR69" s="94"/>
      <c r="TS69" s="94"/>
      <c r="TT69" s="94"/>
      <c r="TU69" s="94"/>
      <c r="TV69" s="94"/>
      <c r="TW69" s="94"/>
      <c r="TX69" s="94"/>
      <c r="TY69" s="94"/>
      <c r="TZ69" s="94"/>
      <c r="UA69" s="94"/>
      <c r="UB69" s="94"/>
      <c r="UC69" s="94"/>
      <c r="UD69" s="94"/>
      <c r="UE69" s="94"/>
      <c r="UF69" s="94"/>
      <c r="UG69" s="94"/>
      <c r="UH69" s="94"/>
      <c r="UI69" s="94"/>
      <c r="UJ69" s="94"/>
      <c r="UK69" s="94"/>
      <c r="UL69" s="94"/>
      <c r="UM69" s="94"/>
      <c r="UN69" s="94"/>
      <c r="UO69" s="94"/>
      <c r="UP69" s="94"/>
      <c r="UQ69" s="94"/>
      <c r="UR69" s="94"/>
      <c r="US69" s="94"/>
      <c r="UT69" s="94"/>
      <c r="UU69" s="94"/>
      <c r="UV69" s="94"/>
      <c r="UW69" s="94"/>
      <c r="UX69" s="94"/>
      <c r="UY69" s="94"/>
      <c r="UZ69" s="94"/>
      <c r="VA69" s="94"/>
      <c r="VB69" s="94"/>
      <c r="VC69" s="94"/>
      <c r="VD69" s="94"/>
      <c r="VE69" s="94"/>
      <c r="VF69" s="94"/>
      <c r="VG69" s="94"/>
      <c r="VH69" s="94"/>
      <c r="VI69" s="94"/>
      <c r="VJ69" s="94"/>
      <c r="VK69" s="94"/>
      <c r="VL69" s="94"/>
      <c r="VM69" s="94"/>
      <c r="VN69" s="94"/>
      <c r="VO69" s="94"/>
      <c r="VP69" s="94"/>
      <c r="VQ69" s="94"/>
      <c r="VR69" s="94"/>
      <c r="VS69" s="94"/>
      <c r="VT69" s="94"/>
      <c r="VU69" s="94"/>
      <c r="VV69" s="94"/>
      <c r="VW69" s="94"/>
      <c r="VX69" s="94"/>
      <c r="VY69" s="94"/>
      <c r="VZ69" s="94"/>
      <c r="WA69" s="94"/>
      <c r="WB69" s="94"/>
      <c r="WC69" s="94"/>
      <c r="WD69" s="94"/>
      <c r="WE69" s="94"/>
      <c r="WF69" s="94"/>
      <c r="WG69" s="94"/>
      <c r="WH69" s="94"/>
      <c r="WI69" s="94"/>
      <c r="WJ69" s="94"/>
      <c r="WK69" s="94"/>
      <c r="WL69" s="94"/>
      <c r="WM69" s="94"/>
      <c r="WN69" s="94"/>
      <c r="WO69" s="94"/>
      <c r="WP69" s="94"/>
      <c r="WQ69" s="94"/>
      <c r="WR69" s="94"/>
      <c r="WS69" s="94"/>
      <c r="WT69" s="94"/>
      <c r="WU69" s="94"/>
      <c r="WV69" s="94"/>
      <c r="WW69" s="94"/>
      <c r="WX69" s="94"/>
      <c r="WY69" s="94"/>
      <c r="WZ69" s="94"/>
      <c r="XA69" s="94"/>
      <c r="XB69" s="94"/>
      <c r="XC69" s="94"/>
      <c r="XD69" s="94"/>
      <c r="XE69" s="94"/>
      <c r="XF69" s="94"/>
      <c r="XG69" s="94"/>
      <c r="XH69" s="94"/>
      <c r="XI69" s="94"/>
      <c r="XJ69" s="94"/>
      <c r="XK69" s="94"/>
      <c r="XL69" s="94"/>
      <c r="XM69" s="94"/>
      <c r="XN69" s="94"/>
      <c r="XO69" s="94"/>
      <c r="XP69" s="94"/>
      <c r="XQ69" s="94"/>
      <c r="XR69" s="94"/>
      <c r="XS69" s="94"/>
      <c r="XT69" s="94"/>
      <c r="XU69" s="94"/>
      <c r="XV69" s="94"/>
      <c r="XW69" s="94"/>
      <c r="XX69" s="94"/>
      <c r="XY69" s="94"/>
      <c r="XZ69" s="94"/>
      <c r="YA69" s="94"/>
      <c r="YB69" s="94"/>
      <c r="YC69" s="94"/>
      <c r="YD69" s="94"/>
      <c r="YE69" s="94"/>
      <c r="YF69" s="94"/>
      <c r="YG69" s="94"/>
      <c r="YH69" s="94"/>
      <c r="YI69" s="94"/>
      <c r="YJ69" s="94"/>
      <c r="YK69" s="94"/>
      <c r="YL69" s="94"/>
      <c r="YM69" s="94"/>
      <c r="YN69" s="94"/>
      <c r="YO69" s="94"/>
      <c r="YP69" s="94"/>
      <c r="YQ69" s="94"/>
      <c r="YR69" s="94"/>
      <c r="YS69" s="94"/>
      <c r="YT69" s="94"/>
      <c r="YU69" s="94"/>
      <c r="YV69" s="94"/>
      <c r="YW69" s="94"/>
      <c r="YX69" s="94"/>
      <c r="YY69" s="94"/>
      <c r="YZ69" s="94"/>
      <c r="ZA69" s="94"/>
      <c r="ZB69" s="94"/>
      <c r="ZC69" s="94"/>
      <c r="ZD69" s="94"/>
      <c r="ZE69" s="94"/>
      <c r="ZF69" s="94"/>
      <c r="ZG69" s="94"/>
      <c r="ZH69" s="94"/>
      <c r="ZI69" s="94"/>
      <c r="ZJ69" s="94"/>
      <c r="ZK69" s="94"/>
      <c r="ZL69" s="94"/>
      <c r="ZM69" s="94"/>
      <c r="ZN69" s="94"/>
      <c r="ZO69" s="94"/>
      <c r="ZP69" s="94"/>
      <c r="ZQ69" s="94"/>
      <c r="ZR69" s="94"/>
      <c r="ZS69" s="94"/>
      <c r="ZT69" s="94"/>
      <c r="ZU69" s="94"/>
      <c r="ZV69" s="94"/>
      <c r="ZW69" s="94"/>
      <c r="ZX69" s="94"/>
      <c r="ZY69" s="94"/>
      <c r="ZZ69" s="94"/>
      <c r="AAA69" s="94"/>
      <c r="AAB69" s="94"/>
      <c r="AAC69" s="94"/>
      <c r="AAD69" s="94"/>
      <c r="AAE69" s="94"/>
      <c r="AAF69" s="94"/>
      <c r="AAG69" s="94"/>
      <c r="AAH69" s="94"/>
      <c r="AAI69" s="94"/>
      <c r="AAJ69" s="94"/>
      <c r="AAK69" s="94"/>
      <c r="AAL69" s="94"/>
      <c r="AAM69" s="94"/>
      <c r="AAN69" s="94"/>
      <c r="AAO69" s="94"/>
      <c r="AAP69" s="94"/>
      <c r="AAQ69" s="94"/>
      <c r="AAR69" s="94"/>
      <c r="AAS69" s="94"/>
      <c r="AAT69" s="94"/>
      <c r="AAU69" s="94"/>
      <c r="AAV69" s="94"/>
      <c r="AAW69" s="94"/>
      <c r="AAX69" s="94"/>
      <c r="AAY69" s="94"/>
      <c r="AAZ69" s="94"/>
      <c r="ABA69" s="94"/>
      <c r="ABB69" s="94"/>
      <c r="ABC69" s="94"/>
      <c r="ABD69" s="94"/>
      <c r="ABE69" s="94"/>
      <c r="ABF69" s="94"/>
      <c r="ABG69" s="94"/>
      <c r="ABH69" s="94"/>
      <c r="ABI69" s="94"/>
      <c r="ABJ69" s="94"/>
      <c r="ABK69" s="94"/>
      <c r="ABL69" s="94"/>
      <c r="ABM69" s="94"/>
      <c r="ABN69" s="94"/>
      <c r="ABO69" s="94"/>
      <c r="ABP69" s="94"/>
      <c r="ABQ69" s="94"/>
      <c r="ABR69" s="94"/>
      <c r="ABS69" s="94"/>
      <c r="ABT69" s="94"/>
      <c r="ABU69" s="94"/>
      <c r="ABV69" s="94"/>
      <c r="ABW69" s="94"/>
      <c r="ABX69" s="94"/>
      <c r="ABY69" s="94"/>
      <c r="ABZ69" s="94"/>
      <c r="ACA69" s="94"/>
      <c r="ACB69" s="94"/>
      <c r="ACC69" s="94"/>
      <c r="ACD69" s="94"/>
      <c r="ACE69" s="94"/>
      <c r="ACF69" s="94"/>
      <c r="ACG69" s="94"/>
      <c r="ACH69" s="94"/>
      <c r="ACI69" s="94"/>
      <c r="ACJ69" s="94"/>
      <c r="ACK69" s="94"/>
      <c r="ACL69" s="94"/>
      <c r="ACM69" s="94"/>
      <c r="ACN69" s="94"/>
      <c r="ACO69" s="94"/>
      <c r="ACP69" s="94"/>
      <c r="ACQ69" s="94"/>
      <c r="ACR69" s="94"/>
      <c r="ACS69" s="94"/>
      <c r="ACT69" s="94"/>
      <c r="ACU69" s="94"/>
      <c r="ACV69" s="94"/>
      <c r="ACW69" s="94"/>
      <c r="ACX69" s="94"/>
      <c r="ACY69" s="94"/>
      <c r="ACZ69" s="94"/>
      <c r="ADA69" s="94"/>
      <c r="ADB69" s="94"/>
      <c r="ADC69" s="94"/>
      <c r="ADD69" s="94"/>
      <c r="ADE69" s="94"/>
      <c r="ADF69" s="94"/>
      <c r="ADG69" s="94"/>
      <c r="ADH69" s="94"/>
      <c r="ADI69" s="94"/>
      <c r="ADJ69" s="94"/>
      <c r="ADK69" s="94"/>
      <c r="ADL69" s="94"/>
      <c r="ADM69" s="94"/>
      <c r="ADN69" s="94"/>
      <c r="ADO69" s="94"/>
      <c r="ADP69" s="94"/>
      <c r="ADQ69" s="94"/>
      <c r="ADR69" s="94"/>
      <c r="ADS69" s="94"/>
      <c r="ADT69" s="94"/>
      <c r="ADU69" s="94"/>
      <c r="ADV69" s="94"/>
      <c r="ADW69" s="94"/>
      <c r="ADX69" s="94"/>
      <c r="ADY69" s="94"/>
      <c r="ADZ69" s="94"/>
      <c r="AEA69" s="94"/>
      <c r="AEB69" s="94"/>
      <c r="AEC69" s="94"/>
      <c r="AED69" s="94"/>
      <c r="AEE69" s="94"/>
      <c r="AEF69" s="94"/>
      <c r="AEG69" s="94"/>
      <c r="AEH69" s="94"/>
      <c r="AEI69" s="94"/>
      <c r="AEJ69" s="94"/>
      <c r="AEK69" s="94"/>
      <c r="AEL69" s="94"/>
      <c r="AEM69" s="94"/>
      <c r="AEN69" s="94"/>
      <c r="AEO69" s="94"/>
      <c r="AEP69" s="94"/>
      <c r="AEQ69" s="94"/>
      <c r="AER69" s="94"/>
      <c r="AES69" s="94"/>
      <c r="AET69" s="94"/>
      <c r="AEU69" s="94"/>
      <c r="AEV69" s="94"/>
      <c r="AEW69" s="94"/>
      <c r="AEX69" s="94"/>
      <c r="AEY69" s="94"/>
      <c r="AEZ69" s="94"/>
      <c r="AFA69" s="94"/>
      <c r="AFB69" s="94"/>
      <c r="AFC69" s="94"/>
      <c r="AFD69" s="94"/>
      <c r="AFE69" s="94"/>
      <c r="AFF69" s="94"/>
      <c r="AFG69" s="94"/>
      <c r="AFH69" s="94"/>
      <c r="AFI69" s="94"/>
      <c r="AFJ69" s="94"/>
      <c r="AFK69" s="94"/>
      <c r="AFL69" s="94"/>
      <c r="AFM69" s="94"/>
      <c r="AFN69" s="94"/>
      <c r="AFO69" s="94"/>
      <c r="AFP69" s="94"/>
      <c r="AFQ69" s="94"/>
      <c r="AFR69" s="94"/>
      <c r="AFS69" s="94"/>
      <c r="AFT69" s="94"/>
      <c r="AFU69" s="94"/>
      <c r="AFV69" s="94"/>
      <c r="AFW69" s="94"/>
      <c r="AFX69" s="94"/>
      <c r="AFY69" s="94"/>
      <c r="AFZ69" s="94"/>
      <c r="AGA69" s="94"/>
      <c r="AGB69" s="94"/>
      <c r="AGC69" s="94"/>
      <c r="AGD69" s="94"/>
      <c r="AGE69" s="94"/>
      <c r="AGF69" s="94"/>
      <c r="AGG69" s="94"/>
      <c r="AGH69" s="94"/>
      <c r="AGI69" s="94"/>
      <c r="AGJ69" s="94"/>
      <c r="AGK69" s="94"/>
      <c r="AGL69" s="94"/>
      <c r="AGM69" s="94"/>
      <c r="AGN69" s="94"/>
      <c r="AGO69" s="94"/>
      <c r="AGP69" s="94"/>
      <c r="AGQ69" s="94"/>
      <c r="AGR69" s="94"/>
      <c r="AGS69" s="94"/>
      <c r="AGT69" s="94"/>
      <c r="AGU69" s="94"/>
      <c r="AGV69" s="94"/>
      <c r="AGW69" s="94"/>
      <c r="AGX69" s="94"/>
      <c r="AGY69" s="94"/>
      <c r="AGZ69" s="94"/>
      <c r="AHA69" s="94"/>
      <c r="AHB69" s="94"/>
      <c r="AHC69" s="94"/>
      <c r="AHD69" s="94"/>
      <c r="AHE69" s="94"/>
      <c r="AHF69" s="94"/>
      <c r="AHG69" s="94"/>
      <c r="AHH69" s="94"/>
      <c r="AHI69" s="94"/>
      <c r="AHJ69" s="94"/>
      <c r="AHK69" s="94"/>
      <c r="AHL69" s="94"/>
      <c r="AHM69" s="94"/>
      <c r="AHN69" s="94"/>
      <c r="AHO69" s="94"/>
      <c r="AHP69" s="94"/>
      <c r="AHQ69" s="94"/>
      <c r="AHR69" s="94"/>
      <c r="AHS69" s="94"/>
      <c r="AHT69" s="94"/>
      <c r="AHU69" s="94"/>
      <c r="AHV69" s="94"/>
      <c r="AHW69" s="94"/>
      <c r="AHX69" s="94"/>
      <c r="AHY69" s="94"/>
      <c r="AHZ69" s="94"/>
      <c r="AIA69" s="94"/>
      <c r="AIB69" s="94"/>
      <c r="AIC69" s="94"/>
      <c r="AID69" s="94"/>
      <c r="AIE69" s="94"/>
      <c r="AIF69" s="94"/>
      <c r="AIG69" s="94"/>
      <c r="AIH69" s="94"/>
      <c r="AII69" s="94"/>
      <c r="AIJ69" s="94"/>
      <c r="AIK69" s="94"/>
      <c r="AIL69" s="94"/>
      <c r="AIM69" s="94"/>
      <c r="AIN69" s="94"/>
      <c r="AIO69" s="94"/>
      <c r="AIP69" s="94"/>
      <c r="AIQ69" s="94"/>
      <c r="AIR69" s="94"/>
      <c r="AIS69" s="94"/>
      <c r="AIT69" s="94"/>
      <c r="AIU69" s="94"/>
      <c r="AIV69" s="94"/>
      <c r="AIW69" s="94"/>
      <c r="AIX69" s="94"/>
      <c r="AIY69" s="94"/>
      <c r="AIZ69" s="94"/>
      <c r="AJA69" s="94"/>
      <c r="AJB69" s="94"/>
      <c r="AJC69" s="94"/>
      <c r="AJD69" s="94"/>
      <c r="AJE69" s="94"/>
      <c r="AJF69" s="94"/>
      <c r="AJG69" s="94"/>
      <c r="AJH69" s="94"/>
      <c r="AJI69" s="94"/>
      <c r="AJJ69" s="94"/>
      <c r="AJK69" s="94"/>
      <c r="AJL69" s="94"/>
      <c r="AJM69" s="94"/>
      <c r="AJN69" s="94"/>
      <c r="AJO69" s="94"/>
      <c r="AJP69" s="94"/>
      <c r="AJQ69" s="94"/>
      <c r="AJR69" s="94"/>
      <c r="AJS69" s="94"/>
      <c r="AJT69" s="94"/>
      <c r="AJU69" s="94"/>
      <c r="AJV69" s="94"/>
      <c r="AJW69" s="94"/>
      <c r="AJX69" s="94"/>
      <c r="AJY69" s="94"/>
      <c r="AJZ69" s="94"/>
      <c r="AKA69" s="94"/>
      <c r="AKB69" s="94"/>
      <c r="AKC69" s="94"/>
      <c r="AKD69" s="94"/>
      <c r="AKE69" s="94"/>
      <c r="AKF69" s="94"/>
      <c r="AKG69" s="94"/>
      <c r="AKH69" s="94"/>
      <c r="AKI69" s="94"/>
      <c r="AKJ69" s="94"/>
      <c r="AKK69" s="94"/>
      <c r="AKL69" s="94"/>
      <c r="AKM69" s="94"/>
      <c r="AKN69" s="94"/>
      <c r="AKO69" s="94"/>
      <c r="AKP69" s="94"/>
      <c r="AKQ69" s="94"/>
      <c r="AKR69" s="94"/>
      <c r="AKS69" s="94"/>
      <c r="AKT69" s="94"/>
      <c r="AKU69" s="94"/>
      <c r="AKV69" s="94"/>
      <c r="AKW69" s="94"/>
      <c r="AKX69" s="94"/>
      <c r="AKY69" s="94"/>
      <c r="AKZ69" s="94"/>
      <c r="ALA69" s="94"/>
      <c r="ALB69" s="94"/>
      <c r="ALC69" s="94"/>
      <c r="ALD69" s="94"/>
      <c r="ALE69" s="94"/>
      <c r="ALF69" s="94"/>
      <c r="ALG69" s="94"/>
      <c r="ALH69" s="94"/>
      <c r="ALI69" s="94"/>
      <c r="ALJ69" s="94"/>
      <c r="ALK69" s="94"/>
      <c r="ALL69" s="94"/>
      <c r="ALM69" s="94"/>
      <c r="ALN69" s="94"/>
      <c r="ALO69" s="94"/>
      <c r="ALP69" s="94"/>
      <c r="ALQ69" s="94"/>
      <c r="ALR69" s="94"/>
      <c r="ALS69" s="94"/>
      <c r="ALT69" s="94"/>
      <c r="ALU69" s="94"/>
      <c r="ALV69" s="94"/>
      <c r="ALW69" s="94"/>
      <c r="ALX69" s="94"/>
      <c r="ALY69" s="94"/>
      <c r="ALZ69" s="94"/>
      <c r="AMA69" s="94"/>
      <c r="AMB69" s="94"/>
      <c r="AMC69" s="94"/>
      <c r="AMD69" s="94"/>
      <c r="AME69" s="94"/>
      <c r="AMF69" s="94"/>
      <c r="AMG69" s="94"/>
      <c r="AMH69" s="94"/>
      <c r="AMI69" s="94"/>
      <c r="AMJ69" s="94"/>
      <c r="AMK69" s="94"/>
      <c r="AML69" s="94"/>
      <c r="AMM69" s="94"/>
      <c r="AMN69" s="94"/>
      <c r="AMO69" s="94"/>
      <c r="AMP69" s="94"/>
      <c r="AMQ69" s="94"/>
      <c r="AMR69" s="94"/>
      <c r="AMS69" s="94"/>
      <c r="AMT69" s="94"/>
      <c r="AMU69" s="94"/>
      <c r="AMV69" s="94"/>
      <c r="AMW69" s="94"/>
      <c r="AMX69" s="94"/>
      <c r="AMY69" s="94"/>
      <c r="AMZ69" s="94"/>
      <c r="ANA69" s="94"/>
      <c r="ANB69" s="94"/>
      <c r="ANC69" s="94"/>
      <c r="AND69" s="94"/>
      <c r="ANE69" s="94"/>
      <c r="ANF69" s="94"/>
      <c r="ANG69" s="94"/>
      <c r="ANH69" s="94"/>
      <c r="ANI69" s="94"/>
      <c r="ANJ69" s="94"/>
      <c r="ANK69" s="94"/>
      <c r="ANL69" s="94"/>
      <c r="ANM69" s="94"/>
      <c r="ANN69" s="94"/>
      <c r="ANO69" s="94"/>
      <c r="ANP69" s="94"/>
      <c r="ANQ69" s="94"/>
      <c r="ANR69" s="94"/>
      <c r="ANS69" s="94"/>
      <c r="ANT69" s="94"/>
      <c r="ANU69" s="94"/>
      <c r="ANV69" s="94"/>
      <c r="ANW69" s="94"/>
      <c r="ANX69" s="94"/>
      <c r="ANY69" s="94"/>
      <c r="ANZ69" s="94"/>
      <c r="AOA69" s="94"/>
      <c r="AOB69" s="94"/>
      <c r="AOC69" s="94"/>
      <c r="AOD69" s="94"/>
      <c r="AOE69" s="94"/>
      <c r="AOF69" s="94"/>
      <c r="AOG69" s="94"/>
      <c r="AOH69" s="94"/>
      <c r="AOI69" s="94"/>
      <c r="AOJ69" s="94"/>
      <c r="AOK69" s="94"/>
      <c r="AOL69" s="94"/>
      <c r="AOM69" s="94"/>
      <c r="AON69" s="94"/>
      <c r="AOO69" s="94"/>
      <c r="AOP69" s="94"/>
      <c r="AOQ69" s="94"/>
      <c r="AOR69" s="94"/>
      <c r="AOS69" s="94"/>
      <c r="AOT69" s="94"/>
      <c r="AOU69" s="94"/>
      <c r="AOV69" s="94"/>
      <c r="AOW69" s="94"/>
      <c r="AOX69" s="94"/>
      <c r="AOY69" s="94"/>
      <c r="AOZ69" s="94"/>
      <c r="APA69" s="94"/>
      <c r="APB69" s="94"/>
      <c r="APC69" s="94"/>
      <c r="APD69" s="94"/>
      <c r="APE69" s="94"/>
      <c r="APF69" s="94"/>
      <c r="APG69" s="94"/>
      <c r="APH69" s="94"/>
      <c r="API69" s="94"/>
      <c r="APJ69" s="94"/>
      <c r="APK69" s="94"/>
      <c r="APL69" s="94"/>
      <c r="APM69" s="94"/>
      <c r="APN69" s="94"/>
      <c r="APO69" s="94"/>
      <c r="APP69" s="94"/>
      <c r="APQ69" s="94"/>
      <c r="APR69" s="94"/>
      <c r="APS69" s="94"/>
      <c r="APT69" s="94"/>
      <c r="APU69" s="94"/>
      <c r="APV69" s="94"/>
      <c r="APW69" s="94"/>
      <c r="APX69" s="94"/>
      <c r="APY69" s="94"/>
      <c r="APZ69" s="94"/>
      <c r="AQA69" s="94"/>
      <c r="AQB69" s="94"/>
      <c r="AQC69" s="94"/>
      <c r="AQD69" s="94"/>
      <c r="AQE69" s="94"/>
      <c r="AQF69" s="94"/>
      <c r="AQG69" s="94"/>
      <c r="AQH69" s="94"/>
      <c r="AQI69" s="94"/>
      <c r="AQJ69" s="94"/>
      <c r="AQK69" s="94"/>
      <c r="AQL69" s="94"/>
      <c r="AQM69" s="94"/>
      <c r="AQN69" s="94"/>
      <c r="AQO69" s="94"/>
      <c r="AQP69" s="94"/>
      <c r="AQQ69" s="94"/>
      <c r="AQR69" s="94"/>
      <c r="AQS69" s="94"/>
      <c r="AQT69" s="94"/>
      <c r="AQU69" s="94"/>
      <c r="AQV69" s="94"/>
      <c r="AQW69" s="94"/>
      <c r="AQX69" s="94"/>
      <c r="AQY69" s="94"/>
      <c r="AQZ69" s="94"/>
      <c r="ARA69" s="94"/>
      <c r="ARB69" s="94"/>
      <c r="ARC69" s="94"/>
      <c r="ARD69" s="94"/>
      <c r="ARE69" s="94"/>
      <c r="ARF69" s="94"/>
      <c r="ARG69" s="94"/>
      <c r="ARH69" s="94"/>
      <c r="ARI69" s="94"/>
      <c r="ARJ69" s="94"/>
      <c r="ARK69" s="94"/>
      <c r="ARL69" s="94"/>
      <c r="ARM69" s="94"/>
      <c r="ARN69" s="94"/>
      <c r="ARO69" s="94"/>
      <c r="ARP69" s="94"/>
      <c r="ARQ69" s="94"/>
      <c r="ARR69" s="94"/>
      <c r="ARS69" s="94"/>
      <c r="ART69" s="94"/>
      <c r="ARU69" s="94"/>
      <c r="ARV69" s="94"/>
      <c r="ARW69" s="94"/>
      <c r="ARX69" s="94"/>
      <c r="ARY69" s="94"/>
      <c r="ARZ69" s="94"/>
      <c r="ASA69" s="94"/>
      <c r="ASB69" s="94"/>
      <c r="ASC69" s="94"/>
      <c r="ASD69" s="94"/>
      <c r="ASE69" s="94"/>
      <c r="ASF69" s="94"/>
      <c r="ASG69" s="94"/>
      <c r="ASH69" s="94"/>
      <c r="ASI69" s="94"/>
      <c r="ASJ69" s="94"/>
      <c r="ASK69" s="94"/>
      <c r="ASL69" s="94"/>
      <c r="ASM69" s="94"/>
      <c r="ASN69" s="94"/>
      <c r="ASO69" s="94"/>
      <c r="ASP69" s="94"/>
      <c r="ASQ69" s="94"/>
      <c r="ASR69" s="94"/>
      <c r="ASS69" s="94"/>
      <c r="AST69" s="94"/>
      <c r="ASU69" s="94"/>
      <c r="ASV69" s="94"/>
      <c r="ASW69" s="94"/>
      <c r="ASX69" s="94"/>
      <c r="ASY69" s="94"/>
      <c r="ASZ69" s="94"/>
      <c r="ATA69" s="94"/>
      <c r="ATB69" s="94"/>
      <c r="ATC69" s="94"/>
      <c r="ATD69" s="94"/>
      <c r="ATE69" s="94"/>
      <c r="ATF69" s="94"/>
      <c r="ATG69" s="94"/>
      <c r="ATH69" s="94"/>
      <c r="ATI69" s="94"/>
      <c r="ATJ69" s="94"/>
      <c r="ATK69" s="94"/>
      <c r="ATL69" s="94"/>
      <c r="ATM69" s="94"/>
      <c r="ATN69" s="94"/>
      <c r="ATO69" s="94"/>
      <c r="ATP69" s="94"/>
      <c r="ATQ69" s="94"/>
      <c r="ATR69" s="94"/>
      <c r="ATS69" s="94"/>
      <c r="ATT69" s="94"/>
      <c r="ATU69" s="94"/>
      <c r="ATV69" s="94"/>
      <c r="ATW69" s="94"/>
      <c r="ATX69" s="94"/>
      <c r="ATY69" s="94"/>
      <c r="ATZ69" s="94"/>
      <c r="AUA69" s="94"/>
      <c r="AUB69" s="94"/>
      <c r="AUC69" s="94"/>
      <c r="AUD69" s="94"/>
      <c r="AUE69" s="94"/>
      <c r="AUF69" s="94"/>
      <c r="AUG69" s="94"/>
      <c r="AUH69" s="94"/>
      <c r="AUI69" s="94"/>
      <c r="AUJ69" s="94"/>
      <c r="AUK69" s="94"/>
      <c r="AUL69" s="94"/>
      <c r="AUM69" s="94"/>
      <c r="AUN69" s="94"/>
      <c r="AUO69" s="94"/>
      <c r="AUP69" s="94"/>
      <c r="AUQ69" s="94"/>
      <c r="AUR69" s="94"/>
      <c r="AUS69" s="94"/>
      <c r="AUT69" s="94"/>
      <c r="AUU69" s="94"/>
      <c r="AUV69" s="94"/>
      <c r="AUW69" s="94"/>
      <c r="AUX69" s="94"/>
      <c r="AUY69" s="94"/>
      <c r="AUZ69" s="94"/>
      <c r="AVA69" s="94"/>
      <c r="AVB69" s="94"/>
      <c r="AVC69" s="94"/>
      <c r="AVD69" s="94"/>
      <c r="AVE69" s="94"/>
      <c r="AVF69" s="94"/>
      <c r="AVG69" s="94"/>
      <c r="AVH69" s="94"/>
      <c r="AVI69" s="94"/>
      <c r="AVJ69" s="94"/>
      <c r="AVK69" s="94"/>
      <c r="AVL69" s="94"/>
      <c r="AVM69" s="94"/>
      <c r="AVN69" s="94"/>
      <c r="AVO69" s="94"/>
      <c r="AVP69" s="94"/>
      <c r="AVQ69" s="94"/>
      <c r="AVR69" s="94"/>
      <c r="AVS69" s="94"/>
      <c r="AVT69" s="94"/>
      <c r="AVU69" s="94"/>
      <c r="AVV69" s="94"/>
      <c r="AVW69" s="94"/>
      <c r="AVX69" s="94"/>
      <c r="AVY69" s="94"/>
      <c r="AVZ69" s="94"/>
      <c r="AWA69" s="94"/>
      <c r="AWB69" s="94"/>
      <c r="AWC69" s="94"/>
      <c r="AWD69" s="94"/>
      <c r="AWE69" s="94"/>
      <c r="AWF69" s="94"/>
      <c r="AWG69" s="94"/>
      <c r="AWH69" s="94"/>
      <c r="AWI69" s="94"/>
      <c r="AWJ69" s="94"/>
      <c r="AWK69" s="94"/>
      <c r="AWL69" s="94"/>
      <c r="AWM69" s="94"/>
      <c r="AWN69" s="94"/>
      <c r="AWO69" s="94"/>
      <c r="AWP69" s="94"/>
      <c r="AWQ69" s="94"/>
      <c r="AWR69" s="94"/>
      <c r="AWS69" s="94"/>
      <c r="AWT69" s="94"/>
      <c r="AWU69" s="94"/>
      <c r="AWV69" s="94"/>
      <c r="AWW69" s="94"/>
      <c r="AWX69" s="94"/>
      <c r="AWY69" s="94"/>
      <c r="AWZ69" s="94"/>
      <c r="AXA69" s="94"/>
      <c r="AXB69" s="94"/>
      <c r="AXC69" s="94"/>
      <c r="AXD69" s="94"/>
      <c r="AXE69" s="94"/>
      <c r="AXF69" s="94"/>
      <c r="AXG69" s="94"/>
      <c r="AXH69" s="94"/>
      <c r="AXI69" s="94"/>
      <c r="AXJ69" s="94"/>
      <c r="AXK69" s="94"/>
      <c r="AXL69" s="94"/>
      <c r="AXM69" s="94"/>
      <c r="AXN69" s="94"/>
      <c r="AXO69" s="94"/>
      <c r="AXP69" s="94"/>
      <c r="AXQ69" s="94"/>
      <c r="AXR69" s="94"/>
      <c r="AXS69" s="94"/>
      <c r="AXT69" s="94"/>
      <c r="AXU69" s="94"/>
      <c r="AXV69" s="94"/>
      <c r="AXW69" s="94"/>
      <c r="AXX69" s="94"/>
      <c r="AXY69" s="94"/>
      <c r="AXZ69" s="94"/>
      <c r="AYA69" s="94"/>
      <c r="AYB69" s="94"/>
      <c r="AYC69" s="94"/>
      <c r="AYD69" s="94"/>
      <c r="AYE69" s="94"/>
      <c r="AYF69" s="94"/>
      <c r="AYG69" s="94"/>
      <c r="AYH69" s="94"/>
      <c r="AYI69" s="94"/>
      <c r="AYJ69" s="94"/>
      <c r="AYK69" s="94"/>
      <c r="AYL69" s="94"/>
      <c r="AYM69" s="94"/>
      <c r="AYN69" s="94"/>
      <c r="AYO69" s="94"/>
      <c r="AYP69" s="94"/>
      <c r="AYQ69" s="94"/>
      <c r="AYR69" s="94"/>
      <c r="AYS69" s="94"/>
      <c r="AYT69" s="94"/>
      <c r="AYU69" s="94"/>
      <c r="AYV69" s="94"/>
      <c r="AYW69" s="94"/>
      <c r="AYX69" s="94"/>
      <c r="AYY69" s="94"/>
      <c r="AYZ69" s="94"/>
      <c r="AZA69" s="94"/>
      <c r="AZB69" s="94"/>
      <c r="AZC69" s="94"/>
      <c r="AZD69" s="94"/>
      <c r="AZE69" s="94"/>
      <c r="AZF69" s="94"/>
      <c r="AZG69" s="94"/>
      <c r="AZH69" s="94"/>
      <c r="AZI69" s="94"/>
      <c r="AZJ69" s="94"/>
      <c r="AZK69" s="94"/>
      <c r="AZL69" s="94"/>
      <c r="AZM69" s="94"/>
      <c r="AZN69" s="94"/>
      <c r="AZO69" s="94"/>
      <c r="AZP69" s="94"/>
      <c r="AZQ69" s="94"/>
      <c r="AZR69" s="94"/>
      <c r="AZS69" s="94"/>
      <c r="AZT69" s="94"/>
      <c r="AZU69" s="94"/>
      <c r="AZV69" s="94"/>
      <c r="AZW69" s="94"/>
      <c r="AZX69" s="94"/>
      <c r="AZY69" s="94"/>
      <c r="AZZ69" s="94"/>
      <c r="BAA69" s="94"/>
      <c r="BAB69" s="94"/>
      <c r="BAC69" s="94"/>
      <c r="BAD69" s="94"/>
      <c r="BAE69" s="94"/>
      <c r="BAF69" s="94"/>
      <c r="BAG69" s="94"/>
      <c r="BAH69" s="94"/>
      <c r="BAI69" s="94"/>
      <c r="BAJ69" s="94"/>
      <c r="BAK69" s="94"/>
      <c r="BAL69" s="94"/>
      <c r="BAM69" s="94"/>
      <c r="BAN69" s="94"/>
      <c r="BAO69" s="94"/>
      <c r="BAP69" s="94"/>
      <c r="BAQ69" s="94"/>
      <c r="BAR69" s="94"/>
      <c r="BAS69" s="94"/>
      <c r="BAT69" s="94"/>
      <c r="BAU69" s="94"/>
      <c r="BAV69" s="94"/>
      <c r="BAW69" s="94"/>
      <c r="BAX69" s="94"/>
      <c r="BAY69" s="94"/>
      <c r="BAZ69" s="94"/>
      <c r="BBA69" s="94"/>
      <c r="BBB69" s="94"/>
      <c r="BBC69" s="94"/>
      <c r="BBD69" s="94"/>
      <c r="BBE69" s="94"/>
      <c r="BBF69" s="94"/>
      <c r="BBG69" s="94"/>
      <c r="BBH69" s="94"/>
      <c r="BBI69" s="94"/>
      <c r="BBJ69" s="94"/>
      <c r="BBK69" s="94"/>
      <c r="BBL69" s="94"/>
      <c r="BBM69" s="94"/>
      <c r="BBN69" s="94"/>
      <c r="BBO69" s="94"/>
      <c r="BBP69" s="94"/>
      <c r="BBQ69" s="94"/>
      <c r="BBR69" s="94"/>
      <c r="BBS69" s="94"/>
      <c r="BBT69" s="94"/>
      <c r="BBU69" s="94"/>
      <c r="BBV69" s="94"/>
      <c r="BBW69" s="94"/>
      <c r="BBX69" s="94"/>
      <c r="BBY69" s="94"/>
      <c r="BBZ69" s="94"/>
      <c r="BCA69" s="94"/>
      <c r="BCB69" s="94"/>
      <c r="BCC69" s="94"/>
      <c r="BCD69" s="94"/>
      <c r="BCE69" s="94"/>
      <c r="BCF69" s="94"/>
      <c r="BCG69" s="94"/>
      <c r="BCH69" s="94"/>
      <c r="BCI69" s="94"/>
      <c r="BCJ69" s="94"/>
      <c r="BCK69" s="94"/>
      <c r="BCL69" s="94"/>
      <c r="BCM69" s="94"/>
      <c r="BCN69" s="94"/>
      <c r="BCO69" s="94"/>
      <c r="BCP69" s="94"/>
      <c r="BCQ69" s="94"/>
      <c r="BCR69" s="94"/>
      <c r="BCS69" s="94"/>
      <c r="BCT69" s="94"/>
      <c r="BCU69" s="94"/>
      <c r="BCV69" s="94"/>
      <c r="BCW69" s="94"/>
      <c r="BCX69" s="94"/>
      <c r="BCY69" s="94"/>
      <c r="BCZ69" s="94"/>
      <c r="BDA69" s="94"/>
      <c r="BDB69" s="94"/>
      <c r="BDC69" s="94"/>
      <c r="BDD69" s="94"/>
      <c r="BDE69" s="94"/>
      <c r="BDF69" s="94"/>
      <c r="BDG69" s="94"/>
      <c r="BDH69" s="94"/>
      <c r="BDI69" s="94"/>
      <c r="BDJ69" s="94"/>
      <c r="BDK69" s="94"/>
      <c r="BDL69" s="94"/>
      <c r="BDM69" s="94"/>
      <c r="BDN69" s="94"/>
      <c r="BDO69" s="94"/>
      <c r="BDP69" s="94"/>
      <c r="BDQ69" s="94"/>
      <c r="BDR69" s="94"/>
      <c r="BDS69" s="94"/>
      <c r="BDT69" s="94"/>
      <c r="BDU69" s="94"/>
      <c r="BDV69" s="94"/>
      <c r="BDW69" s="94"/>
      <c r="BDX69" s="94"/>
      <c r="BDY69" s="94"/>
      <c r="BDZ69" s="94"/>
      <c r="BEA69" s="94"/>
      <c r="BEB69" s="94"/>
      <c r="BEC69" s="94"/>
      <c r="BED69" s="94"/>
      <c r="BEE69" s="94"/>
      <c r="BEF69" s="94"/>
      <c r="BEG69" s="94"/>
      <c r="BEH69" s="94"/>
      <c r="BEI69" s="94"/>
      <c r="BEJ69" s="94"/>
      <c r="BEK69" s="94"/>
      <c r="BEL69" s="94"/>
      <c r="BEM69" s="94"/>
      <c r="BEN69" s="94"/>
      <c r="BEO69" s="94"/>
      <c r="BEP69" s="94"/>
      <c r="BEQ69" s="94"/>
      <c r="BER69" s="94"/>
      <c r="BES69" s="94"/>
      <c r="BET69" s="94"/>
      <c r="BEU69" s="94"/>
      <c r="BEV69" s="94"/>
      <c r="BEW69" s="94"/>
      <c r="BEX69" s="94"/>
      <c r="BEY69" s="94"/>
      <c r="BEZ69" s="94"/>
      <c r="BFA69" s="94"/>
      <c r="BFB69" s="94"/>
      <c r="BFC69" s="94"/>
      <c r="BFD69" s="94"/>
      <c r="BFE69" s="94"/>
      <c r="BFF69" s="94"/>
      <c r="BFG69" s="94"/>
      <c r="BFH69" s="94"/>
      <c r="BFI69" s="94"/>
      <c r="BFJ69" s="94"/>
      <c r="BFK69" s="94"/>
      <c r="BFL69" s="94"/>
      <c r="BFM69" s="94"/>
      <c r="BFN69" s="94"/>
      <c r="BFO69" s="94"/>
      <c r="BFP69" s="94"/>
      <c r="BFQ69" s="94"/>
      <c r="BFR69" s="94"/>
      <c r="BFS69" s="94"/>
      <c r="BFT69" s="94"/>
      <c r="BFU69" s="94"/>
      <c r="BFV69" s="94"/>
      <c r="BFW69" s="94"/>
      <c r="BFX69" s="94"/>
      <c r="BFY69" s="94"/>
      <c r="BFZ69" s="94"/>
      <c r="BGA69" s="94"/>
      <c r="BGB69" s="94"/>
      <c r="BGC69" s="94"/>
      <c r="BGD69" s="94"/>
      <c r="BGE69" s="94"/>
      <c r="BGF69" s="94"/>
      <c r="BGG69" s="94"/>
      <c r="BGH69" s="94"/>
      <c r="BGI69" s="94"/>
      <c r="BGJ69" s="94"/>
      <c r="BGK69" s="94"/>
      <c r="BGL69" s="94"/>
      <c r="BGM69" s="94"/>
      <c r="BGN69" s="94"/>
      <c r="BGO69" s="94"/>
      <c r="BGP69" s="94"/>
      <c r="BGQ69" s="94"/>
      <c r="BGR69" s="94"/>
      <c r="BGS69" s="94"/>
      <c r="BGT69" s="94"/>
      <c r="BGU69" s="94"/>
      <c r="BGV69" s="94"/>
      <c r="BGW69" s="94"/>
      <c r="BGX69" s="94"/>
      <c r="BGY69" s="94"/>
      <c r="BGZ69" s="94"/>
      <c r="BHA69" s="94"/>
      <c r="BHB69" s="94"/>
      <c r="BHC69" s="94"/>
      <c r="BHD69" s="94"/>
      <c r="BHE69" s="94"/>
      <c r="BHF69" s="94"/>
      <c r="BHG69" s="94"/>
      <c r="BHH69" s="94"/>
      <c r="BHI69" s="94"/>
      <c r="BHJ69" s="94"/>
      <c r="BHK69" s="94"/>
      <c r="BHL69" s="94"/>
      <c r="BHM69" s="94"/>
      <c r="BHN69" s="94"/>
      <c r="BHO69" s="94"/>
      <c r="BHP69" s="94"/>
      <c r="BHQ69" s="94"/>
      <c r="BHR69" s="94"/>
      <c r="BHS69" s="94"/>
      <c r="BHT69" s="94"/>
      <c r="BHU69" s="94"/>
      <c r="BHV69" s="94"/>
      <c r="BHW69" s="94"/>
      <c r="BHX69" s="94"/>
      <c r="BHY69" s="94"/>
      <c r="BHZ69" s="94"/>
      <c r="BIA69" s="94"/>
      <c r="BIB69" s="94"/>
      <c r="BIC69" s="94"/>
      <c r="BID69" s="94"/>
      <c r="BIE69" s="94"/>
      <c r="BIF69" s="94"/>
      <c r="BIG69" s="94"/>
      <c r="BIH69" s="94"/>
      <c r="BII69" s="94"/>
      <c r="BIJ69" s="94"/>
      <c r="BIK69" s="94"/>
      <c r="BIL69" s="94"/>
      <c r="BIM69" s="94"/>
      <c r="BIN69" s="94"/>
      <c r="BIO69" s="94"/>
      <c r="BIP69" s="94"/>
      <c r="BIQ69" s="94"/>
      <c r="BIR69" s="94"/>
      <c r="BIS69" s="94"/>
      <c r="BIT69" s="94"/>
      <c r="BIU69" s="94"/>
      <c r="BIV69" s="94"/>
      <c r="BIW69" s="94"/>
      <c r="BIX69" s="94"/>
      <c r="BIY69" s="94"/>
      <c r="BIZ69" s="94"/>
      <c r="BJA69" s="94"/>
      <c r="BJB69" s="94"/>
      <c r="BJC69" s="94"/>
      <c r="BJD69" s="94"/>
      <c r="BJE69" s="94"/>
      <c r="BJF69" s="94"/>
      <c r="BJG69" s="94"/>
      <c r="BJH69" s="94"/>
      <c r="BJI69" s="94"/>
      <c r="BJJ69" s="94"/>
      <c r="BJK69" s="94"/>
      <c r="BJL69" s="94"/>
      <c r="BJM69" s="94"/>
      <c r="BJN69" s="94"/>
      <c r="BJO69" s="94"/>
      <c r="BJP69" s="94"/>
      <c r="BJQ69" s="94"/>
      <c r="BJR69" s="94"/>
      <c r="BJS69" s="94"/>
      <c r="BJT69" s="94"/>
      <c r="BJU69" s="94"/>
      <c r="BJV69" s="94"/>
      <c r="BJW69" s="94"/>
      <c r="BJX69" s="94"/>
      <c r="BJY69" s="94"/>
      <c r="BJZ69" s="94"/>
      <c r="BKA69" s="94"/>
      <c r="BKB69" s="94"/>
      <c r="BKC69" s="94"/>
      <c r="BKD69" s="94"/>
      <c r="BKE69" s="94"/>
      <c r="BKF69" s="94"/>
      <c r="BKG69" s="94"/>
      <c r="BKH69" s="94"/>
      <c r="BKI69" s="94"/>
      <c r="BKJ69" s="94"/>
      <c r="BKK69" s="94"/>
      <c r="BKL69" s="94"/>
      <c r="BKM69" s="94"/>
      <c r="BKN69" s="94"/>
      <c r="BKO69" s="94"/>
      <c r="BKP69" s="94"/>
      <c r="BKQ69" s="94"/>
      <c r="BKR69" s="94"/>
      <c r="BKS69" s="94"/>
      <c r="BKT69" s="94"/>
      <c r="BKU69" s="94"/>
      <c r="BKV69" s="94"/>
      <c r="BKW69" s="94"/>
      <c r="BKX69" s="94"/>
      <c r="BKY69" s="94"/>
      <c r="BKZ69" s="94"/>
      <c r="BLA69" s="94"/>
      <c r="BLB69" s="94"/>
      <c r="BLC69" s="94"/>
      <c r="BLD69" s="94"/>
      <c r="BLE69" s="94"/>
      <c r="BLF69" s="94"/>
      <c r="BLG69" s="94"/>
      <c r="BLH69" s="94"/>
      <c r="BLI69" s="94"/>
      <c r="BLJ69" s="94"/>
      <c r="BLK69" s="94"/>
      <c r="BLL69" s="94"/>
      <c r="BLM69" s="94"/>
      <c r="BLN69" s="94"/>
      <c r="BLO69" s="94"/>
      <c r="BLP69" s="94"/>
      <c r="BLQ69" s="94"/>
      <c r="BLR69" s="94"/>
      <c r="BLS69" s="94"/>
      <c r="BLT69" s="94"/>
      <c r="BLU69" s="94"/>
      <c r="BLV69" s="94"/>
      <c r="BLW69" s="94"/>
      <c r="BLX69" s="94"/>
      <c r="BLY69" s="94"/>
      <c r="BLZ69" s="94"/>
      <c r="BMA69" s="94"/>
      <c r="BMB69" s="94"/>
      <c r="BMC69" s="94"/>
      <c r="BMD69" s="94"/>
      <c r="BME69" s="94"/>
      <c r="BMF69" s="94"/>
      <c r="BMG69" s="94"/>
      <c r="BMH69" s="94"/>
      <c r="BMI69" s="94"/>
      <c r="BMJ69" s="94"/>
      <c r="BMK69" s="94"/>
      <c r="BML69" s="94"/>
      <c r="BMM69" s="94"/>
      <c r="BMN69" s="94"/>
      <c r="BMO69" s="94"/>
      <c r="BMP69" s="94"/>
      <c r="BMQ69" s="94"/>
      <c r="BMR69" s="94"/>
      <c r="BMS69" s="94"/>
      <c r="BMT69" s="94"/>
      <c r="BMU69" s="94"/>
      <c r="BMV69" s="94"/>
      <c r="BMW69" s="94"/>
      <c r="BMX69" s="94"/>
      <c r="BMY69" s="94"/>
      <c r="BMZ69" s="94"/>
      <c r="BNA69" s="94"/>
      <c r="BNB69" s="94"/>
      <c r="BNC69" s="94"/>
      <c r="BND69" s="94"/>
      <c r="BNE69" s="94"/>
      <c r="BNF69" s="94"/>
      <c r="BNG69" s="94"/>
      <c r="BNH69" s="94"/>
      <c r="BNI69" s="94"/>
      <c r="BNJ69" s="94"/>
      <c r="BNK69" s="94"/>
      <c r="BNL69" s="94"/>
      <c r="BNM69" s="94"/>
      <c r="BNN69" s="94"/>
      <c r="BNO69" s="94"/>
      <c r="BNP69" s="94"/>
      <c r="BNQ69" s="94"/>
      <c r="BNR69" s="94"/>
      <c r="BNS69" s="94"/>
      <c r="BNT69" s="94"/>
      <c r="BNU69" s="94"/>
      <c r="BNV69" s="94"/>
      <c r="BNW69" s="94"/>
      <c r="BNX69" s="94"/>
      <c r="BNY69" s="94"/>
      <c r="BNZ69" s="94"/>
      <c r="BOA69" s="94"/>
      <c r="BOB69" s="94"/>
      <c r="BOC69" s="94"/>
      <c r="BOD69" s="94"/>
      <c r="BOE69" s="94"/>
      <c r="BOF69" s="94"/>
      <c r="BOG69" s="94"/>
      <c r="BOH69" s="94"/>
      <c r="BOI69" s="94"/>
      <c r="BOJ69" s="94"/>
      <c r="BOK69" s="94"/>
      <c r="BOL69" s="94"/>
      <c r="BOM69" s="94"/>
      <c r="BON69" s="94"/>
      <c r="BOO69" s="94"/>
      <c r="BOP69" s="94"/>
      <c r="BOQ69" s="94"/>
      <c r="BOR69" s="94"/>
      <c r="BOS69" s="94"/>
      <c r="BOT69" s="94"/>
      <c r="BOU69" s="94"/>
      <c r="BOV69" s="94"/>
      <c r="BOW69" s="94"/>
      <c r="BOX69" s="94"/>
      <c r="BOY69" s="94"/>
      <c r="BOZ69" s="94"/>
      <c r="BPA69" s="94"/>
      <c r="BPB69" s="94"/>
      <c r="BPC69" s="94"/>
      <c r="BPD69" s="94"/>
      <c r="BPE69" s="94"/>
      <c r="BPF69" s="94"/>
      <c r="BPG69" s="94"/>
      <c r="BPH69" s="94"/>
      <c r="BPI69" s="94"/>
      <c r="BPJ69" s="94"/>
      <c r="BPK69" s="94"/>
      <c r="BPL69" s="94"/>
      <c r="BPM69" s="94"/>
      <c r="BPN69" s="94"/>
      <c r="BPO69" s="94"/>
      <c r="BPP69" s="94"/>
      <c r="BPQ69" s="94"/>
      <c r="BPR69" s="94"/>
      <c r="BPS69" s="94"/>
      <c r="BPT69" s="94"/>
      <c r="BPU69" s="94"/>
      <c r="BPV69" s="94"/>
      <c r="BPW69" s="94"/>
      <c r="BPX69" s="94"/>
      <c r="BPY69" s="94"/>
      <c r="BPZ69" s="94"/>
      <c r="BQA69" s="94"/>
      <c r="BQB69" s="94"/>
      <c r="BQC69" s="94"/>
      <c r="BQD69" s="94"/>
      <c r="BQE69" s="94"/>
      <c r="BQF69" s="94"/>
      <c r="BQG69" s="94"/>
      <c r="BQH69" s="94"/>
      <c r="BQI69" s="94"/>
      <c r="BQJ69" s="94"/>
      <c r="BQK69" s="94"/>
      <c r="BQL69" s="94"/>
      <c r="BQM69" s="94"/>
      <c r="BQN69" s="94"/>
      <c r="BQO69" s="94"/>
      <c r="BQP69" s="94"/>
      <c r="BQQ69" s="94"/>
      <c r="BQR69" s="94"/>
      <c r="BQS69" s="94"/>
      <c r="BQT69" s="94"/>
      <c r="BQU69" s="94"/>
      <c r="BQV69" s="94"/>
      <c r="BQW69" s="94"/>
      <c r="BQX69" s="94"/>
      <c r="BQY69" s="94"/>
      <c r="BQZ69" s="94"/>
      <c r="BRA69" s="94"/>
      <c r="BRB69" s="94"/>
      <c r="BRC69" s="94"/>
      <c r="BRD69" s="94"/>
      <c r="BRE69" s="94"/>
      <c r="BRF69" s="94"/>
      <c r="BRG69" s="94"/>
      <c r="BRH69" s="94"/>
      <c r="BRI69" s="94"/>
      <c r="BRJ69" s="94"/>
      <c r="BRK69" s="94"/>
      <c r="BRL69" s="94"/>
      <c r="BRM69" s="94"/>
      <c r="BRN69" s="94"/>
      <c r="BRO69" s="94"/>
      <c r="BRP69" s="94"/>
      <c r="BRQ69" s="94"/>
      <c r="BRR69" s="94"/>
      <c r="BRS69" s="94"/>
      <c r="BRT69" s="94"/>
      <c r="BRU69" s="94"/>
      <c r="BRV69" s="94"/>
      <c r="BRW69" s="94"/>
      <c r="BRX69" s="94"/>
      <c r="BRY69" s="94"/>
      <c r="BRZ69" s="94"/>
      <c r="BSA69" s="94"/>
      <c r="BSB69" s="94"/>
      <c r="BSC69" s="94"/>
      <c r="BSD69" s="94"/>
      <c r="BSE69" s="94"/>
      <c r="BSF69" s="94"/>
      <c r="BSG69" s="94"/>
      <c r="BSH69" s="94"/>
      <c r="BSI69" s="94"/>
      <c r="BSJ69" s="94"/>
      <c r="BSK69" s="94"/>
      <c r="BSL69" s="94"/>
      <c r="BSM69" s="94"/>
      <c r="BSN69" s="94"/>
      <c r="BSO69" s="94"/>
      <c r="BSP69" s="94"/>
      <c r="BSQ69" s="94"/>
      <c r="BSR69" s="94"/>
      <c r="BSS69" s="94"/>
      <c r="BST69" s="94"/>
      <c r="BSU69" s="94"/>
      <c r="BSV69" s="94"/>
      <c r="BSW69" s="94"/>
      <c r="BSX69" s="94"/>
      <c r="BSY69" s="94"/>
      <c r="BSZ69" s="94"/>
      <c r="BTA69" s="94"/>
      <c r="BTB69" s="94"/>
      <c r="BTC69" s="94"/>
      <c r="BTD69" s="94"/>
      <c r="BTE69" s="94"/>
      <c r="BTF69" s="94"/>
      <c r="BTG69" s="94"/>
      <c r="BTH69" s="94"/>
      <c r="BTI69" s="94"/>
      <c r="BTJ69" s="94"/>
      <c r="BTK69" s="94"/>
      <c r="BTL69" s="94"/>
      <c r="BTM69" s="94"/>
      <c r="BTN69" s="94"/>
      <c r="BTO69" s="94"/>
      <c r="BTP69" s="94"/>
      <c r="BTQ69" s="94"/>
      <c r="BTR69" s="94"/>
      <c r="BTS69" s="94"/>
      <c r="BTT69" s="94"/>
      <c r="BTU69" s="94"/>
      <c r="BTV69" s="94"/>
      <c r="BTW69" s="94"/>
      <c r="BTX69" s="94"/>
      <c r="BTY69" s="94"/>
      <c r="BTZ69" s="94"/>
      <c r="BUA69" s="94"/>
      <c r="BUB69" s="94"/>
      <c r="BUC69" s="94"/>
      <c r="BUD69" s="94"/>
      <c r="BUE69" s="94"/>
      <c r="BUF69" s="94"/>
      <c r="BUG69" s="94"/>
      <c r="BUH69" s="94"/>
      <c r="BUI69" s="94"/>
      <c r="BUJ69" s="94"/>
      <c r="BUK69" s="94"/>
      <c r="BUL69" s="94"/>
      <c r="BUM69" s="94"/>
      <c r="BUN69" s="94"/>
      <c r="BUO69" s="94"/>
      <c r="BUP69" s="94"/>
      <c r="BUQ69" s="94"/>
      <c r="BUR69" s="94"/>
      <c r="BUS69" s="94"/>
      <c r="BUT69" s="94"/>
      <c r="BUU69" s="94"/>
      <c r="BUV69" s="94"/>
      <c r="BUW69" s="94"/>
      <c r="BUX69" s="94"/>
      <c r="BUY69" s="94"/>
      <c r="BUZ69" s="94"/>
      <c r="BVA69" s="94"/>
      <c r="BVB69" s="94"/>
      <c r="BVC69" s="94"/>
      <c r="BVD69" s="94"/>
      <c r="BVE69" s="94"/>
      <c r="BVF69" s="94"/>
      <c r="BVG69" s="94"/>
      <c r="BVH69" s="94"/>
      <c r="BVI69" s="94"/>
      <c r="BVJ69" s="94"/>
      <c r="BVK69" s="94"/>
      <c r="BVL69" s="94"/>
      <c r="BVM69" s="94"/>
      <c r="BVN69" s="94"/>
      <c r="BVO69" s="94"/>
      <c r="BVP69" s="94"/>
      <c r="BVQ69" s="94"/>
      <c r="BVR69" s="94"/>
      <c r="BVS69" s="94"/>
      <c r="BVT69" s="94"/>
      <c r="BVU69" s="94"/>
      <c r="BVV69" s="94"/>
      <c r="BVW69" s="94"/>
      <c r="BVX69" s="94"/>
      <c r="BVY69" s="94"/>
      <c r="BVZ69" s="94"/>
      <c r="BWA69" s="94"/>
      <c r="BWB69" s="94"/>
      <c r="BWC69" s="94"/>
      <c r="BWD69" s="94"/>
      <c r="BWE69" s="94"/>
      <c r="BWF69" s="94"/>
      <c r="BWG69" s="94"/>
      <c r="BWH69" s="94"/>
      <c r="BWI69" s="94"/>
      <c r="BWJ69" s="94"/>
      <c r="BWK69" s="94"/>
      <c r="BWL69" s="94"/>
      <c r="BWM69" s="94"/>
      <c r="BWN69" s="94"/>
      <c r="BWO69" s="94"/>
      <c r="BWP69" s="94"/>
      <c r="BWQ69" s="94"/>
      <c r="BWR69" s="94"/>
      <c r="BWS69" s="94"/>
      <c r="BWT69" s="94"/>
      <c r="BWU69" s="94"/>
      <c r="BWV69" s="94"/>
      <c r="BWW69" s="94"/>
      <c r="BWX69" s="94"/>
      <c r="BWY69" s="94"/>
      <c r="BWZ69" s="94"/>
      <c r="BXA69" s="94"/>
      <c r="BXB69" s="94"/>
      <c r="BXC69" s="94"/>
      <c r="BXD69" s="94"/>
      <c r="BXE69" s="94"/>
      <c r="BXF69" s="94"/>
      <c r="BXG69" s="94"/>
      <c r="BXH69" s="94"/>
      <c r="BXI69" s="94"/>
      <c r="BXJ69" s="94"/>
      <c r="BXK69" s="94"/>
      <c r="BXL69" s="94"/>
      <c r="BXM69" s="94"/>
      <c r="BXN69" s="94"/>
      <c r="BXO69" s="94"/>
      <c r="BXP69" s="94"/>
      <c r="BXQ69" s="94"/>
      <c r="BXR69" s="94"/>
      <c r="BXS69" s="94"/>
      <c r="BXT69" s="94"/>
      <c r="BXU69" s="94"/>
      <c r="BXV69" s="94"/>
      <c r="BXW69" s="94"/>
      <c r="BXX69" s="94"/>
      <c r="BXY69" s="94"/>
      <c r="BXZ69" s="94"/>
      <c r="BYA69" s="94"/>
      <c r="BYB69" s="94"/>
      <c r="BYC69" s="94"/>
      <c r="BYD69" s="94"/>
      <c r="BYE69" s="94"/>
      <c r="BYF69" s="94"/>
      <c r="BYG69" s="94"/>
    </row>
    <row r="70" spans="1:2009" s="227" customFormat="1" ht="24.95" customHeight="1" thickBot="1" x14ac:dyDescent="0.3">
      <c r="A70" s="226"/>
      <c r="B70" s="460" t="s">
        <v>497</v>
      </c>
      <c r="C70" s="279">
        <f>SUM(C8+C14+C23+C27+C32+C44+C56)+C36+C51+C60+C62+C58+C66+C64+C68</f>
        <v>87516.49</v>
      </c>
      <c r="D70" s="279">
        <f>SUM(D8+D14+D23+D27+D32+D44+D56)+D36+D51+D60+D58+D62+D64+D68</f>
        <v>77837.509999999995</v>
      </c>
      <c r="E70" s="279">
        <f>SUM(E8+E14+E23+E27+E32+E44+E56)+E36+E51+E60+E62+E64+E68</f>
        <v>88250</v>
      </c>
      <c r="F70" s="279">
        <f>SUM(F8+F14+F23+F27+F32+F44+F56)+F36+F51+F60+F64+F68</f>
        <v>95367.210000000021</v>
      </c>
      <c r="G70" s="675">
        <f>SUM(G8+G14+G23+G27+G32+G44+G56)+G36+G51+G60+G62+G58+G66+G64+G68</f>
        <v>399071.20999999996</v>
      </c>
      <c r="H70" s="196"/>
      <c r="I70" s="555"/>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c r="HZ70" s="197"/>
      <c r="IA70" s="197"/>
      <c r="IB70" s="197"/>
      <c r="IC70" s="197"/>
      <c r="ID70" s="197"/>
      <c r="IE70" s="197"/>
      <c r="IF70" s="197"/>
      <c r="IG70" s="197"/>
      <c r="IH70" s="197"/>
      <c r="II70" s="197"/>
      <c r="IJ70" s="197"/>
      <c r="IK70" s="197"/>
      <c r="IL70" s="197"/>
      <c r="IM70" s="197"/>
      <c r="IN70" s="197"/>
      <c r="IO70" s="197"/>
      <c r="IP70" s="197"/>
      <c r="IQ70" s="197"/>
      <c r="IR70" s="197"/>
      <c r="IS70" s="197"/>
      <c r="IT70" s="197"/>
      <c r="IU70" s="197"/>
      <c r="IV70" s="197"/>
      <c r="IW70" s="197"/>
      <c r="IX70" s="197"/>
      <c r="IY70" s="197"/>
      <c r="IZ70" s="197"/>
      <c r="JA70" s="197"/>
      <c r="JB70" s="197"/>
      <c r="JC70" s="197"/>
      <c r="JD70" s="197"/>
      <c r="JE70" s="197"/>
      <c r="JF70" s="197"/>
      <c r="JG70" s="197"/>
      <c r="JH70" s="197"/>
      <c r="JI70" s="197"/>
      <c r="JJ70" s="197"/>
      <c r="JK70" s="197"/>
      <c r="JL70" s="197"/>
      <c r="JM70" s="197"/>
      <c r="JN70" s="197"/>
      <c r="JO70" s="197"/>
      <c r="JP70" s="197"/>
      <c r="JQ70" s="197"/>
      <c r="JR70" s="197"/>
      <c r="JS70" s="197"/>
      <c r="JT70" s="197"/>
      <c r="JU70" s="197"/>
      <c r="JV70" s="197"/>
      <c r="JW70" s="197"/>
      <c r="JX70" s="197"/>
      <c r="JY70" s="197"/>
      <c r="JZ70" s="197"/>
      <c r="KA70" s="197"/>
      <c r="KB70" s="197"/>
      <c r="KC70" s="197"/>
      <c r="KD70" s="197"/>
      <c r="KE70" s="197"/>
      <c r="KF70" s="197"/>
      <c r="KG70" s="197"/>
      <c r="KH70" s="197"/>
      <c r="KI70" s="197"/>
      <c r="KJ70" s="197"/>
      <c r="KK70" s="197"/>
      <c r="KL70" s="197"/>
      <c r="KM70" s="197"/>
      <c r="KN70" s="197"/>
      <c r="KO70" s="197"/>
      <c r="KP70" s="197"/>
      <c r="KQ70" s="197"/>
      <c r="KR70" s="197"/>
      <c r="KS70" s="197"/>
      <c r="KT70" s="197"/>
      <c r="KU70" s="197"/>
      <c r="KV70" s="197"/>
      <c r="KW70" s="197"/>
      <c r="KX70" s="197"/>
      <c r="KY70" s="197"/>
      <c r="KZ70" s="197"/>
      <c r="LA70" s="197"/>
      <c r="LB70" s="197"/>
      <c r="LC70" s="197"/>
      <c r="LD70" s="197"/>
      <c r="LE70" s="197"/>
      <c r="LF70" s="197"/>
      <c r="LG70" s="197"/>
      <c r="LH70" s="197"/>
      <c r="LI70" s="197"/>
      <c r="LJ70" s="197"/>
      <c r="LK70" s="197"/>
      <c r="LL70" s="197"/>
      <c r="LM70" s="197"/>
      <c r="LN70" s="197"/>
      <c r="LO70" s="197"/>
      <c r="LP70" s="197"/>
      <c r="LQ70" s="197"/>
      <c r="LR70" s="197"/>
      <c r="LS70" s="197"/>
      <c r="LT70" s="197"/>
      <c r="LU70" s="197"/>
      <c r="LV70" s="197"/>
      <c r="LW70" s="197"/>
      <c r="LX70" s="197"/>
      <c r="LY70" s="197"/>
      <c r="LZ70" s="197"/>
      <c r="MA70" s="197"/>
      <c r="MB70" s="197"/>
      <c r="MC70" s="197"/>
      <c r="MD70" s="197"/>
      <c r="ME70" s="197"/>
      <c r="MF70" s="197"/>
      <c r="MG70" s="197"/>
      <c r="MH70" s="197"/>
      <c r="MI70" s="197"/>
      <c r="MJ70" s="197"/>
      <c r="MK70" s="197"/>
      <c r="ML70" s="197"/>
      <c r="MM70" s="197"/>
      <c r="MN70" s="197"/>
      <c r="MO70" s="197"/>
      <c r="MP70" s="197"/>
      <c r="MQ70" s="197"/>
      <c r="MR70" s="197"/>
      <c r="MS70" s="197"/>
      <c r="MT70" s="197"/>
      <c r="MU70" s="197"/>
      <c r="MV70" s="197"/>
      <c r="MW70" s="197"/>
      <c r="MX70" s="197"/>
      <c r="MY70" s="197"/>
      <c r="MZ70" s="197"/>
      <c r="NA70" s="197"/>
      <c r="NB70" s="197"/>
      <c r="NC70" s="197"/>
      <c r="ND70" s="197"/>
      <c r="NE70" s="197"/>
      <c r="NF70" s="197"/>
      <c r="NG70" s="197"/>
      <c r="NH70" s="197"/>
      <c r="NI70" s="197"/>
      <c r="NJ70" s="197"/>
      <c r="NK70" s="197"/>
      <c r="NL70" s="197"/>
      <c r="NM70" s="197"/>
      <c r="NN70" s="197"/>
      <c r="NO70" s="197"/>
      <c r="NP70" s="197"/>
      <c r="NQ70" s="197"/>
      <c r="NR70" s="197"/>
      <c r="NS70" s="197"/>
      <c r="NT70" s="197"/>
      <c r="NU70" s="197"/>
      <c r="NV70" s="197"/>
      <c r="NW70" s="197"/>
      <c r="NX70" s="197"/>
      <c r="NY70" s="197"/>
      <c r="NZ70" s="197"/>
      <c r="OA70" s="197"/>
      <c r="OB70" s="197"/>
      <c r="OC70" s="197"/>
      <c r="OD70" s="197"/>
      <c r="OE70" s="197"/>
      <c r="OF70" s="197"/>
      <c r="OG70" s="197"/>
      <c r="OH70" s="197"/>
      <c r="OI70" s="197"/>
      <c r="OJ70" s="197"/>
      <c r="OK70" s="197"/>
      <c r="OL70" s="197"/>
      <c r="OM70" s="197"/>
      <c r="ON70" s="197"/>
      <c r="OO70" s="197"/>
      <c r="OP70" s="197"/>
      <c r="OQ70" s="197"/>
      <c r="OR70" s="197"/>
      <c r="OS70" s="197"/>
      <c r="OT70" s="197"/>
      <c r="OU70" s="197"/>
      <c r="OV70" s="197"/>
      <c r="OW70" s="197"/>
      <c r="OX70" s="197"/>
      <c r="OY70" s="197"/>
      <c r="OZ70" s="197"/>
      <c r="PA70" s="197"/>
      <c r="PB70" s="197"/>
      <c r="PC70" s="197"/>
      <c r="PD70" s="197"/>
      <c r="PE70" s="197"/>
      <c r="PF70" s="197"/>
      <c r="PG70" s="197"/>
      <c r="PH70" s="197"/>
      <c r="PI70" s="197"/>
      <c r="PJ70" s="197"/>
      <c r="PK70" s="197"/>
      <c r="PL70" s="197"/>
      <c r="PM70" s="197"/>
      <c r="PN70" s="197"/>
      <c r="PO70" s="197"/>
      <c r="PP70" s="197"/>
      <c r="PQ70" s="197"/>
      <c r="PR70" s="197"/>
      <c r="PS70" s="197"/>
      <c r="PT70" s="197"/>
      <c r="PU70" s="197"/>
      <c r="PV70" s="197"/>
      <c r="PW70" s="197"/>
      <c r="PX70" s="197"/>
      <c r="PY70" s="197"/>
      <c r="PZ70" s="197"/>
      <c r="QA70" s="197"/>
      <c r="QB70" s="197"/>
      <c r="QC70" s="197"/>
      <c r="QD70" s="197"/>
      <c r="QE70" s="197"/>
      <c r="QF70" s="197"/>
      <c r="QG70" s="197"/>
      <c r="QH70" s="197"/>
      <c r="QI70" s="197"/>
      <c r="QJ70" s="197"/>
      <c r="QK70" s="197"/>
      <c r="QL70" s="197"/>
      <c r="QM70" s="197"/>
      <c r="QN70" s="197"/>
      <c r="QO70" s="197"/>
      <c r="QP70" s="197"/>
      <c r="QQ70" s="197"/>
      <c r="QR70" s="197"/>
      <c r="QS70" s="197"/>
      <c r="QT70" s="197"/>
      <c r="QU70" s="197"/>
      <c r="QV70" s="197"/>
      <c r="QW70" s="197"/>
      <c r="QX70" s="197"/>
      <c r="QY70" s="197"/>
      <c r="QZ70" s="197"/>
      <c r="RA70" s="197"/>
      <c r="RB70" s="197"/>
      <c r="RC70" s="197"/>
      <c r="RD70" s="197"/>
      <c r="RE70" s="197"/>
      <c r="RF70" s="197"/>
      <c r="RG70" s="197"/>
      <c r="RH70" s="197"/>
      <c r="RI70" s="197"/>
      <c r="RJ70" s="197"/>
      <c r="RK70" s="197"/>
      <c r="RL70" s="197"/>
      <c r="RM70" s="197"/>
      <c r="RN70" s="197"/>
      <c r="RO70" s="197"/>
      <c r="RP70" s="197"/>
      <c r="RQ70" s="197"/>
      <c r="RR70" s="197"/>
      <c r="RS70" s="197"/>
      <c r="RT70" s="197"/>
      <c r="RU70" s="197"/>
      <c r="RV70" s="197"/>
      <c r="RW70" s="197"/>
      <c r="RX70" s="197"/>
      <c r="RY70" s="197"/>
      <c r="RZ70" s="197"/>
      <c r="SA70" s="197"/>
      <c r="SB70" s="197"/>
      <c r="SC70" s="197"/>
      <c r="SD70" s="197"/>
      <c r="SE70" s="197"/>
      <c r="SF70" s="197"/>
      <c r="SG70" s="197"/>
      <c r="SH70" s="197"/>
      <c r="SI70" s="197"/>
      <c r="SJ70" s="197"/>
      <c r="SK70" s="197"/>
      <c r="SL70" s="197"/>
      <c r="SM70" s="197"/>
      <c r="SN70" s="197"/>
      <c r="SO70" s="197"/>
      <c r="SP70" s="197"/>
      <c r="SQ70" s="197"/>
      <c r="SR70" s="197"/>
      <c r="SS70" s="197"/>
      <c r="ST70" s="197"/>
      <c r="SU70" s="197"/>
      <c r="SV70" s="197"/>
      <c r="SW70" s="197"/>
      <c r="SX70" s="197"/>
      <c r="SY70" s="197"/>
      <c r="SZ70" s="197"/>
      <c r="TA70" s="197"/>
      <c r="TB70" s="197"/>
      <c r="TC70" s="197"/>
      <c r="TD70" s="197"/>
      <c r="TE70" s="197"/>
      <c r="TF70" s="197"/>
      <c r="TG70" s="197"/>
      <c r="TH70" s="197"/>
      <c r="TI70" s="197"/>
      <c r="TJ70" s="197"/>
      <c r="TK70" s="197"/>
      <c r="TL70" s="197"/>
      <c r="TM70" s="197"/>
      <c r="TN70" s="197"/>
      <c r="TO70" s="197"/>
      <c r="TP70" s="197"/>
      <c r="TQ70" s="197"/>
      <c r="TR70" s="197"/>
      <c r="TS70" s="197"/>
      <c r="TT70" s="197"/>
      <c r="TU70" s="197"/>
      <c r="TV70" s="197"/>
      <c r="TW70" s="197"/>
      <c r="TX70" s="197"/>
      <c r="TY70" s="197"/>
      <c r="TZ70" s="197"/>
      <c r="UA70" s="197"/>
      <c r="UB70" s="197"/>
      <c r="UC70" s="197"/>
      <c r="UD70" s="197"/>
      <c r="UE70" s="197"/>
      <c r="UF70" s="197"/>
      <c r="UG70" s="197"/>
      <c r="UH70" s="197"/>
      <c r="UI70" s="197"/>
      <c r="UJ70" s="197"/>
      <c r="UK70" s="197"/>
      <c r="UL70" s="197"/>
      <c r="UM70" s="197"/>
      <c r="UN70" s="197"/>
      <c r="UO70" s="197"/>
      <c r="UP70" s="197"/>
      <c r="UQ70" s="197"/>
      <c r="UR70" s="197"/>
      <c r="US70" s="197"/>
      <c r="UT70" s="197"/>
      <c r="UU70" s="197"/>
      <c r="UV70" s="197"/>
      <c r="UW70" s="197"/>
      <c r="UX70" s="197"/>
      <c r="UY70" s="197"/>
      <c r="UZ70" s="197"/>
      <c r="VA70" s="197"/>
      <c r="VB70" s="197"/>
      <c r="VC70" s="197"/>
      <c r="VD70" s="197"/>
      <c r="VE70" s="197"/>
      <c r="VF70" s="197"/>
      <c r="VG70" s="197"/>
      <c r="VH70" s="197"/>
      <c r="VI70" s="197"/>
      <c r="VJ70" s="197"/>
      <c r="VK70" s="197"/>
      <c r="VL70" s="197"/>
      <c r="VM70" s="197"/>
      <c r="VN70" s="197"/>
      <c r="VO70" s="197"/>
      <c r="VP70" s="197"/>
      <c r="VQ70" s="197"/>
      <c r="VR70" s="197"/>
      <c r="VS70" s="197"/>
      <c r="VT70" s="197"/>
      <c r="VU70" s="197"/>
      <c r="VV70" s="197"/>
      <c r="VW70" s="197"/>
      <c r="VX70" s="197"/>
      <c r="VY70" s="197"/>
      <c r="VZ70" s="197"/>
      <c r="WA70" s="197"/>
      <c r="WB70" s="197"/>
      <c r="WC70" s="197"/>
      <c r="WD70" s="197"/>
      <c r="WE70" s="197"/>
      <c r="WF70" s="197"/>
      <c r="WG70" s="197"/>
      <c r="WH70" s="197"/>
      <c r="WI70" s="197"/>
      <c r="WJ70" s="197"/>
      <c r="WK70" s="197"/>
      <c r="WL70" s="197"/>
      <c r="WM70" s="197"/>
      <c r="WN70" s="197"/>
      <c r="WO70" s="197"/>
      <c r="WP70" s="197"/>
      <c r="WQ70" s="197"/>
      <c r="WR70" s="197"/>
      <c r="WS70" s="197"/>
      <c r="WT70" s="197"/>
      <c r="WU70" s="197"/>
      <c r="WV70" s="197"/>
      <c r="WW70" s="197"/>
      <c r="WX70" s="197"/>
      <c r="WY70" s="197"/>
      <c r="WZ70" s="197"/>
      <c r="XA70" s="197"/>
      <c r="XB70" s="197"/>
      <c r="XC70" s="197"/>
      <c r="XD70" s="197"/>
      <c r="XE70" s="197"/>
      <c r="XF70" s="197"/>
      <c r="XG70" s="197"/>
      <c r="XH70" s="197"/>
      <c r="XI70" s="197"/>
      <c r="XJ70" s="197"/>
      <c r="XK70" s="197"/>
      <c r="XL70" s="197"/>
      <c r="XM70" s="197"/>
      <c r="XN70" s="197"/>
      <c r="XO70" s="197"/>
      <c r="XP70" s="197"/>
      <c r="XQ70" s="197"/>
      <c r="XR70" s="197"/>
      <c r="XS70" s="197"/>
      <c r="XT70" s="197"/>
      <c r="XU70" s="197"/>
      <c r="XV70" s="197"/>
      <c r="XW70" s="197"/>
      <c r="XX70" s="197"/>
      <c r="XY70" s="197"/>
      <c r="XZ70" s="197"/>
      <c r="YA70" s="197"/>
      <c r="YB70" s="197"/>
      <c r="YC70" s="197"/>
      <c r="YD70" s="197"/>
      <c r="YE70" s="197"/>
      <c r="YF70" s="197"/>
      <c r="YG70" s="197"/>
      <c r="YH70" s="197"/>
      <c r="YI70" s="197"/>
      <c r="YJ70" s="197"/>
      <c r="YK70" s="197"/>
      <c r="YL70" s="197"/>
      <c r="YM70" s="197"/>
      <c r="YN70" s="197"/>
      <c r="YO70" s="197"/>
      <c r="YP70" s="197"/>
      <c r="YQ70" s="197"/>
      <c r="YR70" s="197"/>
      <c r="YS70" s="197"/>
      <c r="YT70" s="197"/>
      <c r="YU70" s="197"/>
      <c r="YV70" s="197"/>
      <c r="YW70" s="197"/>
      <c r="YX70" s="197"/>
      <c r="YY70" s="197"/>
      <c r="YZ70" s="197"/>
      <c r="ZA70" s="197"/>
      <c r="ZB70" s="197"/>
      <c r="ZC70" s="197"/>
      <c r="ZD70" s="197"/>
      <c r="ZE70" s="197"/>
      <c r="ZF70" s="197"/>
      <c r="ZG70" s="197"/>
      <c r="ZH70" s="197"/>
      <c r="ZI70" s="197"/>
      <c r="ZJ70" s="197"/>
      <c r="ZK70" s="197"/>
      <c r="ZL70" s="197"/>
      <c r="ZM70" s="197"/>
      <c r="ZN70" s="197"/>
      <c r="ZO70" s="197"/>
      <c r="ZP70" s="197"/>
      <c r="ZQ70" s="197"/>
      <c r="ZR70" s="197"/>
      <c r="ZS70" s="197"/>
      <c r="ZT70" s="197"/>
      <c r="ZU70" s="197"/>
      <c r="ZV70" s="197"/>
      <c r="ZW70" s="197"/>
      <c r="ZX70" s="197"/>
      <c r="ZY70" s="197"/>
      <c r="ZZ70" s="197"/>
      <c r="AAA70" s="197"/>
      <c r="AAB70" s="197"/>
      <c r="AAC70" s="197"/>
      <c r="AAD70" s="197"/>
      <c r="AAE70" s="197"/>
      <c r="AAF70" s="197"/>
      <c r="AAG70" s="197"/>
      <c r="AAH70" s="197"/>
      <c r="AAI70" s="197"/>
      <c r="AAJ70" s="197"/>
      <c r="AAK70" s="197"/>
      <c r="AAL70" s="197"/>
      <c r="AAM70" s="197"/>
      <c r="AAN70" s="197"/>
      <c r="AAO70" s="197"/>
      <c r="AAP70" s="197"/>
      <c r="AAQ70" s="197"/>
      <c r="AAR70" s="197"/>
      <c r="AAS70" s="197"/>
      <c r="AAT70" s="197"/>
      <c r="AAU70" s="197"/>
      <c r="AAV70" s="197"/>
      <c r="AAW70" s="197"/>
      <c r="AAX70" s="197"/>
      <c r="AAY70" s="197"/>
      <c r="AAZ70" s="197"/>
      <c r="ABA70" s="197"/>
      <c r="ABB70" s="197"/>
      <c r="ABC70" s="197"/>
      <c r="ABD70" s="197"/>
      <c r="ABE70" s="197"/>
      <c r="ABF70" s="197"/>
      <c r="ABG70" s="197"/>
      <c r="ABH70" s="197"/>
      <c r="ABI70" s="197"/>
      <c r="ABJ70" s="197"/>
      <c r="ABK70" s="197"/>
      <c r="ABL70" s="197"/>
      <c r="ABM70" s="197"/>
      <c r="ABN70" s="197"/>
      <c r="ABO70" s="197"/>
      <c r="ABP70" s="197"/>
      <c r="ABQ70" s="197"/>
      <c r="ABR70" s="197"/>
      <c r="ABS70" s="197"/>
      <c r="ABT70" s="197"/>
      <c r="ABU70" s="197"/>
      <c r="ABV70" s="197"/>
      <c r="ABW70" s="197"/>
      <c r="ABX70" s="197"/>
      <c r="ABY70" s="197"/>
      <c r="ABZ70" s="197"/>
      <c r="ACA70" s="197"/>
      <c r="ACB70" s="197"/>
      <c r="ACC70" s="197"/>
      <c r="ACD70" s="197"/>
      <c r="ACE70" s="197"/>
      <c r="ACF70" s="197"/>
      <c r="ACG70" s="197"/>
      <c r="ACH70" s="197"/>
      <c r="ACI70" s="197"/>
      <c r="ACJ70" s="197"/>
      <c r="ACK70" s="197"/>
      <c r="ACL70" s="197"/>
      <c r="ACM70" s="197"/>
      <c r="ACN70" s="197"/>
      <c r="ACO70" s="197"/>
      <c r="ACP70" s="197"/>
      <c r="ACQ70" s="197"/>
      <c r="ACR70" s="197"/>
      <c r="ACS70" s="197"/>
      <c r="ACT70" s="197"/>
      <c r="ACU70" s="197"/>
      <c r="ACV70" s="197"/>
      <c r="ACW70" s="197"/>
      <c r="ACX70" s="197"/>
      <c r="ACY70" s="197"/>
      <c r="ACZ70" s="197"/>
      <c r="ADA70" s="197"/>
      <c r="ADB70" s="197"/>
      <c r="ADC70" s="197"/>
      <c r="ADD70" s="197"/>
      <c r="ADE70" s="197"/>
      <c r="ADF70" s="197"/>
      <c r="ADG70" s="197"/>
      <c r="ADH70" s="197"/>
      <c r="ADI70" s="197"/>
      <c r="ADJ70" s="197"/>
      <c r="ADK70" s="197"/>
      <c r="ADL70" s="197"/>
      <c r="ADM70" s="197"/>
      <c r="ADN70" s="197"/>
      <c r="ADO70" s="197"/>
      <c r="ADP70" s="197"/>
      <c r="ADQ70" s="197"/>
      <c r="ADR70" s="197"/>
      <c r="ADS70" s="197"/>
      <c r="ADT70" s="197"/>
      <c r="ADU70" s="197"/>
      <c r="ADV70" s="197"/>
      <c r="ADW70" s="197"/>
      <c r="ADX70" s="197"/>
      <c r="ADY70" s="197"/>
      <c r="ADZ70" s="197"/>
      <c r="AEA70" s="197"/>
      <c r="AEB70" s="197"/>
      <c r="AEC70" s="197"/>
      <c r="AED70" s="197"/>
      <c r="AEE70" s="197"/>
      <c r="AEF70" s="197"/>
      <c r="AEG70" s="197"/>
      <c r="AEH70" s="197"/>
      <c r="AEI70" s="197"/>
      <c r="AEJ70" s="197"/>
      <c r="AEK70" s="197"/>
      <c r="AEL70" s="197"/>
      <c r="AEM70" s="197"/>
      <c r="AEN70" s="197"/>
      <c r="AEO70" s="197"/>
      <c r="AEP70" s="197"/>
      <c r="AEQ70" s="197"/>
      <c r="AER70" s="197"/>
      <c r="AES70" s="197"/>
      <c r="AET70" s="197"/>
      <c r="AEU70" s="197"/>
      <c r="AEV70" s="197"/>
      <c r="AEW70" s="197"/>
      <c r="AEX70" s="197"/>
      <c r="AEY70" s="197"/>
      <c r="AEZ70" s="197"/>
      <c r="AFA70" s="197"/>
      <c r="AFB70" s="197"/>
      <c r="AFC70" s="197"/>
      <c r="AFD70" s="197"/>
      <c r="AFE70" s="197"/>
      <c r="AFF70" s="197"/>
      <c r="AFG70" s="197"/>
      <c r="AFH70" s="197"/>
      <c r="AFI70" s="197"/>
      <c r="AFJ70" s="197"/>
      <c r="AFK70" s="197"/>
      <c r="AFL70" s="197"/>
      <c r="AFM70" s="197"/>
      <c r="AFN70" s="197"/>
      <c r="AFO70" s="197"/>
      <c r="AFP70" s="197"/>
      <c r="AFQ70" s="197"/>
      <c r="AFR70" s="197"/>
      <c r="AFS70" s="197"/>
      <c r="AFT70" s="197"/>
      <c r="AFU70" s="197"/>
      <c r="AFV70" s="197"/>
      <c r="AFW70" s="197"/>
      <c r="AFX70" s="197"/>
      <c r="AFY70" s="197"/>
      <c r="AFZ70" s="197"/>
      <c r="AGA70" s="197"/>
      <c r="AGB70" s="197"/>
      <c r="AGC70" s="197"/>
      <c r="AGD70" s="197"/>
      <c r="AGE70" s="197"/>
      <c r="AGF70" s="197"/>
      <c r="AGG70" s="197"/>
      <c r="AGH70" s="197"/>
      <c r="AGI70" s="197"/>
      <c r="AGJ70" s="197"/>
      <c r="AGK70" s="197"/>
      <c r="AGL70" s="197"/>
      <c r="AGM70" s="197"/>
      <c r="AGN70" s="197"/>
      <c r="AGO70" s="197"/>
      <c r="AGP70" s="197"/>
      <c r="AGQ70" s="197"/>
      <c r="AGR70" s="197"/>
      <c r="AGS70" s="197"/>
      <c r="AGT70" s="197"/>
      <c r="AGU70" s="197"/>
      <c r="AGV70" s="197"/>
      <c r="AGW70" s="197"/>
      <c r="AGX70" s="197"/>
      <c r="AGY70" s="197"/>
      <c r="AGZ70" s="197"/>
      <c r="AHA70" s="197"/>
      <c r="AHB70" s="197"/>
      <c r="AHC70" s="197"/>
      <c r="AHD70" s="197"/>
      <c r="AHE70" s="197"/>
      <c r="AHF70" s="197"/>
      <c r="AHG70" s="197"/>
      <c r="AHH70" s="197"/>
      <c r="AHI70" s="197"/>
      <c r="AHJ70" s="197"/>
      <c r="AHK70" s="197"/>
      <c r="AHL70" s="197"/>
      <c r="AHM70" s="197"/>
      <c r="AHN70" s="197"/>
      <c r="AHO70" s="197"/>
      <c r="AHP70" s="197"/>
      <c r="AHQ70" s="197"/>
      <c r="AHR70" s="197"/>
      <c r="AHS70" s="197"/>
      <c r="AHT70" s="197"/>
      <c r="AHU70" s="197"/>
      <c r="AHV70" s="197"/>
      <c r="AHW70" s="197"/>
      <c r="AHX70" s="197"/>
      <c r="AHY70" s="197"/>
      <c r="AHZ70" s="197"/>
      <c r="AIA70" s="197"/>
      <c r="AIB70" s="197"/>
      <c r="AIC70" s="197"/>
      <c r="AID70" s="197"/>
      <c r="AIE70" s="197"/>
      <c r="AIF70" s="197"/>
      <c r="AIG70" s="197"/>
      <c r="AIH70" s="197"/>
      <c r="AII70" s="197"/>
      <c r="AIJ70" s="197"/>
      <c r="AIK70" s="197"/>
      <c r="AIL70" s="197"/>
      <c r="AIM70" s="197"/>
      <c r="AIN70" s="197"/>
      <c r="AIO70" s="197"/>
      <c r="AIP70" s="197"/>
      <c r="AIQ70" s="197"/>
      <c r="AIR70" s="197"/>
      <c r="AIS70" s="197"/>
      <c r="AIT70" s="197"/>
      <c r="AIU70" s="197"/>
      <c r="AIV70" s="197"/>
      <c r="AIW70" s="197"/>
      <c r="AIX70" s="197"/>
      <c r="AIY70" s="197"/>
      <c r="AIZ70" s="197"/>
      <c r="AJA70" s="197"/>
      <c r="AJB70" s="197"/>
      <c r="AJC70" s="197"/>
      <c r="AJD70" s="197"/>
      <c r="AJE70" s="197"/>
      <c r="AJF70" s="197"/>
      <c r="AJG70" s="197"/>
      <c r="AJH70" s="197"/>
      <c r="AJI70" s="197"/>
      <c r="AJJ70" s="197"/>
      <c r="AJK70" s="197"/>
      <c r="AJL70" s="197"/>
      <c r="AJM70" s="197"/>
      <c r="AJN70" s="197"/>
      <c r="AJO70" s="197"/>
      <c r="AJP70" s="197"/>
      <c r="AJQ70" s="197"/>
      <c r="AJR70" s="197"/>
      <c r="AJS70" s="197"/>
      <c r="AJT70" s="197"/>
      <c r="AJU70" s="197"/>
      <c r="AJV70" s="197"/>
      <c r="AJW70" s="197"/>
      <c r="AJX70" s="197"/>
      <c r="AJY70" s="197"/>
      <c r="AJZ70" s="197"/>
      <c r="AKA70" s="197"/>
      <c r="AKB70" s="197"/>
      <c r="AKC70" s="197"/>
      <c r="AKD70" s="197"/>
      <c r="AKE70" s="197"/>
      <c r="AKF70" s="197"/>
      <c r="AKG70" s="197"/>
      <c r="AKH70" s="197"/>
      <c r="AKI70" s="197"/>
      <c r="AKJ70" s="197"/>
      <c r="AKK70" s="197"/>
      <c r="AKL70" s="197"/>
      <c r="AKM70" s="197"/>
      <c r="AKN70" s="197"/>
      <c r="AKO70" s="197"/>
      <c r="AKP70" s="197"/>
      <c r="AKQ70" s="197"/>
      <c r="AKR70" s="197"/>
      <c r="AKS70" s="197"/>
      <c r="AKT70" s="197"/>
      <c r="AKU70" s="197"/>
      <c r="AKV70" s="197"/>
      <c r="AKW70" s="197"/>
      <c r="AKX70" s="197"/>
      <c r="AKY70" s="197"/>
      <c r="AKZ70" s="197"/>
      <c r="ALA70" s="197"/>
      <c r="ALB70" s="197"/>
      <c r="ALC70" s="197"/>
      <c r="ALD70" s="197"/>
      <c r="ALE70" s="197"/>
      <c r="ALF70" s="197"/>
      <c r="ALG70" s="197"/>
      <c r="ALH70" s="197"/>
      <c r="ALI70" s="197"/>
      <c r="ALJ70" s="197"/>
      <c r="ALK70" s="197"/>
      <c r="ALL70" s="197"/>
      <c r="ALM70" s="197"/>
      <c r="ALN70" s="197"/>
      <c r="ALO70" s="197"/>
      <c r="ALP70" s="197"/>
      <c r="ALQ70" s="197"/>
      <c r="ALR70" s="197"/>
      <c r="ALS70" s="197"/>
      <c r="ALT70" s="197"/>
      <c r="ALU70" s="197"/>
      <c r="ALV70" s="197"/>
      <c r="ALW70" s="197"/>
      <c r="ALX70" s="197"/>
      <c r="ALY70" s="197"/>
      <c r="ALZ70" s="197"/>
      <c r="AMA70" s="197"/>
      <c r="AMB70" s="197"/>
      <c r="AMC70" s="197"/>
      <c r="AMD70" s="197"/>
      <c r="AME70" s="197"/>
      <c r="AMF70" s="197"/>
      <c r="AMG70" s="197"/>
      <c r="AMH70" s="197"/>
      <c r="AMI70" s="197"/>
      <c r="AMJ70" s="197"/>
      <c r="AMK70" s="197"/>
      <c r="AML70" s="197"/>
      <c r="AMM70" s="197"/>
      <c r="AMN70" s="197"/>
      <c r="AMO70" s="197"/>
      <c r="AMP70" s="197"/>
      <c r="AMQ70" s="197"/>
      <c r="AMR70" s="197"/>
      <c r="AMS70" s="197"/>
      <c r="AMT70" s="197"/>
      <c r="AMU70" s="197"/>
      <c r="AMV70" s="197"/>
      <c r="AMW70" s="197"/>
      <c r="AMX70" s="197"/>
      <c r="AMY70" s="197"/>
      <c r="AMZ70" s="197"/>
      <c r="ANA70" s="197"/>
      <c r="ANB70" s="197"/>
      <c r="ANC70" s="197"/>
      <c r="AND70" s="197"/>
      <c r="ANE70" s="197"/>
      <c r="ANF70" s="197"/>
      <c r="ANG70" s="197"/>
      <c r="ANH70" s="197"/>
      <c r="ANI70" s="197"/>
      <c r="ANJ70" s="197"/>
      <c r="ANK70" s="197"/>
      <c r="ANL70" s="197"/>
      <c r="ANM70" s="197"/>
      <c r="ANN70" s="197"/>
      <c r="ANO70" s="197"/>
      <c r="ANP70" s="197"/>
      <c r="ANQ70" s="197"/>
      <c r="ANR70" s="197"/>
      <c r="ANS70" s="197"/>
      <c r="ANT70" s="197"/>
      <c r="ANU70" s="197"/>
      <c r="ANV70" s="197"/>
      <c r="ANW70" s="197"/>
      <c r="ANX70" s="197"/>
      <c r="ANY70" s="197"/>
      <c r="ANZ70" s="197"/>
      <c r="AOA70" s="197"/>
      <c r="AOB70" s="197"/>
      <c r="AOC70" s="197"/>
      <c r="AOD70" s="197"/>
      <c r="AOE70" s="197"/>
      <c r="AOF70" s="197"/>
      <c r="AOG70" s="197"/>
      <c r="AOH70" s="197"/>
      <c r="AOI70" s="197"/>
      <c r="AOJ70" s="197"/>
      <c r="AOK70" s="197"/>
      <c r="AOL70" s="197"/>
      <c r="AOM70" s="197"/>
      <c r="AON70" s="197"/>
      <c r="AOO70" s="197"/>
      <c r="AOP70" s="197"/>
      <c r="AOQ70" s="197"/>
      <c r="AOR70" s="197"/>
      <c r="AOS70" s="197"/>
      <c r="AOT70" s="197"/>
      <c r="AOU70" s="197"/>
      <c r="AOV70" s="197"/>
      <c r="AOW70" s="197"/>
      <c r="AOX70" s="197"/>
      <c r="AOY70" s="197"/>
      <c r="AOZ70" s="197"/>
      <c r="APA70" s="197"/>
      <c r="APB70" s="197"/>
      <c r="APC70" s="197"/>
      <c r="APD70" s="197"/>
      <c r="APE70" s="197"/>
      <c r="APF70" s="197"/>
      <c r="APG70" s="197"/>
      <c r="APH70" s="197"/>
      <c r="API70" s="197"/>
      <c r="APJ70" s="197"/>
      <c r="APK70" s="197"/>
      <c r="APL70" s="197"/>
      <c r="APM70" s="197"/>
      <c r="APN70" s="197"/>
      <c r="APO70" s="197"/>
      <c r="APP70" s="197"/>
      <c r="APQ70" s="197"/>
      <c r="APR70" s="197"/>
      <c r="APS70" s="197"/>
      <c r="APT70" s="197"/>
      <c r="APU70" s="197"/>
      <c r="APV70" s="197"/>
      <c r="APW70" s="197"/>
      <c r="APX70" s="197"/>
      <c r="APY70" s="197"/>
      <c r="APZ70" s="197"/>
      <c r="AQA70" s="197"/>
      <c r="AQB70" s="197"/>
      <c r="AQC70" s="197"/>
      <c r="AQD70" s="197"/>
      <c r="AQE70" s="197"/>
      <c r="AQF70" s="197"/>
      <c r="AQG70" s="197"/>
      <c r="AQH70" s="197"/>
      <c r="AQI70" s="197"/>
      <c r="AQJ70" s="197"/>
      <c r="AQK70" s="197"/>
      <c r="AQL70" s="197"/>
      <c r="AQM70" s="197"/>
      <c r="AQN70" s="197"/>
      <c r="AQO70" s="197"/>
      <c r="AQP70" s="197"/>
      <c r="AQQ70" s="197"/>
      <c r="AQR70" s="197"/>
      <c r="AQS70" s="197"/>
      <c r="AQT70" s="197"/>
      <c r="AQU70" s="197"/>
      <c r="AQV70" s="197"/>
      <c r="AQW70" s="197"/>
      <c r="AQX70" s="197"/>
      <c r="AQY70" s="197"/>
      <c r="AQZ70" s="197"/>
      <c r="ARA70" s="197"/>
      <c r="ARB70" s="197"/>
      <c r="ARC70" s="197"/>
      <c r="ARD70" s="197"/>
      <c r="ARE70" s="197"/>
      <c r="ARF70" s="197"/>
      <c r="ARG70" s="197"/>
      <c r="ARH70" s="197"/>
      <c r="ARI70" s="197"/>
      <c r="ARJ70" s="197"/>
      <c r="ARK70" s="197"/>
      <c r="ARL70" s="197"/>
      <c r="ARM70" s="197"/>
      <c r="ARN70" s="197"/>
      <c r="ARO70" s="197"/>
      <c r="ARP70" s="197"/>
      <c r="ARQ70" s="197"/>
      <c r="ARR70" s="197"/>
      <c r="ARS70" s="197"/>
      <c r="ART70" s="197"/>
      <c r="ARU70" s="197"/>
      <c r="ARV70" s="197"/>
      <c r="ARW70" s="197"/>
      <c r="ARX70" s="197"/>
      <c r="ARY70" s="197"/>
      <c r="ARZ70" s="197"/>
      <c r="ASA70" s="197"/>
      <c r="ASB70" s="197"/>
      <c r="ASC70" s="197"/>
      <c r="ASD70" s="197"/>
      <c r="ASE70" s="197"/>
      <c r="ASF70" s="197"/>
      <c r="ASG70" s="197"/>
      <c r="ASH70" s="197"/>
      <c r="ASI70" s="197"/>
      <c r="ASJ70" s="197"/>
      <c r="ASK70" s="197"/>
      <c r="ASL70" s="197"/>
      <c r="ASM70" s="197"/>
      <c r="ASN70" s="197"/>
      <c r="ASO70" s="197"/>
      <c r="ASP70" s="197"/>
      <c r="ASQ70" s="197"/>
      <c r="ASR70" s="197"/>
      <c r="ASS70" s="197"/>
      <c r="AST70" s="197"/>
      <c r="ASU70" s="197"/>
      <c r="ASV70" s="197"/>
      <c r="ASW70" s="197"/>
      <c r="ASX70" s="197"/>
      <c r="ASY70" s="197"/>
      <c r="ASZ70" s="197"/>
      <c r="ATA70" s="197"/>
      <c r="ATB70" s="197"/>
      <c r="ATC70" s="197"/>
      <c r="ATD70" s="197"/>
      <c r="ATE70" s="197"/>
      <c r="ATF70" s="197"/>
      <c r="ATG70" s="197"/>
      <c r="ATH70" s="197"/>
      <c r="ATI70" s="197"/>
      <c r="ATJ70" s="197"/>
      <c r="ATK70" s="197"/>
      <c r="ATL70" s="197"/>
      <c r="ATM70" s="197"/>
      <c r="ATN70" s="197"/>
      <c r="ATO70" s="197"/>
      <c r="ATP70" s="197"/>
      <c r="ATQ70" s="197"/>
      <c r="ATR70" s="197"/>
      <c r="ATS70" s="197"/>
      <c r="ATT70" s="197"/>
      <c r="ATU70" s="197"/>
      <c r="ATV70" s="197"/>
      <c r="ATW70" s="197"/>
      <c r="ATX70" s="197"/>
      <c r="ATY70" s="197"/>
      <c r="ATZ70" s="197"/>
      <c r="AUA70" s="197"/>
      <c r="AUB70" s="197"/>
      <c r="AUC70" s="197"/>
      <c r="AUD70" s="197"/>
      <c r="AUE70" s="197"/>
      <c r="AUF70" s="197"/>
      <c r="AUG70" s="197"/>
      <c r="AUH70" s="197"/>
      <c r="AUI70" s="197"/>
      <c r="AUJ70" s="197"/>
      <c r="AUK70" s="197"/>
      <c r="AUL70" s="197"/>
      <c r="AUM70" s="197"/>
      <c r="AUN70" s="197"/>
      <c r="AUO70" s="197"/>
      <c r="AUP70" s="197"/>
      <c r="AUQ70" s="197"/>
      <c r="AUR70" s="197"/>
      <c r="AUS70" s="197"/>
      <c r="AUT70" s="197"/>
      <c r="AUU70" s="197"/>
      <c r="AUV70" s="197"/>
      <c r="AUW70" s="197"/>
      <c r="AUX70" s="197"/>
      <c r="AUY70" s="197"/>
      <c r="AUZ70" s="197"/>
      <c r="AVA70" s="197"/>
      <c r="AVB70" s="197"/>
      <c r="AVC70" s="197"/>
      <c r="AVD70" s="197"/>
      <c r="AVE70" s="197"/>
      <c r="AVF70" s="197"/>
      <c r="AVG70" s="197"/>
      <c r="AVH70" s="197"/>
      <c r="AVI70" s="197"/>
      <c r="AVJ70" s="197"/>
      <c r="AVK70" s="197"/>
      <c r="AVL70" s="197"/>
      <c r="AVM70" s="197"/>
      <c r="AVN70" s="197"/>
      <c r="AVO70" s="197"/>
      <c r="AVP70" s="197"/>
      <c r="AVQ70" s="197"/>
      <c r="AVR70" s="197"/>
      <c r="AVS70" s="197"/>
      <c r="AVT70" s="197"/>
      <c r="AVU70" s="197"/>
      <c r="AVV70" s="197"/>
      <c r="AVW70" s="197"/>
      <c r="AVX70" s="197"/>
      <c r="AVY70" s="197"/>
      <c r="AVZ70" s="197"/>
      <c r="AWA70" s="197"/>
      <c r="AWB70" s="197"/>
      <c r="AWC70" s="197"/>
      <c r="AWD70" s="197"/>
      <c r="AWE70" s="197"/>
      <c r="AWF70" s="197"/>
      <c r="AWG70" s="197"/>
      <c r="AWH70" s="197"/>
      <c r="AWI70" s="197"/>
      <c r="AWJ70" s="197"/>
      <c r="AWK70" s="197"/>
      <c r="AWL70" s="197"/>
      <c r="AWM70" s="197"/>
      <c r="AWN70" s="197"/>
      <c r="AWO70" s="197"/>
      <c r="AWP70" s="197"/>
      <c r="AWQ70" s="197"/>
      <c r="AWR70" s="197"/>
      <c r="AWS70" s="197"/>
      <c r="AWT70" s="197"/>
      <c r="AWU70" s="197"/>
      <c r="AWV70" s="197"/>
      <c r="AWW70" s="197"/>
      <c r="AWX70" s="197"/>
      <c r="AWY70" s="197"/>
      <c r="AWZ70" s="197"/>
      <c r="AXA70" s="197"/>
      <c r="AXB70" s="197"/>
      <c r="AXC70" s="197"/>
      <c r="AXD70" s="197"/>
      <c r="AXE70" s="197"/>
      <c r="AXF70" s="197"/>
      <c r="AXG70" s="197"/>
      <c r="AXH70" s="197"/>
      <c r="AXI70" s="197"/>
      <c r="AXJ70" s="197"/>
      <c r="AXK70" s="197"/>
      <c r="AXL70" s="197"/>
      <c r="AXM70" s="197"/>
      <c r="AXN70" s="197"/>
      <c r="AXO70" s="197"/>
      <c r="AXP70" s="197"/>
      <c r="AXQ70" s="197"/>
      <c r="AXR70" s="197"/>
      <c r="AXS70" s="197"/>
      <c r="AXT70" s="197"/>
      <c r="AXU70" s="197"/>
      <c r="AXV70" s="197"/>
      <c r="AXW70" s="197"/>
      <c r="AXX70" s="197"/>
      <c r="AXY70" s="197"/>
      <c r="AXZ70" s="197"/>
      <c r="AYA70" s="197"/>
      <c r="AYB70" s="197"/>
      <c r="AYC70" s="197"/>
      <c r="AYD70" s="197"/>
      <c r="AYE70" s="197"/>
      <c r="AYF70" s="197"/>
      <c r="AYG70" s="197"/>
      <c r="AYH70" s="197"/>
      <c r="AYI70" s="197"/>
      <c r="AYJ70" s="197"/>
      <c r="AYK70" s="197"/>
      <c r="AYL70" s="197"/>
      <c r="AYM70" s="197"/>
      <c r="AYN70" s="197"/>
      <c r="AYO70" s="197"/>
      <c r="AYP70" s="197"/>
      <c r="AYQ70" s="197"/>
      <c r="AYR70" s="197"/>
      <c r="AYS70" s="197"/>
      <c r="AYT70" s="197"/>
      <c r="AYU70" s="197"/>
      <c r="AYV70" s="197"/>
      <c r="AYW70" s="197"/>
      <c r="AYX70" s="197"/>
      <c r="AYY70" s="197"/>
      <c r="AYZ70" s="197"/>
      <c r="AZA70" s="197"/>
      <c r="AZB70" s="197"/>
      <c r="AZC70" s="197"/>
      <c r="AZD70" s="197"/>
      <c r="AZE70" s="197"/>
      <c r="AZF70" s="197"/>
      <c r="AZG70" s="197"/>
      <c r="AZH70" s="197"/>
      <c r="AZI70" s="197"/>
      <c r="AZJ70" s="197"/>
      <c r="AZK70" s="197"/>
      <c r="AZL70" s="197"/>
      <c r="AZM70" s="197"/>
      <c r="AZN70" s="197"/>
      <c r="AZO70" s="197"/>
      <c r="AZP70" s="197"/>
      <c r="AZQ70" s="197"/>
      <c r="AZR70" s="197"/>
      <c r="AZS70" s="197"/>
      <c r="AZT70" s="197"/>
      <c r="AZU70" s="197"/>
      <c r="AZV70" s="197"/>
      <c r="AZW70" s="197"/>
      <c r="AZX70" s="197"/>
      <c r="AZY70" s="197"/>
      <c r="AZZ70" s="197"/>
      <c r="BAA70" s="197"/>
      <c r="BAB70" s="197"/>
      <c r="BAC70" s="197"/>
      <c r="BAD70" s="197"/>
      <c r="BAE70" s="197"/>
      <c r="BAF70" s="197"/>
      <c r="BAG70" s="197"/>
      <c r="BAH70" s="197"/>
      <c r="BAI70" s="197"/>
      <c r="BAJ70" s="197"/>
      <c r="BAK70" s="197"/>
      <c r="BAL70" s="197"/>
      <c r="BAM70" s="197"/>
      <c r="BAN70" s="197"/>
      <c r="BAO70" s="197"/>
      <c r="BAP70" s="197"/>
      <c r="BAQ70" s="197"/>
      <c r="BAR70" s="197"/>
      <c r="BAS70" s="197"/>
      <c r="BAT70" s="197"/>
      <c r="BAU70" s="197"/>
      <c r="BAV70" s="197"/>
      <c r="BAW70" s="197"/>
      <c r="BAX70" s="197"/>
      <c r="BAY70" s="197"/>
      <c r="BAZ70" s="197"/>
      <c r="BBA70" s="197"/>
      <c r="BBB70" s="197"/>
      <c r="BBC70" s="197"/>
      <c r="BBD70" s="197"/>
      <c r="BBE70" s="197"/>
      <c r="BBF70" s="197"/>
      <c r="BBG70" s="197"/>
      <c r="BBH70" s="197"/>
      <c r="BBI70" s="197"/>
      <c r="BBJ70" s="197"/>
      <c r="BBK70" s="197"/>
      <c r="BBL70" s="197"/>
      <c r="BBM70" s="197"/>
      <c r="BBN70" s="197"/>
      <c r="BBO70" s="197"/>
      <c r="BBP70" s="197"/>
      <c r="BBQ70" s="197"/>
      <c r="BBR70" s="197"/>
      <c r="BBS70" s="197"/>
      <c r="BBT70" s="197"/>
      <c r="BBU70" s="197"/>
      <c r="BBV70" s="197"/>
      <c r="BBW70" s="197"/>
      <c r="BBX70" s="197"/>
      <c r="BBY70" s="197"/>
      <c r="BBZ70" s="197"/>
      <c r="BCA70" s="197"/>
      <c r="BCB70" s="197"/>
      <c r="BCC70" s="197"/>
      <c r="BCD70" s="197"/>
      <c r="BCE70" s="197"/>
      <c r="BCF70" s="197"/>
      <c r="BCG70" s="197"/>
      <c r="BCH70" s="197"/>
      <c r="BCI70" s="197"/>
      <c r="BCJ70" s="197"/>
      <c r="BCK70" s="197"/>
      <c r="BCL70" s="197"/>
      <c r="BCM70" s="197"/>
      <c r="BCN70" s="197"/>
      <c r="BCO70" s="197"/>
      <c r="BCP70" s="197"/>
      <c r="BCQ70" s="197"/>
      <c r="BCR70" s="197"/>
      <c r="BCS70" s="197"/>
      <c r="BCT70" s="197"/>
      <c r="BCU70" s="197"/>
      <c r="BCV70" s="197"/>
      <c r="BCW70" s="197"/>
      <c r="BCX70" s="197"/>
      <c r="BCY70" s="197"/>
      <c r="BCZ70" s="197"/>
      <c r="BDA70" s="197"/>
      <c r="BDB70" s="197"/>
      <c r="BDC70" s="197"/>
      <c r="BDD70" s="197"/>
      <c r="BDE70" s="197"/>
      <c r="BDF70" s="197"/>
      <c r="BDG70" s="197"/>
      <c r="BDH70" s="197"/>
      <c r="BDI70" s="197"/>
      <c r="BDJ70" s="197"/>
      <c r="BDK70" s="197"/>
      <c r="BDL70" s="197"/>
      <c r="BDM70" s="197"/>
      <c r="BDN70" s="197"/>
      <c r="BDO70" s="197"/>
      <c r="BDP70" s="197"/>
      <c r="BDQ70" s="197"/>
      <c r="BDR70" s="197"/>
      <c r="BDS70" s="197"/>
      <c r="BDT70" s="197"/>
      <c r="BDU70" s="197"/>
      <c r="BDV70" s="197"/>
      <c r="BDW70" s="197"/>
      <c r="BDX70" s="197"/>
      <c r="BDY70" s="197"/>
      <c r="BDZ70" s="197"/>
      <c r="BEA70" s="197"/>
      <c r="BEB70" s="197"/>
      <c r="BEC70" s="197"/>
      <c r="BED70" s="197"/>
      <c r="BEE70" s="197"/>
      <c r="BEF70" s="197"/>
      <c r="BEG70" s="197"/>
      <c r="BEH70" s="197"/>
      <c r="BEI70" s="197"/>
      <c r="BEJ70" s="197"/>
      <c r="BEK70" s="197"/>
      <c r="BEL70" s="197"/>
      <c r="BEM70" s="197"/>
      <c r="BEN70" s="197"/>
      <c r="BEO70" s="197"/>
      <c r="BEP70" s="197"/>
      <c r="BEQ70" s="197"/>
      <c r="BER70" s="197"/>
      <c r="BES70" s="197"/>
      <c r="BET70" s="197"/>
      <c r="BEU70" s="197"/>
      <c r="BEV70" s="197"/>
      <c r="BEW70" s="197"/>
      <c r="BEX70" s="197"/>
      <c r="BEY70" s="197"/>
      <c r="BEZ70" s="197"/>
      <c r="BFA70" s="197"/>
      <c r="BFB70" s="197"/>
      <c r="BFC70" s="197"/>
      <c r="BFD70" s="197"/>
      <c r="BFE70" s="197"/>
      <c r="BFF70" s="197"/>
      <c r="BFG70" s="197"/>
      <c r="BFH70" s="197"/>
      <c r="BFI70" s="197"/>
      <c r="BFJ70" s="197"/>
      <c r="BFK70" s="197"/>
      <c r="BFL70" s="197"/>
      <c r="BFM70" s="197"/>
      <c r="BFN70" s="197"/>
      <c r="BFO70" s="197"/>
      <c r="BFP70" s="197"/>
      <c r="BFQ70" s="197"/>
      <c r="BFR70" s="197"/>
      <c r="BFS70" s="197"/>
      <c r="BFT70" s="197"/>
      <c r="BFU70" s="197"/>
      <c r="BFV70" s="197"/>
      <c r="BFW70" s="197"/>
      <c r="BFX70" s="197"/>
      <c r="BFY70" s="197"/>
      <c r="BFZ70" s="197"/>
      <c r="BGA70" s="197"/>
      <c r="BGB70" s="197"/>
      <c r="BGC70" s="197"/>
      <c r="BGD70" s="197"/>
      <c r="BGE70" s="197"/>
      <c r="BGF70" s="197"/>
      <c r="BGG70" s="197"/>
      <c r="BGH70" s="197"/>
      <c r="BGI70" s="197"/>
      <c r="BGJ70" s="197"/>
      <c r="BGK70" s="197"/>
      <c r="BGL70" s="197"/>
      <c r="BGM70" s="197"/>
      <c r="BGN70" s="197"/>
      <c r="BGO70" s="197"/>
      <c r="BGP70" s="197"/>
      <c r="BGQ70" s="197"/>
      <c r="BGR70" s="197"/>
      <c r="BGS70" s="197"/>
      <c r="BGT70" s="197"/>
      <c r="BGU70" s="197"/>
      <c r="BGV70" s="197"/>
      <c r="BGW70" s="197"/>
      <c r="BGX70" s="197"/>
      <c r="BGY70" s="197"/>
      <c r="BGZ70" s="197"/>
      <c r="BHA70" s="197"/>
      <c r="BHB70" s="197"/>
      <c r="BHC70" s="197"/>
      <c r="BHD70" s="197"/>
      <c r="BHE70" s="197"/>
      <c r="BHF70" s="197"/>
      <c r="BHG70" s="197"/>
      <c r="BHH70" s="197"/>
      <c r="BHI70" s="197"/>
      <c r="BHJ70" s="197"/>
      <c r="BHK70" s="197"/>
      <c r="BHL70" s="197"/>
      <c r="BHM70" s="197"/>
      <c r="BHN70" s="197"/>
      <c r="BHO70" s="197"/>
      <c r="BHP70" s="197"/>
      <c r="BHQ70" s="197"/>
      <c r="BHR70" s="197"/>
      <c r="BHS70" s="197"/>
      <c r="BHT70" s="197"/>
      <c r="BHU70" s="197"/>
      <c r="BHV70" s="197"/>
      <c r="BHW70" s="197"/>
      <c r="BHX70" s="197"/>
      <c r="BHY70" s="197"/>
      <c r="BHZ70" s="197"/>
      <c r="BIA70" s="197"/>
      <c r="BIB70" s="197"/>
      <c r="BIC70" s="197"/>
      <c r="BID70" s="197"/>
      <c r="BIE70" s="197"/>
      <c r="BIF70" s="197"/>
      <c r="BIG70" s="197"/>
      <c r="BIH70" s="197"/>
      <c r="BII70" s="197"/>
      <c r="BIJ70" s="197"/>
      <c r="BIK70" s="197"/>
      <c r="BIL70" s="197"/>
      <c r="BIM70" s="197"/>
      <c r="BIN70" s="197"/>
      <c r="BIO70" s="197"/>
      <c r="BIP70" s="197"/>
      <c r="BIQ70" s="197"/>
      <c r="BIR70" s="197"/>
      <c r="BIS70" s="197"/>
      <c r="BIT70" s="197"/>
      <c r="BIU70" s="197"/>
      <c r="BIV70" s="197"/>
      <c r="BIW70" s="197"/>
      <c r="BIX70" s="197"/>
      <c r="BIY70" s="197"/>
      <c r="BIZ70" s="197"/>
      <c r="BJA70" s="197"/>
      <c r="BJB70" s="197"/>
      <c r="BJC70" s="197"/>
      <c r="BJD70" s="197"/>
      <c r="BJE70" s="197"/>
      <c r="BJF70" s="197"/>
      <c r="BJG70" s="197"/>
      <c r="BJH70" s="197"/>
      <c r="BJI70" s="197"/>
      <c r="BJJ70" s="197"/>
      <c r="BJK70" s="197"/>
      <c r="BJL70" s="197"/>
      <c r="BJM70" s="197"/>
      <c r="BJN70" s="197"/>
      <c r="BJO70" s="197"/>
      <c r="BJP70" s="197"/>
      <c r="BJQ70" s="197"/>
      <c r="BJR70" s="197"/>
      <c r="BJS70" s="197"/>
      <c r="BJT70" s="197"/>
      <c r="BJU70" s="197"/>
      <c r="BJV70" s="197"/>
      <c r="BJW70" s="197"/>
      <c r="BJX70" s="197"/>
      <c r="BJY70" s="197"/>
      <c r="BJZ70" s="197"/>
      <c r="BKA70" s="197"/>
      <c r="BKB70" s="197"/>
      <c r="BKC70" s="197"/>
      <c r="BKD70" s="197"/>
      <c r="BKE70" s="197"/>
      <c r="BKF70" s="197"/>
      <c r="BKG70" s="197"/>
      <c r="BKH70" s="197"/>
      <c r="BKI70" s="197"/>
      <c r="BKJ70" s="197"/>
      <c r="BKK70" s="197"/>
      <c r="BKL70" s="197"/>
      <c r="BKM70" s="197"/>
      <c r="BKN70" s="197"/>
      <c r="BKO70" s="197"/>
      <c r="BKP70" s="197"/>
      <c r="BKQ70" s="197"/>
      <c r="BKR70" s="197"/>
      <c r="BKS70" s="197"/>
      <c r="BKT70" s="197"/>
      <c r="BKU70" s="197"/>
      <c r="BKV70" s="197"/>
      <c r="BKW70" s="197"/>
      <c r="BKX70" s="197"/>
      <c r="BKY70" s="197"/>
      <c r="BKZ70" s="197"/>
      <c r="BLA70" s="197"/>
      <c r="BLB70" s="197"/>
      <c r="BLC70" s="197"/>
      <c r="BLD70" s="197"/>
      <c r="BLE70" s="197"/>
      <c r="BLF70" s="197"/>
      <c r="BLG70" s="197"/>
      <c r="BLH70" s="197"/>
      <c r="BLI70" s="197"/>
      <c r="BLJ70" s="197"/>
      <c r="BLK70" s="197"/>
      <c r="BLL70" s="197"/>
      <c r="BLM70" s="197"/>
      <c r="BLN70" s="197"/>
      <c r="BLO70" s="197"/>
      <c r="BLP70" s="197"/>
      <c r="BLQ70" s="197"/>
      <c r="BLR70" s="197"/>
      <c r="BLS70" s="197"/>
      <c r="BLT70" s="197"/>
      <c r="BLU70" s="197"/>
      <c r="BLV70" s="197"/>
      <c r="BLW70" s="197"/>
      <c r="BLX70" s="197"/>
      <c r="BLY70" s="197"/>
      <c r="BLZ70" s="197"/>
      <c r="BMA70" s="197"/>
      <c r="BMB70" s="197"/>
      <c r="BMC70" s="197"/>
      <c r="BMD70" s="197"/>
      <c r="BME70" s="197"/>
      <c r="BMF70" s="197"/>
      <c r="BMG70" s="197"/>
      <c r="BMH70" s="197"/>
      <c r="BMI70" s="197"/>
      <c r="BMJ70" s="197"/>
      <c r="BMK70" s="197"/>
      <c r="BML70" s="197"/>
      <c r="BMM70" s="197"/>
      <c r="BMN70" s="197"/>
      <c r="BMO70" s="197"/>
      <c r="BMP70" s="197"/>
      <c r="BMQ70" s="197"/>
      <c r="BMR70" s="197"/>
      <c r="BMS70" s="197"/>
      <c r="BMT70" s="197"/>
      <c r="BMU70" s="197"/>
      <c r="BMV70" s="197"/>
      <c r="BMW70" s="197"/>
      <c r="BMX70" s="197"/>
      <c r="BMY70" s="197"/>
      <c r="BMZ70" s="197"/>
      <c r="BNA70" s="197"/>
      <c r="BNB70" s="197"/>
      <c r="BNC70" s="197"/>
      <c r="BND70" s="197"/>
      <c r="BNE70" s="197"/>
      <c r="BNF70" s="197"/>
      <c r="BNG70" s="197"/>
      <c r="BNH70" s="197"/>
      <c r="BNI70" s="197"/>
      <c r="BNJ70" s="197"/>
      <c r="BNK70" s="197"/>
      <c r="BNL70" s="197"/>
      <c r="BNM70" s="197"/>
      <c r="BNN70" s="197"/>
      <c r="BNO70" s="197"/>
      <c r="BNP70" s="197"/>
      <c r="BNQ70" s="197"/>
      <c r="BNR70" s="197"/>
      <c r="BNS70" s="197"/>
      <c r="BNT70" s="197"/>
      <c r="BNU70" s="197"/>
      <c r="BNV70" s="197"/>
      <c r="BNW70" s="197"/>
      <c r="BNX70" s="197"/>
      <c r="BNY70" s="197"/>
      <c r="BNZ70" s="197"/>
      <c r="BOA70" s="197"/>
      <c r="BOB70" s="197"/>
      <c r="BOC70" s="197"/>
      <c r="BOD70" s="197"/>
      <c r="BOE70" s="197"/>
      <c r="BOF70" s="197"/>
      <c r="BOG70" s="197"/>
      <c r="BOH70" s="197"/>
      <c r="BOI70" s="197"/>
      <c r="BOJ70" s="197"/>
      <c r="BOK70" s="197"/>
      <c r="BOL70" s="197"/>
      <c r="BOM70" s="197"/>
      <c r="BON70" s="197"/>
      <c r="BOO70" s="197"/>
      <c r="BOP70" s="197"/>
      <c r="BOQ70" s="197"/>
      <c r="BOR70" s="197"/>
      <c r="BOS70" s="197"/>
      <c r="BOT70" s="197"/>
      <c r="BOU70" s="197"/>
      <c r="BOV70" s="197"/>
      <c r="BOW70" s="197"/>
      <c r="BOX70" s="197"/>
      <c r="BOY70" s="197"/>
      <c r="BOZ70" s="197"/>
      <c r="BPA70" s="197"/>
      <c r="BPB70" s="197"/>
      <c r="BPC70" s="197"/>
      <c r="BPD70" s="197"/>
      <c r="BPE70" s="197"/>
      <c r="BPF70" s="197"/>
      <c r="BPG70" s="197"/>
      <c r="BPH70" s="197"/>
      <c r="BPI70" s="197"/>
      <c r="BPJ70" s="197"/>
      <c r="BPK70" s="197"/>
      <c r="BPL70" s="197"/>
      <c r="BPM70" s="197"/>
      <c r="BPN70" s="197"/>
      <c r="BPO70" s="197"/>
      <c r="BPP70" s="197"/>
      <c r="BPQ70" s="197"/>
      <c r="BPR70" s="197"/>
      <c r="BPS70" s="197"/>
      <c r="BPT70" s="197"/>
      <c r="BPU70" s="197"/>
      <c r="BPV70" s="197"/>
      <c r="BPW70" s="197"/>
      <c r="BPX70" s="197"/>
      <c r="BPY70" s="197"/>
      <c r="BPZ70" s="197"/>
      <c r="BQA70" s="197"/>
      <c r="BQB70" s="197"/>
      <c r="BQC70" s="197"/>
      <c r="BQD70" s="197"/>
      <c r="BQE70" s="197"/>
      <c r="BQF70" s="197"/>
      <c r="BQG70" s="197"/>
      <c r="BQH70" s="197"/>
      <c r="BQI70" s="197"/>
      <c r="BQJ70" s="197"/>
      <c r="BQK70" s="197"/>
      <c r="BQL70" s="197"/>
      <c r="BQM70" s="197"/>
      <c r="BQN70" s="197"/>
      <c r="BQO70" s="197"/>
      <c r="BQP70" s="197"/>
      <c r="BQQ70" s="197"/>
      <c r="BQR70" s="197"/>
      <c r="BQS70" s="197"/>
      <c r="BQT70" s="197"/>
      <c r="BQU70" s="197"/>
      <c r="BQV70" s="197"/>
      <c r="BQW70" s="197"/>
      <c r="BQX70" s="197"/>
      <c r="BQY70" s="197"/>
      <c r="BQZ70" s="197"/>
      <c r="BRA70" s="197"/>
      <c r="BRB70" s="197"/>
      <c r="BRC70" s="197"/>
      <c r="BRD70" s="197"/>
      <c r="BRE70" s="197"/>
      <c r="BRF70" s="197"/>
      <c r="BRG70" s="197"/>
      <c r="BRH70" s="197"/>
      <c r="BRI70" s="197"/>
      <c r="BRJ70" s="197"/>
      <c r="BRK70" s="197"/>
      <c r="BRL70" s="197"/>
      <c r="BRM70" s="197"/>
      <c r="BRN70" s="197"/>
      <c r="BRO70" s="197"/>
      <c r="BRP70" s="197"/>
      <c r="BRQ70" s="197"/>
      <c r="BRR70" s="197"/>
      <c r="BRS70" s="197"/>
      <c r="BRT70" s="197"/>
      <c r="BRU70" s="197"/>
      <c r="BRV70" s="197"/>
      <c r="BRW70" s="197"/>
      <c r="BRX70" s="197"/>
      <c r="BRY70" s="197"/>
      <c r="BRZ70" s="197"/>
      <c r="BSA70" s="197"/>
      <c r="BSB70" s="197"/>
      <c r="BSC70" s="197"/>
      <c r="BSD70" s="197"/>
      <c r="BSE70" s="197"/>
      <c r="BSF70" s="197"/>
      <c r="BSG70" s="197"/>
      <c r="BSH70" s="197"/>
      <c r="BSI70" s="197"/>
      <c r="BSJ70" s="197"/>
      <c r="BSK70" s="197"/>
      <c r="BSL70" s="197"/>
      <c r="BSM70" s="197"/>
      <c r="BSN70" s="197"/>
      <c r="BSO70" s="197"/>
      <c r="BSP70" s="197"/>
      <c r="BSQ70" s="197"/>
      <c r="BSR70" s="197"/>
      <c r="BSS70" s="197"/>
      <c r="BST70" s="197"/>
      <c r="BSU70" s="197"/>
      <c r="BSV70" s="197"/>
      <c r="BSW70" s="197"/>
      <c r="BSX70" s="197"/>
      <c r="BSY70" s="197"/>
      <c r="BSZ70" s="197"/>
      <c r="BTA70" s="197"/>
      <c r="BTB70" s="197"/>
      <c r="BTC70" s="197"/>
      <c r="BTD70" s="197"/>
      <c r="BTE70" s="197"/>
      <c r="BTF70" s="197"/>
      <c r="BTG70" s="197"/>
      <c r="BTH70" s="197"/>
      <c r="BTI70" s="197"/>
      <c r="BTJ70" s="197"/>
      <c r="BTK70" s="197"/>
      <c r="BTL70" s="197"/>
      <c r="BTM70" s="197"/>
      <c r="BTN70" s="197"/>
      <c r="BTO70" s="197"/>
      <c r="BTP70" s="197"/>
      <c r="BTQ70" s="197"/>
      <c r="BTR70" s="197"/>
      <c r="BTS70" s="197"/>
      <c r="BTT70" s="197"/>
      <c r="BTU70" s="197"/>
      <c r="BTV70" s="197"/>
      <c r="BTW70" s="197"/>
      <c r="BTX70" s="197"/>
      <c r="BTY70" s="197"/>
      <c r="BTZ70" s="197"/>
      <c r="BUA70" s="197"/>
      <c r="BUB70" s="197"/>
      <c r="BUC70" s="197"/>
      <c r="BUD70" s="197"/>
      <c r="BUE70" s="197"/>
      <c r="BUF70" s="197"/>
      <c r="BUG70" s="197"/>
      <c r="BUH70" s="197"/>
      <c r="BUI70" s="197"/>
      <c r="BUJ70" s="197"/>
      <c r="BUK70" s="197"/>
      <c r="BUL70" s="197"/>
      <c r="BUM70" s="197"/>
      <c r="BUN70" s="197"/>
      <c r="BUO70" s="197"/>
      <c r="BUP70" s="197"/>
      <c r="BUQ70" s="197"/>
      <c r="BUR70" s="197"/>
      <c r="BUS70" s="197"/>
      <c r="BUT70" s="197"/>
      <c r="BUU70" s="197"/>
      <c r="BUV70" s="197"/>
      <c r="BUW70" s="197"/>
      <c r="BUX70" s="197"/>
      <c r="BUY70" s="197"/>
      <c r="BUZ70" s="197"/>
      <c r="BVA70" s="197"/>
      <c r="BVB70" s="197"/>
      <c r="BVC70" s="197"/>
      <c r="BVD70" s="197"/>
      <c r="BVE70" s="197"/>
      <c r="BVF70" s="197"/>
      <c r="BVG70" s="197"/>
      <c r="BVH70" s="197"/>
      <c r="BVI70" s="197"/>
      <c r="BVJ70" s="197"/>
      <c r="BVK70" s="197"/>
      <c r="BVL70" s="197"/>
      <c r="BVM70" s="197"/>
      <c r="BVN70" s="197"/>
      <c r="BVO70" s="197"/>
      <c r="BVP70" s="197"/>
      <c r="BVQ70" s="197"/>
      <c r="BVR70" s="197"/>
      <c r="BVS70" s="197"/>
      <c r="BVT70" s="197"/>
      <c r="BVU70" s="197"/>
      <c r="BVV70" s="197"/>
      <c r="BVW70" s="197"/>
      <c r="BVX70" s="197"/>
      <c r="BVY70" s="197"/>
      <c r="BVZ70" s="197"/>
      <c r="BWA70" s="197"/>
      <c r="BWB70" s="197"/>
      <c r="BWC70" s="197"/>
      <c r="BWD70" s="197"/>
      <c r="BWE70" s="197"/>
      <c r="BWF70" s="197"/>
      <c r="BWG70" s="197"/>
      <c r="BWH70" s="197"/>
      <c r="BWI70" s="197"/>
      <c r="BWJ70" s="197"/>
      <c r="BWK70" s="197"/>
      <c r="BWL70" s="197"/>
      <c r="BWM70" s="197"/>
      <c r="BWN70" s="197"/>
      <c r="BWO70" s="197"/>
      <c r="BWP70" s="197"/>
      <c r="BWQ70" s="197"/>
      <c r="BWR70" s="197"/>
      <c r="BWS70" s="197"/>
      <c r="BWT70" s="197"/>
      <c r="BWU70" s="197"/>
      <c r="BWV70" s="197"/>
      <c r="BWW70" s="197"/>
      <c r="BWX70" s="197"/>
      <c r="BWY70" s="197"/>
      <c r="BWZ70" s="197"/>
      <c r="BXA70" s="197"/>
      <c r="BXB70" s="197"/>
      <c r="BXC70" s="197"/>
      <c r="BXD70" s="197"/>
      <c r="BXE70" s="197"/>
      <c r="BXF70" s="197"/>
      <c r="BXG70" s="197"/>
      <c r="BXH70" s="197"/>
      <c r="BXI70" s="197"/>
      <c r="BXJ70" s="197"/>
      <c r="BXK70" s="197"/>
      <c r="BXL70" s="197"/>
      <c r="BXM70" s="197"/>
      <c r="BXN70" s="197"/>
      <c r="BXO70" s="197"/>
      <c r="BXP70" s="197"/>
      <c r="BXQ70" s="197"/>
      <c r="BXR70" s="197"/>
      <c r="BXS70" s="197"/>
      <c r="BXT70" s="197"/>
      <c r="BXU70" s="197"/>
      <c r="BXV70" s="197"/>
      <c r="BXW70" s="197"/>
      <c r="BXX70" s="197"/>
      <c r="BXY70" s="197"/>
      <c r="BXZ70" s="197"/>
      <c r="BYA70" s="197"/>
      <c r="BYB70" s="197"/>
      <c r="BYC70" s="197"/>
      <c r="BYD70" s="197"/>
      <c r="BYE70" s="197"/>
      <c r="BYF70" s="197"/>
      <c r="BYG70" s="197"/>
    </row>
    <row r="71" spans="1:2009" s="197" customFormat="1" ht="9" customHeight="1" x14ac:dyDescent="0.25">
      <c r="A71" s="699"/>
      <c r="B71" s="700"/>
      <c r="C71" s="701"/>
      <c r="D71" s="701"/>
      <c r="E71" s="701"/>
      <c r="F71" s="701"/>
      <c r="G71" s="702"/>
      <c r="H71" s="196"/>
      <c r="I71" s="555"/>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row>
    <row r="72" spans="1:2009" s="95" customFormat="1" ht="22.5" customHeight="1" x14ac:dyDescent="0.25">
      <c r="A72" s="121"/>
      <c r="B72" s="697" t="s">
        <v>374</v>
      </c>
      <c r="C72" s="698">
        <f>C70/G$70</f>
        <v>0.21930043512785605</v>
      </c>
      <c r="D72" s="698">
        <f>D70/$G70</f>
        <v>0.19504666848806257</v>
      </c>
      <c r="E72" s="698">
        <f t="shared" ref="E72:G72" si="4">E70/$G70</f>
        <v>0.2211384780174947</v>
      </c>
      <c r="F72" s="698">
        <f t="shared" si="4"/>
        <v>0.23897291413229241</v>
      </c>
      <c r="G72" s="698">
        <f t="shared" si="4"/>
        <v>1</v>
      </c>
      <c r="H72" s="93"/>
      <c r="I72" s="555"/>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95" customFormat="1" ht="10.5" customHeight="1" x14ac:dyDescent="0.25">
      <c r="A73" s="121"/>
      <c r="B73" s="121"/>
      <c r="C73" s="190"/>
      <c r="D73" s="190"/>
      <c r="E73" s="190"/>
      <c r="F73" s="190"/>
      <c r="G73" s="673"/>
      <c r="H73" s="93"/>
      <c r="I73" s="555"/>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c r="IW73" s="94"/>
      <c r="IX73" s="94"/>
      <c r="IY73" s="94"/>
      <c r="IZ73" s="94"/>
      <c r="JA73" s="94"/>
      <c r="JB73" s="94"/>
      <c r="JC73" s="94"/>
      <c r="JD73" s="94"/>
      <c r="JE73" s="94"/>
      <c r="JF73" s="94"/>
      <c r="JG73" s="94"/>
      <c r="JH73" s="94"/>
      <c r="JI73" s="94"/>
      <c r="JJ73" s="94"/>
      <c r="JK73" s="94"/>
      <c r="JL73" s="94"/>
      <c r="JM73" s="94"/>
      <c r="JN73" s="94"/>
      <c r="JO73" s="94"/>
      <c r="JP73" s="94"/>
      <c r="JQ73" s="94"/>
      <c r="JR73" s="94"/>
      <c r="JS73" s="94"/>
      <c r="JT73" s="94"/>
      <c r="JU73" s="94"/>
      <c r="JV73" s="94"/>
      <c r="JW73" s="94"/>
      <c r="JX73" s="94"/>
      <c r="JY73" s="94"/>
      <c r="JZ73" s="94"/>
      <c r="KA73" s="94"/>
      <c r="KB73" s="94"/>
      <c r="KC73" s="94"/>
      <c r="KD73" s="94"/>
      <c r="KE73" s="94"/>
      <c r="KF73" s="94"/>
      <c r="KG73" s="94"/>
      <c r="KH73" s="94"/>
      <c r="KI73" s="94"/>
      <c r="KJ73" s="94"/>
      <c r="KK73" s="94"/>
      <c r="KL73" s="94"/>
      <c r="KM73" s="94"/>
      <c r="KN73" s="94"/>
      <c r="KO73" s="94"/>
      <c r="KP73" s="94"/>
      <c r="KQ73" s="94"/>
      <c r="KR73" s="94"/>
      <c r="KS73" s="94"/>
      <c r="KT73" s="94"/>
      <c r="KU73" s="94"/>
      <c r="KV73" s="94"/>
      <c r="KW73" s="94"/>
      <c r="KX73" s="94"/>
      <c r="KY73" s="94"/>
      <c r="KZ73" s="94"/>
      <c r="LA73" s="94"/>
      <c r="LB73" s="94"/>
      <c r="LC73" s="94"/>
      <c r="LD73" s="94"/>
      <c r="LE73" s="94"/>
      <c r="LF73" s="94"/>
      <c r="LG73" s="94"/>
      <c r="LH73" s="94"/>
      <c r="LI73" s="94"/>
      <c r="LJ73" s="94"/>
      <c r="LK73" s="94"/>
      <c r="LL73" s="94"/>
      <c r="LM73" s="94"/>
      <c r="LN73" s="94"/>
      <c r="LO73" s="94"/>
      <c r="LP73" s="94"/>
      <c r="LQ73" s="94"/>
      <c r="LR73" s="94"/>
      <c r="LS73" s="94"/>
      <c r="LT73" s="94"/>
      <c r="LU73" s="94"/>
      <c r="LV73" s="94"/>
      <c r="LW73" s="94"/>
      <c r="LX73" s="94"/>
      <c r="LY73" s="94"/>
      <c r="LZ73" s="94"/>
      <c r="MA73" s="94"/>
      <c r="MB73" s="94"/>
      <c r="MC73" s="94"/>
      <c r="MD73" s="94"/>
      <c r="ME73" s="94"/>
      <c r="MF73" s="94"/>
      <c r="MG73" s="94"/>
      <c r="MH73" s="94"/>
      <c r="MI73" s="94"/>
      <c r="MJ73" s="94"/>
      <c r="MK73" s="94"/>
      <c r="ML73" s="94"/>
      <c r="MM73" s="94"/>
      <c r="MN73" s="94"/>
      <c r="MO73" s="94"/>
      <c r="MP73" s="94"/>
      <c r="MQ73" s="94"/>
      <c r="MR73" s="94"/>
      <c r="MS73" s="94"/>
      <c r="MT73" s="94"/>
      <c r="MU73" s="94"/>
      <c r="MV73" s="94"/>
      <c r="MW73" s="94"/>
      <c r="MX73" s="94"/>
      <c r="MY73" s="94"/>
      <c r="MZ73" s="94"/>
      <c r="NA73" s="94"/>
      <c r="NB73" s="94"/>
      <c r="NC73" s="94"/>
      <c r="ND73" s="94"/>
      <c r="NE73" s="94"/>
      <c r="NF73" s="94"/>
      <c r="NG73" s="94"/>
      <c r="NH73" s="94"/>
      <c r="NI73" s="94"/>
      <c r="NJ73" s="94"/>
      <c r="NK73" s="94"/>
      <c r="NL73" s="94"/>
      <c r="NM73" s="94"/>
      <c r="NN73" s="94"/>
      <c r="NO73" s="94"/>
      <c r="NP73" s="94"/>
      <c r="NQ73" s="94"/>
      <c r="NR73" s="94"/>
      <c r="NS73" s="94"/>
      <c r="NT73" s="94"/>
      <c r="NU73" s="94"/>
      <c r="NV73" s="94"/>
      <c r="NW73" s="94"/>
      <c r="NX73" s="94"/>
      <c r="NY73" s="94"/>
      <c r="NZ73" s="94"/>
      <c r="OA73" s="94"/>
      <c r="OB73" s="94"/>
      <c r="OC73" s="94"/>
      <c r="OD73" s="94"/>
      <c r="OE73" s="94"/>
      <c r="OF73" s="94"/>
      <c r="OG73" s="94"/>
      <c r="OH73" s="94"/>
      <c r="OI73" s="94"/>
      <c r="OJ73" s="94"/>
      <c r="OK73" s="94"/>
      <c r="OL73" s="94"/>
      <c r="OM73" s="94"/>
      <c r="ON73" s="94"/>
      <c r="OO73" s="94"/>
      <c r="OP73" s="94"/>
      <c r="OQ73" s="94"/>
      <c r="OR73" s="94"/>
      <c r="OS73" s="94"/>
      <c r="OT73" s="94"/>
      <c r="OU73" s="94"/>
      <c r="OV73" s="94"/>
      <c r="OW73" s="94"/>
      <c r="OX73" s="94"/>
      <c r="OY73" s="94"/>
      <c r="OZ73" s="94"/>
      <c r="PA73" s="94"/>
      <c r="PB73" s="94"/>
      <c r="PC73" s="94"/>
      <c r="PD73" s="94"/>
      <c r="PE73" s="94"/>
      <c r="PF73" s="94"/>
      <c r="PG73" s="94"/>
      <c r="PH73" s="94"/>
      <c r="PI73" s="94"/>
      <c r="PJ73" s="94"/>
      <c r="PK73" s="94"/>
      <c r="PL73" s="94"/>
      <c r="PM73" s="94"/>
      <c r="PN73" s="94"/>
      <c r="PO73" s="94"/>
      <c r="PP73" s="94"/>
      <c r="PQ73" s="94"/>
      <c r="PR73" s="94"/>
      <c r="PS73" s="94"/>
      <c r="PT73" s="94"/>
      <c r="PU73" s="94"/>
      <c r="PV73" s="94"/>
      <c r="PW73" s="94"/>
      <c r="PX73" s="94"/>
      <c r="PY73" s="94"/>
      <c r="PZ73" s="94"/>
      <c r="QA73" s="94"/>
      <c r="QB73" s="94"/>
      <c r="QC73" s="94"/>
      <c r="QD73" s="94"/>
      <c r="QE73" s="94"/>
      <c r="QF73" s="94"/>
      <c r="QG73" s="94"/>
      <c r="QH73" s="94"/>
      <c r="QI73" s="94"/>
      <c r="QJ73" s="94"/>
      <c r="QK73" s="94"/>
      <c r="QL73" s="94"/>
      <c r="QM73" s="94"/>
      <c r="QN73" s="94"/>
      <c r="QO73" s="94"/>
      <c r="QP73" s="94"/>
      <c r="QQ73" s="94"/>
      <c r="QR73" s="94"/>
      <c r="QS73" s="94"/>
      <c r="QT73" s="94"/>
      <c r="QU73" s="94"/>
      <c r="QV73" s="94"/>
      <c r="QW73" s="94"/>
      <c r="QX73" s="94"/>
      <c r="QY73" s="94"/>
      <c r="QZ73" s="94"/>
      <c r="RA73" s="94"/>
      <c r="RB73" s="94"/>
      <c r="RC73" s="94"/>
      <c r="RD73" s="94"/>
      <c r="RE73" s="94"/>
      <c r="RF73" s="94"/>
      <c r="RG73" s="94"/>
      <c r="RH73" s="94"/>
      <c r="RI73" s="94"/>
      <c r="RJ73" s="94"/>
      <c r="RK73" s="94"/>
      <c r="RL73" s="94"/>
      <c r="RM73" s="94"/>
      <c r="RN73" s="94"/>
      <c r="RO73" s="94"/>
      <c r="RP73" s="94"/>
      <c r="RQ73" s="94"/>
      <c r="RR73" s="94"/>
      <c r="RS73" s="94"/>
      <c r="RT73" s="94"/>
      <c r="RU73" s="94"/>
      <c r="RV73" s="94"/>
      <c r="RW73" s="94"/>
      <c r="RX73" s="94"/>
      <c r="RY73" s="94"/>
      <c r="RZ73" s="94"/>
      <c r="SA73" s="94"/>
      <c r="SB73" s="94"/>
      <c r="SC73" s="94"/>
      <c r="SD73" s="94"/>
      <c r="SE73" s="94"/>
      <c r="SF73" s="94"/>
      <c r="SG73" s="94"/>
      <c r="SH73" s="94"/>
      <c r="SI73" s="94"/>
      <c r="SJ73" s="94"/>
      <c r="SK73" s="94"/>
      <c r="SL73" s="94"/>
      <c r="SM73" s="94"/>
      <c r="SN73" s="94"/>
      <c r="SO73" s="94"/>
      <c r="SP73" s="94"/>
      <c r="SQ73" s="94"/>
      <c r="SR73" s="94"/>
      <c r="SS73" s="94"/>
      <c r="ST73" s="94"/>
      <c r="SU73" s="94"/>
      <c r="SV73" s="94"/>
      <c r="SW73" s="94"/>
      <c r="SX73" s="94"/>
      <c r="SY73" s="94"/>
      <c r="SZ73" s="94"/>
      <c r="TA73" s="94"/>
      <c r="TB73" s="94"/>
      <c r="TC73" s="94"/>
      <c r="TD73" s="94"/>
      <c r="TE73" s="94"/>
      <c r="TF73" s="94"/>
      <c r="TG73" s="94"/>
      <c r="TH73" s="94"/>
      <c r="TI73" s="94"/>
      <c r="TJ73" s="94"/>
      <c r="TK73" s="94"/>
      <c r="TL73" s="94"/>
      <c r="TM73" s="94"/>
      <c r="TN73" s="94"/>
      <c r="TO73" s="94"/>
      <c r="TP73" s="94"/>
      <c r="TQ73" s="94"/>
      <c r="TR73" s="94"/>
      <c r="TS73" s="94"/>
      <c r="TT73" s="94"/>
      <c r="TU73" s="94"/>
      <c r="TV73" s="94"/>
      <c r="TW73" s="94"/>
      <c r="TX73" s="94"/>
      <c r="TY73" s="94"/>
      <c r="TZ73" s="94"/>
      <c r="UA73" s="94"/>
      <c r="UB73" s="94"/>
      <c r="UC73" s="94"/>
      <c r="UD73" s="94"/>
      <c r="UE73" s="94"/>
      <c r="UF73" s="94"/>
      <c r="UG73" s="94"/>
      <c r="UH73" s="94"/>
      <c r="UI73" s="94"/>
      <c r="UJ73" s="94"/>
      <c r="UK73" s="94"/>
      <c r="UL73" s="94"/>
      <c r="UM73" s="94"/>
      <c r="UN73" s="94"/>
      <c r="UO73" s="94"/>
      <c r="UP73" s="94"/>
      <c r="UQ73" s="94"/>
      <c r="UR73" s="94"/>
      <c r="US73" s="94"/>
      <c r="UT73" s="94"/>
      <c r="UU73" s="94"/>
      <c r="UV73" s="94"/>
      <c r="UW73" s="94"/>
      <c r="UX73" s="94"/>
      <c r="UY73" s="94"/>
      <c r="UZ73" s="94"/>
      <c r="VA73" s="94"/>
      <c r="VB73" s="94"/>
      <c r="VC73" s="94"/>
      <c r="VD73" s="94"/>
      <c r="VE73" s="94"/>
      <c r="VF73" s="94"/>
      <c r="VG73" s="94"/>
      <c r="VH73" s="94"/>
      <c r="VI73" s="94"/>
      <c r="VJ73" s="94"/>
      <c r="VK73" s="94"/>
      <c r="VL73" s="94"/>
      <c r="VM73" s="94"/>
      <c r="VN73" s="94"/>
      <c r="VO73" s="94"/>
      <c r="VP73" s="94"/>
      <c r="VQ73" s="94"/>
      <c r="VR73" s="94"/>
      <c r="VS73" s="94"/>
      <c r="VT73" s="94"/>
      <c r="VU73" s="94"/>
      <c r="VV73" s="94"/>
      <c r="VW73" s="94"/>
      <c r="VX73" s="94"/>
      <c r="VY73" s="94"/>
      <c r="VZ73" s="94"/>
      <c r="WA73" s="94"/>
      <c r="WB73" s="94"/>
      <c r="WC73" s="94"/>
      <c r="WD73" s="94"/>
      <c r="WE73" s="94"/>
      <c r="WF73" s="94"/>
      <c r="WG73" s="94"/>
      <c r="WH73" s="94"/>
      <c r="WI73" s="94"/>
      <c r="WJ73" s="94"/>
      <c r="WK73" s="94"/>
      <c r="WL73" s="94"/>
      <c r="WM73" s="94"/>
      <c r="WN73" s="94"/>
      <c r="WO73" s="94"/>
      <c r="WP73" s="94"/>
      <c r="WQ73" s="94"/>
      <c r="WR73" s="94"/>
      <c r="WS73" s="94"/>
      <c r="WT73" s="94"/>
      <c r="WU73" s="94"/>
      <c r="WV73" s="94"/>
      <c r="WW73" s="94"/>
      <c r="WX73" s="94"/>
      <c r="WY73" s="94"/>
      <c r="WZ73" s="94"/>
      <c r="XA73" s="94"/>
      <c r="XB73" s="94"/>
      <c r="XC73" s="94"/>
      <c r="XD73" s="94"/>
      <c r="XE73" s="94"/>
      <c r="XF73" s="94"/>
      <c r="XG73" s="94"/>
      <c r="XH73" s="94"/>
      <c r="XI73" s="94"/>
      <c r="XJ73" s="94"/>
      <c r="XK73" s="94"/>
      <c r="XL73" s="94"/>
      <c r="XM73" s="94"/>
      <c r="XN73" s="94"/>
      <c r="XO73" s="94"/>
      <c r="XP73" s="94"/>
      <c r="XQ73" s="94"/>
      <c r="XR73" s="94"/>
      <c r="XS73" s="94"/>
      <c r="XT73" s="94"/>
      <c r="XU73" s="94"/>
      <c r="XV73" s="94"/>
      <c r="XW73" s="94"/>
      <c r="XX73" s="94"/>
      <c r="XY73" s="94"/>
      <c r="XZ73" s="94"/>
      <c r="YA73" s="94"/>
      <c r="YB73" s="94"/>
      <c r="YC73" s="94"/>
      <c r="YD73" s="94"/>
      <c r="YE73" s="94"/>
      <c r="YF73" s="94"/>
      <c r="YG73" s="94"/>
      <c r="YH73" s="94"/>
      <c r="YI73" s="94"/>
      <c r="YJ73" s="94"/>
      <c r="YK73" s="94"/>
      <c r="YL73" s="94"/>
      <c r="YM73" s="94"/>
      <c r="YN73" s="94"/>
      <c r="YO73" s="94"/>
      <c r="YP73" s="94"/>
      <c r="YQ73" s="94"/>
      <c r="YR73" s="94"/>
      <c r="YS73" s="94"/>
      <c r="YT73" s="94"/>
      <c r="YU73" s="94"/>
      <c r="YV73" s="94"/>
      <c r="YW73" s="94"/>
      <c r="YX73" s="94"/>
      <c r="YY73" s="94"/>
      <c r="YZ73" s="94"/>
      <c r="ZA73" s="94"/>
      <c r="ZB73" s="94"/>
      <c r="ZC73" s="94"/>
      <c r="ZD73" s="94"/>
      <c r="ZE73" s="94"/>
      <c r="ZF73" s="94"/>
      <c r="ZG73" s="94"/>
      <c r="ZH73" s="94"/>
      <c r="ZI73" s="94"/>
      <c r="ZJ73" s="94"/>
      <c r="ZK73" s="94"/>
      <c r="ZL73" s="94"/>
      <c r="ZM73" s="94"/>
      <c r="ZN73" s="94"/>
      <c r="ZO73" s="94"/>
      <c r="ZP73" s="94"/>
      <c r="ZQ73" s="94"/>
      <c r="ZR73" s="94"/>
      <c r="ZS73" s="94"/>
      <c r="ZT73" s="94"/>
      <c r="ZU73" s="94"/>
      <c r="ZV73" s="94"/>
      <c r="ZW73" s="94"/>
      <c r="ZX73" s="94"/>
      <c r="ZY73" s="94"/>
      <c r="ZZ73" s="94"/>
      <c r="AAA73" s="94"/>
      <c r="AAB73" s="94"/>
      <c r="AAC73" s="94"/>
      <c r="AAD73" s="94"/>
      <c r="AAE73" s="94"/>
      <c r="AAF73" s="94"/>
      <c r="AAG73" s="94"/>
      <c r="AAH73" s="94"/>
      <c r="AAI73" s="94"/>
      <c r="AAJ73" s="94"/>
      <c r="AAK73" s="94"/>
      <c r="AAL73" s="94"/>
      <c r="AAM73" s="94"/>
      <c r="AAN73" s="94"/>
      <c r="AAO73" s="94"/>
      <c r="AAP73" s="94"/>
      <c r="AAQ73" s="94"/>
      <c r="AAR73" s="94"/>
      <c r="AAS73" s="94"/>
      <c r="AAT73" s="94"/>
      <c r="AAU73" s="94"/>
      <c r="AAV73" s="94"/>
      <c r="AAW73" s="94"/>
      <c r="AAX73" s="94"/>
      <c r="AAY73" s="94"/>
      <c r="AAZ73" s="94"/>
      <c r="ABA73" s="94"/>
      <c r="ABB73" s="94"/>
      <c r="ABC73" s="94"/>
      <c r="ABD73" s="94"/>
      <c r="ABE73" s="94"/>
      <c r="ABF73" s="94"/>
      <c r="ABG73" s="94"/>
      <c r="ABH73" s="94"/>
      <c r="ABI73" s="94"/>
      <c r="ABJ73" s="94"/>
      <c r="ABK73" s="94"/>
      <c r="ABL73" s="94"/>
      <c r="ABM73" s="94"/>
      <c r="ABN73" s="94"/>
      <c r="ABO73" s="94"/>
      <c r="ABP73" s="94"/>
      <c r="ABQ73" s="94"/>
      <c r="ABR73" s="94"/>
      <c r="ABS73" s="94"/>
      <c r="ABT73" s="94"/>
      <c r="ABU73" s="94"/>
      <c r="ABV73" s="94"/>
      <c r="ABW73" s="94"/>
      <c r="ABX73" s="94"/>
      <c r="ABY73" s="94"/>
      <c r="ABZ73" s="94"/>
      <c r="ACA73" s="94"/>
      <c r="ACB73" s="94"/>
      <c r="ACC73" s="94"/>
      <c r="ACD73" s="94"/>
      <c r="ACE73" s="94"/>
      <c r="ACF73" s="94"/>
      <c r="ACG73" s="94"/>
      <c r="ACH73" s="94"/>
      <c r="ACI73" s="94"/>
      <c r="ACJ73" s="94"/>
      <c r="ACK73" s="94"/>
      <c r="ACL73" s="94"/>
      <c r="ACM73" s="94"/>
      <c r="ACN73" s="94"/>
      <c r="ACO73" s="94"/>
      <c r="ACP73" s="94"/>
      <c r="ACQ73" s="94"/>
      <c r="ACR73" s="94"/>
      <c r="ACS73" s="94"/>
      <c r="ACT73" s="94"/>
      <c r="ACU73" s="94"/>
      <c r="ACV73" s="94"/>
      <c r="ACW73" s="94"/>
      <c r="ACX73" s="94"/>
      <c r="ACY73" s="94"/>
      <c r="ACZ73" s="94"/>
      <c r="ADA73" s="94"/>
      <c r="ADB73" s="94"/>
      <c r="ADC73" s="94"/>
      <c r="ADD73" s="94"/>
      <c r="ADE73" s="94"/>
      <c r="ADF73" s="94"/>
      <c r="ADG73" s="94"/>
      <c r="ADH73" s="94"/>
      <c r="ADI73" s="94"/>
      <c r="ADJ73" s="94"/>
      <c r="ADK73" s="94"/>
      <c r="ADL73" s="94"/>
      <c r="ADM73" s="94"/>
      <c r="ADN73" s="94"/>
      <c r="ADO73" s="94"/>
      <c r="ADP73" s="94"/>
      <c r="ADQ73" s="94"/>
      <c r="ADR73" s="94"/>
      <c r="ADS73" s="94"/>
      <c r="ADT73" s="94"/>
      <c r="ADU73" s="94"/>
      <c r="ADV73" s="94"/>
      <c r="ADW73" s="94"/>
      <c r="ADX73" s="94"/>
      <c r="ADY73" s="94"/>
      <c r="ADZ73" s="94"/>
      <c r="AEA73" s="94"/>
      <c r="AEB73" s="94"/>
      <c r="AEC73" s="94"/>
      <c r="AED73" s="94"/>
      <c r="AEE73" s="94"/>
      <c r="AEF73" s="94"/>
      <c r="AEG73" s="94"/>
      <c r="AEH73" s="94"/>
      <c r="AEI73" s="94"/>
      <c r="AEJ73" s="94"/>
      <c r="AEK73" s="94"/>
      <c r="AEL73" s="94"/>
      <c r="AEM73" s="94"/>
      <c r="AEN73" s="94"/>
      <c r="AEO73" s="94"/>
      <c r="AEP73" s="94"/>
      <c r="AEQ73" s="94"/>
      <c r="AER73" s="94"/>
      <c r="AES73" s="94"/>
      <c r="AET73" s="94"/>
      <c r="AEU73" s="94"/>
      <c r="AEV73" s="94"/>
      <c r="AEW73" s="94"/>
      <c r="AEX73" s="94"/>
      <c r="AEY73" s="94"/>
      <c r="AEZ73" s="94"/>
      <c r="AFA73" s="94"/>
      <c r="AFB73" s="94"/>
      <c r="AFC73" s="94"/>
      <c r="AFD73" s="94"/>
      <c r="AFE73" s="94"/>
      <c r="AFF73" s="94"/>
      <c r="AFG73" s="94"/>
      <c r="AFH73" s="94"/>
      <c r="AFI73" s="94"/>
      <c r="AFJ73" s="94"/>
      <c r="AFK73" s="94"/>
      <c r="AFL73" s="94"/>
      <c r="AFM73" s="94"/>
      <c r="AFN73" s="94"/>
      <c r="AFO73" s="94"/>
      <c r="AFP73" s="94"/>
      <c r="AFQ73" s="94"/>
      <c r="AFR73" s="94"/>
      <c r="AFS73" s="94"/>
      <c r="AFT73" s="94"/>
      <c r="AFU73" s="94"/>
      <c r="AFV73" s="94"/>
      <c r="AFW73" s="94"/>
      <c r="AFX73" s="94"/>
      <c r="AFY73" s="94"/>
      <c r="AFZ73" s="94"/>
      <c r="AGA73" s="94"/>
      <c r="AGB73" s="94"/>
      <c r="AGC73" s="94"/>
      <c r="AGD73" s="94"/>
      <c r="AGE73" s="94"/>
      <c r="AGF73" s="94"/>
      <c r="AGG73" s="94"/>
      <c r="AGH73" s="94"/>
      <c r="AGI73" s="94"/>
      <c r="AGJ73" s="94"/>
      <c r="AGK73" s="94"/>
      <c r="AGL73" s="94"/>
      <c r="AGM73" s="94"/>
      <c r="AGN73" s="94"/>
      <c r="AGO73" s="94"/>
      <c r="AGP73" s="94"/>
      <c r="AGQ73" s="94"/>
      <c r="AGR73" s="94"/>
      <c r="AGS73" s="94"/>
      <c r="AGT73" s="94"/>
      <c r="AGU73" s="94"/>
      <c r="AGV73" s="94"/>
      <c r="AGW73" s="94"/>
      <c r="AGX73" s="94"/>
      <c r="AGY73" s="94"/>
      <c r="AGZ73" s="94"/>
      <c r="AHA73" s="94"/>
      <c r="AHB73" s="94"/>
      <c r="AHC73" s="94"/>
      <c r="AHD73" s="94"/>
      <c r="AHE73" s="94"/>
      <c r="AHF73" s="94"/>
      <c r="AHG73" s="94"/>
      <c r="AHH73" s="94"/>
      <c r="AHI73" s="94"/>
      <c r="AHJ73" s="94"/>
      <c r="AHK73" s="94"/>
      <c r="AHL73" s="94"/>
      <c r="AHM73" s="94"/>
      <c r="AHN73" s="94"/>
      <c r="AHO73" s="94"/>
      <c r="AHP73" s="94"/>
      <c r="AHQ73" s="94"/>
      <c r="AHR73" s="94"/>
      <c r="AHS73" s="94"/>
      <c r="AHT73" s="94"/>
      <c r="AHU73" s="94"/>
      <c r="AHV73" s="94"/>
      <c r="AHW73" s="94"/>
      <c r="AHX73" s="94"/>
      <c r="AHY73" s="94"/>
      <c r="AHZ73" s="94"/>
      <c r="AIA73" s="94"/>
      <c r="AIB73" s="94"/>
      <c r="AIC73" s="94"/>
      <c r="AID73" s="94"/>
      <c r="AIE73" s="94"/>
      <c r="AIF73" s="94"/>
      <c r="AIG73" s="94"/>
      <c r="AIH73" s="94"/>
      <c r="AII73" s="94"/>
      <c r="AIJ73" s="94"/>
      <c r="AIK73" s="94"/>
      <c r="AIL73" s="94"/>
      <c r="AIM73" s="94"/>
      <c r="AIN73" s="94"/>
      <c r="AIO73" s="94"/>
      <c r="AIP73" s="94"/>
      <c r="AIQ73" s="94"/>
      <c r="AIR73" s="94"/>
      <c r="AIS73" s="94"/>
      <c r="AIT73" s="94"/>
      <c r="AIU73" s="94"/>
      <c r="AIV73" s="94"/>
      <c r="AIW73" s="94"/>
      <c r="AIX73" s="94"/>
      <c r="AIY73" s="94"/>
      <c r="AIZ73" s="94"/>
      <c r="AJA73" s="94"/>
      <c r="AJB73" s="94"/>
      <c r="AJC73" s="94"/>
      <c r="AJD73" s="94"/>
      <c r="AJE73" s="94"/>
      <c r="AJF73" s="94"/>
      <c r="AJG73" s="94"/>
      <c r="AJH73" s="94"/>
      <c r="AJI73" s="94"/>
      <c r="AJJ73" s="94"/>
      <c r="AJK73" s="94"/>
      <c r="AJL73" s="94"/>
      <c r="AJM73" s="94"/>
      <c r="AJN73" s="94"/>
      <c r="AJO73" s="94"/>
      <c r="AJP73" s="94"/>
      <c r="AJQ73" s="94"/>
      <c r="AJR73" s="94"/>
      <c r="AJS73" s="94"/>
      <c r="AJT73" s="94"/>
      <c r="AJU73" s="94"/>
      <c r="AJV73" s="94"/>
      <c r="AJW73" s="94"/>
      <c r="AJX73" s="94"/>
      <c r="AJY73" s="94"/>
      <c r="AJZ73" s="94"/>
      <c r="AKA73" s="94"/>
      <c r="AKB73" s="94"/>
      <c r="AKC73" s="94"/>
      <c r="AKD73" s="94"/>
      <c r="AKE73" s="94"/>
      <c r="AKF73" s="94"/>
      <c r="AKG73" s="94"/>
      <c r="AKH73" s="94"/>
      <c r="AKI73" s="94"/>
      <c r="AKJ73" s="94"/>
      <c r="AKK73" s="94"/>
      <c r="AKL73" s="94"/>
      <c r="AKM73" s="94"/>
      <c r="AKN73" s="94"/>
      <c r="AKO73" s="94"/>
      <c r="AKP73" s="94"/>
      <c r="AKQ73" s="94"/>
      <c r="AKR73" s="94"/>
      <c r="AKS73" s="94"/>
      <c r="AKT73" s="94"/>
      <c r="AKU73" s="94"/>
      <c r="AKV73" s="94"/>
      <c r="AKW73" s="94"/>
      <c r="AKX73" s="94"/>
      <c r="AKY73" s="94"/>
      <c r="AKZ73" s="94"/>
      <c r="ALA73" s="94"/>
      <c r="ALB73" s="94"/>
      <c r="ALC73" s="94"/>
      <c r="ALD73" s="94"/>
      <c r="ALE73" s="94"/>
      <c r="ALF73" s="94"/>
      <c r="ALG73" s="94"/>
      <c r="ALH73" s="94"/>
      <c r="ALI73" s="94"/>
      <c r="ALJ73" s="94"/>
      <c r="ALK73" s="94"/>
      <c r="ALL73" s="94"/>
      <c r="ALM73" s="94"/>
      <c r="ALN73" s="94"/>
      <c r="ALO73" s="94"/>
      <c r="ALP73" s="94"/>
      <c r="ALQ73" s="94"/>
      <c r="ALR73" s="94"/>
      <c r="ALS73" s="94"/>
      <c r="ALT73" s="94"/>
      <c r="ALU73" s="94"/>
      <c r="ALV73" s="94"/>
      <c r="ALW73" s="94"/>
      <c r="ALX73" s="94"/>
      <c r="ALY73" s="94"/>
      <c r="ALZ73" s="94"/>
      <c r="AMA73" s="94"/>
      <c r="AMB73" s="94"/>
      <c r="AMC73" s="94"/>
      <c r="AMD73" s="94"/>
      <c r="AME73" s="94"/>
      <c r="AMF73" s="94"/>
      <c r="AMG73" s="94"/>
      <c r="AMH73" s="94"/>
      <c r="AMI73" s="94"/>
      <c r="AMJ73" s="94"/>
      <c r="AMK73" s="94"/>
      <c r="AML73" s="94"/>
      <c r="AMM73" s="94"/>
      <c r="AMN73" s="94"/>
      <c r="AMO73" s="94"/>
      <c r="AMP73" s="94"/>
      <c r="AMQ73" s="94"/>
      <c r="AMR73" s="94"/>
      <c r="AMS73" s="94"/>
      <c r="AMT73" s="94"/>
      <c r="AMU73" s="94"/>
      <c r="AMV73" s="94"/>
      <c r="AMW73" s="94"/>
      <c r="AMX73" s="94"/>
      <c r="AMY73" s="94"/>
      <c r="AMZ73" s="94"/>
      <c r="ANA73" s="94"/>
      <c r="ANB73" s="94"/>
      <c r="ANC73" s="94"/>
      <c r="AND73" s="94"/>
      <c r="ANE73" s="94"/>
      <c r="ANF73" s="94"/>
      <c r="ANG73" s="94"/>
      <c r="ANH73" s="94"/>
      <c r="ANI73" s="94"/>
      <c r="ANJ73" s="94"/>
      <c r="ANK73" s="94"/>
      <c r="ANL73" s="94"/>
      <c r="ANM73" s="94"/>
      <c r="ANN73" s="94"/>
      <c r="ANO73" s="94"/>
      <c r="ANP73" s="94"/>
      <c r="ANQ73" s="94"/>
      <c r="ANR73" s="94"/>
      <c r="ANS73" s="94"/>
      <c r="ANT73" s="94"/>
      <c r="ANU73" s="94"/>
      <c r="ANV73" s="94"/>
      <c r="ANW73" s="94"/>
      <c r="ANX73" s="94"/>
      <c r="ANY73" s="94"/>
      <c r="ANZ73" s="94"/>
      <c r="AOA73" s="94"/>
      <c r="AOB73" s="94"/>
      <c r="AOC73" s="94"/>
      <c r="AOD73" s="94"/>
      <c r="AOE73" s="94"/>
      <c r="AOF73" s="94"/>
      <c r="AOG73" s="94"/>
      <c r="AOH73" s="94"/>
      <c r="AOI73" s="94"/>
      <c r="AOJ73" s="94"/>
      <c r="AOK73" s="94"/>
      <c r="AOL73" s="94"/>
      <c r="AOM73" s="94"/>
      <c r="AON73" s="94"/>
      <c r="AOO73" s="94"/>
      <c r="AOP73" s="94"/>
      <c r="AOQ73" s="94"/>
      <c r="AOR73" s="94"/>
      <c r="AOS73" s="94"/>
      <c r="AOT73" s="94"/>
      <c r="AOU73" s="94"/>
      <c r="AOV73" s="94"/>
      <c r="AOW73" s="94"/>
      <c r="AOX73" s="94"/>
      <c r="AOY73" s="94"/>
      <c r="AOZ73" s="94"/>
      <c r="APA73" s="94"/>
      <c r="APB73" s="94"/>
      <c r="APC73" s="94"/>
      <c r="APD73" s="94"/>
      <c r="APE73" s="94"/>
      <c r="APF73" s="94"/>
      <c r="APG73" s="94"/>
      <c r="APH73" s="94"/>
      <c r="API73" s="94"/>
      <c r="APJ73" s="94"/>
      <c r="APK73" s="94"/>
      <c r="APL73" s="94"/>
      <c r="APM73" s="94"/>
      <c r="APN73" s="94"/>
      <c r="APO73" s="94"/>
      <c r="APP73" s="94"/>
      <c r="APQ73" s="94"/>
      <c r="APR73" s="94"/>
      <c r="APS73" s="94"/>
      <c r="APT73" s="94"/>
      <c r="APU73" s="94"/>
      <c r="APV73" s="94"/>
      <c r="APW73" s="94"/>
      <c r="APX73" s="94"/>
      <c r="APY73" s="94"/>
      <c r="APZ73" s="94"/>
      <c r="AQA73" s="94"/>
      <c r="AQB73" s="94"/>
      <c r="AQC73" s="94"/>
      <c r="AQD73" s="94"/>
      <c r="AQE73" s="94"/>
      <c r="AQF73" s="94"/>
      <c r="AQG73" s="94"/>
      <c r="AQH73" s="94"/>
      <c r="AQI73" s="94"/>
      <c r="AQJ73" s="94"/>
      <c r="AQK73" s="94"/>
      <c r="AQL73" s="94"/>
      <c r="AQM73" s="94"/>
      <c r="AQN73" s="94"/>
      <c r="AQO73" s="94"/>
      <c r="AQP73" s="94"/>
      <c r="AQQ73" s="94"/>
      <c r="AQR73" s="94"/>
      <c r="AQS73" s="94"/>
      <c r="AQT73" s="94"/>
      <c r="AQU73" s="94"/>
      <c r="AQV73" s="94"/>
      <c r="AQW73" s="94"/>
      <c r="AQX73" s="94"/>
      <c r="AQY73" s="94"/>
      <c r="AQZ73" s="94"/>
      <c r="ARA73" s="94"/>
      <c r="ARB73" s="94"/>
      <c r="ARC73" s="94"/>
      <c r="ARD73" s="94"/>
      <c r="ARE73" s="94"/>
      <c r="ARF73" s="94"/>
      <c r="ARG73" s="94"/>
      <c r="ARH73" s="94"/>
      <c r="ARI73" s="94"/>
      <c r="ARJ73" s="94"/>
      <c r="ARK73" s="94"/>
      <c r="ARL73" s="94"/>
      <c r="ARM73" s="94"/>
      <c r="ARN73" s="94"/>
      <c r="ARO73" s="94"/>
      <c r="ARP73" s="94"/>
      <c r="ARQ73" s="94"/>
      <c r="ARR73" s="94"/>
      <c r="ARS73" s="94"/>
      <c r="ART73" s="94"/>
      <c r="ARU73" s="94"/>
      <c r="ARV73" s="94"/>
      <c r="ARW73" s="94"/>
      <c r="ARX73" s="94"/>
      <c r="ARY73" s="94"/>
      <c r="ARZ73" s="94"/>
      <c r="ASA73" s="94"/>
      <c r="ASB73" s="94"/>
      <c r="ASC73" s="94"/>
      <c r="ASD73" s="94"/>
      <c r="ASE73" s="94"/>
      <c r="ASF73" s="94"/>
      <c r="ASG73" s="94"/>
      <c r="ASH73" s="94"/>
      <c r="ASI73" s="94"/>
      <c r="ASJ73" s="94"/>
      <c r="ASK73" s="94"/>
      <c r="ASL73" s="94"/>
      <c r="ASM73" s="94"/>
      <c r="ASN73" s="94"/>
      <c r="ASO73" s="94"/>
      <c r="ASP73" s="94"/>
      <c r="ASQ73" s="94"/>
      <c r="ASR73" s="94"/>
      <c r="ASS73" s="94"/>
      <c r="AST73" s="94"/>
      <c r="ASU73" s="94"/>
      <c r="ASV73" s="94"/>
      <c r="ASW73" s="94"/>
      <c r="ASX73" s="94"/>
      <c r="ASY73" s="94"/>
      <c r="ASZ73" s="94"/>
      <c r="ATA73" s="94"/>
      <c r="ATB73" s="94"/>
      <c r="ATC73" s="94"/>
      <c r="ATD73" s="94"/>
      <c r="ATE73" s="94"/>
      <c r="ATF73" s="94"/>
      <c r="ATG73" s="94"/>
      <c r="ATH73" s="94"/>
      <c r="ATI73" s="94"/>
      <c r="ATJ73" s="94"/>
      <c r="ATK73" s="94"/>
      <c r="ATL73" s="94"/>
      <c r="ATM73" s="94"/>
      <c r="ATN73" s="94"/>
      <c r="ATO73" s="94"/>
      <c r="ATP73" s="94"/>
      <c r="ATQ73" s="94"/>
      <c r="ATR73" s="94"/>
      <c r="ATS73" s="94"/>
      <c r="ATT73" s="94"/>
      <c r="ATU73" s="94"/>
      <c r="ATV73" s="94"/>
      <c r="ATW73" s="94"/>
      <c r="ATX73" s="94"/>
      <c r="ATY73" s="94"/>
      <c r="ATZ73" s="94"/>
      <c r="AUA73" s="94"/>
      <c r="AUB73" s="94"/>
      <c r="AUC73" s="94"/>
      <c r="AUD73" s="94"/>
      <c r="AUE73" s="94"/>
      <c r="AUF73" s="94"/>
      <c r="AUG73" s="94"/>
      <c r="AUH73" s="94"/>
      <c r="AUI73" s="94"/>
      <c r="AUJ73" s="94"/>
      <c r="AUK73" s="94"/>
      <c r="AUL73" s="94"/>
      <c r="AUM73" s="94"/>
      <c r="AUN73" s="94"/>
      <c r="AUO73" s="94"/>
      <c r="AUP73" s="94"/>
      <c r="AUQ73" s="94"/>
      <c r="AUR73" s="94"/>
      <c r="AUS73" s="94"/>
      <c r="AUT73" s="94"/>
      <c r="AUU73" s="94"/>
      <c r="AUV73" s="94"/>
      <c r="AUW73" s="94"/>
      <c r="AUX73" s="94"/>
      <c r="AUY73" s="94"/>
      <c r="AUZ73" s="94"/>
      <c r="AVA73" s="94"/>
      <c r="AVB73" s="94"/>
      <c r="AVC73" s="94"/>
      <c r="AVD73" s="94"/>
      <c r="AVE73" s="94"/>
      <c r="AVF73" s="94"/>
      <c r="AVG73" s="94"/>
      <c r="AVH73" s="94"/>
      <c r="AVI73" s="94"/>
      <c r="AVJ73" s="94"/>
      <c r="AVK73" s="94"/>
      <c r="AVL73" s="94"/>
      <c r="AVM73" s="94"/>
      <c r="AVN73" s="94"/>
      <c r="AVO73" s="94"/>
      <c r="AVP73" s="94"/>
      <c r="AVQ73" s="94"/>
      <c r="AVR73" s="94"/>
      <c r="AVS73" s="94"/>
      <c r="AVT73" s="94"/>
      <c r="AVU73" s="94"/>
      <c r="AVV73" s="94"/>
      <c r="AVW73" s="94"/>
      <c r="AVX73" s="94"/>
      <c r="AVY73" s="94"/>
      <c r="AVZ73" s="94"/>
      <c r="AWA73" s="94"/>
      <c r="AWB73" s="94"/>
      <c r="AWC73" s="94"/>
      <c r="AWD73" s="94"/>
      <c r="AWE73" s="94"/>
      <c r="AWF73" s="94"/>
      <c r="AWG73" s="94"/>
      <c r="AWH73" s="94"/>
      <c r="AWI73" s="94"/>
      <c r="AWJ73" s="94"/>
      <c r="AWK73" s="94"/>
      <c r="AWL73" s="94"/>
      <c r="AWM73" s="94"/>
      <c r="AWN73" s="94"/>
      <c r="AWO73" s="94"/>
      <c r="AWP73" s="94"/>
      <c r="AWQ73" s="94"/>
      <c r="AWR73" s="94"/>
      <c r="AWS73" s="94"/>
      <c r="AWT73" s="94"/>
      <c r="AWU73" s="94"/>
      <c r="AWV73" s="94"/>
      <c r="AWW73" s="94"/>
      <c r="AWX73" s="94"/>
      <c r="AWY73" s="94"/>
      <c r="AWZ73" s="94"/>
      <c r="AXA73" s="94"/>
      <c r="AXB73" s="94"/>
      <c r="AXC73" s="94"/>
      <c r="AXD73" s="94"/>
      <c r="AXE73" s="94"/>
      <c r="AXF73" s="94"/>
      <c r="AXG73" s="94"/>
      <c r="AXH73" s="94"/>
      <c r="AXI73" s="94"/>
      <c r="AXJ73" s="94"/>
      <c r="AXK73" s="94"/>
      <c r="AXL73" s="94"/>
      <c r="AXM73" s="94"/>
      <c r="AXN73" s="94"/>
      <c r="AXO73" s="94"/>
      <c r="AXP73" s="94"/>
      <c r="AXQ73" s="94"/>
      <c r="AXR73" s="94"/>
      <c r="AXS73" s="94"/>
      <c r="AXT73" s="94"/>
      <c r="AXU73" s="94"/>
      <c r="AXV73" s="94"/>
      <c r="AXW73" s="94"/>
      <c r="AXX73" s="94"/>
      <c r="AXY73" s="94"/>
      <c r="AXZ73" s="94"/>
      <c r="AYA73" s="94"/>
      <c r="AYB73" s="94"/>
      <c r="AYC73" s="94"/>
      <c r="AYD73" s="94"/>
      <c r="AYE73" s="94"/>
      <c r="AYF73" s="94"/>
      <c r="AYG73" s="94"/>
      <c r="AYH73" s="94"/>
      <c r="AYI73" s="94"/>
      <c r="AYJ73" s="94"/>
      <c r="AYK73" s="94"/>
      <c r="AYL73" s="94"/>
      <c r="AYM73" s="94"/>
      <c r="AYN73" s="94"/>
      <c r="AYO73" s="94"/>
      <c r="AYP73" s="94"/>
      <c r="AYQ73" s="94"/>
      <c r="AYR73" s="94"/>
      <c r="AYS73" s="94"/>
      <c r="AYT73" s="94"/>
      <c r="AYU73" s="94"/>
      <c r="AYV73" s="94"/>
      <c r="AYW73" s="94"/>
      <c r="AYX73" s="94"/>
      <c r="AYY73" s="94"/>
      <c r="AYZ73" s="94"/>
      <c r="AZA73" s="94"/>
      <c r="AZB73" s="94"/>
      <c r="AZC73" s="94"/>
      <c r="AZD73" s="94"/>
      <c r="AZE73" s="94"/>
      <c r="AZF73" s="94"/>
      <c r="AZG73" s="94"/>
      <c r="AZH73" s="94"/>
      <c r="AZI73" s="94"/>
      <c r="AZJ73" s="94"/>
      <c r="AZK73" s="94"/>
      <c r="AZL73" s="94"/>
      <c r="AZM73" s="94"/>
      <c r="AZN73" s="94"/>
      <c r="AZO73" s="94"/>
      <c r="AZP73" s="94"/>
      <c r="AZQ73" s="94"/>
      <c r="AZR73" s="94"/>
      <c r="AZS73" s="94"/>
      <c r="AZT73" s="94"/>
      <c r="AZU73" s="94"/>
      <c r="AZV73" s="94"/>
      <c r="AZW73" s="94"/>
      <c r="AZX73" s="94"/>
      <c r="AZY73" s="94"/>
      <c r="AZZ73" s="94"/>
      <c r="BAA73" s="94"/>
      <c r="BAB73" s="94"/>
      <c r="BAC73" s="94"/>
      <c r="BAD73" s="94"/>
      <c r="BAE73" s="94"/>
      <c r="BAF73" s="94"/>
      <c r="BAG73" s="94"/>
      <c r="BAH73" s="94"/>
      <c r="BAI73" s="94"/>
      <c r="BAJ73" s="94"/>
      <c r="BAK73" s="94"/>
      <c r="BAL73" s="94"/>
      <c r="BAM73" s="94"/>
      <c r="BAN73" s="94"/>
      <c r="BAO73" s="94"/>
      <c r="BAP73" s="94"/>
      <c r="BAQ73" s="94"/>
      <c r="BAR73" s="94"/>
      <c r="BAS73" s="94"/>
      <c r="BAT73" s="94"/>
      <c r="BAU73" s="94"/>
      <c r="BAV73" s="94"/>
      <c r="BAW73" s="94"/>
      <c r="BAX73" s="94"/>
      <c r="BAY73" s="94"/>
      <c r="BAZ73" s="94"/>
      <c r="BBA73" s="94"/>
      <c r="BBB73" s="94"/>
      <c r="BBC73" s="94"/>
      <c r="BBD73" s="94"/>
      <c r="BBE73" s="94"/>
      <c r="BBF73" s="94"/>
      <c r="BBG73" s="94"/>
      <c r="BBH73" s="94"/>
      <c r="BBI73" s="94"/>
      <c r="BBJ73" s="94"/>
      <c r="BBK73" s="94"/>
      <c r="BBL73" s="94"/>
      <c r="BBM73" s="94"/>
      <c r="BBN73" s="94"/>
      <c r="BBO73" s="94"/>
      <c r="BBP73" s="94"/>
      <c r="BBQ73" s="94"/>
      <c r="BBR73" s="94"/>
      <c r="BBS73" s="94"/>
      <c r="BBT73" s="94"/>
      <c r="BBU73" s="94"/>
      <c r="BBV73" s="94"/>
      <c r="BBW73" s="94"/>
      <c r="BBX73" s="94"/>
      <c r="BBY73" s="94"/>
      <c r="BBZ73" s="94"/>
      <c r="BCA73" s="94"/>
      <c r="BCB73" s="94"/>
      <c r="BCC73" s="94"/>
      <c r="BCD73" s="94"/>
      <c r="BCE73" s="94"/>
      <c r="BCF73" s="94"/>
      <c r="BCG73" s="94"/>
      <c r="BCH73" s="94"/>
      <c r="BCI73" s="94"/>
      <c r="BCJ73" s="94"/>
      <c r="BCK73" s="94"/>
      <c r="BCL73" s="94"/>
      <c r="BCM73" s="94"/>
      <c r="BCN73" s="94"/>
      <c r="BCO73" s="94"/>
      <c r="BCP73" s="94"/>
      <c r="BCQ73" s="94"/>
      <c r="BCR73" s="94"/>
      <c r="BCS73" s="94"/>
      <c r="BCT73" s="94"/>
      <c r="BCU73" s="94"/>
      <c r="BCV73" s="94"/>
      <c r="BCW73" s="94"/>
      <c r="BCX73" s="94"/>
      <c r="BCY73" s="94"/>
      <c r="BCZ73" s="94"/>
      <c r="BDA73" s="94"/>
      <c r="BDB73" s="94"/>
      <c r="BDC73" s="94"/>
      <c r="BDD73" s="94"/>
      <c r="BDE73" s="94"/>
      <c r="BDF73" s="94"/>
      <c r="BDG73" s="94"/>
      <c r="BDH73" s="94"/>
      <c r="BDI73" s="94"/>
      <c r="BDJ73" s="94"/>
      <c r="BDK73" s="94"/>
      <c r="BDL73" s="94"/>
      <c r="BDM73" s="94"/>
      <c r="BDN73" s="94"/>
      <c r="BDO73" s="94"/>
      <c r="BDP73" s="94"/>
      <c r="BDQ73" s="94"/>
      <c r="BDR73" s="94"/>
      <c r="BDS73" s="94"/>
      <c r="BDT73" s="94"/>
      <c r="BDU73" s="94"/>
      <c r="BDV73" s="94"/>
      <c r="BDW73" s="94"/>
      <c r="BDX73" s="94"/>
      <c r="BDY73" s="94"/>
      <c r="BDZ73" s="94"/>
      <c r="BEA73" s="94"/>
      <c r="BEB73" s="94"/>
      <c r="BEC73" s="94"/>
      <c r="BED73" s="94"/>
      <c r="BEE73" s="94"/>
      <c r="BEF73" s="94"/>
      <c r="BEG73" s="94"/>
      <c r="BEH73" s="94"/>
      <c r="BEI73" s="94"/>
      <c r="BEJ73" s="94"/>
      <c r="BEK73" s="94"/>
      <c r="BEL73" s="94"/>
      <c r="BEM73" s="94"/>
      <c r="BEN73" s="94"/>
      <c r="BEO73" s="94"/>
      <c r="BEP73" s="94"/>
      <c r="BEQ73" s="94"/>
      <c r="BER73" s="94"/>
      <c r="BES73" s="94"/>
      <c r="BET73" s="94"/>
      <c r="BEU73" s="94"/>
      <c r="BEV73" s="94"/>
      <c r="BEW73" s="94"/>
      <c r="BEX73" s="94"/>
      <c r="BEY73" s="94"/>
      <c r="BEZ73" s="94"/>
      <c r="BFA73" s="94"/>
      <c r="BFB73" s="94"/>
      <c r="BFC73" s="94"/>
      <c r="BFD73" s="94"/>
      <c r="BFE73" s="94"/>
      <c r="BFF73" s="94"/>
      <c r="BFG73" s="94"/>
      <c r="BFH73" s="94"/>
      <c r="BFI73" s="94"/>
      <c r="BFJ73" s="94"/>
      <c r="BFK73" s="94"/>
      <c r="BFL73" s="94"/>
      <c r="BFM73" s="94"/>
      <c r="BFN73" s="94"/>
      <c r="BFO73" s="94"/>
      <c r="BFP73" s="94"/>
      <c r="BFQ73" s="94"/>
      <c r="BFR73" s="94"/>
      <c r="BFS73" s="94"/>
      <c r="BFT73" s="94"/>
      <c r="BFU73" s="94"/>
      <c r="BFV73" s="94"/>
      <c r="BFW73" s="94"/>
      <c r="BFX73" s="94"/>
      <c r="BFY73" s="94"/>
      <c r="BFZ73" s="94"/>
      <c r="BGA73" s="94"/>
      <c r="BGB73" s="94"/>
      <c r="BGC73" s="94"/>
      <c r="BGD73" s="94"/>
      <c r="BGE73" s="94"/>
      <c r="BGF73" s="94"/>
      <c r="BGG73" s="94"/>
      <c r="BGH73" s="94"/>
      <c r="BGI73" s="94"/>
      <c r="BGJ73" s="94"/>
      <c r="BGK73" s="94"/>
      <c r="BGL73" s="94"/>
      <c r="BGM73" s="94"/>
      <c r="BGN73" s="94"/>
      <c r="BGO73" s="94"/>
      <c r="BGP73" s="94"/>
      <c r="BGQ73" s="94"/>
      <c r="BGR73" s="94"/>
      <c r="BGS73" s="94"/>
      <c r="BGT73" s="94"/>
      <c r="BGU73" s="94"/>
      <c r="BGV73" s="94"/>
      <c r="BGW73" s="94"/>
      <c r="BGX73" s="94"/>
      <c r="BGY73" s="94"/>
      <c r="BGZ73" s="94"/>
      <c r="BHA73" s="94"/>
      <c r="BHB73" s="94"/>
      <c r="BHC73" s="94"/>
      <c r="BHD73" s="94"/>
      <c r="BHE73" s="94"/>
      <c r="BHF73" s="94"/>
      <c r="BHG73" s="94"/>
      <c r="BHH73" s="94"/>
      <c r="BHI73" s="94"/>
      <c r="BHJ73" s="94"/>
      <c r="BHK73" s="94"/>
      <c r="BHL73" s="94"/>
      <c r="BHM73" s="94"/>
      <c r="BHN73" s="94"/>
      <c r="BHO73" s="94"/>
      <c r="BHP73" s="94"/>
      <c r="BHQ73" s="94"/>
      <c r="BHR73" s="94"/>
      <c r="BHS73" s="94"/>
      <c r="BHT73" s="94"/>
      <c r="BHU73" s="94"/>
      <c r="BHV73" s="94"/>
      <c r="BHW73" s="94"/>
      <c r="BHX73" s="94"/>
      <c r="BHY73" s="94"/>
      <c r="BHZ73" s="94"/>
      <c r="BIA73" s="94"/>
      <c r="BIB73" s="94"/>
      <c r="BIC73" s="94"/>
      <c r="BID73" s="94"/>
      <c r="BIE73" s="94"/>
      <c r="BIF73" s="94"/>
      <c r="BIG73" s="94"/>
      <c r="BIH73" s="94"/>
      <c r="BII73" s="94"/>
      <c r="BIJ73" s="94"/>
      <c r="BIK73" s="94"/>
      <c r="BIL73" s="94"/>
      <c r="BIM73" s="94"/>
      <c r="BIN73" s="94"/>
      <c r="BIO73" s="94"/>
      <c r="BIP73" s="94"/>
      <c r="BIQ73" s="94"/>
      <c r="BIR73" s="94"/>
      <c r="BIS73" s="94"/>
      <c r="BIT73" s="94"/>
      <c r="BIU73" s="94"/>
      <c r="BIV73" s="94"/>
      <c r="BIW73" s="94"/>
      <c r="BIX73" s="94"/>
      <c r="BIY73" s="94"/>
      <c r="BIZ73" s="94"/>
      <c r="BJA73" s="94"/>
      <c r="BJB73" s="94"/>
      <c r="BJC73" s="94"/>
      <c r="BJD73" s="94"/>
      <c r="BJE73" s="94"/>
      <c r="BJF73" s="94"/>
      <c r="BJG73" s="94"/>
      <c r="BJH73" s="94"/>
      <c r="BJI73" s="94"/>
      <c r="BJJ73" s="94"/>
      <c r="BJK73" s="94"/>
      <c r="BJL73" s="94"/>
      <c r="BJM73" s="94"/>
      <c r="BJN73" s="94"/>
      <c r="BJO73" s="94"/>
      <c r="BJP73" s="94"/>
      <c r="BJQ73" s="94"/>
      <c r="BJR73" s="94"/>
      <c r="BJS73" s="94"/>
      <c r="BJT73" s="94"/>
      <c r="BJU73" s="94"/>
      <c r="BJV73" s="94"/>
      <c r="BJW73" s="94"/>
      <c r="BJX73" s="94"/>
      <c r="BJY73" s="94"/>
      <c r="BJZ73" s="94"/>
      <c r="BKA73" s="94"/>
      <c r="BKB73" s="94"/>
      <c r="BKC73" s="94"/>
      <c r="BKD73" s="94"/>
      <c r="BKE73" s="94"/>
      <c r="BKF73" s="94"/>
      <c r="BKG73" s="94"/>
      <c r="BKH73" s="94"/>
      <c r="BKI73" s="94"/>
      <c r="BKJ73" s="94"/>
      <c r="BKK73" s="94"/>
      <c r="BKL73" s="94"/>
      <c r="BKM73" s="94"/>
      <c r="BKN73" s="94"/>
      <c r="BKO73" s="94"/>
      <c r="BKP73" s="94"/>
      <c r="BKQ73" s="94"/>
      <c r="BKR73" s="94"/>
      <c r="BKS73" s="94"/>
      <c r="BKT73" s="94"/>
      <c r="BKU73" s="94"/>
      <c r="BKV73" s="94"/>
      <c r="BKW73" s="94"/>
      <c r="BKX73" s="94"/>
      <c r="BKY73" s="94"/>
      <c r="BKZ73" s="94"/>
      <c r="BLA73" s="94"/>
      <c r="BLB73" s="94"/>
      <c r="BLC73" s="94"/>
      <c r="BLD73" s="94"/>
      <c r="BLE73" s="94"/>
      <c r="BLF73" s="94"/>
      <c r="BLG73" s="94"/>
      <c r="BLH73" s="94"/>
      <c r="BLI73" s="94"/>
      <c r="BLJ73" s="94"/>
      <c r="BLK73" s="94"/>
      <c r="BLL73" s="94"/>
      <c r="BLM73" s="94"/>
      <c r="BLN73" s="94"/>
      <c r="BLO73" s="94"/>
      <c r="BLP73" s="94"/>
      <c r="BLQ73" s="94"/>
      <c r="BLR73" s="94"/>
      <c r="BLS73" s="94"/>
      <c r="BLT73" s="94"/>
      <c r="BLU73" s="94"/>
      <c r="BLV73" s="94"/>
      <c r="BLW73" s="94"/>
      <c r="BLX73" s="94"/>
      <c r="BLY73" s="94"/>
      <c r="BLZ73" s="94"/>
      <c r="BMA73" s="94"/>
      <c r="BMB73" s="94"/>
      <c r="BMC73" s="94"/>
      <c r="BMD73" s="94"/>
      <c r="BME73" s="94"/>
      <c r="BMF73" s="94"/>
      <c r="BMG73" s="94"/>
      <c r="BMH73" s="94"/>
      <c r="BMI73" s="94"/>
      <c r="BMJ73" s="94"/>
      <c r="BMK73" s="94"/>
      <c r="BML73" s="94"/>
      <c r="BMM73" s="94"/>
      <c r="BMN73" s="94"/>
      <c r="BMO73" s="94"/>
      <c r="BMP73" s="94"/>
      <c r="BMQ73" s="94"/>
      <c r="BMR73" s="94"/>
      <c r="BMS73" s="94"/>
      <c r="BMT73" s="94"/>
      <c r="BMU73" s="94"/>
      <c r="BMV73" s="94"/>
      <c r="BMW73" s="94"/>
      <c r="BMX73" s="94"/>
      <c r="BMY73" s="94"/>
      <c r="BMZ73" s="94"/>
      <c r="BNA73" s="94"/>
      <c r="BNB73" s="94"/>
      <c r="BNC73" s="94"/>
      <c r="BND73" s="94"/>
      <c r="BNE73" s="94"/>
      <c r="BNF73" s="94"/>
      <c r="BNG73" s="94"/>
      <c r="BNH73" s="94"/>
      <c r="BNI73" s="94"/>
      <c r="BNJ73" s="94"/>
      <c r="BNK73" s="94"/>
      <c r="BNL73" s="94"/>
      <c r="BNM73" s="94"/>
      <c r="BNN73" s="94"/>
      <c r="BNO73" s="94"/>
      <c r="BNP73" s="94"/>
      <c r="BNQ73" s="94"/>
      <c r="BNR73" s="94"/>
      <c r="BNS73" s="94"/>
      <c r="BNT73" s="94"/>
      <c r="BNU73" s="94"/>
      <c r="BNV73" s="94"/>
      <c r="BNW73" s="94"/>
      <c r="BNX73" s="94"/>
      <c r="BNY73" s="94"/>
      <c r="BNZ73" s="94"/>
      <c r="BOA73" s="94"/>
      <c r="BOB73" s="94"/>
      <c r="BOC73" s="94"/>
      <c r="BOD73" s="94"/>
      <c r="BOE73" s="94"/>
      <c r="BOF73" s="94"/>
      <c r="BOG73" s="94"/>
      <c r="BOH73" s="94"/>
      <c r="BOI73" s="94"/>
      <c r="BOJ73" s="94"/>
      <c r="BOK73" s="94"/>
      <c r="BOL73" s="94"/>
      <c r="BOM73" s="94"/>
      <c r="BON73" s="94"/>
      <c r="BOO73" s="94"/>
      <c r="BOP73" s="94"/>
      <c r="BOQ73" s="94"/>
      <c r="BOR73" s="94"/>
      <c r="BOS73" s="94"/>
      <c r="BOT73" s="94"/>
      <c r="BOU73" s="94"/>
      <c r="BOV73" s="94"/>
      <c r="BOW73" s="94"/>
      <c r="BOX73" s="94"/>
      <c r="BOY73" s="94"/>
      <c r="BOZ73" s="94"/>
      <c r="BPA73" s="94"/>
      <c r="BPB73" s="94"/>
      <c r="BPC73" s="94"/>
      <c r="BPD73" s="94"/>
      <c r="BPE73" s="94"/>
      <c r="BPF73" s="94"/>
      <c r="BPG73" s="94"/>
      <c r="BPH73" s="94"/>
      <c r="BPI73" s="94"/>
      <c r="BPJ73" s="94"/>
      <c r="BPK73" s="94"/>
      <c r="BPL73" s="94"/>
      <c r="BPM73" s="94"/>
      <c r="BPN73" s="94"/>
      <c r="BPO73" s="94"/>
      <c r="BPP73" s="94"/>
      <c r="BPQ73" s="94"/>
      <c r="BPR73" s="94"/>
      <c r="BPS73" s="94"/>
      <c r="BPT73" s="94"/>
      <c r="BPU73" s="94"/>
      <c r="BPV73" s="94"/>
      <c r="BPW73" s="94"/>
      <c r="BPX73" s="94"/>
      <c r="BPY73" s="94"/>
      <c r="BPZ73" s="94"/>
      <c r="BQA73" s="94"/>
      <c r="BQB73" s="94"/>
      <c r="BQC73" s="94"/>
      <c r="BQD73" s="94"/>
      <c r="BQE73" s="94"/>
      <c r="BQF73" s="94"/>
      <c r="BQG73" s="94"/>
      <c r="BQH73" s="94"/>
      <c r="BQI73" s="94"/>
      <c r="BQJ73" s="94"/>
      <c r="BQK73" s="94"/>
      <c r="BQL73" s="94"/>
      <c r="BQM73" s="94"/>
      <c r="BQN73" s="94"/>
      <c r="BQO73" s="94"/>
      <c r="BQP73" s="94"/>
      <c r="BQQ73" s="94"/>
      <c r="BQR73" s="94"/>
      <c r="BQS73" s="94"/>
      <c r="BQT73" s="94"/>
      <c r="BQU73" s="94"/>
      <c r="BQV73" s="94"/>
      <c r="BQW73" s="94"/>
      <c r="BQX73" s="94"/>
      <c r="BQY73" s="94"/>
      <c r="BQZ73" s="94"/>
      <c r="BRA73" s="94"/>
      <c r="BRB73" s="94"/>
      <c r="BRC73" s="94"/>
      <c r="BRD73" s="94"/>
      <c r="BRE73" s="94"/>
      <c r="BRF73" s="94"/>
      <c r="BRG73" s="94"/>
      <c r="BRH73" s="94"/>
      <c r="BRI73" s="94"/>
      <c r="BRJ73" s="94"/>
      <c r="BRK73" s="94"/>
      <c r="BRL73" s="94"/>
      <c r="BRM73" s="94"/>
      <c r="BRN73" s="94"/>
      <c r="BRO73" s="94"/>
      <c r="BRP73" s="94"/>
      <c r="BRQ73" s="94"/>
      <c r="BRR73" s="94"/>
      <c r="BRS73" s="94"/>
      <c r="BRT73" s="94"/>
      <c r="BRU73" s="94"/>
      <c r="BRV73" s="94"/>
      <c r="BRW73" s="94"/>
      <c r="BRX73" s="94"/>
      <c r="BRY73" s="94"/>
      <c r="BRZ73" s="94"/>
      <c r="BSA73" s="94"/>
      <c r="BSB73" s="94"/>
      <c r="BSC73" s="94"/>
      <c r="BSD73" s="94"/>
      <c r="BSE73" s="94"/>
      <c r="BSF73" s="94"/>
      <c r="BSG73" s="94"/>
      <c r="BSH73" s="94"/>
      <c r="BSI73" s="94"/>
      <c r="BSJ73" s="94"/>
      <c r="BSK73" s="94"/>
      <c r="BSL73" s="94"/>
      <c r="BSM73" s="94"/>
      <c r="BSN73" s="94"/>
      <c r="BSO73" s="94"/>
      <c r="BSP73" s="94"/>
      <c r="BSQ73" s="94"/>
      <c r="BSR73" s="94"/>
      <c r="BSS73" s="94"/>
      <c r="BST73" s="94"/>
      <c r="BSU73" s="94"/>
      <c r="BSV73" s="94"/>
      <c r="BSW73" s="94"/>
      <c r="BSX73" s="94"/>
      <c r="BSY73" s="94"/>
      <c r="BSZ73" s="94"/>
      <c r="BTA73" s="94"/>
      <c r="BTB73" s="94"/>
      <c r="BTC73" s="94"/>
      <c r="BTD73" s="94"/>
      <c r="BTE73" s="94"/>
      <c r="BTF73" s="94"/>
      <c r="BTG73" s="94"/>
      <c r="BTH73" s="94"/>
      <c r="BTI73" s="94"/>
      <c r="BTJ73" s="94"/>
      <c r="BTK73" s="94"/>
      <c r="BTL73" s="94"/>
      <c r="BTM73" s="94"/>
      <c r="BTN73" s="94"/>
      <c r="BTO73" s="94"/>
      <c r="BTP73" s="94"/>
      <c r="BTQ73" s="94"/>
      <c r="BTR73" s="94"/>
      <c r="BTS73" s="94"/>
      <c r="BTT73" s="94"/>
      <c r="BTU73" s="94"/>
      <c r="BTV73" s="94"/>
      <c r="BTW73" s="94"/>
      <c r="BTX73" s="94"/>
      <c r="BTY73" s="94"/>
      <c r="BTZ73" s="94"/>
      <c r="BUA73" s="94"/>
      <c r="BUB73" s="94"/>
      <c r="BUC73" s="94"/>
      <c r="BUD73" s="94"/>
      <c r="BUE73" s="94"/>
      <c r="BUF73" s="94"/>
      <c r="BUG73" s="94"/>
      <c r="BUH73" s="94"/>
      <c r="BUI73" s="94"/>
      <c r="BUJ73" s="94"/>
      <c r="BUK73" s="94"/>
      <c r="BUL73" s="94"/>
      <c r="BUM73" s="94"/>
      <c r="BUN73" s="94"/>
      <c r="BUO73" s="94"/>
      <c r="BUP73" s="94"/>
      <c r="BUQ73" s="94"/>
      <c r="BUR73" s="94"/>
      <c r="BUS73" s="94"/>
      <c r="BUT73" s="94"/>
      <c r="BUU73" s="94"/>
      <c r="BUV73" s="94"/>
      <c r="BUW73" s="94"/>
      <c r="BUX73" s="94"/>
      <c r="BUY73" s="94"/>
      <c r="BUZ73" s="94"/>
      <c r="BVA73" s="94"/>
      <c r="BVB73" s="94"/>
      <c r="BVC73" s="94"/>
      <c r="BVD73" s="94"/>
      <c r="BVE73" s="94"/>
      <c r="BVF73" s="94"/>
      <c r="BVG73" s="94"/>
      <c r="BVH73" s="94"/>
      <c r="BVI73" s="94"/>
      <c r="BVJ73" s="94"/>
      <c r="BVK73" s="94"/>
      <c r="BVL73" s="94"/>
      <c r="BVM73" s="94"/>
      <c r="BVN73" s="94"/>
      <c r="BVO73" s="94"/>
      <c r="BVP73" s="94"/>
      <c r="BVQ73" s="94"/>
      <c r="BVR73" s="94"/>
      <c r="BVS73" s="94"/>
      <c r="BVT73" s="94"/>
      <c r="BVU73" s="94"/>
      <c r="BVV73" s="94"/>
      <c r="BVW73" s="94"/>
      <c r="BVX73" s="94"/>
      <c r="BVY73" s="94"/>
      <c r="BVZ73" s="94"/>
      <c r="BWA73" s="94"/>
      <c r="BWB73" s="94"/>
      <c r="BWC73" s="94"/>
      <c r="BWD73" s="94"/>
      <c r="BWE73" s="94"/>
      <c r="BWF73" s="94"/>
      <c r="BWG73" s="94"/>
      <c r="BWH73" s="94"/>
      <c r="BWI73" s="94"/>
      <c r="BWJ73" s="94"/>
      <c r="BWK73" s="94"/>
      <c r="BWL73" s="94"/>
      <c r="BWM73" s="94"/>
      <c r="BWN73" s="94"/>
      <c r="BWO73" s="94"/>
      <c r="BWP73" s="94"/>
      <c r="BWQ73" s="94"/>
      <c r="BWR73" s="94"/>
      <c r="BWS73" s="94"/>
      <c r="BWT73" s="94"/>
      <c r="BWU73" s="94"/>
      <c r="BWV73" s="94"/>
      <c r="BWW73" s="94"/>
      <c r="BWX73" s="94"/>
      <c r="BWY73" s="94"/>
      <c r="BWZ73" s="94"/>
      <c r="BXA73" s="94"/>
      <c r="BXB73" s="94"/>
      <c r="BXC73" s="94"/>
      <c r="BXD73" s="94"/>
      <c r="BXE73" s="94"/>
      <c r="BXF73" s="94"/>
      <c r="BXG73" s="94"/>
      <c r="BXH73" s="94"/>
      <c r="BXI73" s="94"/>
      <c r="BXJ73" s="94"/>
      <c r="BXK73" s="94"/>
      <c r="BXL73" s="94"/>
      <c r="BXM73" s="94"/>
      <c r="BXN73" s="94"/>
      <c r="BXO73" s="94"/>
      <c r="BXP73" s="94"/>
      <c r="BXQ73" s="94"/>
      <c r="BXR73" s="94"/>
      <c r="BXS73" s="94"/>
      <c r="BXT73" s="94"/>
      <c r="BXU73" s="94"/>
      <c r="BXV73" s="94"/>
      <c r="BXW73" s="94"/>
      <c r="BXX73" s="94"/>
      <c r="BXY73" s="94"/>
      <c r="BXZ73" s="94"/>
      <c r="BYA73" s="94"/>
      <c r="BYB73" s="94"/>
      <c r="BYC73" s="94"/>
      <c r="BYD73" s="94"/>
      <c r="BYE73" s="94"/>
      <c r="BYF73" s="94"/>
      <c r="BYG73" s="94"/>
    </row>
    <row r="74" spans="1:2009" ht="15" customHeight="1" x14ac:dyDescent="0.25">
      <c r="A74" s="122"/>
      <c r="B74" s="313" t="s">
        <v>498</v>
      </c>
      <c r="C74" s="191"/>
      <c r="D74" s="191"/>
      <c r="E74" s="191"/>
      <c r="F74" s="191"/>
      <c r="G74" s="674"/>
    </row>
    <row r="75" spans="1:2009" ht="8.25" customHeight="1" x14ac:dyDescent="0.25">
      <c r="A75" s="122"/>
      <c r="B75" s="160"/>
      <c r="C75" s="611"/>
      <c r="D75" s="191"/>
      <c r="E75" s="191"/>
      <c r="F75" s="191"/>
      <c r="G75" s="674"/>
    </row>
    <row r="76" spans="1:2009" ht="14.25" hidden="1" customHeight="1" x14ac:dyDescent="0.25">
      <c r="A76" s="122"/>
      <c r="B76" s="556" t="s">
        <v>48</v>
      </c>
      <c r="C76" s="602"/>
      <c r="D76" s="611"/>
      <c r="E76" s="191"/>
      <c r="F76" s="191"/>
      <c r="G76" s="674"/>
    </row>
    <row r="77" spans="1:2009" ht="14.25" hidden="1" customHeight="1" x14ac:dyDescent="0.25">
      <c r="A77" s="122"/>
      <c r="B77" s="556" t="s">
        <v>473</v>
      </c>
      <c r="C77" s="602"/>
      <c r="D77" s="611"/>
      <c r="E77" s="191"/>
      <c r="F77" s="191"/>
      <c r="G77" s="674"/>
    </row>
    <row r="78" spans="1:2009" ht="14.25" hidden="1" customHeight="1" x14ac:dyDescent="0.25">
      <c r="A78" s="122"/>
      <c r="B78" s="556" t="s">
        <v>471</v>
      </c>
      <c r="C78" s="602"/>
      <c r="D78" s="611"/>
      <c r="E78" s="191"/>
      <c r="F78" s="191"/>
      <c r="G78" s="674"/>
    </row>
    <row r="79" spans="1:2009" ht="14.25" hidden="1" customHeight="1" x14ac:dyDescent="0.25">
      <c r="A79" s="122"/>
      <c r="B79" s="556" t="s">
        <v>478</v>
      </c>
      <c r="C79" s="602"/>
      <c r="D79" s="611"/>
      <c r="E79" s="191"/>
      <c r="F79" s="191"/>
      <c r="G79" s="674"/>
    </row>
    <row r="80" spans="1:2009" ht="14.25" hidden="1" customHeight="1" x14ac:dyDescent="0.25">
      <c r="A80" s="122"/>
      <c r="B80" s="556" t="s">
        <v>472</v>
      </c>
      <c r="C80" s="602"/>
      <c r="D80" s="611"/>
      <c r="E80" s="191"/>
      <c r="F80" s="191"/>
      <c r="G80" s="674"/>
    </row>
    <row r="81" spans="1:7" ht="14.25" customHeight="1" x14ac:dyDescent="0.25">
      <c r="A81" s="122"/>
      <c r="B81" s="556" t="s">
        <v>503</v>
      </c>
      <c r="C81" s="602">
        <v>13000.93</v>
      </c>
      <c r="D81" s="611"/>
      <c r="E81" s="191"/>
      <c r="F81" s="191"/>
      <c r="G81" s="674"/>
    </row>
    <row r="82" spans="1:7" ht="14.25" customHeight="1" x14ac:dyDescent="0.25">
      <c r="A82" s="122"/>
      <c r="B82" s="556" t="s">
        <v>504</v>
      </c>
      <c r="C82" s="602">
        <v>3750</v>
      </c>
      <c r="D82" s="611"/>
      <c r="E82" s="191"/>
      <c r="F82" s="191"/>
      <c r="G82" s="674"/>
    </row>
    <row r="83" spans="1:7" ht="14.25" customHeight="1" x14ac:dyDescent="0.25">
      <c r="A83" s="122"/>
      <c r="B83" s="556" t="s">
        <v>506</v>
      </c>
      <c r="C83" s="602">
        <v>27298.75</v>
      </c>
      <c r="D83" s="611"/>
      <c r="E83" s="191"/>
      <c r="F83" s="191"/>
      <c r="G83" s="674"/>
    </row>
    <row r="84" spans="1:7" ht="14.25" customHeight="1" x14ac:dyDescent="0.25">
      <c r="A84" s="122"/>
      <c r="B84" s="556" t="s">
        <v>507</v>
      </c>
      <c r="C84" s="602">
        <v>22671.51</v>
      </c>
      <c r="D84" s="611"/>
      <c r="E84" s="191"/>
      <c r="F84" s="191"/>
      <c r="G84" s="674"/>
    </row>
    <row r="85" spans="1:7" ht="14.25" customHeight="1" x14ac:dyDescent="0.25">
      <c r="A85" s="122"/>
      <c r="B85" s="556" t="s">
        <v>501</v>
      </c>
      <c r="C85" s="602">
        <v>4500</v>
      </c>
      <c r="D85" s="611"/>
      <c r="E85" s="191"/>
      <c r="F85" s="191"/>
      <c r="G85" s="674"/>
    </row>
    <row r="86" spans="1:7" ht="14.25" customHeight="1" x14ac:dyDescent="0.25">
      <c r="A86" s="122"/>
      <c r="B86" s="556" t="s">
        <v>505</v>
      </c>
      <c r="C86" s="602">
        <v>1121.1400000000001</v>
      </c>
      <c r="D86" s="611"/>
      <c r="E86" s="191"/>
      <c r="F86" s="191"/>
      <c r="G86" s="674"/>
    </row>
    <row r="87" spans="1:7" ht="14.25" customHeight="1" x14ac:dyDescent="0.25">
      <c r="A87" s="122"/>
      <c r="B87" s="556" t="s">
        <v>479</v>
      </c>
      <c r="C87" s="602">
        <v>3811.19</v>
      </c>
      <c r="D87" s="611"/>
      <c r="E87" s="191"/>
      <c r="F87" s="191"/>
      <c r="G87" s="674"/>
    </row>
    <row r="88" spans="1:7" ht="14.25" customHeight="1" x14ac:dyDescent="0.25">
      <c r="A88" s="122"/>
      <c r="B88" s="556" t="s">
        <v>508</v>
      </c>
      <c r="C88" s="602">
        <v>10472.700000000001</v>
      </c>
      <c r="D88" s="611"/>
      <c r="E88" s="191"/>
      <c r="F88" s="191"/>
      <c r="G88" s="674"/>
    </row>
    <row r="89" spans="1:7" ht="14.25" customHeight="1" x14ac:dyDescent="0.25">
      <c r="A89" s="122"/>
      <c r="B89" s="556" t="s">
        <v>48</v>
      </c>
      <c r="C89" s="602">
        <v>3996.32</v>
      </c>
      <c r="D89" s="611"/>
      <c r="E89" s="191"/>
      <c r="F89" s="191"/>
      <c r="G89" s="674"/>
    </row>
    <row r="90" spans="1:7" ht="14.25" hidden="1" customHeight="1" x14ac:dyDescent="0.25">
      <c r="A90" s="122"/>
      <c r="B90" s="556" t="s">
        <v>410</v>
      </c>
      <c r="C90" s="602"/>
      <c r="D90" s="611"/>
      <c r="E90" s="191"/>
      <c r="F90" s="191"/>
      <c r="G90" s="674"/>
    </row>
    <row r="91" spans="1:7" ht="14.25" hidden="1" customHeight="1" x14ac:dyDescent="0.25">
      <c r="A91" s="122"/>
      <c r="B91" s="556" t="s">
        <v>490</v>
      </c>
      <c r="C91" s="602"/>
      <c r="D91" s="611"/>
      <c r="E91" s="191"/>
      <c r="F91" s="191"/>
      <c r="G91" s="674"/>
    </row>
    <row r="92" spans="1:7" ht="14.25" customHeight="1" x14ac:dyDescent="0.25">
      <c r="A92" s="122"/>
      <c r="B92" s="556" t="s">
        <v>277</v>
      </c>
      <c r="C92" s="602">
        <f>20800+8500</f>
        <v>29300</v>
      </c>
      <c r="D92" s="611"/>
      <c r="E92" s="191"/>
      <c r="F92" s="191"/>
      <c r="G92" s="674"/>
    </row>
    <row r="93" spans="1:7" ht="14.25" hidden="1" customHeight="1" x14ac:dyDescent="0.25">
      <c r="A93" s="122"/>
      <c r="B93" s="556" t="s">
        <v>480</v>
      </c>
      <c r="C93" s="602"/>
      <c r="D93" s="611"/>
      <c r="E93" s="191"/>
      <c r="F93" s="191"/>
      <c r="G93" s="674"/>
    </row>
    <row r="94" spans="1:7" ht="14.25" customHeight="1" x14ac:dyDescent="0.25">
      <c r="A94" s="122"/>
      <c r="B94" s="556" t="s">
        <v>502</v>
      </c>
      <c r="C94" s="602">
        <v>10189.35</v>
      </c>
      <c r="D94" s="191"/>
      <c r="E94" s="191"/>
      <c r="F94" s="191"/>
      <c r="G94" s="674"/>
    </row>
    <row r="95" spans="1:7" ht="15" x14ac:dyDescent="0.25">
      <c r="A95" s="400"/>
      <c r="B95" s="161" t="s">
        <v>510</v>
      </c>
      <c r="C95" s="353">
        <f>SUM(C75:C94)</f>
        <v>130111.89000000001</v>
      </c>
      <c r="D95" s="192"/>
      <c r="E95" s="192"/>
      <c r="F95" s="192"/>
    </row>
    <row r="96" spans="1:7" ht="5.25" customHeight="1" x14ac:dyDescent="0.2">
      <c r="C96" s="192"/>
      <c r="D96" s="192"/>
      <c r="E96" s="192"/>
      <c r="F96" s="192"/>
    </row>
    <row r="97" spans="2:6" ht="15.75" thickBot="1" x14ac:dyDescent="0.3">
      <c r="B97" s="161" t="s">
        <v>509</v>
      </c>
      <c r="C97" s="386">
        <f>G70-C95</f>
        <v>268959.31999999995</v>
      </c>
      <c r="D97" s="192"/>
      <c r="E97" s="192"/>
      <c r="F97" s="192"/>
    </row>
    <row r="98" spans="2:6" ht="12" customHeight="1" thickTop="1" x14ac:dyDescent="0.2">
      <c r="C98" s="192"/>
      <c r="D98" s="192"/>
      <c r="E98" s="192"/>
      <c r="F98" s="192"/>
    </row>
    <row r="99" spans="2:6" ht="15.75" x14ac:dyDescent="0.25">
      <c r="B99" s="313" t="s">
        <v>178</v>
      </c>
      <c r="C99" s="192"/>
      <c r="D99" s="192"/>
      <c r="E99" s="192"/>
      <c r="F99" s="192"/>
    </row>
    <row r="100" spans="2:6" ht="16.5" hidden="1" customHeight="1" x14ac:dyDescent="0.2">
      <c r="B100" s="557"/>
      <c r="C100" s="558"/>
      <c r="D100" s="192"/>
      <c r="E100" s="192"/>
      <c r="F100" s="192"/>
    </row>
    <row r="101" spans="2:6" ht="16.5" hidden="1" customHeight="1" x14ac:dyDescent="0.2">
      <c r="B101" s="557"/>
      <c r="C101" s="558"/>
      <c r="D101" s="192"/>
      <c r="E101" s="192"/>
      <c r="F101" s="192"/>
    </row>
    <row r="102" spans="2:6" ht="16.5" hidden="1" customHeight="1" x14ac:dyDescent="0.2">
      <c r="B102" s="557"/>
      <c r="C102" s="558"/>
      <c r="D102" s="192"/>
      <c r="E102" s="192"/>
      <c r="F102" s="192"/>
    </row>
    <row r="103" spans="2:6" ht="16.5" hidden="1" customHeight="1" x14ac:dyDescent="0.2">
      <c r="B103" s="557"/>
      <c r="C103" s="558"/>
      <c r="D103" s="192"/>
      <c r="E103" s="192"/>
      <c r="F103" s="192"/>
    </row>
    <row r="104" spans="2:6" ht="15" hidden="1" x14ac:dyDescent="0.2">
      <c r="B104" s="531"/>
      <c r="C104" s="192"/>
      <c r="D104" s="192"/>
      <c r="E104" s="192"/>
      <c r="F104" s="192"/>
    </row>
    <row r="105" spans="2:6" hidden="1" x14ac:dyDescent="0.2">
      <c r="B105" s="429"/>
      <c r="C105" s="192"/>
      <c r="D105" s="192"/>
      <c r="E105" s="192"/>
      <c r="F105" s="192"/>
    </row>
    <row r="106" spans="2:6" hidden="1" x14ac:dyDescent="0.2">
      <c r="B106" s="429"/>
      <c r="C106" s="192"/>
      <c r="D106" s="192"/>
      <c r="E106" s="192"/>
      <c r="F106" s="192"/>
    </row>
    <row r="107" spans="2:6" hidden="1" x14ac:dyDescent="0.2">
      <c r="B107" s="429"/>
      <c r="C107" s="192"/>
      <c r="D107" s="192"/>
      <c r="E107" s="192"/>
      <c r="F107" s="192"/>
    </row>
    <row r="108" spans="2:6" hidden="1" x14ac:dyDescent="0.2">
      <c r="B108" s="429"/>
      <c r="C108" s="192"/>
      <c r="D108" s="192"/>
      <c r="E108" s="192"/>
      <c r="F108" s="192"/>
    </row>
    <row r="109" spans="2:6" hidden="1" x14ac:dyDescent="0.2">
      <c r="B109" s="429"/>
      <c r="C109" s="192"/>
      <c r="D109" s="192"/>
      <c r="E109" s="192"/>
      <c r="F109" s="192"/>
    </row>
    <row r="110" spans="2:6" hidden="1" x14ac:dyDescent="0.2">
      <c r="B110" s="429"/>
      <c r="C110" s="358"/>
      <c r="D110" s="192"/>
      <c r="E110" s="192"/>
      <c r="F110" s="192"/>
    </row>
    <row r="111" spans="2:6" hidden="1" x14ac:dyDescent="0.2">
      <c r="B111" s="429"/>
      <c r="C111" s="358"/>
      <c r="D111" s="192"/>
      <c r="E111" s="192"/>
      <c r="F111" s="192"/>
    </row>
    <row r="112" spans="2:6" hidden="1" x14ac:dyDescent="0.2">
      <c r="B112" s="429"/>
      <c r="C112" s="358"/>
      <c r="D112" s="192"/>
      <c r="E112" s="192"/>
      <c r="F112" s="192"/>
    </row>
    <row r="113" spans="2:6" hidden="1" x14ac:dyDescent="0.2">
      <c r="B113" s="429"/>
      <c r="C113" s="358"/>
      <c r="D113" s="192"/>
      <c r="E113" s="192"/>
      <c r="F113" s="192"/>
    </row>
    <row r="114" spans="2:6" hidden="1" x14ac:dyDescent="0.2">
      <c r="B114" s="429"/>
      <c r="C114" s="358"/>
      <c r="D114" s="192"/>
      <c r="E114" s="192"/>
      <c r="F114" s="192"/>
    </row>
    <row r="115" spans="2:6" hidden="1" x14ac:dyDescent="0.2">
      <c r="B115" s="429"/>
      <c r="C115" s="358"/>
      <c r="D115" s="192"/>
      <c r="E115" s="192"/>
      <c r="F115" s="192"/>
    </row>
    <row r="116" spans="2:6" hidden="1" x14ac:dyDescent="0.2">
      <c r="B116" s="429"/>
      <c r="C116" s="358"/>
      <c r="D116" s="192"/>
      <c r="E116" s="192"/>
      <c r="F116" s="192"/>
    </row>
    <row r="117" spans="2:6" hidden="1" x14ac:dyDescent="0.2">
      <c r="B117" s="429"/>
      <c r="C117" s="358"/>
      <c r="D117" s="192"/>
      <c r="E117" s="192"/>
      <c r="F117" s="192"/>
    </row>
    <row r="118" spans="2:6" x14ac:dyDescent="0.2">
      <c r="B118" s="429"/>
      <c r="C118" s="358"/>
      <c r="D118" s="192"/>
      <c r="E118" s="192"/>
      <c r="F118" s="192"/>
    </row>
    <row r="119" spans="2:6" ht="16.5" customHeight="1" x14ac:dyDescent="0.25">
      <c r="B119" s="438" t="s">
        <v>284</v>
      </c>
      <c r="C119" s="358"/>
      <c r="D119" s="192"/>
      <c r="E119" s="192"/>
      <c r="F119" s="192"/>
    </row>
    <row r="120" spans="2:6" ht="16.5" hidden="1" customHeight="1" x14ac:dyDescent="0.25">
      <c r="B120" s="556"/>
      <c r="C120" s="558"/>
      <c r="D120" s="192"/>
      <c r="E120" s="192"/>
      <c r="F120" s="192"/>
    </row>
    <row r="121" spans="2:6" ht="16.5" hidden="1" customHeight="1" x14ac:dyDescent="0.25">
      <c r="B121" s="556"/>
      <c r="C121" s="558"/>
      <c r="D121" s="192"/>
      <c r="E121" s="192"/>
      <c r="F121" s="192"/>
    </row>
    <row r="122" spans="2:6" ht="18.75" hidden="1" customHeight="1" x14ac:dyDescent="0.25">
      <c r="B122" s="556"/>
      <c r="C122" s="192"/>
      <c r="D122" s="192"/>
      <c r="E122" s="192"/>
      <c r="F122" s="192"/>
    </row>
    <row r="123" spans="2:6" ht="17.25" customHeight="1" thickBot="1" x14ac:dyDescent="0.25">
      <c r="C123" s="623">
        <f>SUM(C120:C122)</f>
        <v>0</v>
      </c>
      <c r="D123" s="192"/>
      <c r="E123" s="192"/>
      <c r="F123" s="192"/>
    </row>
    <row r="124" spans="2:6" ht="12" customHeight="1" thickTop="1" x14ac:dyDescent="0.2">
      <c r="C124" s="192"/>
      <c r="D124" s="192"/>
      <c r="E124" s="192"/>
      <c r="F124" s="192"/>
    </row>
    <row r="125" spans="2:6" ht="12" customHeight="1" x14ac:dyDescent="0.2">
      <c r="C125" s="192"/>
      <c r="D125" s="192"/>
      <c r="E125" s="192"/>
      <c r="F125" s="192"/>
    </row>
    <row r="126" spans="2:6" ht="12" customHeight="1" x14ac:dyDescent="0.2">
      <c r="C126" s="192"/>
      <c r="D126" s="192"/>
      <c r="E126" s="192"/>
      <c r="F126" s="192"/>
    </row>
    <row r="127" spans="2:6" ht="12" customHeight="1" x14ac:dyDescent="0.2">
      <c r="C127" s="192"/>
      <c r="D127" s="192"/>
      <c r="E127" s="192"/>
      <c r="F127" s="192"/>
    </row>
    <row r="128" spans="2:6" ht="12" customHeight="1" x14ac:dyDescent="0.2">
      <c r="C128" s="192"/>
      <c r="D128" s="192"/>
      <c r="E128" s="192"/>
      <c r="F128" s="192"/>
    </row>
    <row r="129" spans="3:6" ht="12" customHeight="1" x14ac:dyDescent="0.2">
      <c r="C129" s="192"/>
      <c r="D129" s="192"/>
      <c r="E129" s="192"/>
      <c r="F129" s="192"/>
    </row>
    <row r="130" spans="3:6" ht="12" customHeight="1" x14ac:dyDescent="0.2">
      <c r="C130" s="192"/>
      <c r="D130" s="192"/>
      <c r="E130" s="192"/>
      <c r="F130" s="192"/>
    </row>
    <row r="131" spans="3:6" ht="12" customHeight="1" x14ac:dyDescent="0.2">
      <c r="C131" s="192"/>
      <c r="D131" s="192"/>
      <c r="E131" s="192"/>
      <c r="F131" s="192"/>
    </row>
    <row r="132" spans="3:6" ht="12" customHeight="1" x14ac:dyDescent="0.2">
      <c r="C132" s="192"/>
      <c r="D132" s="192"/>
      <c r="E132" s="192"/>
      <c r="F132" s="192"/>
    </row>
    <row r="133" spans="3:6" ht="12" customHeight="1" x14ac:dyDescent="0.2">
      <c r="C133" s="192"/>
      <c r="D133" s="192"/>
      <c r="E133" s="192"/>
      <c r="F133" s="192"/>
    </row>
    <row r="134" spans="3:6" ht="12" customHeight="1" x14ac:dyDescent="0.2">
      <c r="C134" s="192"/>
      <c r="D134" s="192"/>
      <c r="E134" s="192"/>
      <c r="F134" s="192"/>
    </row>
    <row r="135" spans="3:6" ht="12" customHeight="1" x14ac:dyDescent="0.2">
      <c r="C135" s="192"/>
      <c r="D135" s="192"/>
      <c r="E135" s="192"/>
      <c r="F135" s="192"/>
    </row>
    <row r="136" spans="3:6" ht="12" customHeight="1" x14ac:dyDescent="0.2">
      <c r="C136" s="192"/>
      <c r="D136" s="192"/>
      <c r="E136" s="192"/>
      <c r="F136" s="192"/>
    </row>
    <row r="137" spans="3:6" ht="12" customHeight="1" x14ac:dyDescent="0.2">
      <c r="C137" s="192"/>
      <c r="D137" s="192"/>
      <c r="E137" s="192"/>
      <c r="F137" s="192"/>
    </row>
    <row r="138" spans="3:6" ht="12" customHeight="1" x14ac:dyDescent="0.2">
      <c r="C138" s="192"/>
      <c r="D138" s="192"/>
      <c r="E138" s="192"/>
      <c r="F138" s="192"/>
    </row>
    <row r="139" spans="3:6" ht="12" customHeight="1" x14ac:dyDescent="0.2">
      <c r="C139" s="192"/>
      <c r="D139" s="192"/>
      <c r="E139" s="192"/>
      <c r="F139" s="192"/>
    </row>
    <row r="140" spans="3:6" ht="12" customHeight="1" x14ac:dyDescent="0.2">
      <c r="C140" s="192"/>
      <c r="D140" s="192"/>
      <c r="E140" s="192"/>
      <c r="F140" s="192"/>
    </row>
    <row r="141" spans="3:6" ht="12" customHeight="1" x14ac:dyDescent="0.2">
      <c r="C141" s="192"/>
      <c r="D141" s="192"/>
      <c r="E141" s="192"/>
      <c r="F141" s="192"/>
    </row>
    <row r="142" spans="3:6" ht="12" customHeight="1" x14ac:dyDescent="0.2">
      <c r="C142" s="192"/>
      <c r="D142" s="192"/>
      <c r="E142" s="192"/>
      <c r="F142" s="192"/>
    </row>
    <row r="143" spans="3:6" ht="12" customHeight="1" x14ac:dyDescent="0.2">
      <c r="C143" s="192"/>
      <c r="D143" s="192"/>
      <c r="E143" s="192"/>
      <c r="F143" s="192"/>
    </row>
    <row r="144" spans="3: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2:6" ht="12" customHeight="1" x14ac:dyDescent="0.2">
      <c r="C177" s="192"/>
      <c r="D177" s="192"/>
      <c r="E177" s="192"/>
      <c r="F177" s="192"/>
    </row>
    <row r="178" spans="2:6" ht="12" customHeight="1" x14ac:dyDescent="0.2">
      <c r="C178" s="192"/>
      <c r="D178" s="192"/>
      <c r="E178" s="192"/>
      <c r="F178" s="192"/>
    </row>
    <row r="179" spans="2:6" ht="12" customHeight="1" x14ac:dyDescent="0.2">
      <c r="C179" s="192"/>
      <c r="D179" s="192"/>
      <c r="E179" s="192"/>
      <c r="F179" s="192"/>
    </row>
    <row r="180" spans="2:6" ht="12" customHeight="1" x14ac:dyDescent="0.2">
      <c r="C180" s="192"/>
      <c r="D180" s="192"/>
      <c r="E180" s="192"/>
      <c r="F180" s="192"/>
    </row>
    <row r="181" spans="2:6" ht="12" customHeight="1" x14ac:dyDescent="0.2">
      <c r="C181" s="192"/>
      <c r="D181" s="192"/>
      <c r="E181" s="192"/>
      <c r="F181" s="192"/>
    </row>
    <row r="182" spans="2:6" ht="12" customHeight="1" x14ac:dyDescent="0.2">
      <c r="C182" s="192"/>
      <c r="D182" s="192"/>
      <c r="E182" s="192"/>
      <c r="F182" s="192"/>
    </row>
    <row r="183" spans="2:6" ht="12" customHeight="1" x14ac:dyDescent="0.2">
      <c r="C183" s="192"/>
      <c r="D183" s="192"/>
      <c r="E183" s="192"/>
      <c r="F183" s="192"/>
    </row>
    <row r="184" spans="2:6" ht="12" customHeight="1" x14ac:dyDescent="0.2">
      <c r="C184" s="192"/>
      <c r="D184" s="192"/>
      <c r="E184" s="192"/>
      <c r="F184" s="192"/>
    </row>
    <row r="185" spans="2:6" ht="12" customHeight="1" x14ac:dyDescent="0.2">
      <c r="C185" s="192"/>
      <c r="D185" s="192"/>
      <c r="E185" s="192"/>
      <c r="F185" s="192"/>
    </row>
    <row r="186" spans="2:6" ht="14.25" customHeight="1" x14ac:dyDescent="0.2"/>
    <row r="187" spans="2:6" ht="15.75" hidden="1" x14ac:dyDescent="0.25">
      <c r="B187" s="352"/>
      <c r="C187" s="228"/>
    </row>
    <row r="188" spans="2:6" ht="15" hidden="1" x14ac:dyDescent="0.25">
      <c r="B188" s="314"/>
      <c r="C188" s="354"/>
    </row>
    <row r="189" spans="2:6" ht="15" hidden="1" x14ac:dyDescent="0.25">
      <c r="B189" s="314"/>
      <c r="C189" s="358"/>
    </row>
    <row r="190" spans="2:6" ht="15" hidden="1" x14ac:dyDescent="0.25">
      <c r="B190" s="314"/>
      <c r="C190" s="192"/>
    </row>
    <row r="191" spans="2:6" hidden="1" x14ac:dyDescent="0.2">
      <c r="B191" s="280"/>
    </row>
    <row r="192" spans="2:6" hidden="1" x14ac:dyDescent="0.2">
      <c r="B192" s="280"/>
    </row>
    <row r="193" spans="2:14" hidden="1" x14ac:dyDescent="0.2">
      <c r="B193" s="280"/>
    </row>
    <row r="194" spans="2:14" hidden="1" x14ac:dyDescent="0.2"/>
    <row r="195" spans="2:14" hidden="1" x14ac:dyDescent="0.2"/>
    <row r="196" spans="2:14" hidden="1" x14ac:dyDescent="0.2">
      <c r="C196" s="311">
        <v>41698</v>
      </c>
      <c r="D196" s="311">
        <v>41609</v>
      </c>
      <c r="E196" s="311">
        <v>41548</v>
      </c>
      <c r="F196" s="311">
        <v>41487</v>
      </c>
      <c r="G196" s="638">
        <v>41426</v>
      </c>
      <c r="H196" s="311">
        <v>41365</v>
      </c>
      <c r="I196" s="759">
        <v>41306</v>
      </c>
      <c r="J196" s="311">
        <v>41274</v>
      </c>
      <c r="K196" s="311">
        <v>41213</v>
      </c>
      <c r="L196" s="311">
        <v>41152</v>
      </c>
      <c r="M196" s="312">
        <v>41090</v>
      </c>
      <c r="N196" s="311">
        <v>41029</v>
      </c>
    </row>
    <row r="197" spans="2:14" hidden="1" x14ac:dyDescent="0.2">
      <c r="B197" s="57" t="s">
        <v>135</v>
      </c>
      <c r="C197" s="228">
        <f>C70</f>
        <v>87516.49</v>
      </c>
      <c r="D197" s="228">
        <f>105452.64+311868.06-305987</f>
        <v>111333.70000000001</v>
      </c>
      <c r="E197" s="228">
        <v>85798.300000000017</v>
      </c>
      <c r="F197" s="192">
        <f>53253.08+18642.89</f>
        <v>71895.97</v>
      </c>
      <c r="G197" s="638">
        <v>126315</v>
      </c>
      <c r="H197" s="192">
        <v>69404</v>
      </c>
      <c r="I197" s="759">
        <v>75744</v>
      </c>
      <c r="J197" s="192">
        <v>119840.47</v>
      </c>
      <c r="K197" s="192">
        <v>120024</v>
      </c>
      <c r="L197" s="192">
        <v>109142</v>
      </c>
      <c r="M197" s="310">
        <v>142216.66</v>
      </c>
      <c r="N197" s="192">
        <v>104785.62</v>
      </c>
    </row>
    <row r="198" spans="2:14" hidden="1" x14ac:dyDescent="0.2">
      <c r="B198" s="57" t="s">
        <v>136</v>
      </c>
      <c r="C198" s="228">
        <f>D70</f>
        <v>77837.509999999995</v>
      </c>
      <c r="D198" s="228">
        <f>74767.18-13600.56</f>
        <v>61166.619999999995</v>
      </c>
      <c r="E198" s="228">
        <v>86248.31</v>
      </c>
      <c r="F198" s="192">
        <v>43187.16</v>
      </c>
      <c r="G198" s="638">
        <v>60049</v>
      </c>
      <c r="H198" s="192">
        <v>101941</v>
      </c>
      <c r="I198" s="759">
        <v>43152</v>
      </c>
      <c r="J198" s="192">
        <v>58938.2</v>
      </c>
      <c r="K198" s="192">
        <v>85767</v>
      </c>
      <c r="L198" s="192">
        <v>119436</v>
      </c>
      <c r="M198" s="310">
        <v>73223.850000000006</v>
      </c>
      <c r="N198" s="192">
        <v>86907.23</v>
      </c>
    </row>
    <row r="199" spans="2:14" hidden="1" x14ac:dyDescent="0.2">
      <c r="B199" s="57" t="s">
        <v>137</v>
      </c>
      <c r="C199" s="228">
        <f>E70</f>
        <v>88250</v>
      </c>
      <c r="D199" s="228">
        <f>66720.93-13675.33</f>
        <v>53045.599999999991</v>
      </c>
      <c r="E199" s="228">
        <v>32950.589999999997</v>
      </c>
      <c r="F199" s="192">
        <v>65970.55</v>
      </c>
      <c r="G199" s="638">
        <v>18719</v>
      </c>
      <c r="H199" s="192">
        <v>3668</v>
      </c>
      <c r="I199" s="759">
        <v>50430</v>
      </c>
      <c r="J199" s="192">
        <v>88408.17</v>
      </c>
      <c r="K199" s="192">
        <v>26680</v>
      </c>
      <c r="L199" s="192">
        <v>51922</v>
      </c>
      <c r="M199" s="310">
        <v>77261.37</v>
      </c>
      <c r="N199" s="192">
        <v>11021.67</v>
      </c>
    </row>
    <row r="200" spans="2:14" hidden="1" x14ac:dyDescent="0.2">
      <c r="B200" s="57" t="s">
        <v>138</v>
      </c>
      <c r="C200" s="228">
        <f>F70</f>
        <v>95367.210000000021</v>
      </c>
      <c r="D200" s="228">
        <v>86322.43</v>
      </c>
      <c r="E200" s="228">
        <v>66109.450000000012</v>
      </c>
      <c r="F200" s="192">
        <v>56011.13</v>
      </c>
      <c r="G200" s="638">
        <v>1250</v>
      </c>
      <c r="H200" s="192">
        <v>0</v>
      </c>
      <c r="I200" s="759">
        <v>9959</v>
      </c>
      <c r="J200" s="192">
        <v>18374.45</v>
      </c>
      <c r="K200" s="192">
        <v>22103</v>
      </c>
      <c r="L200" s="192">
        <v>71168</v>
      </c>
      <c r="M200" s="310">
        <v>55167.87</v>
      </c>
      <c r="N200" s="192"/>
    </row>
    <row r="201" spans="2:14" hidden="1" x14ac:dyDescent="0.2">
      <c r="C201" s="228">
        <f>SUM(C197:C200)</f>
        <v>348971.21</v>
      </c>
      <c r="D201" s="228">
        <f>SUM(D197:D200)</f>
        <v>311868.34999999998</v>
      </c>
      <c r="E201" s="228">
        <v>271106.65000000002</v>
      </c>
      <c r="F201" s="192">
        <f>SUM(F197:F200)</f>
        <v>237064.81</v>
      </c>
      <c r="G201" s="638">
        <f t="shared" ref="G201:N201" si="5">SUM(G197:G200)</f>
        <v>206333</v>
      </c>
      <c r="H201" s="192">
        <f t="shared" si="5"/>
        <v>175013</v>
      </c>
      <c r="I201" s="759">
        <f t="shared" si="5"/>
        <v>179285</v>
      </c>
      <c r="J201" s="192">
        <f t="shared" si="5"/>
        <v>285561.28999999998</v>
      </c>
      <c r="K201" s="192">
        <f t="shared" si="5"/>
        <v>254574</v>
      </c>
      <c r="L201" s="192">
        <f t="shared" si="5"/>
        <v>351668</v>
      </c>
      <c r="M201" s="192">
        <f t="shared" si="5"/>
        <v>347869.75</v>
      </c>
      <c r="N201" s="192">
        <f t="shared" si="5"/>
        <v>202714.52</v>
      </c>
    </row>
    <row r="202" spans="2:14" hidden="1" x14ac:dyDescent="0.2">
      <c r="D202" s="192"/>
      <c r="E202" s="192"/>
      <c r="F202" s="192"/>
      <c r="H202" s="192"/>
      <c r="I202" s="759"/>
      <c r="J202" s="192"/>
      <c r="K202" s="192"/>
      <c r="L202" s="310"/>
    </row>
    <row r="203" spans="2:14" hidden="1" x14ac:dyDescent="0.2">
      <c r="C203" s="192"/>
      <c r="D203" s="192"/>
      <c r="E203" s="192"/>
      <c r="F203" s="192"/>
      <c r="H203" s="310"/>
      <c r="J203" s="310"/>
      <c r="K203" s="310"/>
    </row>
    <row r="204" spans="2:14" hidden="1" x14ac:dyDescent="0.2">
      <c r="C204" s="192"/>
      <c r="D204" s="192"/>
      <c r="E204" s="192"/>
      <c r="F204" s="192"/>
      <c r="H204" s="310"/>
      <c r="J204" s="310"/>
      <c r="K204" s="310"/>
    </row>
    <row r="205" spans="2:14" hidden="1" x14ac:dyDescent="0.2"/>
    <row r="206" spans="2:14" hidden="1" x14ac:dyDescent="0.2"/>
    <row r="207" spans="2:14" hidden="1" x14ac:dyDescent="0.2"/>
    <row r="208" spans="2:14"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zoomScale="70" zoomScaleNormal="70" workbookViewId="0">
      <selection activeCell="B1" sqref="B1"/>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172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51</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52</v>
      </c>
      <c r="B6" s="64"/>
      <c r="C6" s="64"/>
      <c r="D6" s="64"/>
      <c r="E6" s="64"/>
      <c r="F6" s="64"/>
      <c r="G6" s="241"/>
      <c r="H6" s="885" t="s">
        <v>53</v>
      </c>
      <c r="I6" s="885"/>
      <c r="J6" s="885"/>
      <c r="K6" s="241"/>
      <c r="L6" s="241"/>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54</v>
      </c>
      <c r="C8" s="153"/>
      <c r="D8" s="153"/>
      <c r="E8" s="153"/>
      <c r="F8" s="153"/>
      <c r="G8" s="324"/>
      <c r="H8" s="282">
        <v>44255</v>
      </c>
      <c r="I8" s="282"/>
      <c r="J8" s="282">
        <v>44196</v>
      </c>
      <c r="K8" s="71"/>
      <c r="L8" s="282">
        <f>H8-366+1</f>
        <v>43890</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55</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80</v>
      </c>
      <c r="E11" s="75"/>
      <c r="F11" s="75"/>
      <c r="G11" s="262"/>
      <c r="H11" s="262" t="s">
        <v>103</v>
      </c>
      <c r="I11" s="262"/>
      <c r="J11" s="262" t="s">
        <v>103</v>
      </c>
      <c r="K11" s="76"/>
      <c r="L11" s="262" t="s">
        <v>103</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81</v>
      </c>
      <c r="E12" s="75"/>
      <c r="F12" s="75"/>
      <c r="G12" s="262"/>
      <c r="H12" s="262" t="s">
        <v>103</v>
      </c>
      <c r="I12" s="262"/>
      <c r="J12" s="262" t="s">
        <v>103</v>
      </c>
      <c r="K12" s="76"/>
      <c r="L12" s="262" t="s">
        <v>103</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181</v>
      </c>
      <c r="E13" s="75"/>
      <c r="F13" s="75"/>
      <c r="G13" s="245"/>
      <c r="H13" s="245">
        <v>404159.4</v>
      </c>
      <c r="I13" s="245"/>
      <c r="J13" s="245">
        <v>397343.49</v>
      </c>
      <c r="K13" s="76"/>
      <c r="L13" s="245">
        <v>306133.57</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182</v>
      </c>
      <c r="E14" s="75"/>
      <c r="F14" s="75"/>
      <c r="G14" s="235"/>
      <c r="H14" s="235">
        <v>199.99</v>
      </c>
      <c r="I14" s="235"/>
      <c r="J14" s="235">
        <v>199.96</v>
      </c>
      <c r="K14" s="76"/>
      <c r="L14" s="235">
        <v>200</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82</v>
      </c>
      <c r="E15" s="78"/>
      <c r="F15" s="78"/>
      <c r="G15" s="233"/>
      <c r="H15" s="236">
        <v>200</v>
      </c>
      <c r="I15" s="233"/>
      <c r="J15" s="236">
        <v>200</v>
      </c>
      <c r="K15" s="76"/>
      <c r="L15" s="236">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56</v>
      </c>
      <c r="D16" s="73"/>
      <c r="E16" s="73"/>
      <c r="F16" s="73"/>
      <c r="G16" s="237"/>
      <c r="H16" s="237">
        <f>SUM(H13:H15)</f>
        <v>404559.39</v>
      </c>
      <c r="I16" s="237"/>
      <c r="J16" s="237">
        <f>SUM(J13:J15)</f>
        <v>397743.45</v>
      </c>
      <c r="K16" s="68"/>
      <c r="L16" s="237">
        <f>ROUND(SUM(L10:L15),5)</f>
        <v>306533.57</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5"/>
      <c r="H17" s="235"/>
      <c r="I17" s="235"/>
      <c r="J17" s="235"/>
      <c r="K17" s="68"/>
      <c r="L17" s="235"/>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58</v>
      </c>
      <c r="D18" s="73"/>
      <c r="E18" s="73"/>
      <c r="F18" s="73"/>
      <c r="G18" s="235"/>
      <c r="H18" s="235"/>
      <c r="I18" s="235"/>
      <c r="J18" s="235"/>
      <c r="K18" s="68"/>
      <c r="L18" s="235"/>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152</v>
      </c>
      <c r="E19" s="79"/>
      <c r="F19" s="79"/>
      <c r="G19" s="281"/>
      <c r="H19" s="281">
        <f>'February''21 AR Aging '!G70</f>
        <v>399071.20999999996</v>
      </c>
      <c r="I19" s="281"/>
      <c r="J19" s="281">
        <v>325944.61</v>
      </c>
      <c r="K19" s="248"/>
      <c r="L19" s="281">
        <v>247411.52</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2"/>
      <c r="B20" s="394"/>
      <c r="C20" s="79"/>
      <c r="D20" s="79" t="s">
        <v>164</v>
      </c>
      <c r="E20" s="79"/>
      <c r="F20" s="79"/>
      <c r="G20" s="281"/>
      <c r="H20" s="233">
        <v>0</v>
      </c>
      <c r="I20" s="281"/>
      <c r="J20" s="281">
        <v>0</v>
      </c>
      <c r="K20" s="248"/>
      <c r="L20" s="281">
        <v>1201.74</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4"/>
      <c r="C21" s="75"/>
      <c r="D21" s="75" t="s">
        <v>218</v>
      </c>
      <c r="E21" s="75"/>
      <c r="F21" s="75"/>
      <c r="G21" s="235"/>
      <c r="H21" s="235">
        <v>207045.8</v>
      </c>
      <c r="I21" s="235"/>
      <c r="J21" s="235">
        <v>206549.06</v>
      </c>
      <c r="K21" s="248"/>
      <c r="L21" s="235">
        <v>177685.24</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4"/>
      <c r="C22" s="78"/>
      <c r="D22" s="78" t="s">
        <v>83</v>
      </c>
      <c r="E22" s="78"/>
      <c r="F22" s="78"/>
      <c r="G22" s="233"/>
      <c r="H22" s="236">
        <v>6927.95</v>
      </c>
      <c r="I22" s="233"/>
      <c r="J22" s="401">
        <v>3818.79</v>
      </c>
      <c r="K22" s="248"/>
      <c r="L22" s="236">
        <v>7053.92</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59</v>
      </c>
      <c r="D23" s="67"/>
      <c r="E23" s="67"/>
      <c r="F23" s="67"/>
      <c r="G23" s="238"/>
      <c r="H23" s="238">
        <f>SUM(H19:H22)</f>
        <v>613044.96</v>
      </c>
      <c r="I23" s="238"/>
      <c r="J23" s="238">
        <f>SUM(J19:J22)</f>
        <v>536312.46</v>
      </c>
      <c r="K23" s="263"/>
      <c r="L23" s="238">
        <f>SUM(L19:L22)</f>
        <v>433352.42</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3"/>
      <c r="H24" s="233"/>
      <c r="I24" s="233"/>
      <c r="J24" s="233"/>
      <c r="K24" s="68"/>
      <c r="L24" s="233"/>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60</v>
      </c>
      <c r="C25" s="80"/>
      <c r="D25" s="80"/>
      <c r="E25" s="80"/>
      <c r="F25" s="80"/>
      <c r="G25" s="238"/>
      <c r="H25" s="760">
        <f>H16+H23</f>
        <v>1017604.35</v>
      </c>
      <c r="I25" s="238"/>
      <c r="J25" s="760">
        <f>J16+J23</f>
        <v>934055.90999999992</v>
      </c>
      <c r="K25" s="68"/>
      <c r="L25" s="760">
        <f>L16+L23</f>
        <v>739885.99</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8"/>
      <c r="H26" s="237"/>
      <c r="I26" s="238"/>
      <c r="J26" s="237"/>
      <c r="K26" s="68"/>
      <c r="L26" s="237"/>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61</v>
      </c>
      <c r="C27" s="70"/>
      <c r="D27" s="70"/>
      <c r="E27" s="70"/>
      <c r="F27" s="70"/>
      <c r="G27" s="268"/>
      <c r="H27" s="239"/>
      <c r="I27" s="268"/>
      <c r="J27" s="239"/>
      <c r="K27" s="71"/>
      <c r="L27" s="239"/>
      <c r="M27" s="71"/>
      <c r="N27" s="71"/>
      <c r="O27" s="71"/>
      <c r="P27" s="778"/>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4"/>
      <c r="C28" s="75"/>
      <c r="D28" s="75" t="s">
        <v>84</v>
      </c>
      <c r="E28" s="75"/>
      <c r="F28" s="75"/>
      <c r="G28" s="233"/>
      <c r="H28" s="235">
        <v>221731.4</v>
      </c>
      <c r="I28" s="233"/>
      <c r="J28" s="235">
        <v>221731.4</v>
      </c>
      <c r="K28" s="248"/>
      <c r="L28" s="235">
        <v>192474.47</v>
      </c>
      <c r="M28" s="76"/>
      <c r="N28" s="76"/>
      <c r="O28" s="76"/>
      <c r="P28" s="248"/>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4"/>
      <c r="C29" s="75"/>
      <c r="D29" s="75" t="s">
        <v>85</v>
      </c>
      <c r="E29" s="75"/>
      <c r="F29" s="75"/>
      <c r="G29" s="233"/>
      <c r="H29" s="235">
        <v>49562</v>
      </c>
      <c r="I29" s="233"/>
      <c r="J29" s="235">
        <v>49562</v>
      </c>
      <c r="K29" s="248"/>
      <c r="L29" s="235">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4"/>
      <c r="C30" s="75"/>
      <c r="D30" s="75" t="s">
        <v>86</v>
      </c>
      <c r="E30" s="75"/>
      <c r="F30" s="75"/>
      <c r="G30" s="233"/>
      <c r="H30" s="235">
        <v>207734.77</v>
      </c>
      <c r="I30" s="233"/>
      <c r="J30" s="235">
        <v>207734.77</v>
      </c>
      <c r="K30" s="248"/>
      <c r="L30" s="235">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87</v>
      </c>
      <c r="E31" s="79"/>
      <c r="F31" s="79"/>
      <c r="G31" s="233"/>
      <c r="H31" s="233">
        <v>-324036.03999999998</v>
      </c>
      <c r="I31" s="233"/>
      <c r="J31" s="233">
        <v>-324036.03999999998</v>
      </c>
      <c r="K31" s="248"/>
      <c r="L31" s="233">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335</v>
      </c>
      <c r="C32" s="80"/>
      <c r="D32" s="80"/>
      <c r="E32" s="80"/>
      <c r="F32" s="80"/>
      <c r="G32" s="238"/>
      <c r="H32" s="240">
        <v>160597.31</v>
      </c>
      <c r="I32" s="238"/>
      <c r="J32" s="240">
        <v>167007.31</v>
      </c>
      <c r="K32" s="68"/>
      <c r="L32" s="240">
        <v>193283.62</v>
      </c>
      <c r="M32" s="68"/>
      <c r="N32" s="68"/>
      <c r="O32" s="68"/>
      <c r="P32" s="779"/>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8"/>
      <c r="H33" s="237"/>
      <c r="I33" s="238"/>
      <c r="J33" s="237"/>
      <c r="K33" s="68"/>
      <c r="L33" s="237"/>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3"/>
      <c r="H34" s="233"/>
      <c r="I34" s="233"/>
      <c r="J34" s="233"/>
      <c r="K34" s="68"/>
      <c r="L34" s="233"/>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62</v>
      </c>
      <c r="B35" s="81"/>
      <c r="C35" s="81"/>
      <c r="D35" s="81"/>
      <c r="E35" s="81"/>
      <c r="F35" s="81"/>
      <c r="G35" s="270"/>
      <c r="H35" s="246">
        <f>H25+H32</f>
        <v>1178201.6599999999</v>
      </c>
      <c r="I35" s="270"/>
      <c r="J35" s="246">
        <f>J25+J32</f>
        <v>1101063.22</v>
      </c>
      <c r="K35" s="82"/>
      <c r="L35" s="246">
        <f>L25+L32</f>
        <v>933169.61</v>
      </c>
      <c r="M35" s="82"/>
      <c r="N35" s="82"/>
      <c r="O35" s="82"/>
      <c r="P35" s="63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6"/>
      <c r="H36" s="238"/>
      <c r="I36" s="238"/>
      <c r="J36" s="238"/>
      <c r="K36" s="84"/>
      <c r="L36" s="238"/>
      <c r="M36" s="84"/>
      <c r="N36" s="84"/>
      <c r="O36" s="84"/>
      <c r="P36" s="40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63</v>
      </c>
      <c r="B37" s="64"/>
      <c r="C37" s="64"/>
      <c r="D37" s="64"/>
      <c r="E37" s="64"/>
      <c r="F37" s="64"/>
      <c r="G37" s="325"/>
      <c r="H37" s="241"/>
      <c r="I37" s="241"/>
      <c r="J37" s="241"/>
      <c r="K37" s="65"/>
      <c r="L37" s="241"/>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5"/>
      <c r="H38" s="235"/>
      <c r="I38" s="233"/>
      <c r="J38" s="235"/>
      <c r="K38" s="68"/>
      <c r="L38" s="235"/>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64</v>
      </c>
      <c r="C39" s="87"/>
      <c r="D39" s="87"/>
      <c r="E39" s="87"/>
      <c r="F39" s="87"/>
      <c r="G39" s="242"/>
      <c r="H39" s="242"/>
      <c r="I39" s="242"/>
      <c r="J39" s="242"/>
      <c r="K39" s="68"/>
      <c r="L39" s="242"/>
      <c r="M39" s="68"/>
      <c r="N39" s="68"/>
      <c r="O39" s="68"/>
      <c r="P39" s="391"/>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3"/>
      <c r="H40" s="235"/>
      <c r="I40" s="233"/>
      <c r="J40" s="235"/>
      <c r="K40" s="68"/>
      <c r="L40" s="235"/>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65</v>
      </c>
      <c r="C41" s="154"/>
      <c r="D41" s="153"/>
      <c r="E41" s="153"/>
      <c r="F41" s="153"/>
      <c r="G41" s="268"/>
      <c r="H41" s="234"/>
      <c r="I41" s="268"/>
      <c r="J41" s="234"/>
      <c r="K41" s="71"/>
      <c r="L41" s="234"/>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153</v>
      </c>
      <c r="F42" s="75"/>
      <c r="G42" s="247"/>
      <c r="H42" s="247">
        <f>34590.23+0.5</f>
        <v>34590.730000000003</v>
      </c>
      <c r="I42" s="247"/>
      <c r="J42" s="247">
        <f>35196.71</f>
        <v>35196.71</v>
      </c>
      <c r="K42" s="382"/>
      <c r="L42" s="247">
        <v>6629.49</v>
      </c>
      <c r="M42" s="76"/>
      <c r="N42" s="382"/>
      <c r="O42" s="76"/>
      <c r="P42" s="761"/>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100</v>
      </c>
      <c r="F43" s="75"/>
      <c r="G43" s="233"/>
      <c r="H43" s="233">
        <v>110.18</v>
      </c>
      <c r="I43" s="233"/>
      <c r="J43" s="233">
        <v>40</v>
      </c>
      <c r="K43" s="76"/>
      <c r="L43" s="233">
        <v>1576.82</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x14ac:dyDescent="0.2">
      <c r="A44" s="423"/>
      <c r="B44" s="423"/>
      <c r="C44" s="423"/>
      <c r="D44" s="423" t="s">
        <v>448</v>
      </c>
      <c r="F44" s="423"/>
      <c r="G44" s="233"/>
      <c r="H44" s="233">
        <v>197400</v>
      </c>
      <c r="I44" s="233"/>
      <c r="J44" s="233">
        <v>197400</v>
      </c>
      <c r="K44" s="76"/>
      <c r="L44" s="233"/>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75"/>
      <c r="B45" s="75"/>
      <c r="C45" s="75"/>
      <c r="D45" s="79" t="s">
        <v>88</v>
      </c>
      <c r="F45" s="75"/>
      <c r="G45" s="233"/>
      <c r="H45" s="235">
        <f>1000+1617</f>
        <v>2617</v>
      </c>
      <c r="I45" s="235"/>
      <c r="J45" s="235">
        <f>20637+1287</f>
        <v>21924</v>
      </c>
      <c r="K45" s="76"/>
      <c r="L45" s="235">
        <v>0</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hidden="1" x14ac:dyDescent="0.2">
      <c r="A46" s="75"/>
      <c r="B46" s="75"/>
      <c r="C46" s="75"/>
      <c r="D46" s="79" t="s">
        <v>160</v>
      </c>
      <c r="F46" s="75"/>
      <c r="G46" s="233"/>
      <c r="H46" s="235">
        <v>0</v>
      </c>
      <c r="I46" s="235"/>
      <c r="J46" s="235">
        <v>0</v>
      </c>
      <c r="K46" s="76"/>
      <c r="L46" s="235">
        <v>0</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x14ac:dyDescent="0.2">
      <c r="A47" s="75"/>
      <c r="B47" s="75"/>
      <c r="C47" s="75"/>
      <c r="D47" s="78" t="s">
        <v>99</v>
      </c>
      <c r="E47" s="152"/>
      <c r="F47" s="78"/>
      <c r="G47" s="233"/>
      <c r="H47" s="235">
        <f>'February''21 Revenues &amp; Expenses'!L48</f>
        <v>64976.7</v>
      </c>
      <c r="I47" s="323"/>
      <c r="J47" s="235">
        <v>26568.880000000001</v>
      </c>
      <c r="K47" s="248"/>
      <c r="L47" s="235">
        <v>70473.37</v>
      </c>
      <c r="M47" s="76"/>
      <c r="N47" s="76"/>
      <c r="O47" s="76"/>
      <c r="P47" s="248"/>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80" t="s">
        <v>75</v>
      </c>
      <c r="D48" s="75"/>
      <c r="F48" s="75"/>
      <c r="G48" s="233"/>
      <c r="H48" s="243">
        <f>SUM(H42:H47)</f>
        <v>299694.61</v>
      </c>
      <c r="I48" s="323"/>
      <c r="J48" s="243">
        <f>SUM(J42:J47)</f>
        <v>281129.58999999997</v>
      </c>
      <c r="K48" s="76"/>
      <c r="L48" s="243">
        <f>SUM(L42:L47)</f>
        <v>78679.679999999993</v>
      </c>
      <c r="M48" s="76"/>
      <c r="N48" s="76"/>
      <c r="O48" s="76"/>
      <c r="P48" s="761"/>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9.75" customHeight="1" x14ac:dyDescent="0.2">
      <c r="A49" s="75"/>
      <c r="B49" s="75"/>
      <c r="C49" s="75"/>
      <c r="D49" s="75"/>
      <c r="E49" s="75"/>
      <c r="F49" s="75"/>
      <c r="G49" s="233"/>
      <c r="H49" s="235"/>
      <c r="I49" s="323"/>
      <c r="J49" s="235"/>
      <c r="K49" s="76"/>
      <c r="L49" s="235"/>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20.25" x14ac:dyDescent="0.2">
      <c r="A50" s="75"/>
      <c r="B50" s="75"/>
      <c r="C50" s="88" t="s">
        <v>77</v>
      </c>
      <c r="D50" s="88"/>
      <c r="E50" s="152"/>
      <c r="F50" s="152"/>
      <c r="G50" s="233"/>
      <c r="H50" s="236"/>
      <c r="I50" s="323"/>
      <c r="J50" s="236"/>
      <c r="K50" s="76"/>
      <c r="L50" s="23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75"/>
      <c r="D51" s="75" t="s">
        <v>91</v>
      </c>
      <c r="E51" s="75"/>
      <c r="F51" s="75"/>
      <c r="G51" s="233"/>
      <c r="H51" s="233">
        <f>36370.21+3115.36-H53-H54</f>
        <v>38057.870000000003</v>
      </c>
      <c r="I51" s="323"/>
      <c r="J51" s="233">
        <f>30505.56+1983.26-J53-J54</f>
        <v>31012.18</v>
      </c>
      <c r="K51" s="76"/>
      <c r="L51" s="233">
        <f>40459.55+2811.55-L53-L54</f>
        <v>42111.770000000004</v>
      </c>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92</v>
      </c>
      <c r="E52" s="75"/>
      <c r="F52" s="75"/>
      <c r="G52" s="233"/>
      <c r="H52" s="233">
        <v>34317.43</v>
      </c>
      <c r="I52" s="323"/>
      <c r="J52" s="233">
        <v>22627.26</v>
      </c>
      <c r="K52" s="76"/>
      <c r="L52" s="233">
        <v>26671.45</v>
      </c>
      <c r="M52" s="76"/>
      <c r="N52" s="76"/>
      <c r="O52" s="76"/>
      <c r="P52" s="76"/>
      <c r="Q52" s="248"/>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93</v>
      </c>
      <c r="E53" s="75"/>
      <c r="F53" s="75"/>
      <c r="G53" s="233"/>
      <c r="H53" s="235">
        <v>1305</v>
      </c>
      <c r="I53" s="323"/>
      <c r="J53" s="235">
        <v>1311.64</v>
      </c>
      <c r="K53" s="76"/>
      <c r="L53" s="235">
        <v>927.72</v>
      </c>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94</v>
      </c>
      <c r="E54" s="75"/>
      <c r="F54" s="75"/>
      <c r="G54" s="233"/>
      <c r="H54" s="236">
        <v>122.7</v>
      </c>
      <c r="I54" s="323"/>
      <c r="J54" s="236">
        <v>165</v>
      </c>
      <c r="K54" s="76"/>
      <c r="L54" s="236">
        <v>231.61</v>
      </c>
      <c r="M54" s="76"/>
      <c r="N54" s="76"/>
      <c r="O54" s="76"/>
      <c r="P54" s="76"/>
      <c r="Q54" s="248"/>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67" t="s">
        <v>76</v>
      </c>
      <c r="D55" s="75"/>
      <c r="F55" s="79"/>
      <c r="G55" s="233"/>
      <c r="H55" s="233">
        <f>ROUND(SUM(H50:H54),5)</f>
        <v>73803</v>
      </c>
      <c r="I55" s="323"/>
      <c r="J55" s="233">
        <f>SUM(J51:J54)</f>
        <v>55116.08</v>
      </c>
      <c r="K55" s="76"/>
      <c r="L55" s="233">
        <f>ROUND(SUM(L50:L54),5)</f>
        <v>69942.55</v>
      </c>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7.5" customHeight="1" x14ac:dyDescent="0.2">
      <c r="A56" s="75"/>
      <c r="B56" s="75"/>
      <c r="C56" s="78"/>
      <c r="D56" s="78"/>
      <c r="E56" s="78"/>
      <c r="F56" s="78"/>
      <c r="G56" s="233"/>
      <c r="H56" s="236"/>
      <c r="I56" s="323"/>
      <c r="J56" s="236"/>
      <c r="K56" s="76"/>
      <c r="L56" s="23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4" customFormat="1" ht="20.25" x14ac:dyDescent="0.2">
      <c r="A57" s="73"/>
      <c r="B57" s="73"/>
      <c r="C57" s="73" t="s">
        <v>78</v>
      </c>
      <c r="D57" s="73"/>
      <c r="E57" s="73"/>
      <c r="F57" s="73"/>
      <c r="G57" s="238"/>
      <c r="H57" s="237">
        <f>H48+H55</f>
        <v>373497.61</v>
      </c>
      <c r="I57" s="387"/>
      <c r="J57" s="237">
        <f>J48+J55</f>
        <v>336245.67</v>
      </c>
      <c r="K57" s="263"/>
      <c r="L57" s="237">
        <f>L48+L55</f>
        <v>148622.22999999998</v>
      </c>
      <c r="M57" s="68"/>
      <c r="N57" s="342"/>
      <c r="O57" s="68"/>
      <c r="P57" s="342"/>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row>
    <row r="58" spans="1:61" s="74" customFormat="1" ht="18.75" customHeight="1" x14ac:dyDescent="0.2">
      <c r="A58" s="73"/>
      <c r="B58" s="73"/>
      <c r="C58" s="73"/>
      <c r="D58" s="73"/>
      <c r="E58" s="73"/>
      <c r="F58" s="73"/>
      <c r="G58" s="238"/>
      <c r="H58" s="237"/>
      <c r="I58" s="38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24" thickBot="1" x14ac:dyDescent="0.25">
      <c r="A59" s="73"/>
      <c r="B59" s="86" t="s">
        <v>66</v>
      </c>
      <c r="C59" s="87"/>
      <c r="D59" s="87"/>
      <c r="E59" s="87"/>
      <c r="F59" s="87"/>
      <c r="G59" s="233"/>
      <c r="H59" s="242"/>
      <c r="I59" s="323"/>
      <c r="J59" s="242"/>
      <c r="K59" s="68"/>
      <c r="L59" s="242"/>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7" customFormat="1" ht="20.25" x14ac:dyDescent="0.2">
      <c r="A60" s="75"/>
      <c r="B60" s="75"/>
      <c r="D60" s="75" t="s">
        <v>339</v>
      </c>
      <c r="E60" s="75"/>
      <c r="F60" s="75"/>
      <c r="G60" s="233"/>
      <c r="H60" s="235">
        <f>688043.29+35972.48+12500</f>
        <v>736515.77</v>
      </c>
      <c r="I60" s="323"/>
      <c r="J60" s="235">
        <f>671626.29+35972.48+12500</f>
        <v>720098.77</v>
      </c>
      <c r="K60" s="248"/>
      <c r="L60" s="235">
        <f>671626.29+35972.48+12500</f>
        <v>720098.77</v>
      </c>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row>
    <row r="61" spans="1:61" s="77" customFormat="1" ht="20.25" x14ac:dyDescent="0.2">
      <c r="A61" s="75"/>
      <c r="B61" s="75"/>
      <c r="D61" s="75" t="s">
        <v>340</v>
      </c>
      <c r="E61" s="75"/>
      <c r="F61" s="75"/>
      <c r="G61" s="233"/>
      <c r="H61" s="235">
        <f>'February''21 Revenues &amp; Expenses'!L70-0.5</f>
        <v>88327.493333333332</v>
      </c>
      <c r="I61" s="323"/>
      <c r="J61" s="235">
        <v>28301.78</v>
      </c>
      <c r="K61" s="248"/>
      <c r="L61" s="235">
        <v>82951.3</v>
      </c>
      <c r="M61" s="76"/>
      <c r="N61" s="76"/>
      <c r="O61" s="248"/>
      <c r="P61" s="248"/>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4" customFormat="1" ht="21" thickBot="1" x14ac:dyDescent="0.25">
      <c r="A62" s="73"/>
      <c r="B62" s="73"/>
      <c r="D62" s="75" t="s">
        <v>133</v>
      </c>
      <c r="E62" s="73"/>
      <c r="F62" s="87"/>
      <c r="G62" s="323"/>
      <c r="H62" s="242">
        <f>'February''21 State of Activities'!G57</f>
        <v>-20139.229999999981</v>
      </c>
      <c r="I62" s="323"/>
      <c r="J62" s="242">
        <f>'February''21 State of Activities'!H57</f>
        <v>16416.500000000233</v>
      </c>
      <c r="K62" s="68"/>
      <c r="L62" s="242">
        <f>'February''21 State of Activities'!J57</f>
        <v>-18502.690000000031</v>
      </c>
      <c r="M62" s="68"/>
      <c r="N62" s="68"/>
      <c r="O62" s="68"/>
      <c r="P62" s="391"/>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row>
    <row r="63" spans="1:61" s="74" customFormat="1" ht="23.25" x14ac:dyDescent="0.2">
      <c r="A63" s="73"/>
      <c r="B63" s="89" t="s">
        <v>67</v>
      </c>
      <c r="C63" s="90"/>
      <c r="D63" s="90"/>
      <c r="E63" s="90"/>
      <c r="F63" s="67"/>
      <c r="G63" s="387"/>
      <c r="H63" s="238">
        <f>ROUND(SUM(H59:H62),5)</f>
        <v>804704.03333000001</v>
      </c>
      <c r="I63" s="387"/>
      <c r="J63" s="238">
        <f>ROUND(SUM(J59:J62),5)</f>
        <v>764817.05</v>
      </c>
      <c r="K63" s="68"/>
      <c r="L63" s="238">
        <f>ROUND(SUM(L59:L62),5)</f>
        <v>784547.38</v>
      </c>
      <c r="M63" s="68"/>
      <c r="N63" s="68"/>
      <c r="O63" s="68"/>
      <c r="P63" s="391"/>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12.75" customHeight="1" x14ac:dyDescent="0.2">
      <c r="A64" s="73"/>
      <c r="B64" s="73"/>
      <c r="C64" s="73"/>
      <c r="D64" s="73"/>
      <c r="E64" s="73"/>
      <c r="F64" s="73"/>
      <c r="G64" s="323"/>
      <c r="H64" s="236"/>
      <c r="I64" s="323"/>
      <c r="J64" s="236"/>
      <c r="K64" s="68"/>
      <c r="L64" s="236"/>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91" customFormat="1" ht="27" thickBot="1" x14ac:dyDescent="0.25">
      <c r="A65" s="81" t="s">
        <v>68</v>
      </c>
      <c r="B65" s="81"/>
      <c r="C65" s="81"/>
      <c r="D65" s="81"/>
      <c r="E65" s="81"/>
      <c r="F65" s="81"/>
      <c r="G65" s="388"/>
      <c r="H65" s="355">
        <f>SUM(H57+H63)</f>
        <v>1178201.6433299999</v>
      </c>
      <c r="I65" s="388"/>
      <c r="J65" s="355">
        <f>SUM(J57+J63)</f>
        <v>1101062.72</v>
      </c>
      <c r="K65" s="82"/>
      <c r="L65" s="355">
        <f>SUM(L57+L63)</f>
        <v>933169.61</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 thickTop="1" x14ac:dyDescent="0.2">
      <c r="D66" s="343"/>
      <c r="G66" s="1"/>
      <c r="I66" s="1"/>
    </row>
    <row r="67" spans="1:61" hidden="1" x14ac:dyDescent="0.2">
      <c r="G67" s="389"/>
      <c r="H67" s="250"/>
      <c r="I67" s="250"/>
      <c r="J67" s="250"/>
      <c r="L67" s="250"/>
    </row>
    <row r="68" spans="1:61" ht="14.25" customHeight="1" x14ac:dyDescent="0.2">
      <c r="C68" s="911" t="s">
        <v>204</v>
      </c>
      <c r="D68" s="911"/>
      <c r="E68" s="911"/>
      <c r="F68" s="911"/>
      <c r="G68" s="1"/>
      <c r="H68" s="440">
        <f>(H19+H16)/H57</f>
        <v>2.1516351871702741</v>
      </c>
      <c r="J68" s="440">
        <v>3.7805007540674778</v>
      </c>
      <c r="K68" s="263"/>
      <c r="L68" s="440">
        <f>(L19+L16)/L57</f>
        <v>3.7272021150537173</v>
      </c>
    </row>
    <row r="71" spans="1:61" x14ac:dyDescent="0.2">
      <c r="G71" s="273"/>
      <c r="H71" s="250"/>
      <c r="I71" s="273"/>
      <c r="J71" s="250"/>
      <c r="L71" s="250">
        <f>L65-L35</f>
        <v>0</v>
      </c>
    </row>
    <row r="72" spans="1:61" x14ac:dyDescent="0.2">
      <c r="L72" s="612"/>
    </row>
    <row r="76" spans="1:61" x14ac:dyDescent="0.2">
      <c r="H76" s="273"/>
    </row>
  </sheetData>
  <mergeCells count="2">
    <mergeCell ref="C68:F68"/>
    <mergeCell ref="H6:J6"/>
  </mergeCells>
  <pageMargins left="0.7" right="0.45" top="0.25" bottom="0" header="0.3" footer="0"/>
  <pageSetup scale="7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2"/>
  <sheetViews>
    <sheetView zoomScale="70" zoomScaleNormal="70" workbookViewId="0">
      <selection activeCell="B1" sqref="B1"/>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4" customWidth="1"/>
    <col min="8" max="8" width="23.125" style="18" customWidth="1"/>
    <col min="9" max="9" width="1.625" style="18" customWidth="1"/>
    <col min="10" max="10" width="23" style="18" customWidth="1"/>
    <col min="11" max="11" width="1.875" style="368" customWidth="1"/>
    <col min="12" max="12" width="17.25" style="18" customWidth="1"/>
    <col min="13" max="13" width="10" style="18" customWidth="1"/>
    <col min="14" max="14" width="59.125" style="540"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98</v>
      </c>
      <c r="B1" s="59"/>
      <c r="C1" s="60"/>
      <c r="D1" s="60"/>
      <c r="E1" s="60"/>
      <c r="F1" s="59"/>
      <c r="G1" s="231"/>
      <c r="H1" s="59"/>
      <c r="I1" s="59"/>
      <c r="J1" s="59"/>
      <c r="K1" s="360"/>
      <c r="L1" s="59"/>
      <c r="M1" s="59"/>
      <c r="N1" s="532"/>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342</v>
      </c>
      <c r="B2" s="59"/>
      <c r="C2" s="60"/>
      <c r="D2" s="60"/>
      <c r="E2" s="60"/>
      <c r="F2" s="59"/>
      <c r="G2" s="231"/>
      <c r="H2" s="59"/>
      <c r="I2" s="59"/>
      <c r="J2" s="231"/>
      <c r="K2" s="360"/>
      <c r="L2" s="59"/>
      <c r="M2" s="59"/>
      <c r="N2" s="532"/>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529</v>
      </c>
      <c r="B3" s="59"/>
      <c r="C3" s="60"/>
      <c r="D3" s="60"/>
      <c r="E3" s="60"/>
      <c r="F3" s="59"/>
      <c r="G3" s="231"/>
      <c r="H3" s="59"/>
      <c r="I3" s="59"/>
      <c r="J3" s="59"/>
      <c r="K3" s="360"/>
      <c r="L3" s="59"/>
      <c r="M3" s="59"/>
      <c r="N3" s="532"/>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530</v>
      </c>
      <c r="B4" s="59"/>
      <c r="C4" s="60"/>
      <c r="D4" s="60"/>
      <c r="E4" s="60"/>
      <c r="F4" s="59"/>
      <c r="G4" s="231"/>
      <c r="H4" s="59"/>
      <c r="I4" s="59"/>
      <c r="J4" s="59"/>
      <c r="K4" s="360"/>
      <c r="L4" s="59"/>
      <c r="M4" s="59"/>
      <c r="N4" s="532"/>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2"/>
      <c r="H5" s="62"/>
      <c r="I5" s="62"/>
      <c r="J5" s="62"/>
      <c r="K5" s="361"/>
      <c r="L5" s="62"/>
      <c r="M5" s="62"/>
      <c r="N5" s="533"/>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112</v>
      </c>
      <c r="B6" s="64"/>
      <c r="C6" s="64"/>
      <c r="D6" s="64"/>
      <c r="E6" s="64"/>
      <c r="F6" s="64"/>
      <c r="G6" s="885" t="s">
        <v>53</v>
      </c>
      <c r="H6" s="885"/>
      <c r="I6" s="885"/>
      <c r="J6" s="885"/>
      <c r="K6" s="619"/>
      <c r="L6" s="418" t="s">
        <v>185</v>
      </c>
      <c r="M6" s="415" t="s">
        <v>198</v>
      </c>
      <c r="N6" s="619" t="s">
        <v>184</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3"/>
      <c r="K7" s="363"/>
      <c r="N7" s="534"/>
    </row>
    <row r="8" spans="1:113" s="72" customFormat="1" ht="21" thickBot="1" x14ac:dyDescent="0.35">
      <c r="A8" s="69"/>
      <c r="B8" s="153" t="s">
        <v>104</v>
      </c>
      <c r="C8" s="153"/>
      <c r="D8" s="153"/>
      <c r="E8" s="153"/>
      <c r="F8" s="153"/>
      <c r="G8" s="282">
        <f>'February''21 Financial Position'!H8</f>
        <v>44255</v>
      </c>
      <c r="H8" s="282">
        <v>44196</v>
      </c>
      <c r="I8" s="324"/>
      <c r="J8" s="282">
        <f>G8-365</f>
        <v>43890</v>
      </c>
      <c r="K8" s="364"/>
      <c r="L8" s="912" t="s">
        <v>531</v>
      </c>
      <c r="M8" s="912"/>
      <c r="N8" s="535"/>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105</v>
      </c>
      <c r="D9" s="75"/>
      <c r="E9" s="75"/>
      <c r="F9" s="73"/>
      <c r="G9" s="264">
        <v>92748.22</v>
      </c>
      <c r="H9" s="264">
        <v>670908.68999999994</v>
      </c>
      <c r="I9" s="327"/>
      <c r="J9" s="264">
        <v>114060.67</v>
      </c>
      <c r="K9" s="363"/>
      <c r="L9" s="381">
        <f t="shared" ref="L9:L27" si="0">G9-J9</f>
        <v>-21312.449999999997</v>
      </c>
      <c r="M9" s="441">
        <f>L9/J9</f>
        <v>-0.18685187453308838</v>
      </c>
      <c r="N9" s="534"/>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5"/>
      <c r="C10" s="75" t="s">
        <v>154</v>
      </c>
      <c r="D10" s="75"/>
      <c r="E10" s="75"/>
      <c r="F10" s="73"/>
      <c r="G10" s="265">
        <v>8918.91</v>
      </c>
      <c r="H10" s="265">
        <v>68172.509999999995</v>
      </c>
      <c r="I10" s="323"/>
      <c r="J10" s="265">
        <v>24436.59</v>
      </c>
      <c r="K10" s="363"/>
      <c r="L10" s="276">
        <f t="shared" si="0"/>
        <v>-15517.68</v>
      </c>
      <c r="M10" s="441">
        <f>L10/J10</f>
        <v>-0.63501822471957015</v>
      </c>
      <c r="N10" s="534"/>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5"/>
      <c r="C11" s="423" t="s">
        <v>380</v>
      </c>
      <c r="D11" s="423"/>
      <c r="E11" s="423"/>
      <c r="F11" s="73"/>
      <c r="G11" s="265">
        <v>0</v>
      </c>
      <c r="H11" s="265">
        <v>255.74</v>
      </c>
      <c r="I11" s="323"/>
      <c r="J11" s="265">
        <v>106.12</v>
      </c>
      <c r="K11" s="363"/>
      <c r="L11" s="276">
        <f t="shared" ref="L11" si="1">G11-J11</f>
        <v>-106.12</v>
      </c>
      <c r="M11" s="441">
        <f>L11/J11</f>
        <v>-1</v>
      </c>
      <c r="N11" s="534"/>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5"/>
      <c r="C12" s="75" t="s">
        <v>183</v>
      </c>
      <c r="D12" s="75"/>
      <c r="E12" s="75"/>
      <c r="F12" s="73"/>
      <c r="G12" s="265">
        <v>7848.64</v>
      </c>
      <c r="H12" s="265">
        <v>39644.79</v>
      </c>
      <c r="I12" s="323"/>
      <c r="J12" s="265">
        <v>9026.9699999999993</v>
      </c>
      <c r="K12" s="363"/>
      <c r="L12" s="276">
        <f t="shared" si="0"/>
        <v>-1178.329999999999</v>
      </c>
      <c r="M12" s="441">
        <f>L12/J12</f>
        <v>-0.1305343875076575</v>
      </c>
      <c r="N12" s="534"/>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5"/>
      <c r="C13" s="75" t="s">
        <v>106</v>
      </c>
      <c r="D13" s="75"/>
      <c r="E13" s="75"/>
      <c r="F13" s="73"/>
      <c r="G13" s="265"/>
      <c r="H13" s="265"/>
      <c r="I13" s="323"/>
      <c r="J13" s="265"/>
      <c r="K13" s="363"/>
      <c r="L13" s="276">
        <f t="shared" si="0"/>
        <v>0</v>
      </c>
      <c r="M13" s="441"/>
      <c r="N13" s="534"/>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5"/>
      <c r="C14" s="77"/>
      <c r="D14" s="75" t="s">
        <v>143</v>
      </c>
      <c r="E14" s="75"/>
      <c r="F14" s="73"/>
      <c r="G14" s="265">
        <v>32486.959999999999</v>
      </c>
      <c r="H14" s="265">
        <v>187109.31</v>
      </c>
      <c r="I14" s="323"/>
      <c r="J14" s="265">
        <v>31170.799999999999</v>
      </c>
      <c r="K14" s="363"/>
      <c r="L14" s="276">
        <f t="shared" si="0"/>
        <v>1316.1599999999999</v>
      </c>
      <c r="M14" s="441">
        <f>L14/J14</f>
        <v>4.2224132842275462E-2</v>
      </c>
      <c r="N14" s="534"/>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5"/>
      <c r="C15" s="77"/>
      <c r="D15" s="75" t="s">
        <v>163</v>
      </c>
      <c r="E15" s="75"/>
      <c r="F15" s="73"/>
      <c r="G15" s="265">
        <v>3000</v>
      </c>
      <c r="H15" s="265">
        <v>18000</v>
      </c>
      <c r="I15" s="323"/>
      <c r="J15" s="265">
        <v>3000</v>
      </c>
      <c r="K15" s="363"/>
      <c r="L15" s="276">
        <f t="shared" si="0"/>
        <v>0</v>
      </c>
      <c r="M15" s="441">
        <f>L15/J15</f>
        <v>0</v>
      </c>
      <c r="N15" s="534"/>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5"/>
      <c r="C16" s="77"/>
      <c r="D16" s="423" t="s">
        <v>443</v>
      </c>
      <c r="E16" s="423"/>
      <c r="F16" s="73"/>
      <c r="G16" s="265">
        <v>18812.32</v>
      </c>
      <c r="H16" s="265">
        <v>106767.38</v>
      </c>
      <c r="I16" s="323"/>
      <c r="J16" s="265">
        <v>12832.11</v>
      </c>
      <c r="K16" s="363"/>
      <c r="L16" s="276">
        <f t="shared" ref="L16" si="2">G16-J16</f>
        <v>5980.2099999999991</v>
      </c>
      <c r="M16" s="441">
        <f>L16/J16</f>
        <v>0.46603481422774579</v>
      </c>
      <c r="N16" s="534" t="s">
        <v>445</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5"/>
      <c r="C17" s="75" t="s">
        <v>107</v>
      </c>
      <c r="D17" s="75"/>
      <c r="E17" s="75"/>
      <c r="F17" s="73"/>
      <c r="G17" s="265">
        <f>'February''21 Revenues &amp; Expenses'!J61</f>
        <v>2559.1999999999998</v>
      </c>
      <c r="H17" s="265">
        <v>12695.06</v>
      </c>
      <c r="I17" s="323"/>
      <c r="J17" s="265">
        <f>2424.5-J18</f>
        <v>2374.5</v>
      </c>
      <c r="K17" s="363"/>
      <c r="L17" s="276">
        <f t="shared" si="0"/>
        <v>184.69999999999982</v>
      </c>
      <c r="M17" s="441">
        <f t="shared" ref="M17:M22" si="3">L17/J17</f>
        <v>7.7784796799326095E-2</v>
      </c>
      <c r="N17" s="536"/>
      <c r="O17" s="68"/>
      <c r="P17" s="68"/>
      <c r="Q17" s="263"/>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5"/>
      <c r="C18" s="392" t="s">
        <v>165</v>
      </c>
      <c r="D18" s="392"/>
      <c r="E18" s="392"/>
      <c r="F18" s="73"/>
      <c r="G18" s="265">
        <v>0</v>
      </c>
      <c r="H18" s="265">
        <v>50</v>
      </c>
      <c r="I18" s="323"/>
      <c r="J18" s="265">
        <v>50</v>
      </c>
      <c r="K18" s="363"/>
      <c r="L18" s="276">
        <f t="shared" si="0"/>
        <v>-50</v>
      </c>
      <c r="M18" s="441">
        <f t="shared" si="3"/>
        <v>-1</v>
      </c>
      <c r="N18" s="536"/>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5"/>
      <c r="C19" s="75" t="s">
        <v>114</v>
      </c>
      <c r="D19" s="75"/>
      <c r="E19" s="75"/>
      <c r="F19" s="73"/>
      <c r="G19" s="265">
        <v>123.49</v>
      </c>
      <c r="H19" s="265">
        <v>1220.6400000000001</v>
      </c>
      <c r="I19" s="323"/>
      <c r="J19" s="265">
        <v>188.12</v>
      </c>
      <c r="K19" s="363"/>
      <c r="L19" s="276">
        <f t="shared" si="0"/>
        <v>-64.63000000000001</v>
      </c>
      <c r="M19" s="441">
        <f t="shared" si="3"/>
        <v>-0.34355730384860733</v>
      </c>
      <c r="N19" s="534"/>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5"/>
      <c r="C20" s="392" t="s">
        <v>243</v>
      </c>
      <c r="D20" s="392"/>
      <c r="E20" s="392"/>
      <c r="F20" s="73"/>
      <c r="G20" s="265">
        <v>-381.48</v>
      </c>
      <c r="H20" s="265">
        <v>4699.7299999999996</v>
      </c>
      <c r="I20" s="323"/>
      <c r="J20" s="265">
        <v>1429.02</v>
      </c>
      <c r="K20" s="363"/>
      <c r="L20" s="276">
        <f t="shared" si="0"/>
        <v>-1810.5</v>
      </c>
      <c r="M20" s="441">
        <f t="shared" si="3"/>
        <v>-1.2669521770164169</v>
      </c>
      <c r="N20" s="534"/>
      <c r="O20" s="68"/>
      <c r="P20" s="68"/>
      <c r="Q20" s="263"/>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5"/>
      <c r="C21" s="75" t="s">
        <v>311</v>
      </c>
      <c r="D21" s="75"/>
      <c r="E21" s="75"/>
      <c r="F21" s="73"/>
      <c r="G21" s="265">
        <v>878.22</v>
      </c>
      <c r="H21" s="265">
        <v>17432.07</v>
      </c>
      <c r="I21" s="323"/>
      <c r="J21" s="265">
        <v>-8161.04</v>
      </c>
      <c r="K21" s="363"/>
      <c r="L21" s="276">
        <f t="shared" si="0"/>
        <v>9039.26</v>
      </c>
      <c r="M21" s="441">
        <f t="shared" si="3"/>
        <v>-1.1076112848362465</v>
      </c>
      <c r="N21" s="534"/>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5"/>
      <c r="C22" s="75" t="s">
        <v>416</v>
      </c>
      <c r="D22" s="75"/>
      <c r="E22" s="75"/>
      <c r="F22" s="73"/>
      <c r="G22" s="265">
        <v>12592.15</v>
      </c>
      <c r="H22" s="265">
        <v>141133.54999999999</v>
      </c>
      <c r="I22" s="323"/>
      <c r="J22" s="265">
        <v>15241.06</v>
      </c>
      <c r="K22" s="363"/>
      <c r="L22" s="276">
        <f t="shared" si="0"/>
        <v>-2648.91</v>
      </c>
      <c r="M22" s="441">
        <f t="shared" si="3"/>
        <v>-0.17380090361169104</v>
      </c>
      <c r="N22" s="534"/>
      <c r="O22" s="68"/>
      <c r="P22" s="68"/>
      <c r="Q22" s="2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5"/>
      <c r="C23" s="75" t="s">
        <v>149</v>
      </c>
      <c r="D23" s="75"/>
      <c r="E23" s="75"/>
      <c r="F23" s="73"/>
      <c r="G23" s="265">
        <f>30.6-G11</f>
        <v>30.6</v>
      </c>
      <c r="H23" s="265">
        <f>21007.06-H11</f>
        <v>20751.32</v>
      </c>
      <c r="I23" s="323"/>
      <c r="J23" s="265">
        <f>106.12-J11</f>
        <v>0</v>
      </c>
      <c r="K23" s="363"/>
      <c r="L23" s="276">
        <f t="shared" si="0"/>
        <v>30.6</v>
      </c>
      <c r="M23" s="441"/>
      <c r="N23" s="635"/>
      <c r="O23" s="68"/>
      <c r="P23" s="68"/>
      <c r="Q23" s="2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5"/>
      <c r="C24" s="75" t="s">
        <v>331</v>
      </c>
      <c r="D24" s="75"/>
      <c r="E24" s="75"/>
      <c r="F24" s="73"/>
      <c r="G24" s="265">
        <v>3150</v>
      </c>
      <c r="H24" s="265">
        <v>0</v>
      </c>
      <c r="I24" s="323"/>
      <c r="J24" s="265">
        <v>0</v>
      </c>
      <c r="K24" s="363"/>
      <c r="L24" s="276">
        <f t="shared" si="0"/>
        <v>3150</v>
      </c>
      <c r="M24" s="441">
        <v>1</v>
      </c>
      <c r="N24" s="534" t="s">
        <v>533</v>
      </c>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1" thickBot="1" x14ac:dyDescent="0.25">
      <c r="A25" s="73"/>
      <c r="B25" s="395"/>
      <c r="C25" s="75" t="s">
        <v>113</v>
      </c>
      <c r="D25" s="75"/>
      <c r="E25" s="75"/>
      <c r="F25" s="73"/>
      <c r="G25" s="266">
        <v>8790</v>
      </c>
      <c r="H25" s="266">
        <v>52740</v>
      </c>
      <c r="I25" s="323"/>
      <c r="J25" s="266">
        <f>G25</f>
        <v>8790</v>
      </c>
      <c r="K25" s="363"/>
      <c r="L25" s="380">
        <f t="shared" si="0"/>
        <v>0</v>
      </c>
      <c r="M25" s="469">
        <f>L25/J25</f>
        <v>0</v>
      </c>
      <c r="N25" s="534"/>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0.25" x14ac:dyDescent="0.2">
      <c r="A26" s="73"/>
      <c r="B26" s="395"/>
      <c r="C26" s="75"/>
      <c r="D26" s="73" t="s">
        <v>109</v>
      </c>
      <c r="E26" s="75"/>
      <c r="F26" s="73"/>
      <c r="G26" s="265">
        <f>SUM(G9:G25)</f>
        <v>191557.23</v>
      </c>
      <c r="H26" s="235">
        <f>SUM(H9:H25)</f>
        <v>1341580.79</v>
      </c>
      <c r="I26" s="233"/>
      <c r="J26" s="235">
        <f>SUM(J9:J25)</f>
        <v>214544.91999999998</v>
      </c>
      <c r="K26" s="363"/>
      <c r="L26" s="235">
        <f t="shared" si="0"/>
        <v>-22987.689999999973</v>
      </c>
      <c r="M26" s="441">
        <f>L26/J26</f>
        <v>-0.10714627966954414</v>
      </c>
      <c r="N26" s="534"/>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1" thickBot="1" x14ac:dyDescent="0.25">
      <c r="A27" s="73"/>
      <c r="B27" s="395"/>
      <c r="C27" s="73" t="s">
        <v>110</v>
      </c>
      <c r="D27" s="75"/>
      <c r="E27" s="75"/>
      <c r="F27" s="73"/>
      <c r="G27" s="266">
        <v>15073.8</v>
      </c>
      <c r="H27" s="242">
        <v>79759.92</v>
      </c>
      <c r="I27" s="233"/>
      <c r="J27" s="242">
        <v>13980.4</v>
      </c>
      <c r="K27" s="363"/>
      <c r="L27" s="242">
        <f t="shared" si="0"/>
        <v>1093.3999999999996</v>
      </c>
      <c r="M27" s="469">
        <f>L27/J27</f>
        <v>7.8209493290606821E-2</v>
      </c>
      <c r="N27" s="536"/>
      <c r="O27" s="68"/>
      <c r="P27" s="68"/>
      <c r="Q27" s="34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0.25" x14ac:dyDescent="0.2">
      <c r="A28" s="73"/>
      <c r="B28" s="395"/>
      <c r="C28" s="75"/>
      <c r="D28" s="73" t="s">
        <v>111</v>
      </c>
      <c r="E28" s="75"/>
      <c r="F28" s="73"/>
      <c r="G28" s="235">
        <f>SUM(G26:G27)</f>
        <v>206631.03</v>
      </c>
      <c r="H28" s="235">
        <f>SUM(H26:H27)</f>
        <v>1421340.71</v>
      </c>
      <c r="I28" s="233"/>
      <c r="J28" s="235">
        <f>SUM(J26:J27)</f>
        <v>228525.31999999998</v>
      </c>
      <c r="K28" s="263"/>
      <c r="L28" s="235">
        <f>SUM(L26:L27)</f>
        <v>-21894.289999999972</v>
      </c>
      <c r="M28" s="441">
        <f>L28/J28</f>
        <v>-9.5806845385885353E-2</v>
      </c>
      <c r="N28" s="536"/>
      <c r="O28" s="263"/>
      <c r="P28" s="68"/>
      <c r="Q28" s="34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6" customHeight="1" x14ac:dyDescent="0.2">
      <c r="A29" s="73"/>
      <c r="B29" s="395"/>
      <c r="C29" s="75"/>
      <c r="D29" s="73"/>
      <c r="E29" s="75"/>
      <c r="F29" s="73"/>
      <c r="G29" s="235"/>
      <c r="H29" s="235"/>
      <c r="I29" s="233"/>
      <c r="J29" s="235"/>
      <c r="K29" s="363"/>
      <c r="L29" s="405"/>
      <c r="M29" s="519"/>
      <c r="N29" s="534"/>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21" thickBot="1" x14ac:dyDescent="0.25">
      <c r="A30" s="73"/>
      <c r="B30" s="396" t="s">
        <v>115</v>
      </c>
      <c r="C30" s="87"/>
      <c r="D30" s="87"/>
      <c r="E30" s="87"/>
      <c r="F30" s="87"/>
      <c r="G30" s="242"/>
      <c r="H30" s="242"/>
      <c r="I30" s="68"/>
      <c r="J30" s="242"/>
      <c r="K30" s="363"/>
      <c r="L30" s="405"/>
      <c r="M30" s="519"/>
      <c r="N30" s="536"/>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68" customFormat="1" ht="20.25" x14ac:dyDescent="0.2">
      <c r="A31" s="67"/>
      <c r="B31" s="397"/>
      <c r="C31" s="79" t="s">
        <v>116</v>
      </c>
      <c r="D31" s="79"/>
      <c r="E31" s="79"/>
      <c r="F31" s="79"/>
      <c r="G31" s="233">
        <v>132113.85999999999</v>
      </c>
      <c r="H31" s="233">
        <v>898223.95</v>
      </c>
      <c r="I31" s="276"/>
      <c r="J31" s="233">
        <v>151759.76999999999</v>
      </c>
      <c r="K31" s="363"/>
      <c r="L31" s="276">
        <f t="shared" ref="L31:L53" si="4">G31-J31</f>
        <v>-19645.910000000003</v>
      </c>
      <c r="M31" s="441">
        <f t="shared" ref="M31:M42" si="5">L31/J31</f>
        <v>-0.12945400483935898</v>
      </c>
      <c r="N31" s="536" t="s">
        <v>534</v>
      </c>
    </row>
    <row r="32" spans="1:46" s="68" customFormat="1" ht="20.25" x14ac:dyDescent="0.2">
      <c r="A32" s="67"/>
      <c r="B32" s="397"/>
      <c r="C32" s="79" t="s">
        <v>117</v>
      </c>
      <c r="D32" s="79"/>
      <c r="E32" s="79"/>
      <c r="F32" s="79"/>
      <c r="G32" s="233">
        <v>32789.97</v>
      </c>
      <c r="H32" s="233">
        <v>175461.44</v>
      </c>
      <c r="I32" s="276"/>
      <c r="J32" s="233">
        <v>34838.68</v>
      </c>
      <c r="K32" s="363"/>
      <c r="L32" s="276">
        <f t="shared" si="4"/>
        <v>-2048.7099999999991</v>
      </c>
      <c r="M32" s="441">
        <f t="shared" si="5"/>
        <v>-5.880561490848675E-2</v>
      </c>
      <c r="N32" s="750"/>
    </row>
    <row r="33" spans="1:16" s="68" customFormat="1" ht="20.25" x14ac:dyDescent="0.2">
      <c r="A33" s="67"/>
      <c r="B33" s="397"/>
      <c r="C33" s="79" t="s">
        <v>118</v>
      </c>
      <c r="D33" s="79"/>
      <c r="E33" s="79"/>
      <c r="F33" s="79"/>
      <c r="G33" s="233">
        <f>150*2</f>
        <v>300</v>
      </c>
      <c r="H33" s="233">
        <f>54540-H25</f>
        <v>1800</v>
      </c>
      <c r="I33" s="276"/>
      <c r="J33" s="233">
        <f>G33</f>
        <v>300</v>
      </c>
      <c r="K33" s="363"/>
      <c r="L33" s="276">
        <f t="shared" si="4"/>
        <v>0</v>
      </c>
      <c r="M33" s="441">
        <f t="shared" si="5"/>
        <v>0</v>
      </c>
      <c r="N33" s="694"/>
    </row>
    <row r="34" spans="1:16" s="68" customFormat="1" ht="20.25" x14ac:dyDescent="0.2">
      <c r="A34" s="67"/>
      <c r="B34" s="397"/>
      <c r="C34" s="79" t="s">
        <v>108</v>
      </c>
      <c r="D34" s="79"/>
      <c r="E34" s="79"/>
      <c r="F34" s="79"/>
      <c r="G34" s="233">
        <f>G25</f>
        <v>8790</v>
      </c>
      <c r="H34" s="233">
        <f>H25</f>
        <v>52740</v>
      </c>
      <c r="I34" s="276"/>
      <c r="J34" s="233">
        <f>J25</f>
        <v>8790</v>
      </c>
      <c r="K34" s="363"/>
      <c r="L34" s="276">
        <f t="shared" si="4"/>
        <v>0</v>
      </c>
      <c r="M34" s="441">
        <f t="shared" si="5"/>
        <v>0</v>
      </c>
      <c r="N34" s="694"/>
    </row>
    <row r="35" spans="1:16" s="68" customFormat="1" ht="20.25" x14ac:dyDescent="0.2">
      <c r="A35" s="67"/>
      <c r="B35" s="397"/>
      <c r="C35" s="79" t="s">
        <v>119</v>
      </c>
      <c r="D35" s="79"/>
      <c r="E35" s="79"/>
      <c r="F35" s="79"/>
      <c r="G35" s="233">
        <v>3301.18</v>
      </c>
      <c r="H35" s="233">
        <v>21059.15</v>
      </c>
      <c r="I35" s="276"/>
      <c r="J35" s="233">
        <v>3244.08</v>
      </c>
      <c r="K35" s="363"/>
      <c r="L35" s="276">
        <f t="shared" si="4"/>
        <v>57.099999999999909</v>
      </c>
      <c r="M35" s="441">
        <f t="shared" si="5"/>
        <v>1.7601292199945721E-2</v>
      </c>
      <c r="N35" s="694"/>
    </row>
    <row r="36" spans="1:16" s="68" customFormat="1" ht="20.25" x14ac:dyDescent="0.2">
      <c r="A36" s="67"/>
      <c r="B36" s="397"/>
      <c r="C36" s="79" t="s">
        <v>120</v>
      </c>
      <c r="D36" s="79"/>
      <c r="E36" s="79"/>
      <c r="F36" s="79"/>
      <c r="G36" s="233">
        <v>454.01</v>
      </c>
      <c r="H36" s="233">
        <v>2142.8000000000002</v>
      </c>
      <c r="I36" s="276"/>
      <c r="J36" s="233">
        <v>536.70000000000005</v>
      </c>
      <c r="K36" s="363"/>
      <c r="L36" s="276">
        <f t="shared" si="4"/>
        <v>-82.690000000000055</v>
      </c>
      <c r="M36" s="441">
        <f t="shared" si="5"/>
        <v>-0.15407117570337256</v>
      </c>
      <c r="N36" s="694"/>
    </row>
    <row r="37" spans="1:16" s="68" customFormat="1" ht="20.25" x14ac:dyDescent="0.2">
      <c r="A37" s="67"/>
      <c r="B37" s="397"/>
      <c r="C37" s="79" t="s">
        <v>121</v>
      </c>
      <c r="D37" s="79"/>
      <c r="E37" s="79"/>
      <c r="F37" s="79"/>
      <c r="G37" s="233">
        <v>708.07</v>
      </c>
      <c r="H37" s="233">
        <v>4541.46</v>
      </c>
      <c r="I37" s="276"/>
      <c r="J37" s="233">
        <v>553.98</v>
      </c>
      <c r="K37" s="363"/>
      <c r="L37" s="276">
        <f t="shared" si="4"/>
        <v>154.09000000000003</v>
      </c>
      <c r="M37" s="441">
        <f t="shared" si="5"/>
        <v>0.27815083577024446</v>
      </c>
      <c r="N37" s="694"/>
    </row>
    <row r="38" spans="1:16" s="68" customFormat="1" ht="20.25" x14ac:dyDescent="0.2">
      <c r="A38" s="67"/>
      <c r="B38" s="397"/>
      <c r="C38" s="79" t="s">
        <v>122</v>
      </c>
      <c r="D38" s="79"/>
      <c r="E38" s="79"/>
      <c r="F38" s="79"/>
      <c r="G38" s="233">
        <v>286</v>
      </c>
      <c r="H38" s="233">
        <v>798.22</v>
      </c>
      <c r="I38" s="276"/>
      <c r="J38" s="233">
        <v>290.44</v>
      </c>
      <c r="K38" s="363"/>
      <c r="L38" s="276">
        <f t="shared" si="4"/>
        <v>-4.4399999999999977</v>
      </c>
      <c r="M38" s="441">
        <f t="shared" si="5"/>
        <v>-1.5287150530229988E-2</v>
      </c>
      <c r="N38" s="694" t="s">
        <v>487</v>
      </c>
    </row>
    <row r="39" spans="1:16" s="68" customFormat="1" ht="20.25" x14ac:dyDescent="0.2">
      <c r="A39" s="67"/>
      <c r="B39" s="397"/>
      <c r="C39" s="79" t="s">
        <v>123</v>
      </c>
      <c r="D39" s="79"/>
      <c r="E39" s="79"/>
      <c r="F39" s="79"/>
      <c r="G39" s="233">
        <f>4149.57+3308.14</f>
        <v>7457.7099999999991</v>
      </c>
      <c r="H39" s="233">
        <f>28144.23+10104.7</f>
        <v>38248.93</v>
      </c>
      <c r="I39" s="276"/>
      <c r="J39" s="233">
        <f>6429.35+1895.68</f>
        <v>8325.0300000000007</v>
      </c>
      <c r="K39" s="363"/>
      <c r="L39" s="276">
        <f t="shared" si="4"/>
        <v>-867.32000000000153</v>
      </c>
      <c r="M39" s="441">
        <f t="shared" si="5"/>
        <v>-0.10418220715120563</v>
      </c>
      <c r="N39" s="694"/>
    </row>
    <row r="40" spans="1:16" s="68" customFormat="1" ht="20.25" x14ac:dyDescent="0.2">
      <c r="A40" s="67"/>
      <c r="B40" s="397"/>
      <c r="C40" s="79" t="s">
        <v>124</v>
      </c>
      <c r="D40" s="79"/>
      <c r="E40" s="79"/>
      <c r="F40" s="79"/>
      <c r="G40" s="233">
        <f>714.11</f>
        <v>714.11</v>
      </c>
      <c r="H40" s="233">
        <v>1854.76</v>
      </c>
      <c r="I40" s="276"/>
      <c r="J40" s="233">
        <v>274.79000000000002</v>
      </c>
      <c r="K40" s="363"/>
      <c r="L40" s="276">
        <f t="shared" si="4"/>
        <v>439.32</v>
      </c>
      <c r="M40" s="441">
        <f t="shared" si="5"/>
        <v>1.5987481349394081</v>
      </c>
      <c r="N40" s="694"/>
    </row>
    <row r="41" spans="1:16" s="68" customFormat="1" ht="20.25" x14ac:dyDescent="0.2">
      <c r="A41" s="67"/>
      <c r="B41" s="397"/>
      <c r="C41" s="79" t="s">
        <v>125</v>
      </c>
      <c r="D41" s="79"/>
      <c r="E41" s="79"/>
      <c r="F41" s="79"/>
      <c r="G41" s="233">
        <v>200</v>
      </c>
      <c r="H41" s="233">
        <v>992.13</v>
      </c>
      <c r="I41" s="276"/>
      <c r="J41" s="233">
        <v>200</v>
      </c>
      <c r="K41" s="363"/>
      <c r="L41" s="276">
        <f t="shared" si="4"/>
        <v>0</v>
      </c>
      <c r="M41" s="441">
        <f t="shared" si="5"/>
        <v>0</v>
      </c>
      <c r="N41" s="694"/>
    </row>
    <row r="42" spans="1:16" s="68" customFormat="1" ht="20.25" x14ac:dyDescent="0.2">
      <c r="A42" s="67"/>
      <c r="B42" s="397"/>
      <c r="C42" s="79" t="s">
        <v>170</v>
      </c>
      <c r="D42" s="79"/>
      <c r="E42" s="79"/>
      <c r="F42" s="79"/>
      <c r="G42" s="233">
        <v>8000</v>
      </c>
      <c r="H42" s="233">
        <v>10125</v>
      </c>
      <c r="I42" s="276"/>
      <c r="J42" s="233">
        <v>800</v>
      </c>
      <c r="K42" s="363"/>
      <c r="L42" s="276">
        <f t="shared" si="4"/>
        <v>7200</v>
      </c>
      <c r="M42" s="441">
        <f t="shared" si="5"/>
        <v>9</v>
      </c>
      <c r="N42" s="694" t="s">
        <v>532</v>
      </c>
    </row>
    <row r="43" spans="1:16" s="68" customFormat="1" ht="20.25" x14ac:dyDescent="0.2">
      <c r="A43" s="67"/>
      <c r="B43" s="397"/>
      <c r="C43" s="887" t="s">
        <v>333</v>
      </c>
      <c r="D43" s="887"/>
      <c r="E43" s="887"/>
      <c r="F43" s="887"/>
      <c r="G43" s="233">
        <v>0</v>
      </c>
      <c r="H43" s="233">
        <v>67</v>
      </c>
      <c r="I43" s="276"/>
      <c r="J43" s="233">
        <v>0</v>
      </c>
      <c r="K43" s="363"/>
      <c r="L43" s="276">
        <f t="shared" si="4"/>
        <v>0</v>
      </c>
      <c r="M43" s="441">
        <v>1</v>
      </c>
      <c r="N43" s="694"/>
    </row>
    <row r="44" spans="1:16" s="76" customFormat="1" ht="20.25" x14ac:dyDescent="0.2">
      <c r="A44" s="79"/>
      <c r="B44" s="393"/>
      <c r="C44" s="79" t="s">
        <v>126</v>
      </c>
      <c r="D44" s="79"/>
      <c r="E44" s="79"/>
      <c r="F44" s="79"/>
      <c r="G44" s="323">
        <v>3544.83</v>
      </c>
      <c r="H44" s="323">
        <v>16479.11</v>
      </c>
      <c r="I44" s="403"/>
      <c r="J44" s="323">
        <v>2997.83</v>
      </c>
      <c r="K44" s="365"/>
      <c r="L44" s="276">
        <f t="shared" si="4"/>
        <v>547</v>
      </c>
      <c r="M44" s="441">
        <f>L44/J44</f>
        <v>0.18246531657899215</v>
      </c>
      <c r="N44" s="694"/>
    </row>
    <row r="45" spans="1:16" s="76" customFormat="1" ht="20.25" x14ac:dyDescent="0.2">
      <c r="A45" s="79"/>
      <c r="B45" s="393"/>
      <c r="C45" s="79" t="s">
        <v>127</v>
      </c>
      <c r="D45" s="79"/>
      <c r="E45" s="79"/>
      <c r="F45" s="79"/>
      <c r="G45" s="323">
        <v>1859.01</v>
      </c>
      <c r="H45" s="323">
        <v>11006.21</v>
      </c>
      <c r="I45" s="233"/>
      <c r="J45" s="233">
        <v>1781.81</v>
      </c>
      <c r="K45" s="365"/>
      <c r="L45" s="276">
        <f t="shared" si="4"/>
        <v>77.200000000000045</v>
      </c>
      <c r="M45" s="441">
        <f>L45/J45</f>
        <v>4.3326729561513316E-2</v>
      </c>
      <c r="N45" s="537"/>
    </row>
    <row r="46" spans="1:16" s="76" customFormat="1" ht="20.25" x14ac:dyDescent="0.2">
      <c r="A46" s="79"/>
      <c r="B46" s="393"/>
      <c r="C46" s="79" t="s">
        <v>134</v>
      </c>
      <c r="D46" s="79"/>
      <c r="E46" s="79"/>
      <c r="F46" s="79"/>
      <c r="G46" s="233">
        <f>300</f>
        <v>300</v>
      </c>
      <c r="H46" s="233">
        <f>1685+63.4</f>
        <v>1748.4</v>
      </c>
      <c r="I46" s="233"/>
      <c r="J46" s="233">
        <v>110</v>
      </c>
      <c r="K46" s="365"/>
      <c r="L46" s="276">
        <f t="shared" si="4"/>
        <v>190</v>
      </c>
      <c r="M46" s="441">
        <f>L46/J46</f>
        <v>1.7272727272727273</v>
      </c>
      <c r="P46" s="248"/>
    </row>
    <row r="47" spans="1:16" s="76" customFormat="1" ht="20.25" x14ac:dyDescent="0.2">
      <c r="A47" s="79"/>
      <c r="B47" s="393"/>
      <c r="C47" s="79" t="s">
        <v>128</v>
      </c>
      <c r="D47" s="79"/>
      <c r="E47" s="79"/>
      <c r="F47" s="79"/>
      <c r="G47" s="323">
        <v>0</v>
      </c>
      <c r="H47" s="323">
        <f>490.32+90</f>
        <v>580.31999999999994</v>
      </c>
      <c r="I47" s="233"/>
      <c r="J47" s="323">
        <v>333.32</v>
      </c>
      <c r="K47" s="365"/>
      <c r="L47" s="276">
        <f t="shared" si="4"/>
        <v>-333.32</v>
      </c>
      <c r="M47" s="441">
        <f t="shared" ref="M47:M52" si="6">L47/J47</f>
        <v>-1</v>
      </c>
      <c r="N47" s="694"/>
      <c r="P47" s="248"/>
    </row>
    <row r="48" spans="1:16" s="68" customFormat="1" ht="20.25" x14ac:dyDescent="0.2">
      <c r="A48" s="67"/>
      <c r="B48" s="397"/>
      <c r="C48" s="79" t="s">
        <v>205</v>
      </c>
      <c r="D48" s="79"/>
      <c r="E48" s="79"/>
      <c r="F48" s="79"/>
      <c r="G48" s="233">
        <v>126.21</v>
      </c>
      <c r="H48" s="233">
        <v>2731.61</v>
      </c>
      <c r="I48" s="233"/>
      <c r="J48" s="233">
        <v>1799.7</v>
      </c>
      <c r="K48" s="363"/>
      <c r="L48" s="276">
        <f t="shared" si="4"/>
        <v>-1673.49</v>
      </c>
      <c r="M48" s="441">
        <f t="shared" si="6"/>
        <v>-0.9298716452742124</v>
      </c>
      <c r="N48" s="694" t="s">
        <v>535</v>
      </c>
    </row>
    <row r="49" spans="1:18" s="76" customFormat="1" ht="20.25" x14ac:dyDescent="0.2">
      <c r="A49" s="79"/>
      <c r="B49" s="393"/>
      <c r="C49" s="79" t="s">
        <v>129</v>
      </c>
      <c r="D49" s="79"/>
      <c r="E49" s="79"/>
      <c r="F49" s="79"/>
      <c r="G49" s="323">
        <v>6410</v>
      </c>
      <c r="H49" s="323">
        <v>40623</v>
      </c>
      <c r="I49" s="233"/>
      <c r="J49" s="323">
        <v>6500</v>
      </c>
      <c r="K49" s="365"/>
      <c r="L49" s="276">
        <f t="shared" si="4"/>
        <v>-90</v>
      </c>
      <c r="M49" s="441">
        <f t="shared" si="6"/>
        <v>-1.3846153846153847E-2</v>
      </c>
      <c r="N49" s="537"/>
    </row>
    <row r="50" spans="1:18" s="76" customFormat="1" ht="20.25" x14ac:dyDescent="0.2">
      <c r="A50" s="79"/>
      <c r="B50" s="393"/>
      <c r="C50" s="79" t="s">
        <v>130</v>
      </c>
      <c r="D50" s="79"/>
      <c r="E50" s="79"/>
      <c r="F50" s="79"/>
      <c r="G50" s="323">
        <f>679.98+135</f>
        <v>814.98</v>
      </c>
      <c r="H50" s="323">
        <f>1970+9692.25+16460</f>
        <v>28122.25</v>
      </c>
      <c r="I50" s="233"/>
      <c r="J50" s="323">
        <v>851</v>
      </c>
      <c r="K50" s="365"/>
      <c r="L50" s="276">
        <f t="shared" si="4"/>
        <v>-36.019999999999982</v>
      </c>
      <c r="M50" s="441">
        <f t="shared" si="6"/>
        <v>-4.2326674500587524E-2</v>
      </c>
      <c r="N50" s="694"/>
    </row>
    <row r="51" spans="1:18" s="76" customFormat="1" ht="20.25" x14ac:dyDescent="0.2">
      <c r="A51" s="79"/>
      <c r="B51" s="393"/>
      <c r="C51" s="79" t="s">
        <v>169</v>
      </c>
      <c r="D51" s="79"/>
      <c r="E51" s="79"/>
      <c r="F51" s="79"/>
      <c r="G51" s="233">
        <v>7931.26</v>
      </c>
      <c r="H51" s="233">
        <f>49200.15+0.5</f>
        <v>49200.65</v>
      </c>
      <c r="I51" s="233"/>
      <c r="J51" s="233">
        <v>10089.459999999999</v>
      </c>
      <c r="K51" s="365"/>
      <c r="L51" s="276">
        <f t="shared" si="4"/>
        <v>-2158.1999999999989</v>
      </c>
      <c r="M51" s="441">
        <f t="shared" si="6"/>
        <v>-0.21390639340460232</v>
      </c>
      <c r="N51" s="694"/>
    </row>
    <row r="52" spans="1:18" s="76" customFormat="1" ht="20.25" x14ac:dyDescent="0.2">
      <c r="A52" s="79"/>
      <c r="B52" s="393"/>
      <c r="C52" s="79" t="s">
        <v>131</v>
      </c>
      <c r="D52" s="79"/>
      <c r="E52" s="79"/>
      <c r="F52" s="79"/>
      <c r="G52" s="233">
        <f>739.06+9600</f>
        <v>10339.06</v>
      </c>
      <c r="H52" s="233">
        <f>2005.86+43084.96</f>
        <v>45090.82</v>
      </c>
      <c r="I52" s="233"/>
      <c r="J52" s="233">
        <f>11374.62+1276.8</f>
        <v>12651.42</v>
      </c>
      <c r="K52" s="365"/>
      <c r="L52" s="276">
        <f t="shared" si="4"/>
        <v>-2312.3600000000006</v>
      </c>
      <c r="M52" s="441">
        <f t="shared" si="6"/>
        <v>-0.18277473991061877</v>
      </c>
      <c r="N52" s="694" t="s">
        <v>444</v>
      </c>
    </row>
    <row r="53" spans="1:18" s="76" customFormat="1" ht="21" thickBot="1" x14ac:dyDescent="0.25">
      <c r="A53" s="79"/>
      <c r="B53" s="393"/>
      <c r="C53" s="79" t="s">
        <v>447</v>
      </c>
      <c r="D53" s="79"/>
      <c r="E53" s="79"/>
      <c r="F53" s="79"/>
      <c r="G53" s="242">
        <v>330</v>
      </c>
      <c r="H53" s="242">
        <v>1287</v>
      </c>
      <c r="I53" s="233"/>
      <c r="J53" s="242">
        <v>0</v>
      </c>
      <c r="K53" s="685"/>
      <c r="L53" s="380">
        <f t="shared" si="4"/>
        <v>330</v>
      </c>
      <c r="M53" s="469"/>
      <c r="N53" s="694"/>
    </row>
    <row r="54" spans="1:18" s="76" customFormat="1" ht="21" hidden="1" thickBot="1" x14ac:dyDescent="0.25">
      <c r="A54" s="79"/>
      <c r="B54" s="393"/>
      <c r="C54" s="79"/>
      <c r="D54" s="79"/>
      <c r="E54" s="79"/>
      <c r="F54" s="79"/>
      <c r="G54" s="242"/>
      <c r="H54" s="242"/>
      <c r="I54" s="233"/>
      <c r="J54" s="242"/>
      <c r="K54" s="365"/>
      <c r="L54" s="380"/>
      <c r="M54" s="469"/>
      <c r="N54" s="534"/>
    </row>
    <row r="55" spans="1:18" s="68" customFormat="1" ht="20.25" x14ac:dyDescent="0.2">
      <c r="A55" s="67"/>
      <c r="B55" s="397"/>
      <c r="C55" s="67"/>
      <c r="D55" s="73" t="s">
        <v>132</v>
      </c>
      <c r="E55" s="67"/>
      <c r="F55" s="67"/>
      <c r="G55" s="238">
        <f>SUM(G31:G53)</f>
        <v>226770.25999999998</v>
      </c>
      <c r="H55" s="238">
        <f>SUM(H31:H53)</f>
        <v>1404924.2099999997</v>
      </c>
      <c r="I55" s="233"/>
      <c r="J55" s="238">
        <f>SUM(J31:J53)</f>
        <v>247028.01</v>
      </c>
      <c r="K55" s="363"/>
      <c r="L55" s="235">
        <f>SUM(L31:L53)</f>
        <v>-20257.750000000004</v>
      </c>
      <c r="M55" s="441">
        <f>L55/J55</f>
        <v>-8.2005882652740489E-2</v>
      </c>
      <c r="N55" s="538"/>
    </row>
    <row r="56" spans="1:18" s="68" customFormat="1" ht="10.5" customHeight="1" thickBot="1" x14ac:dyDescent="0.25">
      <c r="A56" s="67"/>
      <c r="B56" s="397"/>
      <c r="C56" s="67"/>
      <c r="D56" s="73"/>
      <c r="E56" s="67"/>
      <c r="F56" s="67"/>
      <c r="G56" s="242"/>
      <c r="H56" s="242"/>
      <c r="I56" s="233"/>
      <c r="J56" s="242"/>
      <c r="K56" s="363"/>
      <c r="L56" s="407"/>
      <c r="M56" s="520"/>
      <c r="N56" s="538"/>
    </row>
    <row r="57" spans="1:18" s="68" customFormat="1" ht="21" thickBot="1" x14ac:dyDescent="0.25">
      <c r="A57" s="67"/>
      <c r="B57" s="397"/>
      <c r="C57" s="67"/>
      <c r="D57" s="67" t="s">
        <v>133</v>
      </c>
      <c r="E57" s="67"/>
      <c r="F57" s="67"/>
      <c r="G57" s="242">
        <f>G28-G55</f>
        <v>-20139.229999999981</v>
      </c>
      <c r="H57" s="242">
        <f>H28-H55</f>
        <v>16416.500000000233</v>
      </c>
      <c r="I57" s="233"/>
      <c r="J57" s="242">
        <f>J28-J55</f>
        <v>-18502.690000000031</v>
      </c>
      <c r="K57" s="363"/>
      <c r="L57" s="242">
        <f>L28-L55</f>
        <v>-1636.5399999999681</v>
      </c>
      <c r="M57" s="514">
        <f>L57/J57</f>
        <v>8.8448760693713477E-2</v>
      </c>
      <c r="N57" s="538"/>
    </row>
    <row r="58" spans="1:18" s="68" customFormat="1" ht="11.25" customHeight="1" x14ac:dyDescent="0.2">
      <c r="A58" s="67"/>
      <c r="B58" s="397"/>
      <c r="C58" s="67"/>
      <c r="D58" s="67"/>
      <c r="E58" s="67"/>
      <c r="F58" s="67"/>
      <c r="G58" s="233"/>
      <c r="H58" s="233"/>
      <c r="I58" s="233"/>
      <c r="J58" s="233"/>
      <c r="K58" s="363"/>
      <c r="L58" s="405"/>
      <c r="M58" s="519"/>
      <c r="N58" s="534"/>
    </row>
    <row r="59" spans="1:18" s="76" customFormat="1" ht="21" thickBot="1" x14ac:dyDescent="0.25">
      <c r="A59" s="79"/>
      <c r="B59" s="396" t="s">
        <v>344</v>
      </c>
      <c r="C59" s="87"/>
      <c r="D59" s="87"/>
      <c r="E59" s="87"/>
      <c r="F59" s="87"/>
      <c r="G59" s="684"/>
      <c r="H59" s="242"/>
      <c r="I59" s="233"/>
      <c r="J59" s="242"/>
      <c r="K59" s="365"/>
      <c r="L59" s="405"/>
      <c r="M59" s="519"/>
      <c r="N59" s="534"/>
    </row>
    <row r="60" spans="1:18" s="76" customFormat="1" ht="20.25" x14ac:dyDescent="0.2">
      <c r="A60" s="79"/>
      <c r="B60" s="397"/>
      <c r="C60" s="67"/>
      <c r="D60" s="67" t="s">
        <v>145</v>
      </c>
      <c r="E60" s="67"/>
      <c r="F60" s="67"/>
      <c r="G60" s="233"/>
      <c r="H60" s="233"/>
      <c r="I60" s="233"/>
      <c r="J60" s="233"/>
      <c r="K60" s="365"/>
      <c r="L60" s="405"/>
      <c r="M60" s="519"/>
      <c r="N60" s="534"/>
    </row>
    <row r="61" spans="1:18" s="76" customFormat="1" ht="20.25" x14ac:dyDescent="0.2">
      <c r="A61" s="79"/>
      <c r="B61" s="397"/>
      <c r="C61" s="67"/>
      <c r="D61" s="67"/>
      <c r="E61" s="79" t="s">
        <v>146</v>
      </c>
      <c r="F61" s="67"/>
      <c r="G61" s="233">
        <f>52000-5200-5200</f>
        <v>41600</v>
      </c>
      <c r="H61" s="233">
        <v>46800</v>
      </c>
      <c r="I61" s="233"/>
      <c r="J61" s="233">
        <v>46800</v>
      </c>
      <c r="K61" s="365"/>
      <c r="L61" s="276">
        <f>G61-J61</f>
        <v>-5200</v>
      </c>
      <c r="M61" s="441">
        <f>L61/J61</f>
        <v>-0.1111111111111111</v>
      </c>
      <c r="N61" s="534"/>
      <c r="R61" s="248"/>
    </row>
    <row r="62" spans="1:18" s="76" customFormat="1" ht="20.25" x14ac:dyDescent="0.2">
      <c r="A62" s="79"/>
      <c r="B62" s="397"/>
      <c r="C62" s="67"/>
      <c r="D62" s="67"/>
      <c r="E62" s="79" t="s">
        <v>173</v>
      </c>
      <c r="F62" s="67"/>
      <c r="G62" s="233">
        <v>18500</v>
      </c>
      <c r="H62" s="233">
        <v>19000</v>
      </c>
      <c r="I62" s="233"/>
      <c r="J62" s="233">
        <v>19000</v>
      </c>
      <c r="K62" s="365"/>
      <c r="L62" s="276">
        <f>G62-J62</f>
        <v>-500</v>
      </c>
      <c r="M62" s="441">
        <f>L62/J62</f>
        <v>-2.6315789473684209E-2</v>
      </c>
      <c r="N62" s="534"/>
    </row>
    <row r="63" spans="1:18" s="76" customFormat="1" ht="20.25" x14ac:dyDescent="0.2">
      <c r="A63" s="79"/>
      <c r="B63" s="397"/>
      <c r="C63" s="67"/>
      <c r="D63" s="67"/>
      <c r="E63" s="79" t="s">
        <v>144</v>
      </c>
      <c r="F63" s="67"/>
      <c r="G63" s="236">
        <v>15000</v>
      </c>
      <c r="H63" s="236">
        <v>12955</v>
      </c>
      <c r="I63" s="236"/>
      <c r="J63" s="236">
        <f>1825</f>
        <v>1825</v>
      </c>
      <c r="K63" s="628"/>
      <c r="L63" s="629">
        <f>G63-J63</f>
        <v>13175</v>
      </c>
      <c r="M63" s="517">
        <f>L63/J63</f>
        <v>7.2191780821917808</v>
      </c>
      <c r="N63" s="534"/>
    </row>
    <row r="64" spans="1:18" s="76" customFormat="1" ht="21" thickBot="1" x14ac:dyDescent="0.25">
      <c r="A64" s="79"/>
      <c r="B64" s="397"/>
      <c r="C64" s="67"/>
      <c r="D64" s="67" t="s">
        <v>110</v>
      </c>
      <c r="E64" s="67"/>
      <c r="F64" s="67"/>
      <c r="G64" s="242">
        <f>-G27</f>
        <v>-15073.8</v>
      </c>
      <c r="H64" s="242">
        <f>-H27</f>
        <v>-79759.92</v>
      </c>
      <c r="I64" s="233"/>
      <c r="J64" s="242">
        <f>-J27</f>
        <v>-13980.4</v>
      </c>
      <c r="K64" s="365"/>
      <c r="L64" s="380">
        <f>G64-J64</f>
        <v>-1093.3999999999996</v>
      </c>
      <c r="M64" s="469">
        <f>L64/J64</f>
        <v>7.8209493290606821E-2</v>
      </c>
      <c r="N64" s="534"/>
    </row>
    <row r="65" spans="1:14" s="76" customFormat="1" ht="21" thickBot="1" x14ac:dyDescent="0.25">
      <c r="A65" s="79"/>
      <c r="B65" s="397"/>
      <c r="C65" s="67"/>
      <c r="D65" s="67"/>
      <c r="E65" s="67" t="s">
        <v>343</v>
      </c>
      <c r="F65" s="67"/>
      <c r="G65" s="242">
        <f>SUM(G60:G64)</f>
        <v>60026.2</v>
      </c>
      <c r="H65" s="242">
        <f>SUM(H60:H64)</f>
        <v>-1004.9199999999983</v>
      </c>
      <c r="I65" s="233"/>
      <c r="J65" s="242">
        <f>SUM(J60:J64)</f>
        <v>53644.6</v>
      </c>
      <c r="K65" s="365"/>
      <c r="L65" s="242">
        <f>SUM(L61:L64)</f>
        <v>6381.6</v>
      </c>
      <c r="M65" s="469">
        <f>L65/J65</f>
        <v>0.11896071552402293</v>
      </c>
      <c r="N65" s="534"/>
    </row>
    <row r="66" spans="1:14" s="68" customFormat="1" ht="7.5" customHeight="1" x14ac:dyDescent="0.2">
      <c r="A66" s="67"/>
      <c r="B66" s="397"/>
      <c r="C66" s="67"/>
      <c r="D66" s="67"/>
      <c r="E66" s="67"/>
      <c r="F66" s="67"/>
      <c r="G66" s="274"/>
      <c r="H66" s="274"/>
      <c r="I66" s="274"/>
      <c r="J66" s="274"/>
      <c r="K66" s="363"/>
      <c r="L66" s="405"/>
      <c r="M66" s="405"/>
      <c r="N66" s="534"/>
    </row>
    <row r="67" spans="1:14" s="68" customFormat="1" ht="20.25" x14ac:dyDescent="0.2">
      <c r="A67" s="67"/>
      <c r="B67" s="397"/>
      <c r="C67" s="67"/>
      <c r="D67" s="67"/>
      <c r="E67" s="67" t="s">
        <v>90</v>
      </c>
      <c r="F67" s="67"/>
      <c r="G67" s="238">
        <f>G57+G65</f>
        <v>39886.970000000016</v>
      </c>
      <c r="H67" s="238">
        <f>H57+H65</f>
        <v>15411.580000000235</v>
      </c>
      <c r="I67" s="238"/>
      <c r="J67" s="238">
        <f>J57+J65</f>
        <v>35141.909999999967</v>
      </c>
      <c r="K67" s="363"/>
      <c r="L67" s="238">
        <f>L57+L65</f>
        <v>4745.0600000000322</v>
      </c>
      <c r="M67" s="238"/>
      <c r="N67" s="534"/>
    </row>
    <row r="68" spans="1:14" s="68" customFormat="1" ht="8.25" customHeight="1" x14ac:dyDescent="0.2">
      <c r="A68" s="67"/>
      <c r="B68" s="397"/>
      <c r="C68" s="67"/>
      <c r="D68" s="67"/>
      <c r="E68" s="67"/>
      <c r="F68" s="67"/>
      <c r="G68" s="233"/>
      <c r="H68" s="233"/>
      <c r="I68" s="233"/>
      <c r="J68" s="233"/>
      <c r="K68" s="363"/>
      <c r="L68" s="405"/>
      <c r="M68" s="405"/>
      <c r="N68" s="534"/>
    </row>
    <row r="69" spans="1:14" s="82" customFormat="1" ht="26.25" x14ac:dyDescent="0.2">
      <c r="A69" s="269"/>
      <c r="B69" s="398"/>
      <c r="C69" s="67"/>
      <c r="D69" s="67" t="s">
        <v>148</v>
      </c>
      <c r="E69" s="67"/>
      <c r="F69" s="67"/>
      <c r="G69" s="238">
        <f>H70</f>
        <v>764816.78000000014</v>
      </c>
      <c r="H69" s="238">
        <v>749405.2</v>
      </c>
      <c r="I69" s="238"/>
      <c r="J69" s="238">
        <v>749405</v>
      </c>
      <c r="K69" s="366"/>
      <c r="L69" s="406"/>
      <c r="M69" s="406"/>
      <c r="N69" s="539"/>
    </row>
    <row r="70" spans="1:14" s="84" customFormat="1" ht="21" thickBot="1" x14ac:dyDescent="0.25">
      <c r="A70" s="67"/>
      <c r="B70" s="397"/>
      <c r="C70" s="67"/>
      <c r="E70" s="67" t="s">
        <v>147</v>
      </c>
      <c r="F70" s="67"/>
      <c r="G70" s="322">
        <f>G67+G69</f>
        <v>804703.75000000012</v>
      </c>
      <c r="H70" s="322">
        <f>H67+H69</f>
        <v>764816.78000000014</v>
      </c>
      <c r="I70" s="274"/>
      <c r="J70" s="322">
        <f>J67+J69</f>
        <v>784546.90999999992</v>
      </c>
      <c r="K70" s="367"/>
      <c r="L70" s="274"/>
      <c r="M70" s="406"/>
      <c r="N70" s="539"/>
    </row>
    <row r="71" spans="1:14" s="65" customFormat="1" ht="6.75" customHeight="1" thickTop="1" x14ac:dyDescent="0.2">
      <c r="A71" s="269"/>
      <c r="B71" s="398"/>
      <c r="C71" s="67"/>
      <c r="D71" s="269"/>
      <c r="E71" s="269"/>
      <c r="F71" s="269"/>
      <c r="G71" s="271"/>
      <c r="H71" s="233"/>
      <c r="I71" s="233"/>
      <c r="J71" s="233"/>
      <c r="K71" s="362"/>
      <c r="L71" s="405"/>
      <c r="M71" s="405"/>
      <c r="N71" s="534"/>
    </row>
    <row r="72" spans="1:14" s="68" customFormat="1" ht="16.5" customHeight="1" x14ac:dyDescent="0.2">
      <c r="A72" s="67"/>
      <c r="B72" s="397"/>
      <c r="D72" s="343"/>
      <c r="E72" s="67"/>
      <c r="G72" s="233"/>
      <c r="H72" s="233"/>
      <c r="I72" s="233"/>
      <c r="J72" s="233"/>
      <c r="K72" s="363"/>
      <c r="L72" s="405"/>
      <c r="M72" s="405"/>
      <c r="N72" s="534"/>
    </row>
    <row r="73" spans="1:14" s="68" customFormat="1" ht="23.25" x14ac:dyDescent="0.2">
      <c r="A73" s="67"/>
      <c r="B73" s="399"/>
      <c r="C73" s="67"/>
      <c r="D73" s="67"/>
      <c r="E73" s="67"/>
      <c r="F73" s="67"/>
      <c r="G73" s="233"/>
      <c r="H73" s="233"/>
      <c r="I73" s="233"/>
      <c r="J73" s="233"/>
      <c r="K73" s="363"/>
      <c r="L73" s="405"/>
      <c r="M73" s="405"/>
      <c r="N73" s="534"/>
    </row>
    <row r="74" spans="1:14" s="68" customFormat="1" ht="20.25" x14ac:dyDescent="0.2">
      <c r="A74" s="67"/>
      <c r="B74" s="397"/>
      <c r="C74" s="67"/>
      <c r="D74" s="67"/>
      <c r="E74" s="67"/>
      <c r="F74" s="67"/>
      <c r="G74" s="233"/>
      <c r="H74" s="233"/>
      <c r="I74" s="233"/>
      <c r="J74" s="233"/>
      <c r="K74" s="363"/>
      <c r="L74" s="405"/>
      <c r="M74" s="405"/>
      <c r="N74" s="534"/>
    </row>
    <row r="75" spans="1:14" s="76" customFormat="1" ht="20.25" x14ac:dyDescent="0.2">
      <c r="A75" s="79"/>
      <c r="B75" s="393"/>
      <c r="C75" s="79"/>
      <c r="D75" s="79"/>
      <c r="F75" s="79"/>
      <c r="G75" s="247"/>
      <c r="H75" s="233"/>
      <c r="I75" s="233"/>
      <c r="J75" s="233"/>
      <c r="K75" s="365"/>
      <c r="L75" s="405"/>
      <c r="M75" s="405"/>
      <c r="N75" s="534"/>
    </row>
    <row r="76" spans="1:14" s="76" customFormat="1" ht="20.25" x14ac:dyDescent="0.2">
      <c r="A76" s="79"/>
      <c r="B76" s="393"/>
      <c r="C76" s="79"/>
      <c r="D76" s="79"/>
      <c r="F76" s="79"/>
      <c r="G76" s="233"/>
      <c r="H76" s="233"/>
      <c r="I76" s="233"/>
      <c r="J76" s="233"/>
      <c r="K76" s="365"/>
      <c r="L76" s="405"/>
      <c r="M76" s="405"/>
      <c r="N76" s="534"/>
    </row>
    <row r="77" spans="1:14" s="76" customFormat="1" ht="20.25" x14ac:dyDescent="0.2">
      <c r="A77" s="79"/>
      <c r="B77" s="393"/>
      <c r="C77" s="79"/>
      <c r="D77" s="79"/>
      <c r="F77" s="79"/>
      <c r="G77" s="233"/>
      <c r="H77" s="233"/>
      <c r="I77" s="233"/>
      <c r="J77" s="233"/>
      <c r="K77" s="365"/>
      <c r="L77" s="405"/>
      <c r="M77" s="405"/>
      <c r="N77" s="534"/>
    </row>
    <row r="78" spans="1:14" s="76" customFormat="1" ht="20.25" x14ac:dyDescent="0.2">
      <c r="A78" s="79"/>
      <c r="B78" s="79"/>
      <c r="C78" s="79"/>
      <c r="D78" s="79"/>
      <c r="F78" s="79"/>
      <c r="G78" s="233"/>
      <c r="H78" s="233"/>
      <c r="I78" s="233"/>
      <c r="J78" s="233"/>
      <c r="K78" s="365"/>
      <c r="L78" s="405"/>
      <c r="M78" s="405"/>
      <c r="N78" s="534"/>
    </row>
    <row r="79" spans="1:14" s="76" customFormat="1" ht="20.25" x14ac:dyDescent="0.2">
      <c r="A79" s="79"/>
      <c r="B79" s="79"/>
      <c r="C79" s="79"/>
      <c r="D79" s="79"/>
      <c r="F79" s="79"/>
      <c r="G79" s="233"/>
      <c r="H79" s="233"/>
      <c r="I79" s="233"/>
      <c r="J79" s="233"/>
      <c r="K79" s="365"/>
      <c r="L79" s="405"/>
      <c r="M79" s="405"/>
      <c r="N79" s="534"/>
    </row>
    <row r="80" spans="1:14" s="76" customFormat="1" ht="20.25" x14ac:dyDescent="0.2">
      <c r="A80" s="79"/>
      <c r="B80" s="79"/>
      <c r="C80" s="79"/>
      <c r="D80" s="79"/>
      <c r="F80" s="79"/>
      <c r="G80" s="233"/>
      <c r="H80" s="233"/>
      <c r="I80" s="233"/>
      <c r="J80" s="233"/>
      <c r="K80" s="365"/>
      <c r="L80" s="405"/>
      <c r="M80" s="405"/>
      <c r="N80" s="534"/>
    </row>
    <row r="81" spans="1:14" s="76" customFormat="1" ht="20.25" x14ac:dyDescent="0.2">
      <c r="A81" s="79"/>
      <c r="B81" s="79"/>
      <c r="C81" s="67"/>
      <c r="D81" s="79"/>
      <c r="F81" s="79"/>
      <c r="G81" s="233"/>
      <c r="H81" s="233"/>
      <c r="I81" s="233"/>
      <c r="J81" s="233"/>
      <c r="K81" s="365"/>
      <c r="L81" s="405"/>
      <c r="M81" s="405"/>
      <c r="N81" s="534"/>
    </row>
    <row r="82" spans="1:14" s="76" customFormat="1" ht="20.25" x14ac:dyDescent="0.2">
      <c r="A82" s="79"/>
      <c r="B82" s="79"/>
      <c r="C82" s="79"/>
      <c r="D82" s="79"/>
      <c r="E82" s="79"/>
      <c r="F82" s="79"/>
      <c r="G82" s="233"/>
      <c r="H82" s="233"/>
      <c r="I82" s="233"/>
      <c r="J82" s="233"/>
      <c r="K82" s="365"/>
      <c r="L82" s="405"/>
      <c r="M82" s="405"/>
      <c r="N82" s="534"/>
    </row>
    <row r="83" spans="1:14" s="76" customFormat="1" ht="20.25" x14ac:dyDescent="0.2">
      <c r="A83" s="79"/>
      <c r="B83" s="79"/>
      <c r="C83" s="67"/>
      <c r="D83" s="67"/>
      <c r="G83" s="233"/>
      <c r="H83" s="233"/>
      <c r="I83" s="233"/>
      <c r="J83" s="233"/>
      <c r="K83" s="365"/>
      <c r="L83" s="405"/>
      <c r="M83" s="405"/>
      <c r="N83" s="534"/>
    </row>
    <row r="84" spans="1:14" s="76" customFormat="1" ht="20.25" x14ac:dyDescent="0.2">
      <c r="A84" s="79"/>
      <c r="B84" s="79"/>
      <c r="C84" s="79"/>
      <c r="D84" s="79"/>
      <c r="E84" s="79"/>
      <c r="F84" s="79"/>
      <c r="G84" s="233"/>
      <c r="H84" s="233"/>
      <c r="I84" s="233"/>
      <c r="J84" s="233"/>
      <c r="K84" s="365"/>
      <c r="L84" s="405"/>
      <c r="M84" s="405"/>
      <c r="N84" s="534"/>
    </row>
    <row r="85" spans="1:14" s="76" customFormat="1" ht="20.25" x14ac:dyDescent="0.2">
      <c r="A85" s="79"/>
      <c r="B85" s="79"/>
      <c r="C85" s="79"/>
      <c r="D85" s="79"/>
      <c r="E85" s="79"/>
      <c r="F85" s="79"/>
      <c r="G85" s="233"/>
      <c r="H85" s="233"/>
      <c r="I85" s="233"/>
      <c r="J85" s="233"/>
      <c r="K85" s="365"/>
      <c r="L85" s="405"/>
      <c r="M85" s="405"/>
      <c r="N85" s="534"/>
    </row>
    <row r="86" spans="1:14" s="76" customFormat="1" ht="20.25" x14ac:dyDescent="0.2">
      <c r="A86" s="79"/>
      <c r="B86" s="79"/>
      <c r="C86" s="79"/>
      <c r="D86" s="79"/>
      <c r="E86" s="79"/>
      <c r="F86" s="79"/>
      <c r="G86" s="233"/>
      <c r="H86" s="233"/>
      <c r="I86" s="233"/>
      <c r="J86" s="233"/>
      <c r="K86" s="365"/>
      <c r="L86" s="405"/>
      <c r="M86" s="405"/>
      <c r="N86" s="534"/>
    </row>
    <row r="87" spans="1:14" s="76" customFormat="1" ht="20.25" x14ac:dyDescent="0.2">
      <c r="A87" s="79"/>
      <c r="B87" s="79"/>
      <c r="C87" s="79"/>
      <c r="D87" s="79"/>
      <c r="E87" s="79"/>
      <c r="F87" s="79"/>
      <c r="G87" s="233"/>
      <c r="H87" s="233"/>
      <c r="I87" s="233"/>
      <c r="J87" s="233"/>
      <c r="K87" s="365"/>
      <c r="L87" s="405"/>
      <c r="M87" s="405"/>
      <c r="N87" s="534"/>
    </row>
    <row r="88" spans="1:14" s="76" customFormat="1" ht="20.25" x14ac:dyDescent="0.2">
      <c r="A88" s="79"/>
      <c r="B88" s="79"/>
      <c r="C88" s="67"/>
      <c r="D88" s="79"/>
      <c r="F88" s="79"/>
      <c r="G88" s="233"/>
      <c r="H88" s="233"/>
      <c r="I88" s="233"/>
      <c r="J88" s="233"/>
      <c r="K88" s="365"/>
      <c r="L88" s="405"/>
      <c r="M88" s="405"/>
      <c r="N88" s="534"/>
    </row>
    <row r="89" spans="1:14" s="76" customFormat="1" ht="20.25" x14ac:dyDescent="0.2">
      <c r="A89" s="79"/>
      <c r="B89" s="79"/>
      <c r="C89" s="79"/>
      <c r="D89" s="79"/>
      <c r="E89" s="79"/>
      <c r="F89" s="79"/>
      <c r="G89" s="233"/>
      <c r="H89" s="233"/>
      <c r="I89" s="233"/>
      <c r="J89" s="233"/>
      <c r="K89" s="365"/>
      <c r="L89" s="405"/>
      <c r="M89" s="405"/>
      <c r="N89" s="534"/>
    </row>
    <row r="90" spans="1:14" s="68" customFormat="1" ht="20.25" x14ac:dyDescent="0.2">
      <c r="A90" s="67"/>
      <c r="B90" s="67"/>
      <c r="C90" s="67"/>
      <c r="D90" s="67"/>
      <c r="E90" s="67"/>
      <c r="F90" s="67"/>
      <c r="G90" s="238"/>
      <c r="H90" s="238"/>
      <c r="I90" s="238"/>
      <c r="J90" s="238"/>
      <c r="K90" s="363"/>
      <c r="N90" s="534"/>
    </row>
    <row r="91" spans="1:14" s="68" customFormat="1" ht="20.25" x14ac:dyDescent="0.2">
      <c r="A91" s="67"/>
      <c r="B91" s="67"/>
      <c r="C91" s="67"/>
      <c r="D91" s="67"/>
      <c r="E91" s="67"/>
      <c r="F91" s="67"/>
      <c r="G91" s="238"/>
      <c r="H91" s="238"/>
      <c r="I91" s="238"/>
      <c r="J91" s="238"/>
      <c r="K91" s="363"/>
      <c r="N91" s="534"/>
    </row>
    <row r="92" spans="1:14" s="68" customFormat="1" ht="23.25" x14ac:dyDescent="0.2">
      <c r="A92" s="67"/>
      <c r="B92" s="272"/>
      <c r="C92" s="67"/>
      <c r="D92" s="67"/>
      <c r="E92" s="67"/>
      <c r="F92" s="67"/>
      <c r="G92" s="233"/>
      <c r="H92" s="233"/>
      <c r="I92" s="233"/>
      <c r="J92" s="233"/>
      <c r="K92" s="363"/>
      <c r="N92" s="534"/>
    </row>
    <row r="93" spans="1:14" s="76" customFormat="1" ht="20.25" x14ac:dyDescent="0.2">
      <c r="A93" s="79"/>
      <c r="B93" s="79"/>
      <c r="D93" s="79"/>
      <c r="E93" s="79"/>
      <c r="F93" s="79"/>
      <c r="G93" s="233"/>
      <c r="H93" s="233"/>
      <c r="I93" s="233"/>
      <c r="J93" s="233"/>
      <c r="K93" s="365"/>
      <c r="N93" s="534"/>
    </row>
    <row r="94" spans="1:14" s="76" customFormat="1" ht="20.25" x14ac:dyDescent="0.2">
      <c r="A94" s="79"/>
      <c r="B94" s="79"/>
      <c r="D94" s="79"/>
      <c r="E94" s="79"/>
      <c r="F94" s="79"/>
      <c r="G94" s="233"/>
      <c r="H94" s="233"/>
      <c r="I94" s="233"/>
      <c r="J94" s="233"/>
      <c r="K94" s="365"/>
      <c r="N94" s="534"/>
    </row>
    <row r="95" spans="1:14" s="68" customFormat="1" ht="20.25" x14ac:dyDescent="0.2">
      <c r="A95" s="67"/>
      <c r="B95" s="67"/>
      <c r="D95" s="79"/>
      <c r="E95" s="67"/>
      <c r="F95" s="67"/>
      <c r="G95" s="233"/>
      <c r="H95" s="233"/>
      <c r="I95" s="233"/>
      <c r="J95" s="233"/>
      <c r="K95" s="363"/>
      <c r="N95" s="534"/>
    </row>
    <row r="96" spans="1:14" s="68" customFormat="1" ht="23.25" x14ac:dyDescent="0.2">
      <c r="A96" s="67"/>
      <c r="B96" s="272"/>
      <c r="C96" s="67"/>
      <c r="D96" s="67"/>
      <c r="E96" s="67"/>
      <c r="F96" s="67"/>
      <c r="G96" s="238"/>
      <c r="H96" s="238"/>
      <c r="I96" s="238"/>
      <c r="J96" s="238"/>
      <c r="K96" s="363"/>
      <c r="N96" s="534"/>
    </row>
    <row r="97" spans="1:14" s="68" customFormat="1" ht="20.25" x14ac:dyDescent="0.2">
      <c r="A97" s="67"/>
      <c r="B97" s="67"/>
      <c r="C97" s="67"/>
      <c r="D97" s="67"/>
      <c r="E97" s="67"/>
      <c r="F97" s="67"/>
      <c r="G97" s="233"/>
      <c r="H97" s="233"/>
      <c r="I97" s="233"/>
      <c r="J97" s="233"/>
      <c r="K97" s="363"/>
      <c r="N97" s="534"/>
    </row>
    <row r="98" spans="1:14" s="82" customFormat="1" ht="26.25" x14ac:dyDescent="0.2">
      <c r="A98" s="269"/>
      <c r="B98" s="269"/>
      <c r="C98" s="269"/>
      <c r="D98" s="269"/>
      <c r="E98" s="269"/>
      <c r="F98" s="269"/>
      <c r="G98" s="270"/>
      <c r="H98" s="238"/>
      <c r="I98" s="238"/>
      <c r="J98" s="238"/>
      <c r="K98" s="366"/>
      <c r="N98" s="539"/>
    </row>
    <row r="99" spans="1:14" s="18" customFormat="1" ht="20.25" x14ac:dyDescent="0.3">
      <c r="A99" s="122"/>
      <c r="B99" s="122"/>
      <c r="C99" s="122"/>
      <c r="D99" s="122"/>
      <c r="E99" s="122"/>
      <c r="F99" s="122"/>
      <c r="G99" s="273"/>
      <c r="H99" s="278"/>
      <c r="I99" s="278"/>
      <c r="J99" s="278"/>
      <c r="K99" s="368"/>
      <c r="N99" s="540"/>
    </row>
    <row r="100" spans="1:14" ht="20.25" x14ac:dyDescent="0.3">
      <c r="H100" s="278"/>
      <c r="I100" s="278"/>
      <c r="J100" s="278"/>
    </row>
    <row r="101" spans="1:14" ht="20.25" x14ac:dyDescent="0.3">
      <c r="H101" s="278"/>
      <c r="I101" s="278"/>
      <c r="J101" s="278"/>
    </row>
    <row r="102" spans="1:14" ht="20.25" x14ac:dyDescent="0.3">
      <c r="H102" s="275"/>
      <c r="I102" s="275"/>
      <c r="J102" s="275"/>
    </row>
  </sheetData>
  <mergeCells count="3">
    <mergeCell ref="L8:M8"/>
    <mergeCell ref="G6:J6"/>
    <mergeCell ref="C43:F43"/>
  </mergeCells>
  <pageMargins left="0.65" right="0.15" top="0.25" bottom="0.25" header="0.3" footer="0.3"/>
  <pageSetup scale="44"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3"/>
  <sheetViews>
    <sheetView zoomScale="70" zoomScaleNormal="70" workbookViewId="0"/>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4"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1"/>
      <c r="H1" s="59"/>
      <c r="I1" s="59"/>
      <c r="J1" s="59"/>
      <c r="K1" s="59"/>
      <c r="L1" s="468"/>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219</v>
      </c>
      <c r="B2" s="59"/>
      <c r="C2" s="60"/>
      <c r="D2" s="60"/>
      <c r="E2" s="60"/>
      <c r="F2" s="59"/>
      <c r="G2" s="231"/>
      <c r="H2" s="59"/>
      <c r="I2" s="59"/>
      <c r="J2" s="59"/>
      <c r="K2" s="59"/>
      <c r="L2" s="468"/>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'February''21 State of Activities'!A3</f>
        <v>Two Months Ended February 28, 2021 and 2020</v>
      </c>
      <c r="B3" s="59"/>
      <c r="C3" s="60"/>
      <c r="D3" s="60"/>
      <c r="E3" s="60"/>
      <c r="F3" s="59"/>
      <c r="G3" s="231"/>
      <c r="H3" s="59"/>
      <c r="I3" s="59"/>
      <c r="J3" s="59"/>
      <c r="K3" s="59"/>
      <c r="L3" s="46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'February''21 State of Activities'!A4</f>
        <v>For the Year Ended December 31, 2020</v>
      </c>
      <c r="B4" s="59"/>
      <c r="C4" s="60"/>
      <c r="D4" s="60"/>
      <c r="E4" s="60"/>
      <c r="F4" s="59"/>
      <c r="G4" s="231"/>
      <c r="H4" s="59"/>
      <c r="I4" s="59"/>
      <c r="J4" s="59"/>
      <c r="K4" s="59"/>
      <c r="L4" s="468"/>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800"/>
      <c r="H6" s="241" t="s">
        <v>53</v>
      </c>
      <c r="I6" s="241"/>
      <c r="J6" s="885" t="s">
        <v>53</v>
      </c>
      <c r="K6" s="885"/>
      <c r="L6" s="885"/>
      <c r="M6" s="885"/>
      <c r="N6" s="65"/>
      <c r="O6" s="418" t="s">
        <v>185</v>
      </c>
      <c r="P6" s="415" t="s">
        <v>198</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3"/>
    </row>
    <row r="8" spans="1:128" s="72" customFormat="1" ht="21" thickBot="1" x14ac:dyDescent="0.35">
      <c r="A8" s="69"/>
      <c r="B8" s="153" t="s">
        <v>104</v>
      </c>
      <c r="C8" s="153"/>
      <c r="D8" s="153"/>
      <c r="E8" s="153"/>
      <c r="F8" s="153"/>
      <c r="G8" s="282">
        <v>41090</v>
      </c>
      <c r="H8" s="282">
        <v>41274</v>
      </c>
      <c r="I8" s="324"/>
      <c r="J8" s="690">
        <f>'February''21 State of Activities'!G8</f>
        <v>44255</v>
      </c>
      <c r="K8" s="691">
        <v>44196</v>
      </c>
      <c r="L8" s="692"/>
      <c r="M8" s="691">
        <f>'February''21 State of Activities'!J8</f>
        <v>43890</v>
      </c>
      <c r="N8" s="71"/>
      <c r="O8" s="912" t="s">
        <v>531</v>
      </c>
      <c r="P8" s="912"/>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3" t="s">
        <v>154</v>
      </c>
      <c r="D9" s="423"/>
      <c r="E9" s="423"/>
      <c r="F9" s="73"/>
      <c r="G9" s="265">
        <v>127719</v>
      </c>
      <c r="H9" s="265">
        <v>67566.5</v>
      </c>
      <c r="I9" s="323"/>
      <c r="J9" s="327">
        <f>'February''21 State of Activities'!G10</f>
        <v>8918.91</v>
      </c>
      <c r="K9" s="327">
        <f>68070.06</f>
        <v>68070.06</v>
      </c>
      <c r="L9" s="327"/>
      <c r="M9" s="327">
        <f>'February''21 State of Activities'!J10</f>
        <v>24436.59</v>
      </c>
      <c r="N9" s="68"/>
      <c r="O9" s="381">
        <f>J9-M9</f>
        <v>-15517.68</v>
      </c>
      <c r="P9" s="416">
        <f>O9/M9</f>
        <v>-0.63501822471957015</v>
      </c>
      <c r="Q9" s="68"/>
      <c r="R9" s="391"/>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3" t="s">
        <v>220</v>
      </c>
      <c r="D10" s="423"/>
      <c r="E10" s="423"/>
      <c r="F10" s="73"/>
      <c r="G10" s="264">
        <v>875436</v>
      </c>
      <c r="H10" s="264">
        <v>372424.1</v>
      </c>
      <c r="I10" s="327"/>
      <c r="J10" s="323">
        <v>0</v>
      </c>
      <c r="K10" s="323">
        <v>16169.1</v>
      </c>
      <c r="L10" s="327"/>
      <c r="M10" s="323">
        <f>1260*1.14+2500</f>
        <v>3936.3999999999996</v>
      </c>
      <c r="N10" s="68"/>
      <c r="O10" s="515">
        <f>J10-M10</f>
        <v>-3936.3999999999996</v>
      </c>
      <c r="P10" s="416">
        <f>O10/M10</f>
        <v>-1</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3" t="s">
        <v>417</v>
      </c>
      <c r="D11" s="423"/>
      <c r="E11" s="423"/>
      <c r="F11" s="73"/>
      <c r="G11" s="264"/>
      <c r="H11" s="264"/>
      <c r="I11" s="327"/>
      <c r="J11" s="323">
        <v>0</v>
      </c>
      <c r="K11" s="323">
        <v>3260</v>
      </c>
      <c r="L11" s="327"/>
      <c r="M11" s="323">
        <v>3260</v>
      </c>
      <c r="N11" s="68"/>
      <c r="O11" s="515">
        <f>J11-M11</f>
        <v>-3260</v>
      </c>
      <c r="P11" s="441">
        <f>O11/M11</f>
        <v>-1</v>
      </c>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3" t="s">
        <v>106</v>
      </c>
      <c r="D12" s="423"/>
      <c r="E12" s="423"/>
      <c r="F12" s="73"/>
      <c r="G12" s="265"/>
      <c r="H12" s="265"/>
      <c r="I12" s="323"/>
      <c r="J12" s="323"/>
      <c r="K12" s="323"/>
      <c r="L12" s="323"/>
      <c r="M12" s="323"/>
      <c r="N12" s="68"/>
      <c r="O12" s="515"/>
      <c r="P12" s="42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3" t="s">
        <v>221</v>
      </c>
      <c r="E13" s="423"/>
      <c r="F13" s="73"/>
      <c r="G13" s="265">
        <v>94235.25</v>
      </c>
      <c r="H13" s="265">
        <v>37190.379999999997</v>
      </c>
      <c r="I13" s="323"/>
      <c r="J13" s="323">
        <f>'February''21 Revenues &amp; Expenses'!I17</f>
        <v>7583.34</v>
      </c>
      <c r="K13" s="323">
        <f>3750*12</f>
        <v>45000</v>
      </c>
      <c r="L13" s="323"/>
      <c r="M13" s="323">
        <f>3750*2</f>
        <v>7500</v>
      </c>
      <c r="N13" s="68"/>
      <c r="O13" s="515">
        <f t="shared" ref="O13:O20" si="0">J13-M13</f>
        <v>83.340000000000146</v>
      </c>
      <c r="P13" s="441">
        <f t="shared" ref="P13:P18" si="1">O13/M13</f>
        <v>1.1112000000000019E-2</v>
      </c>
      <c r="Q13" s="68"/>
      <c r="R13" s="474"/>
      <c r="S13" s="475"/>
      <c r="T13" s="474"/>
      <c r="U13" s="474"/>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3" t="s">
        <v>163</v>
      </c>
      <c r="E14" s="423"/>
      <c r="F14" s="73"/>
      <c r="G14" s="265"/>
      <c r="H14" s="265"/>
      <c r="I14" s="323"/>
      <c r="J14" s="323">
        <f>'February''21 Revenues &amp; Expenses'!I26</f>
        <v>3000</v>
      </c>
      <c r="K14" s="323">
        <v>18000</v>
      </c>
      <c r="L14" s="323"/>
      <c r="M14" s="323">
        <f>'February''21 State of Activities'!J15</f>
        <v>3000</v>
      </c>
      <c r="N14" s="68"/>
      <c r="O14" s="515">
        <f t="shared" si="0"/>
        <v>0</v>
      </c>
      <c r="P14" s="441">
        <f t="shared" si="1"/>
        <v>0</v>
      </c>
      <c r="Q14" s="68"/>
      <c r="R14" s="68"/>
      <c r="S14" s="390"/>
      <c r="T14" s="476"/>
      <c r="U14" s="363"/>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3" t="s">
        <v>107</v>
      </c>
      <c r="D15" s="423"/>
      <c r="E15" s="423"/>
      <c r="F15" s="73"/>
      <c r="G15" s="265">
        <v>0</v>
      </c>
      <c r="H15" s="265">
        <v>3517</v>
      </c>
      <c r="I15" s="323"/>
      <c r="J15" s="323">
        <f>'February''21 State of Activities'!G17</f>
        <v>2559.1999999999998</v>
      </c>
      <c r="K15" s="323">
        <v>12695.06</v>
      </c>
      <c r="L15" s="323"/>
      <c r="M15" s="323">
        <f>'February''21 State of Activities'!J17</f>
        <v>2374.5</v>
      </c>
      <c r="N15" s="68"/>
      <c r="O15" s="515">
        <f t="shared" si="0"/>
        <v>184.69999999999982</v>
      </c>
      <c r="P15" s="441">
        <f t="shared" si="1"/>
        <v>7.7784796799326095E-2</v>
      </c>
      <c r="Q15" s="68"/>
      <c r="R15" s="68"/>
      <c r="S15" s="390"/>
      <c r="T15" s="476"/>
      <c r="U15" s="363"/>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3" t="s">
        <v>222</v>
      </c>
      <c r="D16" s="423"/>
      <c r="E16" s="423"/>
      <c r="F16" s="73"/>
      <c r="G16" s="265">
        <v>31459</v>
      </c>
      <c r="H16" s="265">
        <v>13920.35</v>
      </c>
      <c r="I16" s="323"/>
      <c r="J16" s="323">
        <f>'February''21 Revenues &amp; Expenses'!H40</f>
        <v>3977.6</v>
      </c>
      <c r="K16" s="323">
        <v>25000</v>
      </c>
      <c r="L16" s="323"/>
      <c r="M16" s="323">
        <v>3968.03</v>
      </c>
      <c r="N16" s="68"/>
      <c r="O16" s="515">
        <f t="shared" si="0"/>
        <v>9.569999999999709</v>
      </c>
      <c r="P16" s="441">
        <f t="shared" si="1"/>
        <v>2.4117761206441757E-3</v>
      </c>
      <c r="Q16" s="68"/>
      <c r="R16" s="68"/>
      <c r="S16" s="390"/>
      <c r="T16" s="476"/>
      <c r="U16" s="363"/>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3" t="s">
        <v>397</v>
      </c>
      <c r="D17" s="423"/>
      <c r="E17" s="423"/>
      <c r="F17" s="73"/>
      <c r="G17" s="265"/>
      <c r="H17" s="265"/>
      <c r="I17" s="323"/>
      <c r="J17" s="323">
        <v>5622.34</v>
      </c>
      <c r="K17" s="323">
        <v>26390.61</v>
      </c>
      <c r="L17" s="323"/>
      <c r="M17" s="323">
        <v>147.51</v>
      </c>
      <c r="N17" s="68"/>
      <c r="O17" s="515">
        <f t="shared" si="0"/>
        <v>5474.83</v>
      </c>
      <c r="P17" s="416">
        <f t="shared" si="1"/>
        <v>37.114975255914857</v>
      </c>
      <c r="Q17" s="68"/>
      <c r="R17" s="68"/>
      <c r="S17" s="390"/>
      <c r="T17" s="476"/>
      <c r="U17" s="363"/>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3" t="s">
        <v>419</v>
      </c>
      <c r="D18" s="423"/>
      <c r="E18" s="423"/>
      <c r="F18" s="73"/>
      <c r="G18" s="265"/>
      <c r="H18" s="265"/>
      <c r="I18" s="323"/>
      <c r="J18" s="323">
        <f>'February''21 Revenues &amp; Expenses'!H46</f>
        <v>0</v>
      </c>
      <c r="K18" s="323">
        <v>6032.85</v>
      </c>
      <c r="L18" s="323"/>
      <c r="M18" s="323">
        <f>1664.32</f>
        <v>1664.32</v>
      </c>
      <c r="N18" s="68"/>
      <c r="O18" s="515">
        <f t="shared" si="0"/>
        <v>-1664.32</v>
      </c>
      <c r="P18" s="416">
        <f t="shared" si="1"/>
        <v>-1</v>
      </c>
      <c r="Q18" s="68"/>
      <c r="R18" s="68"/>
      <c r="S18" s="390"/>
      <c r="T18" s="476"/>
      <c r="U18" s="363"/>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3" t="s">
        <v>451</v>
      </c>
      <c r="D19" s="423"/>
      <c r="E19" s="423"/>
      <c r="F19" s="73"/>
      <c r="G19" s="265"/>
      <c r="H19" s="265"/>
      <c r="I19" s="323"/>
      <c r="J19" s="323">
        <v>0</v>
      </c>
      <c r="K19" s="323">
        <v>15000</v>
      </c>
      <c r="L19" s="323"/>
      <c r="M19" s="323"/>
      <c r="N19" s="68"/>
      <c r="O19" s="515">
        <f t="shared" si="0"/>
        <v>0</v>
      </c>
      <c r="P19" s="441"/>
      <c r="Q19" s="68"/>
      <c r="R19" s="68"/>
      <c r="S19" s="390"/>
      <c r="T19" s="476"/>
      <c r="U19" s="363"/>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423" t="s">
        <v>452</v>
      </c>
      <c r="D20" s="423"/>
      <c r="E20" s="423"/>
      <c r="F20" s="73"/>
      <c r="G20" s="265"/>
      <c r="H20" s="265"/>
      <c r="I20" s="323"/>
      <c r="J20" s="323">
        <v>0</v>
      </c>
      <c r="K20" s="323">
        <v>5488</v>
      </c>
      <c r="L20" s="323"/>
      <c r="M20" s="323"/>
      <c r="N20" s="68"/>
      <c r="O20" s="515">
        <f t="shared" si="0"/>
        <v>0</v>
      </c>
      <c r="P20" s="441"/>
      <c r="Q20" s="68"/>
      <c r="R20" s="68"/>
      <c r="S20" s="390"/>
      <c r="T20" s="476"/>
      <c r="U20" s="363"/>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x14ac:dyDescent="0.2">
      <c r="A21" s="73"/>
      <c r="B21" s="73"/>
      <c r="C21" s="423" t="s">
        <v>345</v>
      </c>
      <c r="D21" s="423"/>
      <c r="E21" s="423"/>
      <c r="F21" s="73"/>
      <c r="G21" s="265"/>
      <c r="H21" s="265"/>
      <c r="I21" s="323"/>
      <c r="J21" s="323">
        <v>0</v>
      </c>
      <c r="K21" s="323">
        <v>190.32</v>
      </c>
      <c r="L21" s="323"/>
      <c r="M21" s="323">
        <v>106.12</v>
      </c>
      <c r="N21" s="68"/>
      <c r="O21" s="515">
        <f t="shared" ref="O21:O22" si="2">J21-M21</f>
        <v>-106.12</v>
      </c>
      <c r="P21" s="441">
        <f t="shared" ref="P21" si="3">O21/M21</f>
        <v>-1</v>
      </c>
      <c r="Q21" s="68"/>
      <c r="R21" s="68"/>
      <c r="S21" s="390"/>
      <c r="T21" s="476"/>
      <c r="U21" s="363"/>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914" t="s">
        <v>348</v>
      </c>
      <c r="D22" s="914"/>
      <c r="E22" s="914"/>
      <c r="F22" s="914"/>
      <c r="G22" s="265"/>
      <c r="H22" s="265"/>
      <c r="I22" s="323"/>
      <c r="J22" s="323">
        <v>0</v>
      </c>
      <c r="K22" s="323">
        <v>65.42</v>
      </c>
      <c r="L22" s="323"/>
      <c r="M22" s="323">
        <v>0</v>
      </c>
      <c r="N22" s="68"/>
      <c r="O22" s="515">
        <f t="shared" si="2"/>
        <v>0</v>
      </c>
      <c r="P22" s="441"/>
      <c r="Q22" s="68"/>
      <c r="R22" s="68"/>
      <c r="S22" s="390"/>
      <c r="T22" s="476"/>
      <c r="U22" s="363"/>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x14ac:dyDescent="0.2">
      <c r="A23" s="73"/>
      <c r="B23" s="73"/>
      <c r="C23" s="423" t="s">
        <v>356</v>
      </c>
      <c r="D23" s="423"/>
      <c r="E23" s="423"/>
      <c r="F23" s="73"/>
      <c r="G23" s="265">
        <v>1125</v>
      </c>
      <c r="H23" s="265">
        <v>6050</v>
      </c>
      <c r="I23" s="323"/>
      <c r="J23" s="323">
        <v>3150</v>
      </c>
      <c r="K23" s="323">
        <v>0</v>
      </c>
      <c r="L23" s="323"/>
      <c r="M23" s="323">
        <f>'February''21 State of Activities'!J24</f>
        <v>0</v>
      </c>
      <c r="N23" s="68"/>
      <c r="O23" s="515">
        <f t="shared" ref="O23:O28" si="4">J23-M23</f>
        <v>3150</v>
      </c>
      <c r="P23" s="441"/>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423" t="s">
        <v>223</v>
      </c>
      <c r="D24" s="423"/>
      <c r="E24" s="423"/>
      <c r="F24" s="73"/>
      <c r="G24" s="266">
        <v>31250</v>
      </c>
      <c r="H24" s="266">
        <v>15624.98</v>
      </c>
      <c r="I24" s="323"/>
      <c r="J24" s="266">
        <f>'February''21 State of Activities'!G25*0.2</f>
        <v>1758</v>
      </c>
      <c r="K24" s="266">
        <f>'[2]December''20 State of Activities'!H25*0.2</f>
        <v>9315</v>
      </c>
      <c r="L24" s="323"/>
      <c r="M24" s="266">
        <f>'February''21 State of Activities'!J25*0.2</f>
        <v>1758</v>
      </c>
      <c r="N24" s="68"/>
      <c r="O24" s="516">
        <f t="shared" si="4"/>
        <v>0</v>
      </c>
      <c r="P24" s="417">
        <v>0</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3"/>
      <c r="D25" s="73" t="s">
        <v>109</v>
      </c>
      <c r="E25" s="423"/>
      <c r="F25" s="73"/>
      <c r="G25" s="235">
        <v>1161224.25</v>
      </c>
      <c r="H25" s="235">
        <v>516293.30999999994</v>
      </c>
      <c r="I25" s="233"/>
      <c r="J25" s="265">
        <f>SUM(J9:J24)</f>
        <v>36569.39</v>
      </c>
      <c r="K25" s="265">
        <f>SUM(K9:K24)</f>
        <v>250676.42000000004</v>
      </c>
      <c r="L25" s="323"/>
      <c r="M25" s="265">
        <f>SUM(M9:M24)</f>
        <v>52151.47</v>
      </c>
      <c r="N25" s="68"/>
      <c r="O25" s="276">
        <f t="shared" si="4"/>
        <v>-15582.080000000002</v>
      </c>
      <c r="P25" s="441">
        <f>O25/M25</f>
        <v>-0.29878505821600043</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1" thickBot="1" x14ac:dyDescent="0.25">
      <c r="A26" s="73"/>
      <c r="B26" s="73"/>
      <c r="C26" s="73" t="s">
        <v>224</v>
      </c>
      <c r="D26" s="423"/>
      <c r="E26" s="423"/>
      <c r="F26" s="73"/>
      <c r="G26" s="242">
        <v>150176</v>
      </c>
      <c r="H26" s="242">
        <v>47700.27</v>
      </c>
      <c r="I26" s="233"/>
      <c r="J26" s="323">
        <f>18500/12*2</f>
        <v>3083.3333333333335</v>
      </c>
      <c r="K26" s="323">
        <v>19000</v>
      </c>
      <c r="L26" s="323"/>
      <c r="M26" s="323">
        <f>19000/12*2</f>
        <v>3166.6666666666665</v>
      </c>
      <c r="N26" s="68"/>
      <c r="O26" s="515">
        <f t="shared" si="4"/>
        <v>-83.33333333333303</v>
      </c>
      <c r="P26" s="416">
        <f>O26/M26</f>
        <v>-2.6315789473684115E-2</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225</v>
      </c>
      <c r="D27" s="423"/>
      <c r="E27" s="423"/>
      <c r="F27" s="73"/>
      <c r="G27" s="233"/>
      <c r="H27" s="233"/>
      <c r="I27" s="233"/>
      <c r="J27" s="266">
        <v>4651.57</v>
      </c>
      <c r="K27" s="266">
        <v>34669.31</v>
      </c>
      <c r="L27" s="323"/>
      <c r="M27" s="266">
        <v>6101.46</v>
      </c>
      <c r="N27" s="68"/>
      <c r="O27" s="380">
        <f t="shared" si="4"/>
        <v>-1449.8900000000003</v>
      </c>
      <c r="P27" s="469">
        <f>O27/M27</f>
        <v>-0.23763000986649102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0.25" x14ac:dyDescent="0.2">
      <c r="A28" s="73"/>
      <c r="B28" s="73"/>
      <c r="C28" s="423"/>
      <c r="D28" s="73" t="s">
        <v>111</v>
      </c>
      <c r="E28" s="423"/>
      <c r="F28" s="73"/>
      <c r="G28" s="235">
        <v>1311400.25</v>
      </c>
      <c r="H28" s="235">
        <v>563993.57999999996</v>
      </c>
      <c r="I28" s="233"/>
      <c r="J28" s="265">
        <f>SUM(J25:J27)</f>
        <v>44304.293333333335</v>
      </c>
      <c r="K28" s="265">
        <f>SUM(K25:K27)</f>
        <v>304345.73000000004</v>
      </c>
      <c r="L28" s="323"/>
      <c r="M28" s="265">
        <f>SUM(M25:M27)</f>
        <v>61419.596666666665</v>
      </c>
      <c r="N28" s="68"/>
      <c r="O28" s="276">
        <f t="shared" si="4"/>
        <v>-17115.30333333333</v>
      </c>
      <c r="P28" s="441">
        <f>O28/M28</f>
        <v>-0.27866192977822113</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3"/>
      <c r="D29" s="73"/>
      <c r="E29" s="423"/>
      <c r="F29" s="73"/>
      <c r="G29" s="235"/>
      <c r="H29" s="235"/>
      <c r="I29" s="233"/>
      <c r="J29" s="323"/>
      <c r="K29" s="603"/>
      <c r="L29" s="323"/>
      <c r="M29" s="323"/>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1" thickBot="1" x14ac:dyDescent="0.25">
      <c r="A30" s="73"/>
      <c r="B30" s="87" t="s">
        <v>115</v>
      </c>
      <c r="C30" s="87"/>
      <c r="D30" s="87"/>
      <c r="E30" s="87"/>
      <c r="F30" s="87"/>
      <c r="G30" s="242"/>
      <c r="H30" s="68"/>
      <c r="I30" s="68"/>
      <c r="J30" s="323"/>
      <c r="K30" s="370"/>
      <c r="L30" s="370"/>
      <c r="M30" s="370"/>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68" customFormat="1" ht="20.25" x14ac:dyDescent="0.2">
      <c r="A31" s="67"/>
      <c r="B31" s="67"/>
      <c r="C31" s="79" t="s">
        <v>226</v>
      </c>
      <c r="D31" s="79"/>
      <c r="E31" s="79"/>
      <c r="F31" s="79"/>
      <c r="G31" s="233">
        <v>733747.79999999993</v>
      </c>
      <c r="H31" s="276">
        <v>361976</v>
      </c>
      <c r="I31" s="276"/>
      <c r="J31" s="323"/>
      <c r="K31" s="402"/>
      <c r="L31" s="402"/>
      <c r="M31" s="402"/>
    </row>
    <row r="32" spans="1:61" s="68" customFormat="1" ht="20.25" x14ac:dyDescent="0.2">
      <c r="A32" s="67"/>
      <c r="B32" s="67"/>
      <c r="C32" s="79"/>
      <c r="D32" s="887" t="s">
        <v>227</v>
      </c>
      <c r="E32" s="887"/>
      <c r="F32" s="887"/>
      <c r="G32" s="233"/>
      <c r="H32" s="276"/>
      <c r="I32" s="276"/>
      <c r="J32" s="323">
        <f>22479.67</f>
        <v>22479.67</v>
      </c>
      <c r="K32" s="323">
        <v>133830.65</v>
      </c>
      <c r="L32" s="402"/>
      <c r="M32" s="323">
        <v>26978.61</v>
      </c>
      <c r="N32" s="370"/>
      <c r="O32" s="402">
        <f t="shared" ref="O32:O52" si="5">J32-M32</f>
        <v>-4498.9400000000023</v>
      </c>
      <c r="P32" s="441">
        <f>O32/M32</f>
        <v>-0.1667595180033368</v>
      </c>
    </row>
    <row r="33" spans="1:18" s="68" customFormat="1" ht="20.25" x14ac:dyDescent="0.2">
      <c r="A33" s="67"/>
      <c r="B33" s="67"/>
      <c r="C33" s="79"/>
      <c r="D33" s="887" t="s">
        <v>228</v>
      </c>
      <c r="E33" s="887"/>
      <c r="F33" s="887"/>
      <c r="G33" s="233"/>
      <c r="H33" s="276"/>
      <c r="I33" s="276"/>
      <c r="J33" s="323">
        <f>6684.93+4212.51</f>
        <v>10897.44</v>
      </c>
      <c r="K33" s="323">
        <f>44061.17+21220.39</f>
        <v>65281.56</v>
      </c>
      <c r="L33" s="402"/>
      <c r="M33" s="323">
        <f>6803.46+4390.6</f>
        <v>11194.060000000001</v>
      </c>
      <c r="N33" s="370"/>
      <c r="O33" s="402">
        <f t="shared" si="5"/>
        <v>-296.6200000000008</v>
      </c>
      <c r="P33" s="441">
        <f>O33/M33</f>
        <v>-2.6497981965435308E-2</v>
      </c>
      <c r="R33" s="263"/>
    </row>
    <row r="34" spans="1:18" s="68" customFormat="1" ht="20.25" x14ac:dyDescent="0.2">
      <c r="A34" s="67"/>
      <c r="B34" s="67"/>
      <c r="C34" s="79"/>
      <c r="D34" s="887" t="s">
        <v>117</v>
      </c>
      <c r="E34" s="887"/>
      <c r="F34" s="887"/>
      <c r="G34" s="233"/>
      <c r="H34" s="276"/>
      <c r="I34" s="276"/>
      <c r="J34" s="323">
        <v>6338.3</v>
      </c>
      <c r="K34" s="323">
        <v>36601</v>
      </c>
      <c r="L34" s="402"/>
      <c r="M34" s="323">
        <v>6957.28</v>
      </c>
      <c r="N34" s="370"/>
      <c r="O34" s="402">
        <f t="shared" si="5"/>
        <v>-618.97999999999956</v>
      </c>
      <c r="P34" s="441">
        <f>O34/M34</f>
        <v>-8.8968677414161798E-2</v>
      </c>
    </row>
    <row r="35" spans="1:18" s="68" customFormat="1" ht="20.25" x14ac:dyDescent="0.2">
      <c r="A35" s="67"/>
      <c r="B35" s="67"/>
      <c r="C35" s="79" t="s">
        <v>286</v>
      </c>
      <c r="D35" s="79"/>
      <c r="E35" s="79"/>
      <c r="F35" s="79"/>
      <c r="G35" s="233">
        <v>44745.18</v>
      </c>
      <c r="H35" s="233">
        <v>20974.21</v>
      </c>
      <c r="I35" s="233"/>
      <c r="J35" s="808"/>
      <c r="K35" s="808"/>
      <c r="L35" s="808"/>
      <c r="M35" s="808"/>
      <c r="N35" s="370"/>
      <c r="O35" s="402">
        <f t="shared" si="5"/>
        <v>0</v>
      </c>
      <c r="P35" s="441"/>
    </row>
    <row r="36" spans="1:18" s="68" customFormat="1" ht="20.25" x14ac:dyDescent="0.2">
      <c r="A36" s="67"/>
      <c r="B36" s="67"/>
      <c r="C36" s="79"/>
      <c r="D36" s="887" t="s">
        <v>229</v>
      </c>
      <c r="E36" s="887"/>
      <c r="F36" s="887"/>
      <c r="G36" s="233"/>
      <c r="H36" s="233"/>
      <c r="I36" s="233"/>
      <c r="J36" s="323">
        <v>2852.06</v>
      </c>
      <c r="K36" s="323">
        <v>15135.29</v>
      </c>
      <c r="L36" s="323"/>
      <c r="M36" s="323">
        <v>4097.3599999999997</v>
      </c>
      <c r="N36" s="370"/>
      <c r="O36" s="402">
        <f t="shared" si="5"/>
        <v>-1245.2999999999997</v>
      </c>
      <c r="P36" s="441">
        <f t="shared" ref="P36:P43" si="6">O36/M36</f>
        <v>-0.30392740691567249</v>
      </c>
    </row>
    <row r="37" spans="1:18" s="68" customFormat="1" ht="20.25" x14ac:dyDescent="0.2">
      <c r="A37" s="67"/>
      <c r="B37" s="67"/>
      <c r="C37" s="79"/>
      <c r="D37" s="887" t="s">
        <v>230</v>
      </c>
      <c r="E37" s="887"/>
      <c r="F37" s="887"/>
      <c r="G37" s="233"/>
      <c r="H37" s="233"/>
      <c r="I37" s="233"/>
      <c r="J37" s="323">
        <v>3907.25</v>
      </c>
      <c r="K37" s="323">
        <v>22636.98</v>
      </c>
      <c r="L37" s="323"/>
      <c r="M37" s="323">
        <v>3686.13</v>
      </c>
      <c r="N37" s="370"/>
      <c r="O37" s="402">
        <f t="shared" si="5"/>
        <v>221.11999999999989</v>
      </c>
      <c r="P37" s="441">
        <f t="shared" si="6"/>
        <v>5.9987032470368622E-2</v>
      </c>
    </row>
    <row r="38" spans="1:18" s="68" customFormat="1" ht="20.25" x14ac:dyDescent="0.2">
      <c r="A38" s="67"/>
      <c r="B38" s="67"/>
      <c r="C38" s="79"/>
      <c r="D38" s="887" t="s">
        <v>313</v>
      </c>
      <c r="E38" s="887"/>
      <c r="F38" s="887"/>
      <c r="G38" s="233"/>
      <c r="H38" s="233"/>
      <c r="I38" s="233"/>
      <c r="J38" s="323">
        <v>1169.95</v>
      </c>
      <c r="K38" s="323">
        <v>11030.88</v>
      </c>
      <c r="L38" s="323"/>
      <c r="M38" s="323">
        <v>2128.9699999999998</v>
      </c>
      <c r="N38" s="370"/>
      <c r="O38" s="402">
        <f t="shared" si="5"/>
        <v>-959.01999999999975</v>
      </c>
      <c r="P38" s="441">
        <f t="shared" si="6"/>
        <v>-0.4504619604785412</v>
      </c>
    </row>
    <row r="39" spans="1:18" s="68" customFormat="1" ht="20.25" x14ac:dyDescent="0.2">
      <c r="A39" s="67"/>
      <c r="B39" s="67"/>
      <c r="C39" s="79"/>
      <c r="D39" s="887" t="s">
        <v>231</v>
      </c>
      <c r="E39" s="887"/>
      <c r="F39" s="887"/>
      <c r="G39" s="233"/>
      <c r="H39" s="233"/>
      <c r="I39" s="233"/>
      <c r="J39" s="323">
        <v>2</v>
      </c>
      <c r="K39" s="323">
        <v>397</v>
      </c>
      <c r="L39" s="323"/>
      <c r="M39" s="323">
        <v>177</v>
      </c>
      <c r="N39" s="370"/>
      <c r="O39" s="402">
        <f t="shared" si="5"/>
        <v>-175</v>
      </c>
      <c r="P39" s="441">
        <f t="shared" si="6"/>
        <v>-0.98870056497175141</v>
      </c>
    </row>
    <row r="40" spans="1:18" s="68" customFormat="1" ht="20.25" x14ac:dyDescent="0.2">
      <c r="A40" s="67"/>
      <c r="B40" s="67"/>
      <c r="C40" s="79" t="s">
        <v>232</v>
      </c>
      <c r="D40" s="79"/>
      <c r="E40" s="79"/>
      <c r="F40" s="79"/>
      <c r="G40" s="233">
        <v>27200</v>
      </c>
      <c r="H40" s="233">
        <v>11327</v>
      </c>
      <c r="I40" s="233"/>
      <c r="J40" s="323">
        <v>5064</v>
      </c>
      <c r="K40" s="323">
        <f>29909+1860</f>
        <v>31769</v>
      </c>
      <c r="L40" s="323"/>
      <c r="M40" s="323">
        <v>5060</v>
      </c>
      <c r="N40" s="370"/>
      <c r="O40" s="402">
        <f t="shared" si="5"/>
        <v>4</v>
      </c>
      <c r="P40" s="441">
        <f t="shared" si="6"/>
        <v>7.9051383399209485E-4</v>
      </c>
    </row>
    <row r="41" spans="1:18" s="68" customFormat="1" ht="20.25" x14ac:dyDescent="0.2">
      <c r="A41" s="67"/>
      <c r="B41" s="67"/>
      <c r="C41" s="79" t="s">
        <v>108</v>
      </c>
      <c r="D41" s="79"/>
      <c r="E41" s="79"/>
      <c r="F41" s="79"/>
      <c r="G41" s="233">
        <v>150176</v>
      </c>
      <c r="H41" s="276">
        <v>47700.27</v>
      </c>
      <c r="I41" s="276"/>
      <c r="J41" s="323">
        <f>J24</f>
        <v>1758</v>
      </c>
      <c r="K41" s="323">
        <f>K24</f>
        <v>9315</v>
      </c>
      <c r="L41" s="402"/>
      <c r="M41" s="323">
        <f>M24</f>
        <v>1758</v>
      </c>
      <c r="N41" s="370"/>
      <c r="O41" s="402">
        <f t="shared" si="5"/>
        <v>0</v>
      </c>
      <c r="P41" s="441">
        <f t="shared" si="6"/>
        <v>0</v>
      </c>
    </row>
    <row r="42" spans="1:18" s="68" customFormat="1" ht="20.25" x14ac:dyDescent="0.2">
      <c r="A42" s="67"/>
      <c r="B42" s="67"/>
      <c r="C42" s="79" t="s">
        <v>322</v>
      </c>
      <c r="D42" s="79"/>
      <c r="E42" s="79"/>
      <c r="F42" s="79"/>
      <c r="G42" s="233"/>
      <c r="H42" s="276"/>
      <c r="I42" s="276"/>
      <c r="J42" s="323">
        <v>679.98</v>
      </c>
      <c r="K42" s="323">
        <v>4682.25</v>
      </c>
      <c r="L42" s="402"/>
      <c r="M42" s="323">
        <v>851</v>
      </c>
      <c r="N42" s="370"/>
      <c r="O42" s="402">
        <f t="shared" si="5"/>
        <v>-171.01999999999998</v>
      </c>
      <c r="P42" s="441">
        <f t="shared" si="6"/>
        <v>-0.20096357226792008</v>
      </c>
    </row>
    <row r="43" spans="1:18" s="68" customFormat="1" ht="20.25" x14ac:dyDescent="0.2">
      <c r="A43" s="67"/>
      <c r="B43" s="67"/>
      <c r="C43" s="79" t="s">
        <v>233</v>
      </c>
      <c r="D43" s="79"/>
      <c r="E43" s="79"/>
      <c r="F43" s="79"/>
      <c r="G43" s="233"/>
      <c r="H43" s="276"/>
      <c r="I43" s="276"/>
      <c r="J43" s="323">
        <v>800</v>
      </c>
      <c r="K43" s="323">
        <v>982</v>
      </c>
      <c r="L43" s="402"/>
      <c r="M43" s="323">
        <v>102</v>
      </c>
      <c r="N43" s="370"/>
      <c r="O43" s="402">
        <f t="shared" si="5"/>
        <v>698</v>
      </c>
      <c r="P43" s="441">
        <f t="shared" si="6"/>
        <v>6.8431372549019605</v>
      </c>
    </row>
    <row r="44" spans="1:18" s="68" customFormat="1" ht="20.25" x14ac:dyDescent="0.2">
      <c r="A44" s="67"/>
      <c r="B44" s="67"/>
      <c r="C44" s="79" t="s">
        <v>400</v>
      </c>
      <c r="D44" s="79"/>
      <c r="E44" s="79"/>
      <c r="F44" s="79"/>
      <c r="G44" s="233">
        <v>10993.12</v>
      </c>
      <c r="H44" s="276">
        <v>4904.57</v>
      </c>
      <c r="I44" s="276"/>
      <c r="J44" s="323">
        <v>1318.28</v>
      </c>
      <c r="K44" s="323">
        <v>7774.44</v>
      </c>
      <c r="L44" s="402"/>
      <c r="M44" s="323">
        <v>1044.3900000000001</v>
      </c>
      <c r="N44" s="370"/>
      <c r="O44" s="402">
        <f t="shared" si="5"/>
        <v>273.88999999999987</v>
      </c>
      <c r="P44" s="441">
        <f>O44/M44</f>
        <v>0.26224877679793934</v>
      </c>
    </row>
    <row r="45" spans="1:18" s="68" customFormat="1" ht="20.25" x14ac:dyDescent="0.2">
      <c r="A45" s="67"/>
      <c r="B45" s="67"/>
      <c r="C45" s="79" t="s">
        <v>234</v>
      </c>
      <c r="D45" s="79"/>
      <c r="E45" s="79"/>
      <c r="F45" s="79"/>
      <c r="G45" s="233">
        <v>10250.949999999999</v>
      </c>
      <c r="H45" s="276">
        <v>3982.99</v>
      </c>
      <c r="I45" s="276"/>
      <c r="J45" s="323">
        <f>24.9+250.91</f>
        <v>275.81</v>
      </c>
      <c r="K45" s="323">
        <v>636.94000000000005</v>
      </c>
      <c r="L45" s="402"/>
      <c r="M45" s="323">
        <f>54.3+38.4</f>
        <v>92.699999999999989</v>
      </c>
      <c r="N45" s="370"/>
      <c r="O45" s="402">
        <f t="shared" si="5"/>
        <v>183.11</v>
      </c>
      <c r="P45" s="441">
        <f>O45/M45</f>
        <v>1.9752966558791805</v>
      </c>
    </row>
    <row r="46" spans="1:18" s="68" customFormat="1" ht="20.25" x14ac:dyDescent="0.2">
      <c r="A46" s="67"/>
      <c r="B46" s="67"/>
      <c r="C46" s="79" t="s">
        <v>126</v>
      </c>
      <c r="D46" s="79"/>
      <c r="E46" s="79"/>
      <c r="F46" s="79"/>
      <c r="G46" s="233">
        <v>4412.53</v>
      </c>
      <c r="H46" s="277">
        <v>5667</v>
      </c>
      <c r="I46" s="277"/>
      <c r="J46" s="323">
        <v>846.31</v>
      </c>
      <c r="K46" s="323">
        <v>2528.2399999999998</v>
      </c>
      <c r="L46" s="403"/>
      <c r="M46" s="323">
        <v>473.98</v>
      </c>
      <c r="N46" s="370"/>
      <c r="O46" s="402">
        <f t="shared" si="5"/>
        <v>372.32999999999993</v>
      </c>
      <c r="P46" s="441">
        <f>O46/M46</f>
        <v>0.78553947423941917</v>
      </c>
    </row>
    <row r="47" spans="1:18" s="68" customFormat="1" ht="20.25" x14ac:dyDescent="0.2">
      <c r="A47" s="67"/>
      <c r="B47" s="67"/>
      <c r="C47" s="79" t="s">
        <v>124</v>
      </c>
      <c r="D47" s="79"/>
      <c r="E47" s="79"/>
      <c r="F47" s="79"/>
      <c r="G47" s="233">
        <v>7901</v>
      </c>
      <c r="H47" s="276">
        <v>4149.6000000000004</v>
      </c>
      <c r="I47" s="276"/>
      <c r="J47" s="323">
        <v>77.63</v>
      </c>
      <c r="K47" s="323">
        <v>385.18</v>
      </c>
      <c r="L47" s="402"/>
      <c r="M47" s="323">
        <v>56.31</v>
      </c>
      <c r="N47" s="370"/>
      <c r="O47" s="402">
        <f t="shared" si="5"/>
        <v>21.319999999999993</v>
      </c>
      <c r="P47" s="441">
        <f>O47/M47</f>
        <v>0.37861836263541099</v>
      </c>
    </row>
    <row r="48" spans="1:18" s="68" customFormat="1" ht="20.25" hidden="1" x14ac:dyDescent="0.2">
      <c r="A48" s="67"/>
      <c r="B48" s="67"/>
      <c r="C48" s="79" t="s">
        <v>235</v>
      </c>
      <c r="D48" s="79"/>
      <c r="E48" s="79"/>
      <c r="F48" s="79"/>
      <c r="G48" s="233"/>
      <c r="H48" s="276"/>
      <c r="I48" s="276"/>
      <c r="J48" s="323"/>
      <c r="K48" s="323"/>
      <c r="L48" s="402"/>
      <c r="M48" s="323"/>
      <c r="N48" s="370"/>
      <c r="O48" s="402">
        <f t="shared" si="5"/>
        <v>0</v>
      </c>
      <c r="P48" s="441"/>
    </row>
    <row r="49" spans="1:16" s="76" customFormat="1" ht="20.25" x14ac:dyDescent="0.2">
      <c r="A49" s="79"/>
      <c r="B49" s="79"/>
      <c r="C49" s="79" t="s">
        <v>120</v>
      </c>
      <c r="D49" s="79"/>
      <c r="E49" s="79"/>
      <c r="F49" s="79"/>
      <c r="G49" s="233">
        <v>5428.37</v>
      </c>
      <c r="H49" s="276">
        <v>2024.52</v>
      </c>
      <c r="I49" s="276"/>
      <c r="J49" s="323">
        <v>135.41999999999999</v>
      </c>
      <c r="K49" s="323">
        <v>265.58</v>
      </c>
      <c r="L49" s="402"/>
      <c r="M49" s="323">
        <v>144.57</v>
      </c>
      <c r="N49" s="369"/>
      <c r="O49" s="402">
        <f t="shared" si="5"/>
        <v>-9.1500000000000057</v>
      </c>
      <c r="P49" s="441">
        <f>O49/M49</f>
        <v>-6.3291139240506375E-2</v>
      </c>
    </row>
    <row r="50" spans="1:16" s="76" customFormat="1" ht="20.25" x14ac:dyDescent="0.2">
      <c r="A50" s="79"/>
      <c r="B50" s="79"/>
      <c r="C50" s="79" t="s">
        <v>236</v>
      </c>
      <c r="D50" s="79"/>
      <c r="E50" s="79"/>
      <c r="F50" s="79"/>
      <c r="G50" s="233">
        <v>83462.91</v>
      </c>
      <c r="H50" s="233">
        <v>18995.71</v>
      </c>
      <c r="I50" s="233"/>
      <c r="J50" s="401">
        <v>0</v>
      </c>
      <c r="K50" s="401">
        <v>938.98</v>
      </c>
      <c r="L50" s="323"/>
      <c r="M50" s="401">
        <v>110</v>
      </c>
      <c r="N50" s="369"/>
      <c r="O50" s="726">
        <f t="shared" si="5"/>
        <v>-110</v>
      </c>
      <c r="P50" s="517">
        <f>O50/M50</f>
        <v>-1</v>
      </c>
    </row>
    <row r="51" spans="1:16" s="68" customFormat="1" ht="21" thickBot="1" x14ac:dyDescent="0.25">
      <c r="A51" s="67"/>
      <c r="B51" s="67"/>
      <c r="C51" s="67"/>
      <c r="D51" s="73" t="s">
        <v>132</v>
      </c>
      <c r="E51" s="67"/>
      <c r="F51" s="67"/>
      <c r="G51" s="242">
        <v>1078317.8599999999</v>
      </c>
      <c r="H51" s="242">
        <v>481701.87000000005</v>
      </c>
      <c r="I51" s="233"/>
      <c r="J51" s="471">
        <f>SUM(J32:J50)</f>
        <v>58602.099999999991</v>
      </c>
      <c r="K51" s="471">
        <f>SUM(K32:K50)</f>
        <v>344190.97</v>
      </c>
      <c r="L51" s="323"/>
      <c r="M51" s="471">
        <f>SUM(M32:M50)</f>
        <v>64912.359999999993</v>
      </c>
      <c r="O51" s="471">
        <f t="shared" si="5"/>
        <v>-6310.260000000002</v>
      </c>
      <c r="P51" s="469">
        <f>O51/M51</f>
        <v>-9.7211994757238879E-2</v>
      </c>
    </row>
    <row r="52" spans="1:16" s="68" customFormat="1" ht="21" thickBot="1" x14ac:dyDescent="0.25">
      <c r="A52" s="67"/>
      <c r="B52" s="67"/>
      <c r="C52" s="67"/>
      <c r="D52" s="67" t="s">
        <v>133</v>
      </c>
      <c r="E52" s="67"/>
      <c r="F52" s="67"/>
      <c r="G52" s="242">
        <v>233082.39000000013</v>
      </c>
      <c r="H52" s="242">
        <v>82291.709999999905</v>
      </c>
      <c r="I52" s="233"/>
      <c r="J52" s="472">
        <f>J28-J51</f>
        <v>-14297.806666666656</v>
      </c>
      <c r="K52" s="472">
        <f>K28-K51</f>
        <v>-39845.239999999932</v>
      </c>
      <c r="L52" s="323"/>
      <c r="M52" s="472">
        <f>M28-M51</f>
        <v>-3492.7633333333288</v>
      </c>
      <c r="O52" s="380">
        <f t="shared" si="5"/>
        <v>-10805.043333333328</v>
      </c>
      <c r="P52" s="469">
        <f>O52/M52</f>
        <v>3.0935515241513669</v>
      </c>
    </row>
    <row r="53" spans="1:16" s="68" customFormat="1" ht="20.25" x14ac:dyDescent="0.2">
      <c r="A53" s="67"/>
      <c r="B53" s="67"/>
      <c r="C53" s="67"/>
      <c r="D53" s="67"/>
      <c r="E53" s="67"/>
      <c r="F53" s="67"/>
      <c r="G53" s="233"/>
      <c r="H53" s="233"/>
      <c r="I53" s="233"/>
      <c r="J53" s="323"/>
      <c r="K53" s="323"/>
      <c r="L53" s="323"/>
      <c r="M53" s="323"/>
    </row>
    <row r="54" spans="1:16" s="65" customFormat="1" ht="26.25" x14ac:dyDescent="0.2">
      <c r="A54" s="269"/>
      <c r="B54" s="269"/>
      <c r="C54" s="79" t="s">
        <v>271</v>
      </c>
      <c r="E54" s="79"/>
      <c r="F54" s="79"/>
      <c r="G54" s="271"/>
      <c r="H54" s="233"/>
      <c r="I54" s="233"/>
      <c r="J54" s="323"/>
      <c r="K54" s="323"/>
      <c r="L54" s="323"/>
      <c r="M54" s="323"/>
      <c r="O54" s="276">
        <f>J54-M54</f>
        <v>0</v>
      </c>
      <c r="P54" s="416"/>
    </row>
    <row r="55" spans="1:16" s="68" customFormat="1" ht="20.25" x14ac:dyDescent="0.2">
      <c r="A55" s="67"/>
      <c r="B55" s="67"/>
      <c r="C55" s="79" t="s">
        <v>237</v>
      </c>
      <c r="E55" s="67"/>
      <c r="G55" s="233"/>
      <c r="H55" s="233"/>
      <c r="I55" s="233"/>
      <c r="J55" s="323">
        <f>J40</f>
        <v>5064</v>
      </c>
      <c r="K55" s="323">
        <f>K40</f>
        <v>31769</v>
      </c>
      <c r="L55" s="323"/>
      <c r="M55" s="323">
        <f>M40</f>
        <v>5060</v>
      </c>
      <c r="O55" s="276">
        <f>J55-M55</f>
        <v>4</v>
      </c>
      <c r="P55" s="416">
        <v>3.5414486921529216E-2</v>
      </c>
    </row>
    <row r="56" spans="1:16" s="68" customFormat="1" ht="24" thickBot="1" x14ac:dyDescent="0.25">
      <c r="A56" s="67"/>
      <c r="B56" s="399"/>
      <c r="C56" s="67"/>
      <c r="D56" s="913" t="s">
        <v>238</v>
      </c>
      <c r="E56" s="913"/>
      <c r="F56" s="913"/>
      <c r="G56" s="233"/>
      <c r="H56" s="233"/>
      <c r="I56" s="233"/>
      <c r="J56" s="473">
        <f>J52+J54+J55</f>
        <v>-9233.8066666666564</v>
      </c>
      <c r="K56" s="473">
        <f>K52+K54+K55</f>
        <v>-8076.2399999999325</v>
      </c>
      <c r="L56" s="327"/>
      <c r="M56" s="473">
        <f>M52+M54+M55</f>
        <v>1567.2366666666712</v>
      </c>
      <c r="N56" s="390"/>
      <c r="O56" s="470">
        <f>J56-M56</f>
        <v>-10801.043333333328</v>
      </c>
      <c r="P56" s="507">
        <v>2.1062768618503362E-2</v>
      </c>
    </row>
    <row r="57" spans="1:16" s="68" customFormat="1" ht="42" customHeight="1" thickTop="1" x14ac:dyDescent="0.2">
      <c r="A57" s="67"/>
      <c r="B57" s="67"/>
      <c r="C57" s="67"/>
      <c r="D57" s="67"/>
      <c r="E57" s="67"/>
      <c r="F57" s="67"/>
      <c r="G57" s="233"/>
      <c r="H57" s="233"/>
      <c r="I57" s="233"/>
      <c r="J57" s="323"/>
      <c r="K57" s="323"/>
      <c r="L57" s="323"/>
      <c r="M57" s="323"/>
    </row>
    <row r="58" spans="1:16" s="76" customFormat="1" ht="20.25" x14ac:dyDescent="0.2">
      <c r="A58" s="79"/>
      <c r="B58" s="79"/>
      <c r="C58" s="79"/>
      <c r="D58" s="79"/>
      <c r="F58" s="79" t="s">
        <v>318</v>
      </c>
      <c r="G58" s="247"/>
      <c r="H58" s="233"/>
      <c r="I58" s="233"/>
      <c r="J58" s="323">
        <v>29633</v>
      </c>
      <c r="K58" s="323">
        <v>178650</v>
      </c>
      <c r="L58" s="323"/>
      <c r="M58" s="323">
        <v>38750</v>
      </c>
      <c r="O58" s="248"/>
    </row>
    <row r="59" spans="1:16" s="76" customFormat="1" ht="21" thickBot="1" x14ac:dyDescent="0.25">
      <c r="A59" s="79"/>
      <c r="B59" s="79"/>
      <c r="C59" s="79"/>
      <c r="D59" s="79"/>
      <c r="F59" s="79" t="s">
        <v>323</v>
      </c>
      <c r="G59" s="233"/>
      <c r="H59" s="233"/>
      <c r="I59" s="233"/>
      <c r="J59" s="620">
        <f>(J51-J40-J41)/J58</f>
        <v>1.7473796105692974</v>
      </c>
      <c r="K59" s="620">
        <f>(K51-K40-K41)/K58</f>
        <v>1.6966525048978447</v>
      </c>
      <c r="L59" s="621"/>
      <c r="M59" s="620">
        <f>(M51-M40-M41)/M58</f>
        <v>1.4992092903225804</v>
      </c>
    </row>
    <row r="60" spans="1:16" s="76" customFormat="1" ht="20.25" x14ac:dyDescent="0.2">
      <c r="A60" s="79"/>
      <c r="B60" s="79"/>
      <c r="C60" s="79"/>
      <c r="D60" s="79"/>
      <c r="F60" s="79"/>
      <c r="G60" s="233"/>
      <c r="H60" s="233"/>
      <c r="I60" s="233"/>
      <c r="J60" s="323"/>
      <c r="K60" s="323"/>
      <c r="L60" s="323"/>
      <c r="M60" s="323"/>
    </row>
    <row r="61" spans="1:16" s="76" customFormat="1" ht="20.25" x14ac:dyDescent="0.2">
      <c r="A61" s="79"/>
      <c r="B61" s="79"/>
      <c r="C61" s="79"/>
      <c r="D61" s="79"/>
      <c r="F61" s="79" t="s">
        <v>319</v>
      </c>
      <c r="G61" s="233"/>
      <c r="H61" s="233"/>
      <c r="I61" s="233"/>
      <c r="J61" s="323">
        <v>1345</v>
      </c>
      <c r="K61" s="323">
        <v>10151</v>
      </c>
      <c r="L61" s="323"/>
      <c r="M61" s="323">
        <v>2579</v>
      </c>
      <c r="P61" s="248"/>
    </row>
    <row r="62" spans="1:16" s="76" customFormat="1" ht="21" thickBot="1" x14ac:dyDescent="0.25">
      <c r="A62" s="79"/>
      <c r="B62" s="79"/>
      <c r="C62" s="79"/>
      <c r="D62" s="79"/>
      <c r="F62" s="79" t="s">
        <v>389</v>
      </c>
      <c r="G62" s="233"/>
      <c r="H62" s="233"/>
      <c r="I62" s="233"/>
      <c r="J62" s="620">
        <f>(J51-J40-J41)/J61</f>
        <v>38.498215613382897</v>
      </c>
      <c r="K62" s="620">
        <f>(K51-K40-K41)/K61</f>
        <v>29.859813811447147</v>
      </c>
      <c r="L62" s="323"/>
      <c r="M62" s="620">
        <f>(M51-M40-M41)/M61</f>
        <v>22.525924777045365</v>
      </c>
    </row>
    <row r="63" spans="1:16" s="76" customFormat="1" ht="20.25" x14ac:dyDescent="0.2">
      <c r="A63" s="79"/>
      <c r="B63" s="79"/>
      <c r="C63" s="79"/>
      <c r="D63" s="79"/>
      <c r="F63" s="79"/>
      <c r="G63" s="233"/>
      <c r="H63" s="233"/>
      <c r="I63" s="233"/>
      <c r="J63" s="323"/>
      <c r="K63" s="323"/>
      <c r="L63" s="323"/>
      <c r="M63" s="323"/>
    </row>
    <row r="64" spans="1:16" s="76" customFormat="1" ht="20.25" x14ac:dyDescent="0.2">
      <c r="A64" s="79"/>
      <c r="B64" s="79"/>
      <c r="C64" s="67"/>
      <c r="D64" s="79"/>
      <c r="F64" s="79" t="s">
        <v>320</v>
      </c>
      <c r="G64" s="233"/>
      <c r="H64" s="233"/>
      <c r="I64" s="233"/>
      <c r="J64" s="323">
        <v>250</v>
      </c>
      <c r="K64" s="323">
        <v>2696</v>
      </c>
      <c r="L64" s="323"/>
      <c r="M64" s="323">
        <v>1089</v>
      </c>
    </row>
    <row r="65" spans="1:13" s="76" customFormat="1" ht="21" thickBot="1" x14ac:dyDescent="0.25">
      <c r="A65" s="79"/>
      <c r="B65" s="79"/>
      <c r="C65" s="79"/>
      <c r="D65" s="79"/>
      <c r="E65" s="79"/>
      <c r="F65" s="79" t="s">
        <v>390</v>
      </c>
      <c r="G65" s="233"/>
      <c r="H65" s="233"/>
      <c r="I65" s="233"/>
      <c r="J65" s="620">
        <f>J9/J64</f>
        <v>35.675640000000001</v>
      </c>
      <c r="K65" s="620">
        <f>K9/K64</f>
        <v>25.248538575667656</v>
      </c>
      <c r="L65" s="323"/>
      <c r="M65" s="620">
        <f>M9/M64</f>
        <v>22.439476584022039</v>
      </c>
    </row>
    <row r="66" spans="1:13" s="76" customFormat="1" ht="20.25" x14ac:dyDescent="0.2">
      <c r="A66" s="79"/>
      <c r="B66" s="79"/>
      <c r="C66" s="67"/>
      <c r="D66" s="67"/>
      <c r="G66" s="233"/>
      <c r="H66" s="233"/>
      <c r="I66" s="233"/>
      <c r="J66" s="323"/>
      <c r="K66" s="323"/>
      <c r="L66" s="323"/>
      <c r="M66" s="323"/>
    </row>
    <row r="67" spans="1:13" s="76" customFormat="1" ht="20.25" x14ac:dyDescent="0.2">
      <c r="A67" s="79"/>
      <c r="B67" s="79"/>
      <c r="C67" s="79"/>
      <c r="D67" s="79"/>
      <c r="E67" s="79"/>
      <c r="F67" s="79"/>
      <c r="G67" s="233"/>
      <c r="H67" s="233"/>
      <c r="I67" s="233"/>
      <c r="J67" s="233"/>
      <c r="K67" s="233"/>
      <c r="L67" s="233"/>
      <c r="M67" s="233"/>
    </row>
    <row r="68" spans="1:13" s="76" customFormat="1" ht="20.25" x14ac:dyDescent="0.2">
      <c r="A68" s="79"/>
      <c r="B68" s="79"/>
      <c r="C68" s="79"/>
      <c r="D68" s="79"/>
      <c r="E68" s="79"/>
      <c r="F68" s="79"/>
      <c r="G68" s="233"/>
      <c r="H68" s="233"/>
      <c r="I68" s="233"/>
      <c r="J68" s="233"/>
      <c r="K68" s="233"/>
      <c r="L68" s="233"/>
      <c r="M68" s="233"/>
    </row>
    <row r="69" spans="1:13" s="76" customFormat="1" ht="20.25" x14ac:dyDescent="0.2">
      <c r="A69" s="79"/>
      <c r="B69" s="79"/>
      <c r="C69" s="67"/>
      <c r="D69" s="79"/>
      <c r="F69" s="79"/>
      <c r="G69" s="233"/>
      <c r="H69" s="233"/>
      <c r="I69" s="233"/>
      <c r="J69" s="233"/>
      <c r="K69" s="233"/>
      <c r="L69" s="233"/>
      <c r="M69" s="233"/>
    </row>
    <row r="70" spans="1:13" s="76" customFormat="1" ht="20.25" x14ac:dyDescent="0.2">
      <c r="A70" s="79"/>
      <c r="B70" s="79"/>
      <c r="C70" s="79"/>
      <c r="D70" s="79"/>
      <c r="E70" s="79"/>
      <c r="F70" s="79"/>
      <c r="G70" s="233"/>
      <c r="H70" s="233"/>
      <c r="I70" s="233"/>
      <c r="J70" s="233"/>
      <c r="K70" s="233"/>
      <c r="L70" s="233"/>
      <c r="M70" s="233"/>
    </row>
    <row r="71" spans="1:13" s="68" customFormat="1" ht="20.25" x14ac:dyDescent="0.2">
      <c r="A71" s="67"/>
      <c r="B71" s="67"/>
      <c r="C71" s="67"/>
      <c r="D71" s="67"/>
      <c r="E71" s="67"/>
      <c r="F71" s="67"/>
      <c r="G71" s="238"/>
      <c r="H71" s="238"/>
      <c r="I71" s="238"/>
      <c r="J71" s="238"/>
      <c r="K71" s="238"/>
      <c r="L71" s="238"/>
      <c r="M71" s="238"/>
    </row>
    <row r="72" spans="1:13" s="68" customFormat="1" ht="20.25" x14ac:dyDescent="0.2">
      <c r="A72" s="67"/>
      <c r="B72" s="67"/>
      <c r="C72" s="67"/>
      <c r="D72" s="67"/>
      <c r="E72" s="67"/>
      <c r="F72" s="67"/>
      <c r="G72" s="238"/>
      <c r="H72" s="238"/>
      <c r="I72" s="238"/>
      <c r="J72" s="238"/>
      <c r="K72" s="238"/>
      <c r="L72" s="238"/>
      <c r="M72" s="238"/>
    </row>
    <row r="73" spans="1:13" s="68" customFormat="1" ht="23.25" x14ac:dyDescent="0.2">
      <c r="A73" s="67"/>
      <c r="B73" s="272"/>
      <c r="C73" s="67"/>
      <c r="D73" s="67"/>
      <c r="E73" s="67"/>
      <c r="F73" s="67"/>
      <c r="G73" s="233"/>
      <c r="H73" s="233"/>
      <c r="I73" s="233"/>
      <c r="J73" s="233"/>
      <c r="K73" s="233"/>
      <c r="L73" s="233"/>
      <c r="M73" s="233"/>
    </row>
    <row r="74" spans="1:13" s="76" customFormat="1" ht="20.25" x14ac:dyDescent="0.2">
      <c r="A74" s="79"/>
      <c r="B74" s="79"/>
      <c r="D74" s="79"/>
      <c r="E74" s="79"/>
      <c r="F74" s="79"/>
      <c r="G74" s="233"/>
      <c r="H74" s="233"/>
      <c r="I74" s="233"/>
      <c r="J74" s="233"/>
      <c r="K74" s="233"/>
      <c r="L74" s="233"/>
      <c r="M74" s="233"/>
    </row>
    <row r="75" spans="1:13" s="76" customFormat="1" ht="20.25" x14ac:dyDescent="0.2">
      <c r="A75" s="79"/>
      <c r="B75" s="79"/>
      <c r="D75" s="79"/>
      <c r="E75" s="79"/>
      <c r="F75" s="79"/>
      <c r="G75" s="233"/>
      <c r="H75" s="233"/>
      <c r="I75" s="233"/>
      <c r="J75" s="233"/>
      <c r="K75" s="233"/>
      <c r="L75" s="233"/>
      <c r="M75" s="233"/>
    </row>
    <row r="76" spans="1:13" s="68" customFormat="1" ht="20.25" x14ac:dyDescent="0.2">
      <c r="A76" s="67"/>
      <c r="B76" s="67"/>
      <c r="D76" s="79"/>
      <c r="E76" s="67"/>
      <c r="F76" s="67"/>
      <c r="G76" s="233"/>
      <c r="H76" s="233"/>
      <c r="I76" s="233"/>
      <c r="J76" s="233"/>
      <c r="K76" s="233"/>
      <c r="L76" s="233"/>
      <c r="M76" s="233"/>
    </row>
    <row r="77" spans="1:13" s="68" customFormat="1" ht="23.25" x14ac:dyDescent="0.2">
      <c r="A77" s="67"/>
      <c r="B77" s="272"/>
      <c r="C77" s="67"/>
      <c r="D77" s="67"/>
      <c r="E77" s="67"/>
      <c r="F77" s="67"/>
      <c r="G77" s="238"/>
      <c r="H77" s="238"/>
      <c r="I77" s="238"/>
      <c r="J77" s="238"/>
      <c r="K77" s="238"/>
      <c r="L77" s="238"/>
      <c r="M77" s="238"/>
    </row>
    <row r="78" spans="1:13" s="68" customFormat="1" ht="20.25" x14ac:dyDescent="0.2">
      <c r="A78" s="67"/>
      <c r="B78" s="67"/>
      <c r="C78" s="67"/>
      <c r="D78" s="67"/>
      <c r="E78" s="67"/>
      <c r="F78" s="67"/>
      <c r="G78" s="233"/>
      <c r="H78" s="233"/>
      <c r="I78" s="233"/>
      <c r="J78" s="233"/>
      <c r="K78" s="233"/>
      <c r="L78" s="233"/>
      <c r="M78" s="233"/>
    </row>
    <row r="79" spans="1:13" s="82" customFormat="1" ht="26.25" x14ac:dyDescent="0.2">
      <c r="A79" s="269"/>
      <c r="B79" s="269"/>
      <c r="C79" s="269"/>
      <c r="D79" s="269"/>
      <c r="E79" s="269"/>
      <c r="F79" s="269"/>
      <c r="G79" s="270"/>
      <c r="H79" s="238"/>
      <c r="I79" s="238"/>
      <c r="J79" s="238"/>
      <c r="K79" s="238"/>
      <c r="L79" s="238"/>
      <c r="M79" s="238"/>
    </row>
    <row r="80" spans="1:13" s="18" customFormat="1" ht="20.25" x14ac:dyDescent="0.3">
      <c r="A80" s="122"/>
      <c r="B80" s="122"/>
      <c r="C80" s="122"/>
      <c r="D80" s="122"/>
      <c r="E80" s="122"/>
      <c r="F80" s="122"/>
      <c r="G80" s="273"/>
      <c r="H80" s="278"/>
      <c r="I80" s="278"/>
      <c r="J80" s="278"/>
      <c r="K80" s="278"/>
      <c r="L80" s="278"/>
      <c r="M80" s="278"/>
    </row>
    <row r="81" spans="8:13" ht="20.25" x14ac:dyDescent="0.3">
      <c r="H81" s="278"/>
      <c r="I81" s="278"/>
      <c r="J81" s="278"/>
      <c r="K81" s="278"/>
      <c r="L81" s="278"/>
      <c r="M81" s="278"/>
    </row>
    <row r="82" spans="8:13" ht="20.25" x14ac:dyDescent="0.3">
      <c r="H82" s="278"/>
      <c r="I82" s="278"/>
      <c r="J82" s="278"/>
      <c r="K82" s="278"/>
      <c r="L82" s="278"/>
      <c r="M82" s="278"/>
    </row>
    <row r="83" spans="8:13" ht="20.25" x14ac:dyDescent="0.3">
      <c r="H83" s="275"/>
      <c r="I83" s="275"/>
      <c r="J83" s="275"/>
      <c r="K83" s="275"/>
      <c r="L83" s="275"/>
      <c r="M83" s="275"/>
    </row>
  </sheetData>
  <mergeCells count="11">
    <mergeCell ref="J6:M6"/>
    <mergeCell ref="C22:F22"/>
    <mergeCell ref="D32:F32"/>
    <mergeCell ref="O8:P8"/>
    <mergeCell ref="D36:F36"/>
    <mergeCell ref="D56:F56"/>
    <mergeCell ref="D37:F37"/>
    <mergeCell ref="D38:F38"/>
    <mergeCell ref="D39:F39"/>
    <mergeCell ref="D33:F33"/>
    <mergeCell ref="D34:F34"/>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4"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67"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1"/>
      <c r="H1" s="59"/>
      <c r="I1" s="59"/>
      <c r="J1" s="59"/>
      <c r="K1" s="59"/>
      <c r="L1" s="468"/>
      <c r="M1" s="59"/>
      <c r="N1" s="59"/>
      <c r="O1" s="59"/>
      <c r="P1" s="59"/>
      <c r="Q1" s="59"/>
      <c r="R1" s="762"/>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219</v>
      </c>
      <c r="B2" s="59"/>
      <c r="C2" s="60"/>
      <c r="D2" s="60"/>
      <c r="E2" s="60"/>
      <c r="F2" s="59"/>
      <c r="G2" s="231"/>
      <c r="H2" s="59"/>
      <c r="I2" s="59"/>
      <c r="J2" s="59"/>
      <c r="K2" s="59"/>
      <c r="L2" s="468"/>
      <c r="M2" s="59"/>
      <c r="N2" s="59"/>
      <c r="O2" s="59"/>
      <c r="P2" s="59"/>
      <c r="Q2" s="59"/>
      <c r="R2" s="762"/>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'February''21 State of Activities'!A3</f>
        <v>Two Months Ended February 28, 2021 and 2020</v>
      </c>
      <c r="B3" s="59"/>
      <c r="C3" s="60"/>
      <c r="D3" s="60"/>
      <c r="E3" s="60"/>
      <c r="F3" s="59"/>
      <c r="G3" s="231"/>
      <c r="H3" s="59"/>
      <c r="I3" s="59"/>
      <c r="J3" s="59"/>
      <c r="K3" s="59"/>
      <c r="L3" s="468"/>
      <c r="M3" s="59"/>
      <c r="N3" s="59"/>
      <c r="O3" s="59"/>
      <c r="P3" s="59"/>
      <c r="Q3" s="59"/>
      <c r="R3" s="762"/>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'February''21 State of Activities'!A4</f>
        <v>For the Year Ended December 31, 2020</v>
      </c>
      <c r="B4" s="59"/>
      <c r="C4" s="60"/>
      <c r="D4" s="60"/>
      <c r="E4" s="60"/>
      <c r="F4" s="59"/>
      <c r="G4" s="231"/>
      <c r="H4" s="59"/>
      <c r="I4" s="59"/>
      <c r="J4" s="59"/>
      <c r="K4" s="59"/>
      <c r="L4" s="468"/>
      <c r="M4" s="59"/>
      <c r="N4" s="59"/>
      <c r="O4" s="59"/>
      <c r="P4" s="59"/>
      <c r="Q4" s="59"/>
      <c r="R4" s="762"/>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2"/>
      <c r="H5" s="62"/>
      <c r="I5" s="62"/>
      <c r="J5" s="62"/>
      <c r="K5" s="62"/>
      <c r="L5" s="62"/>
      <c r="M5" s="62"/>
      <c r="N5" s="62"/>
      <c r="O5" s="62"/>
      <c r="P5" s="62"/>
      <c r="Q5" s="62"/>
      <c r="R5" s="763"/>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512"/>
      <c r="H6" s="241" t="s">
        <v>53</v>
      </c>
      <c r="I6" s="241"/>
      <c r="J6" s="885" t="s">
        <v>53</v>
      </c>
      <c r="K6" s="885"/>
      <c r="L6" s="885"/>
      <c r="M6" s="885"/>
      <c r="N6" s="65"/>
      <c r="O6" s="418" t="s">
        <v>185</v>
      </c>
      <c r="P6" s="415" t="s">
        <v>198</v>
      </c>
      <c r="Q6" s="65"/>
      <c r="R6" s="764"/>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3"/>
      <c r="R7" s="764"/>
    </row>
    <row r="8" spans="1:128" s="72" customFormat="1" ht="21" thickBot="1" x14ac:dyDescent="0.35">
      <c r="A8" s="69"/>
      <c r="B8" s="153" t="s">
        <v>104</v>
      </c>
      <c r="C8" s="153"/>
      <c r="D8" s="153"/>
      <c r="E8" s="153"/>
      <c r="F8" s="153"/>
      <c r="G8" s="282">
        <v>41090</v>
      </c>
      <c r="H8" s="282">
        <v>41274</v>
      </c>
      <c r="I8" s="324"/>
      <c r="J8" s="690">
        <f>'February''21 State of Activities'!G8</f>
        <v>44255</v>
      </c>
      <c r="K8" s="691">
        <f>'February''21 State of Activities'!H8</f>
        <v>44196</v>
      </c>
      <c r="L8" s="692"/>
      <c r="M8" s="691">
        <f>'February''21 State of Activities'!J8</f>
        <v>43890</v>
      </c>
      <c r="N8" s="71"/>
      <c r="O8" s="912" t="s">
        <v>418</v>
      </c>
      <c r="P8" s="912"/>
      <c r="Q8" s="71"/>
      <c r="R8" s="765"/>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3" t="s">
        <v>154</v>
      </c>
      <c r="D9" s="423"/>
      <c r="E9" s="423"/>
      <c r="F9" s="73"/>
      <c r="G9" s="265">
        <v>127719</v>
      </c>
      <c r="H9" s="265">
        <v>67566.5</v>
      </c>
      <c r="I9" s="323"/>
      <c r="J9" s="327">
        <v>41504.339999999997</v>
      </c>
      <c r="K9" s="327">
        <v>158721</v>
      </c>
      <c r="L9" s="327"/>
      <c r="M9" s="327">
        <v>78675.460000000006</v>
      </c>
      <c r="N9" s="68"/>
      <c r="O9" s="381">
        <f>J9-M9</f>
        <v>-37171.12000000001</v>
      </c>
      <c r="P9" s="416">
        <f>O9/M9</f>
        <v>-0.47246142571012623</v>
      </c>
      <c r="Q9" s="68"/>
      <c r="R9" s="764"/>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3" t="s">
        <v>220</v>
      </c>
      <c r="D10" s="423"/>
      <c r="E10" s="423"/>
      <c r="F10" s="73"/>
      <c r="G10" s="264">
        <v>875436</v>
      </c>
      <c r="H10" s="264">
        <v>372424.1</v>
      </c>
      <c r="I10" s="327"/>
      <c r="J10" s="323"/>
      <c r="K10" s="323">
        <v>12278.42</v>
      </c>
      <c r="L10" s="327"/>
      <c r="M10" s="323"/>
      <c r="N10" s="68"/>
      <c r="O10" s="515">
        <f>J10-M10</f>
        <v>0</v>
      </c>
      <c r="P10" s="441" t="e">
        <f>O10/M10</f>
        <v>#DIV/0!</v>
      </c>
      <c r="Q10" s="68"/>
      <c r="R10" s="764"/>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3" t="s">
        <v>417</v>
      </c>
      <c r="D11" s="423"/>
      <c r="E11" s="423"/>
      <c r="F11" s="73"/>
      <c r="G11" s="264"/>
      <c r="H11" s="264"/>
      <c r="I11" s="327"/>
      <c r="J11" s="323">
        <f>'February''21 Revenues &amp; Expenses'!I8-K11-5010</f>
        <v>-15626</v>
      </c>
      <c r="K11" s="323">
        <v>10616</v>
      </c>
      <c r="L11" s="327"/>
      <c r="M11" s="323"/>
      <c r="N11" s="68"/>
      <c r="O11" s="515">
        <f>J11-M11</f>
        <v>-15626</v>
      </c>
      <c r="P11" s="441"/>
      <c r="Q11" s="68"/>
      <c r="R11" s="764"/>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3" t="s">
        <v>106</v>
      </c>
      <c r="D12" s="423"/>
      <c r="E12" s="423"/>
      <c r="F12" s="73"/>
      <c r="G12" s="265"/>
      <c r="H12" s="265"/>
      <c r="I12" s="323"/>
      <c r="J12" s="323"/>
      <c r="K12" s="323"/>
      <c r="L12" s="323"/>
      <c r="M12" s="323"/>
      <c r="N12" s="68"/>
      <c r="O12" s="515"/>
      <c r="P12" s="428"/>
      <c r="Q12" s="68"/>
      <c r="R12" s="764"/>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3" t="s">
        <v>221</v>
      </c>
      <c r="E13" s="423"/>
      <c r="F13" s="73"/>
      <c r="G13" s="265">
        <v>94235.25</v>
      </c>
      <c r="H13" s="265">
        <v>37190.379999999997</v>
      </c>
      <c r="I13" s="323"/>
      <c r="J13" s="323">
        <f>3750*6</f>
        <v>22500</v>
      </c>
      <c r="K13" s="323">
        <f>3708.33*12</f>
        <v>44499.96</v>
      </c>
      <c r="L13" s="323"/>
      <c r="M13" s="323">
        <f>3708.33*4</f>
        <v>14833.32</v>
      </c>
      <c r="N13" s="68"/>
      <c r="O13" s="515">
        <f t="shared" ref="O13:O18" si="0">J13-M13</f>
        <v>7666.68</v>
      </c>
      <c r="P13" s="441">
        <f>O13/M13</f>
        <v>0.51685529604970437</v>
      </c>
      <c r="Q13" s="68"/>
      <c r="R13" s="323"/>
      <c r="S13" s="475"/>
      <c r="T13" s="474"/>
      <c r="U13" s="474"/>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3" t="s">
        <v>163</v>
      </c>
      <c r="E14" s="423"/>
      <c r="F14" s="73"/>
      <c r="G14" s="265"/>
      <c r="H14" s="265"/>
      <c r="I14" s="323"/>
      <c r="J14" s="323">
        <f>'February''21 State of Activities'!G15</f>
        <v>3000</v>
      </c>
      <c r="K14" s="323">
        <v>13000</v>
      </c>
      <c r="L14" s="323"/>
      <c r="M14" s="323">
        <v>4333.33</v>
      </c>
      <c r="N14" s="68"/>
      <c r="O14" s="515">
        <f t="shared" si="0"/>
        <v>-1333.33</v>
      </c>
      <c r="P14" s="441">
        <f>O14/M14</f>
        <v>-0.30769177514751933</v>
      </c>
      <c r="Q14" s="68"/>
      <c r="R14" s="764">
        <v>7500</v>
      </c>
      <c r="S14" s="390"/>
      <c r="T14" s="476"/>
      <c r="U14" s="363"/>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3" t="s">
        <v>107</v>
      </c>
      <c r="D15" s="423"/>
      <c r="E15" s="423"/>
      <c r="F15" s="73"/>
      <c r="G15" s="265">
        <v>0</v>
      </c>
      <c r="H15" s="265">
        <v>3517</v>
      </c>
      <c r="I15" s="323"/>
      <c r="J15" s="323">
        <f>'February''21 State of Activities'!G17</f>
        <v>2559.1999999999998</v>
      </c>
      <c r="K15" s="323">
        <f>'February''21 State of Activities'!H17</f>
        <v>12695.06</v>
      </c>
      <c r="L15" s="323"/>
      <c r="M15" s="323">
        <f>'February''21 State of Activities'!J17</f>
        <v>2374.5</v>
      </c>
      <c r="N15" s="68"/>
      <c r="O15" s="515">
        <f t="shared" si="0"/>
        <v>184.69999999999982</v>
      </c>
      <c r="P15" s="441">
        <f>O15/M15</f>
        <v>7.7784796799326095E-2</v>
      </c>
      <c r="Q15" s="68"/>
      <c r="R15" s="764"/>
      <c r="S15" s="390"/>
      <c r="T15" s="476"/>
      <c r="U15" s="363"/>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3" t="s">
        <v>222</v>
      </c>
      <c r="D16" s="423"/>
      <c r="E16" s="423"/>
      <c r="F16" s="73"/>
      <c r="G16" s="265">
        <v>31459</v>
      </c>
      <c r="H16" s="265">
        <v>13920.35</v>
      </c>
      <c r="I16" s="323"/>
      <c r="J16" s="323">
        <f>'February''21 Revenues &amp; Expenses'!H39</f>
        <v>0</v>
      </c>
      <c r="K16" s="323">
        <v>25000</v>
      </c>
      <c r="L16" s="323"/>
      <c r="M16" s="323">
        <v>8153.81</v>
      </c>
      <c r="N16" s="68"/>
      <c r="O16" s="515">
        <f t="shared" si="0"/>
        <v>-8153.81</v>
      </c>
      <c r="P16" s="441">
        <f>O16/M16</f>
        <v>-1</v>
      </c>
      <c r="Q16" s="68"/>
      <c r="R16" s="764">
        <v>11805.12</v>
      </c>
      <c r="S16" s="390"/>
      <c r="T16" s="476"/>
      <c r="U16" s="363"/>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3" t="s">
        <v>397</v>
      </c>
      <c r="D17" s="423"/>
      <c r="E17" s="423"/>
      <c r="F17" s="73"/>
      <c r="G17" s="265"/>
      <c r="H17" s="265"/>
      <c r="I17" s="323"/>
      <c r="J17" s="323"/>
      <c r="K17" s="323">
        <v>22918.98</v>
      </c>
      <c r="L17" s="323"/>
      <c r="M17" s="323"/>
      <c r="N17" s="68"/>
      <c r="O17" s="515">
        <f t="shared" si="0"/>
        <v>0</v>
      </c>
      <c r="P17" s="441"/>
      <c r="Q17" s="68"/>
      <c r="R17" s="764"/>
      <c r="S17" s="390"/>
      <c r="T17" s="476"/>
      <c r="U17" s="363"/>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3" t="s">
        <v>419</v>
      </c>
      <c r="D18" s="423"/>
      <c r="E18" s="423"/>
      <c r="F18" s="73"/>
      <c r="G18" s="265"/>
      <c r="H18" s="265"/>
      <c r="I18" s="323"/>
      <c r="J18" s="323">
        <f>'February''21 Revenues &amp; Expenses'!H47</f>
        <v>2500</v>
      </c>
      <c r="K18" s="323">
        <v>23967.15</v>
      </c>
      <c r="L18" s="323"/>
      <c r="M18" s="323"/>
      <c r="N18" s="68"/>
      <c r="O18" s="515">
        <f t="shared" si="0"/>
        <v>2500</v>
      </c>
      <c r="P18" s="441"/>
      <c r="Q18" s="68"/>
      <c r="R18" s="764"/>
      <c r="S18" s="390"/>
      <c r="T18" s="476"/>
      <c r="U18" s="363"/>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3" t="s">
        <v>345</v>
      </c>
      <c r="D19" s="423"/>
      <c r="E19" s="423"/>
      <c r="F19" s="73"/>
      <c r="G19" s="265"/>
      <c r="H19" s="265"/>
      <c r="I19" s="323"/>
      <c r="J19" s="323">
        <f>'February''21 State of Activities'!G11</f>
        <v>0</v>
      </c>
      <c r="K19" s="323">
        <v>1968.5</v>
      </c>
      <c r="L19" s="323"/>
      <c r="M19" s="323">
        <f>2100.03-1250</f>
        <v>850.0300000000002</v>
      </c>
      <c r="N19" s="68"/>
      <c r="O19" s="515">
        <f t="shared" ref="O19:O20" si="1">J19-M19</f>
        <v>-850.0300000000002</v>
      </c>
      <c r="P19" s="441"/>
      <c r="Q19" s="68"/>
      <c r="R19" s="764">
        <f>186.59-R20</f>
        <v>162.31</v>
      </c>
      <c r="S19" s="390"/>
      <c r="T19" s="476"/>
      <c r="U19" s="363"/>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914" t="s">
        <v>348</v>
      </c>
      <c r="D20" s="914"/>
      <c r="E20" s="914"/>
      <c r="F20" s="914"/>
      <c r="G20" s="265"/>
      <c r="H20" s="265"/>
      <c r="I20" s="323"/>
      <c r="J20" s="323">
        <v>0</v>
      </c>
      <c r="K20" s="323">
        <v>1127.23</v>
      </c>
      <c r="L20" s="323"/>
      <c r="M20" s="323">
        <v>177.19</v>
      </c>
      <c r="N20" s="68"/>
      <c r="O20" s="515">
        <f t="shared" si="1"/>
        <v>-177.19</v>
      </c>
      <c r="P20" s="441"/>
      <c r="Q20" s="68"/>
      <c r="R20" s="764">
        <v>24.28</v>
      </c>
      <c r="S20" s="390"/>
      <c r="T20" s="476"/>
      <c r="U20" s="363"/>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3" t="s">
        <v>356</v>
      </c>
      <c r="D21" s="423"/>
      <c r="E21" s="423"/>
      <c r="F21" s="73"/>
      <c r="G21" s="265">
        <v>1125</v>
      </c>
      <c r="H21" s="265">
        <v>6050</v>
      </c>
      <c r="I21" s="323"/>
      <c r="J21" s="323">
        <f>'February''21 State of Activities'!G24</f>
        <v>3150</v>
      </c>
      <c r="K21" s="323">
        <f>'February''21 State of Activities'!H24</f>
        <v>0</v>
      </c>
      <c r="L21" s="323"/>
      <c r="M21" s="323">
        <f>'February''21 State of Activities'!J24</f>
        <v>0</v>
      </c>
      <c r="N21" s="68"/>
      <c r="O21" s="515">
        <f>J21-M21</f>
        <v>3150</v>
      </c>
      <c r="P21" s="441"/>
      <c r="Q21" s="68"/>
      <c r="R21" s="764"/>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3" t="s">
        <v>223</v>
      </c>
      <c r="D22" s="423"/>
      <c r="E22" s="423"/>
      <c r="F22" s="73"/>
      <c r="G22" s="266">
        <v>31250</v>
      </c>
      <c r="H22" s="266">
        <v>15624.98</v>
      </c>
      <c r="I22" s="323"/>
      <c r="J22" s="266">
        <f>'February''21 State of Activities'!G25*0.2</f>
        <v>1758</v>
      </c>
      <c r="K22" s="266">
        <f>'February''21 State of Activities'!H25*0.2</f>
        <v>10548</v>
      </c>
      <c r="L22" s="323"/>
      <c r="M22" s="266">
        <f>'February''21 State of Activities'!J25*0.2</f>
        <v>1758</v>
      </c>
      <c r="N22" s="68"/>
      <c r="O22" s="516">
        <f>J22-M22</f>
        <v>0</v>
      </c>
      <c r="P22" s="417">
        <v>0</v>
      </c>
      <c r="Q22" s="68"/>
      <c r="R22" s="764"/>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3"/>
      <c r="D23" s="73" t="s">
        <v>109</v>
      </c>
      <c r="E23" s="423"/>
      <c r="F23" s="73"/>
      <c r="G23" s="235">
        <v>1161224.25</v>
      </c>
      <c r="H23" s="235">
        <v>516293.30999999994</v>
      </c>
      <c r="I23" s="233"/>
      <c r="J23" s="265">
        <f>SUM(J9:J22)</f>
        <v>61345.539999999994</v>
      </c>
      <c r="K23" s="265">
        <f>SUM(K9:K22)</f>
        <v>337340.3</v>
      </c>
      <c r="L23" s="323"/>
      <c r="M23" s="265">
        <f>SUM(M9:M22)</f>
        <v>111155.64</v>
      </c>
      <c r="N23" s="68"/>
      <c r="O23" s="276">
        <f>SUM(O9:O22)</f>
        <v>-49810.100000000013</v>
      </c>
      <c r="P23" s="441">
        <f>O23/M23</f>
        <v>-0.44811131490943701</v>
      </c>
      <c r="Q23" s="68"/>
      <c r="R23" s="764"/>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224</v>
      </c>
      <c r="D24" s="423"/>
      <c r="E24" s="423"/>
      <c r="F24" s="73"/>
      <c r="G24" s="242">
        <v>150176</v>
      </c>
      <c r="H24" s="242">
        <v>47700.27</v>
      </c>
      <c r="I24" s="233"/>
      <c r="J24" s="323">
        <f>19000/12*6</f>
        <v>9500</v>
      </c>
      <c r="K24" s="323">
        <v>19000</v>
      </c>
      <c r="L24" s="323"/>
      <c r="M24" s="323">
        <v>6333</v>
      </c>
      <c r="N24" s="68"/>
      <c r="O24" s="515">
        <f>J24-M24</f>
        <v>3167</v>
      </c>
      <c r="P24" s="416">
        <f>O24/M24</f>
        <v>0.50007895152376436</v>
      </c>
      <c r="Q24" s="68"/>
      <c r="R24" s="323"/>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225</v>
      </c>
      <c r="D25" s="423"/>
      <c r="E25" s="423"/>
      <c r="F25" s="73"/>
      <c r="G25" s="233"/>
      <c r="H25" s="233"/>
      <c r="I25" s="233"/>
      <c r="J25" s="266">
        <v>13582.02</v>
      </c>
      <c r="K25" s="266">
        <v>37834.400000000001</v>
      </c>
      <c r="L25" s="323"/>
      <c r="M25" s="266">
        <v>14484</v>
      </c>
      <c r="N25" s="68"/>
      <c r="O25" s="380">
        <f>J25-M25</f>
        <v>-901.97999999999956</v>
      </c>
      <c r="P25" s="469">
        <f>O25/M25</f>
        <v>-6.2274233637116788E-2</v>
      </c>
      <c r="Q25" s="68"/>
      <c r="R25" s="764"/>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3"/>
      <c r="D26" s="73" t="s">
        <v>111</v>
      </c>
      <c r="E26" s="423"/>
      <c r="F26" s="73"/>
      <c r="G26" s="235">
        <v>1311400.25</v>
      </c>
      <c r="H26" s="235">
        <v>563993.57999999996</v>
      </c>
      <c r="I26" s="233"/>
      <c r="J26" s="265">
        <f>SUM(J23:J25)</f>
        <v>84427.56</v>
      </c>
      <c r="K26" s="265">
        <f>SUM(K23:K25)</f>
        <v>394174.7</v>
      </c>
      <c r="L26" s="323"/>
      <c r="M26" s="265">
        <f>SUM(M23:M25)</f>
        <v>131972.64000000001</v>
      </c>
      <c r="N26" s="68"/>
      <c r="O26" s="276">
        <f>J26-M26</f>
        <v>-47545.080000000016</v>
      </c>
      <c r="P26" s="441">
        <f>O26/M26</f>
        <v>-0.36026467304132137</v>
      </c>
      <c r="Q26" s="68"/>
      <c r="R26" s="764"/>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3"/>
      <c r="D27" s="73"/>
      <c r="E27" s="423"/>
      <c r="F27" s="73"/>
      <c r="G27" s="235"/>
      <c r="H27" s="235"/>
      <c r="I27" s="233"/>
      <c r="J27" s="323"/>
      <c r="K27" s="603"/>
      <c r="L27" s="323"/>
      <c r="M27" s="323"/>
      <c r="N27" s="68"/>
      <c r="O27" s="68"/>
      <c r="P27" s="68"/>
      <c r="Q27" s="68"/>
      <c r="R27" s="764"/>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115</v>
      </c>
      <c r="C28" s="87"/>
      <c r="D28" s="87"/>
      <c r="E28" s="87"/>
      <c r="F28" s="87"/>
      <c r="G28" s="242"/>
      <c r="H28" s="68"/>
      <c r="I28" s="68"/>
      <c r="J28" s="323"/>
      <c r="K28" s="370"/>
      <c r="L28" s="370"/>
      <c r="M28" s="370"/>
      <c r="N28" s="68"/>
      <c r="O28" s="68"/>
      <c r="P28" s="68"/>
      <c r="Q28" s="68"/>
      <c r="R28" s="764"/>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226</v>
      </c>
      <c r="D29" s="79"/>
      <c r="E29" s="79"/>
      <c r="F29" s="79"/>
      <c r="G29" s="233">
        <v>733747.79999999993</v>
      </c>
      <c r="H29" s="276">
        <v>361976</v>
      </c>
      <c r="I29" s="276"/>
      <c r="J29" s="323"/>
      <c r="K29" s="402"/>
      <c r="L29" s="402"/>
      <c r="M29" s="402"/>
      <c r="R29" s="764"/>
    </row>
    <row r="30" spans="1:61" s="68" customFormat="1" x14ac:dyDescent="0.2">
      <c r="A30" s="67"/>
      <c r="B30" s="67"/>
      <c r="C30" s="79"/>
      <c r="D30" s="887" t="s">
        <v>227</v>
      </c>
      <c r="E30" s="887"/>
      <c r="F30" s="887"/>
      <c r="G30" s="233"/>
      <c r="H30" s="276"/>
      <c r="I30" s="276"/>
      <c r="J30" s="323">
        <v>64964.65</v>
      </c>
      <c r="K30" s="323">
        <v>162253.75</v>
      </c>
      <c r="L30" s="402"/>
      <c r="M30" s="323">
        <v>82702.42</v>
      </c>
      <c r="O30" s="276">
        <f t="shared" ref="O30:O50" si="2">J30-M30</f>
        <v>-17737.769999999997</v>
      </c>
      <c r="P30" s="441">
        <f>O30/M30</f>
        <v>-0.21447703706856458</v>
      </c>
      <c r="R30" s="764">
        <f>J30</f>
        <v>64964.65</v>
      </c>
    </row>
    <row r="31" spans="1:61" s="68" customFormat="1" x14ac:dyDescent="0.2">
      <c r="A31" s="67"/>
      <c r="B31" s="67"/>
      <c r="C31" s="79"/>
      <c r="D31" s="887" t="s">
        <v>228</v>
      </c>
      <c r="E31" s="887"/>
      <c r="F31" s="887"/>
      <c r="G31" s="233"/>
      <c r="H31" s="276"/>
      <c r="I31" s="276"/>
      <c r="J31" s="323">
        <f>23219.46+7406.6</f>
        <v>30626.059999999998</v>
      </c>
      <c r="K31" s="323">
        <f>37966.12+23862.63+605.03+106.59</f>
        <v>62540.369999999995</v>
      </c>
      <c r="L31" s="402"/>
      <c r="M31" s="323">
        <f>18368.1+11845.56</f>
        <v>30213.659999999996</v>
      </c>
      <c r="O31" s="276">
        <f t="shared" si="2"/>
        <v>412.40000000000146</v>
      </c>
      <c r="P31" s="441">
        <f>O31/M31</f>
        <v>1.3649455246401843E-2</v>
      </c>
      <c r="R31" s="764">
        <f>J31</f>
        <v>30626.059999999998</v>
      </c>
    </row>
    <row r="32" spans="1:61" s="68" customFormat="1" x14ac:dyDescent="0.2">
      <c r="A32" s="67"/>
      <c r="B32" s="67"/>
      <c r="C32" s="79"/>
      <c r="D32" s="887" t="s">
        <v>117</v>
      </c>
      <c r="E32" s="887"/>
      <c r="F32" s="887"/>
      <c r="G32" s="233"/>
      <c r="H32" s="276"/>
      <c r="I32" s="276"/>
      <c r="J32" s="323">
        <v>15442.94</v>
      </c>
      <c r="K32" s="323">
        <v>42279.58</v>
      </c>
      <c r="L32" s="402"/>
      <c r="M32" s="323">
        <f>(M30+M31)*0.18</f>
        <v>20324.894399999997</v>
      </c>
      <c r="O32" s="276">
        <f t="shared" si="2"/>
        <v>-4881.9543999999969</v>
      </c>
      <c r="P32" s="441">
        <f>O32/M32</f>
        <v>-0.24019580638017965</v>
      </c>
      <c r="R32" s="263">
        <f>J32</f>
        <v>15442.94</v>
      </c>
    </row>
    <row r="33" spans="1:19" s="68" customFormat="1" x14ac:dyDescent="0.2">
      <c r="A33" s="67"/>
      <c r="B33" s="67"/>
      <c r="C33" s="79" t="s">
        <v>286</v>
      </c>
      <c r="D33" s="79"/>
      <c r="E33" s="79"/>
      <c r="F33" s="79"/>
      <c r="G33" s="233">
        <v>44745.18</v>
      </c>
      <c r="H33" s="233">
        <v>20974.21</v>
      </c>
      <c r="I33" s="233"/>
      <c r="J33" s="323"/>
      <c r="K33" s="603"/>
      <c r="L33" s="323"/>
      <c r="M33" s="603"/>
      <c r="O33" s="276">
        <f t="shared" si="2"/>
        <v>0</v>
      </c>
      <c r="P33" s="441"/>
      <c r="R33" s="764"/>
      <c r="S33" s="68">
        <f>R32/(R30+R31)</f>
        <v>0.16155272829336662</v>
      </c>
    </row>
    <row r="34" spans="1:19" s="68" customFormat="1" x14ac:dyDescent="0.2">
      <c r="A34" s="67"/>
      <c r="B34" s="67"/>
      <c r="C34" s="79"/>
      <c r="D34" s="887" t="s">
        <v>229</v>
      </c>
      <c r="E34" s="887"/>
      <c r="F34" s="887"/>
      <c r="G34" s="233"/>
      <c r="H34" s="233"/>
      <c r="I34" s="233"/>
      <c r="J34" s="323">
        <v>7876.42</v>
      </c>
      <c r="K34" s="323">
        <v>25472.83</v>
      </c>
      <c r="L34" s="323"/>
      <c r="M34" s="323">
        <v>8106.06</v>
      </c>
      <c r="O34" s="276">
        <f t="shared" si="2"/>
        <v>-229.64000000000033</v>
      </c>
      <c r="P34" s="441">
        <f t="shared" ref="P34:P41" si="3">O34/M34</f>
        <v>-2.832942267883538E-2</v>
      </c>
      <c r="R34" s="764">
        <v>7876.42</v>
      </c>
    </row>
    <row r="35" spans="1:19" s="68" customFormat="1" x14ac:dyDescent="0.2">
      <c r="A35" s="67"/>
      <c r="B35" s="67"/>
      <c r="C35" s="79"/>
      <c r="D35" s="887" t="s">
        <v>230</v>
      </c>
      <c r="E35" s="887"/>
      <c r="F35" s="887"/>
      <c r="G35" s="233"/>
      <c r="H35" s="233"/>
      <c r="I35" s="233"/>
      <c r="J35" s="323">
        <v>11303.34</v>
      </c>
      <c r="K35" s="323">
        <v>17989.87</v>
      </c>
      <c r="L35" s="323"/>
      <c r="M35" s="323">
        <v>5932.49</v>
      </c>
      <c r="O35" s="276">
        <f t="shared" si="2"/>
        <v>5370.85</v>
      </c>
      <c r="P35" s="441">
        <f t="shared" si="3"/>
        <v>0.90532811686155401</v>
      </c>
      <c r="R35" s="764">
        <v>11303.34</v>
      </c>
    </row>
    <row r="36" spans="1:19" s="68" customFormat="1" x14ac:dyDescent="0.2">
      <c r="A36" s="67"/>
      <c r="B36" s="67"/>
      <c r="C36" s="79"/>
      <c r="D36" s="887" t="s">
        <v>313</v>
      </c>
      <c r="E36" s="887"/>
      <c r="F36" s="887"/>
      <c r="G36" s="233"/>
      <c r="H36" s="233"/>
      <c r="I36" s="233"/>
      <c r="J36" s="323">
        <v>11898.19</v>
      </c>
      <c r="K36" s="323">
        <v>16090.9</v>
      </c>
      <c r="L36" s="323"/>
      <c r="M36" s="323">
        <v>7105.84</v>
      </c>
      <c r="O36" s="276">
        <f t="shared" si="2"/>
        <v>4792.3500000000004</v>
      </c>
      <c r="P36" s="441">
        <f t="shared" si="3"/>
        <v>0.6744241356405436</v>
      </c>
      <c r="R36" s="764">
        <v>11898.19</v>
      </c>
    </row>
    <row r="37" spans="1:19" s="68" customFormat="1" x14ac:dyDescent="0.2">
      <c r="A37" s="67"/>
      <c r="B37" s="67"/>
      <c r="C37" s="79"/>
      <c r="D37" s="887" t="s">
        <v>231</v>
      </c>
      <c r="E37" s="887"/>
      <c r="F37" s="887"/>
      <c r="G37" s="233"/>
      <c r="H37" s="233"/>
      <c r="I37" s="233"/>
      <c r="J37" s="323">
        <v>307</v>
      </c>
      <c r="K37" s="323">
        <v>1427.75</v>
      </c>
      <c r="L37" s="323"/>
      <c r="M37" s="323">
        <v>79</v>
      </c>
      <c r="O37" s="276">
        <f t="shared" si="2"/>
        <v>228</v>
      </c>
      <c r="P37" s="441">
        <f t="shared" si="3"/>
        <v>2.8860759493670884</v>
      </c>
      <c r="R37" s="764">
        <v>307</v>
      </c>
    </row>
    <row r="38" spans="1:19" s="68" customFormat="1" x14ac:dyDescent="0.2">
      <c r="A38" s="67"/>
      <c r="B38" s="67"/>
      <c r="C38" s="79" t="s">
        <v>232</v>
      </c>
      <c r="D38" s="79"/>
      <c r="E38" s="79"/>
      <c r="F38" s="79"/>
      <c r="G38" s="233">
        <v>27200</v>
      </c>
      <c r="H38" s="233">
        <v>11327</v>
      </c>
      <c r="I38" s="233"/>
      <c r="J38" s="323">
        <v>15180</v>
      </c>
      <c r="K38" s="323">
        <f>22438.68+1591</f>
        <v>24029.68</v>
      </c>
      <c r="L38" s="323"/>
      <c r="M38" s="323">
        <f>530.32+7060.24</f>
        <v>7590.5599999999995</v>
      </c>
      <c r="O38" s="276">
        <f t="shared" si="2"/>
        <v>7589.4400000000005</v>
      </c>
      <c r="P38" s="441">
        <f t="shared" si="3"/>
        <v>0.99985244830420961</v>
      </c>
      <c r="R38" s="764">
        <f>930+14250</f>
        <v>15180</v>
      </c>
    </row>
    <row r="39" spans="1:19" s="68" customFormat="1" x14ac:dyDescent="0.2">
      <c r="A39" s="67"/>
      <c r="B39" s="67"/>
      <c r="C39" s="79" t="s">
        <v>108</v>
      </c>
      <c r="D39" s="79"/>
      <c r="E39" s="79"/>
      <c r="F39" s="79"/>
      <c r="G39" s="233">
        <v>150176</v>
      </c>
      <c r="H39" s="276">
        <v>47700.27</v>
      </c>
      <c r="I39" s="276"/>
      <c r="J39" s="323">
        <f>J22</f>
        <v>1758</v>
      </c>
      <c r="K39" s="323">
        <f>K22</f>
        <v>10548</v>
      </c>
      <c r="L39" s="402"/>
      <c r="M39" s="323">
        <f>M22</f>
        <v>1758</v>
      </c>
      <c r="O39" s="276">
        <f t="shared" si="2"/>
        <v>0</v>
      </c>
      <c r="P39" s="441">
        <f t="shared" si="3"/>
        <v>0</v>
      </c>
      <c r="R39" s="764"/>
    </row>
    <row r="40" spans="1:19" s="68" customFormat="1" x14ac:dyDescent="0.2">
      <c r="A40" s="67"/>
      <c r="B40" s="67"/>
      <c r="C40" s="79" t="s">
        <v>322</v>
      </c>
      <c r="D40" s="79"/>
      <c r="E40" s="79"/>
      <c r="F40" s="79"/>
      <c r="G40" s="233"/>
      <c r="H40" s="276"/>
      <c r="I40" s="276"/>
      <c r="J40" s="323">
        <f>1268+392</f>
        <v>1660</v>
      </c>
      <c r="K40" s="323">
        <v>4497</v>
      </c>
      <c r="L40" s="402"/>
      <c r="M40" s="323">
        <v>1388</v>
      </c>
      <c r="O40" s="276">
        <f t="shared" si="2"/>
        <v>272</v>
      </c>
      <c r="P40" s="441">
        <f t="shared" si="3"/>
        <v>0.19596541786743515</v>
      </c>
      <c r="R40" s="764">
        <v>2437</v>
      </c>
    </row>
    <row r="41" spans="1:19" s="68" customFormat="1" x14ac:dyDescent="0.2">
      <c r="A41" s="67"/>
      <c r="B41" s="67"/>
      <c r="C41" s="79" t="s">
        <v>233</v>
      </c>
      <c r="D41" s="79"/>
      <c r="E41" s="79"/>
      <c r="F41" s="79"/>
      <c r="G41" s="233"/>
      <c r="H41" s="276"/>
      <c r="I41" s="276"/>
      <c r="J41" s="323">
        <v>954</v>
      </c>
      <c r="K41" s="323">
        <f>75+874</f>
        <v>949</v>
      </c>
      <c r="L41" s="402"/>
      <c r="M41" s="323">
        <f>393+75</f>
        <v>468</v>
      </c>
      <c r="O41" s="276">
        <f t="shared" si="2"/>
        <v>486</v>
      </c>
      <c r="P41" s="441">
        <f t="shared" si="3"/>
        <v>1.0384615384615385</v>
      </c>
      <c r="R41" s="764">
        <f>105+877</f>
        <v>982</v>
      </c>
      <c r="S41" s="768">
        <f>R41</f>
        <v>982</v>
      </c>
    </row>
    <row r="42" spans="1:19" s="68" customFormat="1" x14ac:dyDescent="0.2">
      <c r="A42" s="67"/>
      <c r="B42" s="67"/>
      <c r="C42" s="79" t="s">
        <v>400</v>
      </c>
      <c r="D42" s="79"/>
      <c r="E42" s="79"/>
      <c r="F42" s="79"/>
      <c r="G42" s="233">
        <v>10993.12</v>
      </c>
      <c r="H42" s="276">
        <v>4904.57</v>
      </c>
      <c r="I42" s="276"/>
      <c r="J42" s="323">
        <f>1600.82+472.16</f>
        <v>2072.98</v>
      </c>
      <c r="K42" s="323">
        <v>4436.1400000000003</v>
      </c>
      <c r="L42" s="402"/>
      <c r="M42" s="323">
        <f>18.18+1152.17</f>
        <v>1170.3500000000001</v>
      </c>
      <c r="O42" s="276">
        <f t="shared" si="2"/>
        <v>902.62999999999988</v>
      </c>
      <c r="P42" s="441">
        <f>O42/M42</f>
        <v>0.77124791728969944</v>
      </c>
      <c r="R42" s="764">
        <f>757.49+3120.83+26.18</f>
        <v>3904.4999999999995</v>
      </c>
    </row>
    <row r="43" spans="1:19" s="68" customFormat="1" x14ac:dyDescent="0.2">
      <c r="A43" s="67"/>
      <c r="B43" s="67"/>
      <c r="C43" s="79" t="s">
        <v>234</v>
      </c>
      <c r="D43" s="79"/>
      <c r="E43" s="79"/>
      <c r="F43" s="79"/>
      <c r="G43" s="233">
        <v>10250.949999999999</v>
      </c>
      <c r="H43" s="276">
        <v>3982.99</v>
      </c>
      <c r="I43" s="276"/>
      <c r="J43" s="323">
        <f>41.5+32.88</f>
        <v>74.38</v>
      </c>
      <c r="K43" s="323">
        <f>223.01+568.51</f>
        <v>791.52</v>
      </c>
      <c r="L43" s="402"/>
      <c r="M43" s="323">
        <f>11.58+94.37+34.1+4.4</f>
        <v>144.45000000000002</v>
      </c>
      <c r="O43" s="276">
        <f t="shared" si="2"/>
        <v>-70.070000000000022</v>
      </c>
      <c r="P43" s="441">
        <f>O43/M43</f>
        <v>-0.48508134302526834</v>
      </c>
      <c r="R43" s="764">
        <f>9.2+72.5+8.53+225.13</f>
        <v>315.36</v>
      </c>
      <c r="S43" s="768">
        <f>R43</f>
        <v>315.36</v>
      </c>
    </row>
    <row r="44" spans="1:19" s="68" customFormat="1" x14ac:dyDescent="0.2">
      <c r="A44" s="67"/>
      <c r="B44" s="67"/>
      <c r="C44" s="79" t="s">
        <v>126</v>
      </c>
      <c r="D44" s="79"/>
      <c r="E44" s="79"/>
      <c r="F44" s="79"/>
      <c r="G44" s="233">
        <v>4412.53</v>
      </c>
      <c r="H44" s="277">
        <v>5667</v>
      </c>
      <c r="I44" s="277"/>
      <c r="J44" s="323">
        <f>473.98+380.58+21.4+125</f>
        <v>1000.9599999999999</v>
      </c>
      <c r="K44" s="323">
        <v>1826.56</v>
      </c>
      <c r="L44" s="403"/>
      <c r="M44" s="323">
        <f>72.06+953.27</f>
        <v>1025.33</v>
      </c>
      <c r="O44" s="276">
        <f t="shared" si="2"/>
        <v>-24.370000000000005</v>
      </c>
      <c r="P44" s="441">
        <f>O44/M44</f>
        <v>-2.3767957633152259E-2</v>
      </c>
      <c r="R44" s="764">
        <f>108.49+189+1123.3</f>
        <v>1420.79</v>
      </c>
    </row>
    <row r="45" spans="1:19" s="68" customFormat="1" x14ac:dyDescent="0.2">
      <c r="A45" s="67"/>
      <c r="B45" s="67"/>
      <c r="C45" s="79" t="s">
        <v>124</v>
      </c>
      <c r="D45" s="79"/>
      <c r="E45" s="79"/>
      <c r="F45" s="79"/>
      <c r="G45" s="233">
        <v>7901</v>
      </c>
      <c r="H45" s="276">
        <v>4149.6000000000004</v>
      </c>
      <c r="I45" s="276"/>
      <c r="J45" s="323">
        <f>84.85+28.27</f>
        <v>113.11999999999999</v>
      </c>
      <c r="K45" s="323">
        <v>396.82</v>
      </c>
      <c r="L45" s="402"/>
      <c r="M45" s="323">
        <f>150.1</f>
        <v>150.1</v>
      </c>
      <c r="O45" s="276">
        <f t="shared" si="2"/>
        <v>-36.980000000000004</v>
      </c>
      <c r="P45" s="441">
        <f>O45/M45</f>
        <v>-0.24636908727514994</v>
      </c>
      <c r="R45" s="764">
        <f>0.1+152.24</f>
        <v>152.34</v>
      </c>
      <c r="S45" s="768">
        <f>R45</f>
        <v>152.34</v>
      </c>
    </row>
    <row r="46" spans="1:19" s="68" customFormat="1" hidden="1" x14ac:dyDescent="0.2">
      <c r="A46" s="67"/>
      <c r="B46" s="67"/>
      <c r="C46" s="79" t="s">
        <v>235</v>
      </c>
      <c r="D46" s="79"/>
      <c r="E46" s="79"/>
      <c r="F46" s="79"/>
      <c r="G46" s="233"/>
      <c r="H46" s="276"/>
      <c r="I46" s="276"/>
      <c r="J46" s="323"/>
      <c r="K46" s="323"/>
      <c r="L46" s="402"/>
      <c r="M46" s="323"/>
      <c r="O46" s="276">
        <f t="shared" si="2"/>
        <v>0</v>
      </c>
      <c r="P46" s="441"/>
      <c r="R46" s="764"/>
    </row>
    <row r="47" spans="1:19" s="76" customFormat="1" x14ac:dyDescent="0.2">
      <c r="A47" s="79"/>
      <c r="B47" s="79"/>
      <c r="C47" s="79" t="s">
        <v>120</v>
      </c>
      <c r="D47" s="79"/>
      <c r="E47" s="79"/>
      <c r="F47" s="79"/>
      <c r="G47" s="233">
        <v>5428.37</v>
      </c>
      <c r="H47" s="276">
        <v>2024.52</v>
      </c>
      <c r="I47" s="276"/>
      <c r="J47" s="323">
        <f>144.57+13.67</f>
        <v>158.23999999999998</v>
      </c>
      <c r="K47" s="323">
        <v>422.62</v>
      </c>
      <c r="L47" s="402"/>
      <c r="M47" s="323">
        <v>151.52000000000001</v>
      </c>
      <c r="O47" s="276">
        <f t="shared" si="2"/>
        <v>6.7199999999999704</v>
      </c>
      <c r="P47" s="441">
        <f>O47/M47</f>
        <v>4.4350580781414795E-2</v>
      </c>
      <c r="R47" s="764">
        <v>207.91</v>
      </c>
    </row>
    <row r="48" spans="1:19" s="76" customFormat="1" x14ac:dyDescent="0.2">
      <c r="A48" s="79"/>
      <c r="B48" s="79"/>
      <c r="C48" s="79" t="s">
        <v>236</v>
      </c>
      <c r="D48" s="79"/>
      <c r="E48" s="79"/>
      <c r="F48" s="79"/>
      <c r="G48" s="233">
        <v>83462.91</v>
      </c>
      <c r="H48" s="233">
        <v>18995.71</v>
      </c>
      <c r="I48" s="233"/>
      <c r="J48" s="401">
        <f>43.18+110</f>
        <v>153.18</v>
      </c>
      <c r="K48" s="401">
        <f>248.22+18.56+28.25+5</f>
        <v>300.02999999999997</v>
      </c>
      <c r="L48" s="323"/>
      <c r="M48" s="401">
        <v>58.6</v>
      </c>
      <c r="O48" s="518">
        <f t="shared" si="2"/>
        <v>94.580000000000013</v>
      </c>
      <c r="P48" s="517">
        <f>O48/M48</f>
        <v>1.6139931740614337</v>
      </c>
      <c r="R48" s="764">
        <f>25+228.45+110</f>
        <v>363.45</v>
      </c>
    </row>
    <row r="49" spans="1:21" s="68" customFormat="1" ht="21" thickBot="1" x14ac:dyDescent="0.25">
      <c r="A49" s="67"/>
      <c r="B49" s="67"/>
      <c r="C49" s="67"/>
      <c r="D49" s="73" t="s">
        <v>132</v>
      </c>
      <c r="E49" s="67"/>
      <c r="F49" s="67"/>
      <c r="G49" s="242">
        <v>1078317.8599999999</v>
      </c>
      <c r="H49" s="242">
        <v>481701.87000000005</v>
      </c>
      <c r="I49" s="233"/>
      <c r="J49" s="471">
        <f>SUM(J30:J48)</f>
        <v>165543.45999999996</v>
      </c>
      <c r="K49" s="471">
        <f>SUM(K30:K48)</f>
        <v>376252.4200000001</v>
      </c>
      <c r="L49" s="323"/>
      <c r="M49" s="471">
        <f>SUM(M30:M48)</f>
        <v>168369.27439999997</v>
      </c>
      <c r="O49" s="471">
        <f t="shared" si="2"/>
        <v>-2825.8144000000029</v>
      </c>
      <c r="P49" s="469">
        <f>O49/M49</f>
        <v>-1.6783432785287357E-2</v>
      </c>
      <c r="R49" s="764"/>
      <c r="U49" s="342"/>
    </row>
    <row r="50" spans="1:21" s="68" customFormat="1" ht="21" thickBot="1" x14ac:dyDescent="0.25">
      <c r="A50" s="67"/>
      <c r="B50" s="67"/>
      <c r="C50" s="67"/>
      <c r="D50" s="67" t="s">
        <v>133</v>
      </c>
      <c r="E50" s="67"/>
      <c r="F50" s="67"/>
      <c r="G50" s="242">
        <v>233082.39000000013</v>
      </c>
      <c r="H50" s="242">
        <v>82291.709999999905</v>
      </c>
      <c r="I50" s="233"/>
      <c r="J50" s="472">
        <f>J26-J49</f>
        <v>-81115.899999999965</v>
      </c>
      <c r="K50" s="472">
        <f>K26-K49</f>
        <v>17922.279999999912</v>
      </c>
      <c r="L50" s="323"/>
      <c r="M50" s="472">
        <f>M26-M49</f>
        <v>-36396.634399999952</v>
      </c>
      <c r="O50" s="380">
        <f t="shared" si="2"/>
        <v>-44719.265600000013</v>
      </c>
      <c r="P50" s="469">
        <f>O50/M50</f>
        <v>1.2286648569901857</v>
      </c>
      <c r="R50" s="764">
        <f>SUM(R29:R49)</f>
        <v>167381.94999999998</v>
      </c>
    </row>
    <row r="51" spans="1:21" s="68" customFormat="1" x14ac:dyDescent="0.2">
      <c r="A51" s="67"/>
      <c r="B51" s="67"/>
      <c r="C51" s="67"/>
      <c r="D51" s="67"/>
      <c r="E51" s="67"/>
      <c r="F51" s="67"/>
      <c r="G51" s="233"/>
      <c r="H51" s="233"/>
      <c r="I51" s="233"/>
      <c r="J51" s="323"/>
      <c r="K51" s="323"/>
      <c r="L51" s="323"/>
      <c r="M51" s="323"/>
      <c r="R51" s="764"/>
    </row>
    <row r="52" spans="1:21" s="65" customFormat="1" ht="26.25" x14ac:dyDescent="0.2">
      <c r="A52" s="269"/>
      <c r="B52" s="269"/>
      <c r="C52" s="79" t="s">
        <v>271</v>
      </c>
      <c r="E52" s="79"/>
      <c r="F52" s="79"/>
      <c r="G52" s="271"/>
      <c r="H52" s="233"/>
      <c r="I52" s="233"/>
      <c r="J52" s="323"/>
      <c r="K52" s="323">
        <v>-69500</v>
      </c>
      <c r="L52" s="323"/>
      <c r="M52" s="323"/>
      <c r="O52" s="276">
        <f>J52-M52</f>
        <v>0</v>
      </c>
      <c r="P52" s="416"/>
      <c r="R52" s="764"/>
    </row>
    <row r="53" spans="1:21" s="68" customFormat="1" x14ac:dyDescent="0.2">
      <c r="A53" s="67"/>
      <c r="B53" s="67"/>
      <c r="C53" s="79" t="s">
        <v>237</v>
      </c>
      <c r="E53" s="67"/>
      <c r="G53" s="233"/>
      <c r="H53" s="233"/>
      <c r="I53" s="233"/>
      <c r="J53" s="323">
        <f>J38</f>
        <v>15180</v>
      </c>
      <c r="K53" s="323">
        <f>K38</f>
        <v>24029.68</v>
      </c>
      <c r="L53" s="323"/>
      <c r="M53" s="323">
        <f>M38</f>
        <v>7590.5599999999995</v>
      </c>
      <c r="O53" s="276">
        <f>J53-M53</f>
        <v>7589.4400000000005</v>
      </c>
      <c r="P53" s="416">
        <v>3.5414486921529216E-2</v>
      </c>
      <c r="R53" s="764"/>
    </row>
    <row r="54" spans="1:21" s="68" customFormat="1" ht="24" thickBot="1" x14ac:dyDescent="0.25">
      <c r="A54" s="67"/>
      <c r="B54" s="399"/>
      <c r="C54" s="67"/>
      <c r="D54" s="913" t="s">
        <v>238</v>
      </c>
      <c r="E54" s="913"/>
      <c r="F54" s="913"/>
      <c r="G54" s="233"/>
      <c r="H54" s="233"/>
      <c r="I54" s="233"/>
      <c r="J54" s="473">
        <f>J50+J52+J53</f>
        <v>-65935.899999999965</v>
      </c>
      <c r="K54" s="473">
        <f>K50+K52+K53</f>
        <v>-27548.040000000088</v>
      </c>
      <c r="L54" s="327"/>
      <c r="M54" s="473">
        <f>M50+M52+M53</f>
        <v>-28806.074399999954</v>
      </c>
      <c r="N54" s="390"/>
      <c r="O54" s="470">
        <f>J54-M54</f>
        <v>-37129.825600000011</v>
      </c>
      <c r="P54" s="507">
        <v>2.1062768618503362E-2</v>
      </c>
      <c r="R54" s="764"/>
    </row>
    <row r="55" spans="1:21" s="68" customFormat="1" ht="42" customHeight="1" thickTop="1" x14ac:dyDescent="0.2">
      <c r="A55" s="67"/>
      <c r="B55" s="67"/>
      <c r="C55" s="67"/>
      <c r="D55" s="67"/>
      <c r="E55" s="67"/>
      <c r="F55" s="67"/>
      <c r="G55" s="233"/>
      <c r="H55" s="233"/>
      <c r="I55" s="233"/>
      <c r="J55" s="323"/>
      <c r="K55" s="323"/>
      <c r="L55" s="323"/>
      <c r="M55" s="323"/>
      <c r="R55" s="764"/>
    </row>
    <row r="56" spans="1:21" s="76" customFormat="1" x14ac:dyDescent="0.2">
      <c r="A56" s="79"/>
      <c r="B56" s="79"/>
      <c r="C56" s="79"/>
      <c r="D56" s="79"/>
      <c r="F56" s="79" t="s">
        <v>318</v>
      </c>
      <c r="G56" s="247"/>
      <c r="H56" s="233"/>
      <c r="I56" s="233"/>
      <c r="J56" s="323">
        <v>62742</v>
      </c>
      <c r="K56" s="323">
        <v>227723</v>
      </c>
      <c r="L56" s="323"/>
      <c r="M56" s="323">
        <v>74506</v>
      </c>
      <c r="O56" s="248"/>
      <c r="R56" s="764"/>
    </row>
    <row r="57" spans="1:21" s="76" customFormat="1" ht="21" thickBot="1" x14ac:dyDescent="0.25">
      <c r="A57" s="79"/>
      <c r="B57" s="79"/>
      <c r="C57" s="79"/>
      <c r="D57" s="79"/>
      <c r="F57" s="79" t="s">
        <v>323</v>
      </c>
      <c r="G57" s="233"/>
      <c r="H57" s="233"/>
      <c r="I57" s="233"/>
      <c r="J57" s="620">
        <f>(J49-J38-J39)/J56</f>
        <v>2.3685164642504217</v>
      </c>
      <c r="K57" s="620">
        <f>(K49-K38-K39)/K56</f>
        <v>1.5003962709080774</v>
      </c>
      <c r="L57" s="621"/>
      <c r="M57" s="620">
        <f>(M49-M38-M39)/M56</f>
        <v>2.1343343408584539</v>
      </c>
      <c r="R57" s="764"/>
    </row>
    <row r="58" spans="1:21" s="76" customFormat="1" x14ac:dyDescent="0.2">
      <c r="A58" s="79"/>
      <c r="B58" s="79"/>
      <c r="C58" s="79"/>
      <c r="D58" s="79"/>
      <c r="F58" s="79"/>
      <c r="G58" s="233"/>
      <c r="H58" s="233"/>
      <c r="I58" s="233"/>
      <c r="J58" s="323"/>
      <c r="K58" s="323"/>
      <c r="L58" s="323"/>
      <c r="M58" s="323"/>
      <c r="R58" s="764"/>
    </row>
    <row r="59" spans="1:21" s="76" customFormat="1" x14ac:dyDescent="0.2">
      <c r="A59" s="79"/>
      <c r="B59" s="79"/>
      <c r="C59" s="79"/>
      <c r="D59" s="79"/>
      <c r="F59" s="79" t="s">
        <v>319</v>
      </c>
      <c r="G59" s="233"/>
      <c r="H59" s="233"/>
      <c r="I59" s="233"/>
      <c r="J59" s="323">
        <v>4125</v>
      </c>
      <c r="K59" s="323">
        <v>16457</v>
      </c>
      <c r="L59" s="323"/>
      <c r="M59" s="323">
        <v>5516</v>
      </c>
      <c r="P59" s="248"/>
      <c r="R59" s="764"/>
    </row>
    <row r="60" spans="1:21" s="76" customFormat="1" ht="21" thickBot="1" x14ac:dyDescent="0.25">
      <c r="A60" s="79"/>
      <c r="B60" s="79"/>
      <c r="C60" s="79"/>
      <c r="D60" s="79"/>
      <c r="F60" s="79" t="s">
        <v>389</v>
      </c>
      <c r="G60" s="233"/>
      <c r="H60" s="233"/>
      <c r="I60" s="233"/>
      <c r="J60" s="620">
        <f>(J49-J38-J39)/J59</f>
        <v>36.025566060606053</v>
      </c>
      <c r="K60" s="620">
        <f>(K49-K38-K39)/K59</f>
        <v>20.761666160296535</v>
      </c>
      <c r="L60" s="323"/>
      <c r="M60" s="620">
        <f>(M49-M38-M39)/M59</f>
        <v>28.828991007976789</v>
      </c>
      <c r="R60" s="764"/>
    </row>
    <row r="61" spans="1:21" s="76" customFormat="1" x14ac:dyDescent="0.2">
      <c r="A61" s="79"/>
      <c r="B61" s="79"/>
      <c r="C61" s="79"/>
      <c r="D61" s="79"/>
      <c r="F61" s="79"/>
      <c r="G61" s="233"/>
      <c r="H61" s="233"/>
      <c r="I61" s="233"/>
      <c r="J61" s="323"/>
      <c r="K61" s="323"/>
      <c r="L61" s="323"/>
      <c r="M61" s="323"/>
      <c r="R61" s="764"/>
    </row>
    <row r="62" spans="1:21" s="76" customFormat="1" x14ac:dyDescent="0.2">
      <c r="A62" s="79"/>
      <c r="B62" s="79"/>
      <c r="C62" s="67"/>
      <c r="D62" s="79"/>
      <c r="F62" s="79" t="s">
        <v>320</v>
      </c>
      <c r="G62" s="233"/>
      <c r="H62" s="233"/>
      <c r="I62" s="233"/>
      <c r="J62" s="323">
        <v>1517</v>
      </c>
      <c r="K62" s="323">
        <v>7208</v>
      </c>
      <c r="L62" s="323"/>
      <c r="M62" s="323">
        <v>2389</v>
      </c>
      <c r="R62" s="764"/>
    </row>
    <row r="63" spans="1:21" s="76" customFormat="1" ht="21" thickBot="1" x14ac:dyDescent="0.25">
      <c r="A63" s="79"/>
      <c r="B63" s="79"/>
      <c r="C63" s="79"/>
      <c r="D63" s="79"/>
      <c r="E63" s="79"/>
      <c r="F63" s="79" t="s">
        <v>390</v>
      </c>
      <c r="G63" s="233"/>
      <c r="H63" s="233"/>
      <c r="I63" s="233"/>
      <c r="J63" s="620">
        <f>J9/J62</f>
        <v>27.359485827290705</v>
      </c>
      <c r="K63" s="620">
        <f>K9/K62</f>
        <v>22.020116537180911</v>
      </c>
      <c r="L63" s="323"/>
      <c r="M63" s="620">
        <f>M9/M62</f>
        <v>32.932381749686066</v>
      </c>
      <c r="R63" s="764"/>
    </row>
    <row r="64" spans="1:21" s="76" customFormat="1" x14ac:dyDescent="0.2">
      <c r="A64" s="79"/>
      <c r="B64" s="79"/>
      <c r="C64" s="67"/>
      <c r="D64" s="67"/>
      <c r="G64" s="233"/>
      <c r="H64" s="233"/>
      <c r="I64" s="233"/>
      <c r="J64" s="323"/>
      <c r="K64" s="323"/>
      <c r="L64" s="323"/>
      <c r="M64" s="323"/>
      <c r="R64" s="764"/>
    </row>
    <row r="65" spans="1:18" s="76" customFormat="1" x14ac:dyDescent="0.2">
      <c r="A65" s="79"/>
      <c r="B65" s="79"/>
      <c r="C65" s="79"/>
      <c r="D65" s="79"/>
      <c r="E65" s="79"/>
      <c r="F65" s="79"/>
      <c r="G65" s="233"/>
      <c r="H65" s="233"/>
      <c r="I65" s="233"/>
      <c r="J65" s="233"/>
      <c r="K65" s="233"/>
      <c r="L65" s="233"/>
      <c r="M65" s="233"/>
      <c r="R65" s="764"/>
    </row>
    <row r="66" spans="1:18" s="76" customFormat="1" x14ac:dyDescent="0.2">
      <c r="A66" s="79"/>
      <c r="B66" s="79"/>
      <c r="C66" s="79"/>
      <c r="D66" s="79"/>
      <c r="E66" s="79"/>
      <c r="F66" s="79"/>
      <c r="G66" s="233"/>
      <c r="H66" s="233"/>
      <c r="I66" s="233"/>
      <c r="J66" s="233"/>
      <c r="K66" s="233"/>
      <c r="L66" s="233"/>
      <c r="M66" s="233"/>
      <c r="R66" s="764"/>
    </row>
    <row r="67" spans="1:18" s="76" customFormat="1" x14ac:dyDescent="0.2">
      <c r="A67" s="79"/>
      <c r="B67" s="79"/>
      <c r="C67" s="67"/>
      <c r="D67" s="79"/>
      <c r="F67" s="79"/>
      <c r="G67" s="233"/>
      <c r="H67" s="233"/>
      <c r="I67" s="233"/>
      <c r="J67" s="233"/>
      <c r="K67" s="233"/>
      <c r="L67" s="233"/>
      <c r="M67" s="233"/>
      <c r="R67" s="764"/>
    </row>
    <row r="68" spans="1:18" s="76" customFormat="1" x14ac:dyDescent="0.2">
      <c r="A68" s="79"/>
      <c r="B68" s="79"/>
      <c r="C68" s="79"/>
      <c r="D68" s="79"/>
      <c r="E68" s="79"/>
      <c r="F68" s="79"/>
      <c r="G68" s="233"/>
      <c r="H68" s="233"/>
      <c r="I68" s="233"/>
      <c r="J68" s="233"/>
      <c r="K68" s="233"/>
      <c r="L68" s="233"/>
      <c r="M68" s="233"/>
      <c r="R68" s="764"/>
    </row>
    <row r="69" spans="1:18" s="68" customFormat="1" x14ac:dyDescent="0.2">
      <c r="A69" s="67"/>
      <c r="B69" s="67"/>
      <c r="C69" s="67"/>
      <c r="D69" s="67"/>
      <c r="E69" s="67"/>
      <c r="F69" s="67"/>
      <c r="G69" s="238"/>
      <c r="H69" s="238"/>
      <c r="I69" s="238"/>
      <c r="J69" s="238"/>
      <c r="K69" s="238"/>
      <c r="L69" s="238"/>
      <c r="M69" s="238"/>
      <c r="R69" s="764"/>
    </row>
    <row r="70" spans="1:18" s="68" customFormat="1" x14ac:dyDescent="0.2">
      <c r="A70" s="67"/>
      <c r="B70" s="67"/>
      <c r="C70" s="67"/>
      <c r="D70" s="67"/>
      <c r="E70" s="67"/>
      <c r="F70" s="67"/>
      <c r="G70" s="238"/>
      <c r="H70" s="238"/>
      <c r="I70" s="238"/>
      <c r="J70" s="238"/>
      <c r="K70" s="238"/>
      <c r="L70" s="238"/>
      <c r="M70" s="238"/>
      <c r="R70" s="764"/>
    </row>
    <row r="71" spans="1:18" s="68" customFormat="1" ht="23.25" x14ac:dyDescent="0.2">
      <c r="A71" s="67"/>
      <c r="B71" s="272"/>
      <c r="C71" s="67"/>
      <c r="D71" s="67"/>
      <c r="E71" s="67"/>
      <c r="F71" s="67"/>
      <c r="G71" s="233"/>
      <c r="H71" s="233"/>
      <c r="I71" s="233"/>
      <c r="J71" s="233"/>
      <c r="K71" s="233"/>
      <c r="L71" s="233"/>
      <c r="M71" s="233"/>
      <c r="R71" s="764"/>
    </row>
    <row r="72" spans="1:18" s="76" customFormat="1" x14ac:dyDescent="0.2">
      <c r="A72" s="79"/>
      <c r="B72" s="79"/>
      <c r="D72" s="79"/>
      <c r="E72" s="79"/>
      <c r="F72" s="79"/>
      <c r="G72" s="233"/>
      <c r="H72" s="233"/>
      <c r="I72" s="233"/>
      <c r="J72" s="233"/>
      <c r="K72" s="233"/>
      <c r="L72" s="233"/>
      <c r="M72" s="233"/>
      <c r="R72" s="764"/>
    </row>
    <row r="73" spans="1:18" s="76" customFormat="1" x14ac:dyDescent="0.2">
      <c r="A73" s="79"/>
      <c r="B73" s="79"/>
      <c r="D73" s="79"/>
      <c r="E73" s="79"/>
      <c r="F73" s="79"/>
      <c r="G73" s="233"/>
      <c r="H73" s="233"/>
      <c r="I73" s="233"/>
      <c r="J73" s="233"/>
      <c r="K73" s="233"/>
      <c r="L73" s="233"/>
      <c r="M73" s="233"/>
      <c r="R73" s="764"/>
    </row>
    <row r="74" spans="1:18" s="68" customFormat="1" x14ac:dyDescent="0.2">
      <c r="A74" s="67"/>
      <c r="B74" s="67"/>
      <c r="D74" s="79"/>
      <c r="E74" s="67"/>
      <c r="F74" s="67"/>
      <c r="G74" s="233"/>
      <c r="H74" s="233"/>
      <c r="I74" s="233"/>
      <c r="J74" s="233"/>
      <c r="K74" s="233"/>
      <c r="L74" s="233"/>
      <c r="M74" s="233"/>
      <c r="R74" s="764"/>
    </row>
    <row r="75" spans="1:18" s="68" customFormat="1" ht="23.25" x14ac:dyDescent="0.2">
      <c r="A75" s="67"/>
      <c r="B75" s="272"/>
      <c r="C75" s="67"/>
      <c r="D75" s="67"/>
      <c r="E75" s="67"/>
      <c r="F75" s="67"/>
      <c r="G75" s="238"/>
      <c r="H75" s="238"/>
      <c r="I75" s="238"/>
      <c r="J75" s="238"/>
      <c r="K75" s="238"/>
      <c r="L75" s="238"/>
      <c r="M75" s="238"/>
      <c r="R75" s="764"/>
    </row>
    <row r="76" spans="1:18" s="68" customFormat="1" x14ac:dyDescent="0.2">
      <c r="A76" s="67"/>
      <c r="B76" s="67"/>
      <c r="C76" s="67"/>
      <c r="D76" s="67"/>
      <c r="E76" s="67"/>
      <c r="F76" s="67"/>
      <c r="G76" s="233"/>
      <c r="H76" s="233"/>
      <c r="I76" s="233"/>
      <c r="J76" s="233"/>
      <c r="K76" s="233"/>
      <c r="L76" s="233"/>
      <c r="M76" s="233"/>
      <c r="R76" s="764"/>
    </row>
    <row r="77" spans="1:18" s="82" customFormat="1" ht="26.25" x14ac:dyDescent="0.2">
      <c r="A77" s="269"/>
      <c r="B77" s="269"/>
      <c r="C77" s="269"/>
      <c r="D77" s="269"/>
      <c r="E77" s="269"/>
      <c r="F77" s="269"/>
      <c r="G77" s="270"/>
      <c r="H77" s="238"/>
      <c r="I77" s="238"/>
      <c r="J77" s="238"/>
      <c r="K77" s="238"/>
      <c r="L77" s="238"/>
      <c r="M77" s="238"/>
      <c r="R77" s="766"/>
    </row>
    <row r="78" spans="1:18" s="18" customFormat="1" x14ac:dyDescent="0.3">
      <c r="A78" s="122"/>
      <c r="B78" s="122"/>
      <c r="C78" s="122"/>
      <c r="D78" s="122"/>
      <c r="E78" s="122"/>
      <c r="F78" s="122"/>
      <c r="G78" s="273"/>
      <c r="H78" s="278"/>
      <c r="I78" s="278"/>
      <c r="J78" s="278"/>
      <c r="K78" s="278"/>
      <c r="L78" s="278"/>
      <c r="M78" s="278"/>
      <c r="R78" s="767"/>
    </row>
    <row r="79" spans="1:18" x14ac:dyDescent="0.3">
      <c r="H79" s="278"/>
      <c r="I79" s="278"/>
      <c r="J79" s="278"/>
      <c r="K79" s="278"/>
      <c r="L79" s="278"/>
      <c r="M79" s="278"/>
    </row>
    <row r="80" spans="1:18" x14ac:dyDescent="0.3">
      <c r="H80" s="278"/>
      <c r="I80" s="278"/>
      <c r="J80" s="278"/>
      <c r="K80" s="278"/>
      <c r="L80" s="278"/>
      <c r="M80" s="278"/>
    </row>
    <row r="81" spans="8:13" x14ac:dyDescent="0.3">
      <c r="H81" s="275"/>
      <c r="I81" s="275"/>
      <c r="J81" s="275"/>
      <c r="K81" s="275"/>
      <c r="L81" s="275"/>
      <c r="M81" s="275"/>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4"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1"/>
      <c r="H1" s="59"/>
      <c r="I1" s="59"/>
      <c r="J1" s="59"/>
      <c r="K1" s="59"/>
      <c r="L1" s="468"/>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219</v>
      </c>
      <c r="B2" s="59"/>
      <c r="C2" s="60"/>
      <c r="D2" s="60"/>
      <c r="E2" s="60"/>
      <c r="F2" s="59"/>
      <c r="G2" s="231"/>
      <c r="H2" s="59"/>
      <c r="I2" s="59"/>
      <c r="J2" s="59"/>
      <c r="K2" s="59"/>
      <c r="L2" s="468"/>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395</v>
      </c>
      <c r="B3" s="59"/>
      <c r="C3" s="60"/>
      <c r="D3" s="60"/>
      <c r="E3" s="60"/>
      <c r="F3" s="59"/>
      <c r="G3" s="231"/>
      <c r="H3" s="59"/>
      <c r="I3" s="59"/>
      <c r="J3" s="59"/>
      <c r="K3" s="59"/>
      <c r="L3" s="46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1"/>
      <c r="H4" s="59"/>
      <c r="I4" s="59"/>
      <c r="J4" s="59"/>
      <c r="K4" s="59"/>
      <c r="L4" s="468"/>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718"/>
      <c r="H6" s="241" t="s">
        <v>53</v>
      </c>
      <c r="I6" s="241"/>
      <c r="J6" s="885" t="s">
        <v>53</v>
      </c>
      <c r="K6" s="885"/>
      <c r="L6" s="885"/>
      <c r="M6" s="885"/>
      <c r="N6" s="65"/>
      <c r="O6" s="418" t="s">
        <v>185</v>
      </c>
      <c r="P6" s="415" t="s">
        <v>198</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3"/>
    </row>
    <row r="8" spans="1:128" s="72" customFormat="1" ht="21" thickBot="1" x14ac:dyDescent="0.35">
      <c r="A8" s="69"/>
      <c r="B8" s="153" t="s">
        <v>104</v>
      </c>
      <c r="C8" s="153"/>
      <c r="D8" s="153"/>
      <c r="E8" s="153"/>
      <c r="F8" s="153"/>
      <c r="G8" s="282">
        <v>41090</v>
      </c>
      <c r="H8" s="282">
        <v>41274</v>
      </c>
      <c r="I8" s="324"/>
      <c r="J8" s="690">
        <v>43830</v>
      </c>
      <c r="K8" s="691">
        <f>'February''21 State of Activities'!H8</f>
        <v>44196</v>
      </c>
      <c r="L8" s="692"/>
      <c r="M8" s="690">
        <v>44196</v>
      </c>
      <c r="N8" s="71"/>
      <c r="O8" s="912" t="s">
        <v>398</v>
      </c>
      <c r="P8" s="912"/>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3" t="s">
        <v>154</v>
      </c>
      <c r="D9" s="423"/>
      <c r="E9" s="423"/>
      <c r="F9" s="73"/>
      <c r="G9" s="265">
        <v>127719</v>
      </c>
      <c r="H9" s="265">
        <v>67566.5</v>
      </c>
      <c r="I9" s="323"/>
      <c r="J9" s="327">
        <v>160000</v>
      </c>
      <c r="K9" s="327">
        <f>'February''21 State of Activities'!H10</f>
        <v>68172.509999999995</v>
      </c>
      <c r="L9" s="327"/>
      <c r="M9" s="327">
        <v>160000</v>
      </c>
      <c r="N9" s="68"/>
      <c r="O9" s="381">
        <f>M9-J9</f>
        <v>0</v>
      </c>
      <c r="P9" s="416">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3" t="s">
        <v>220</v>
      </c>
      <c r="D10" s="423"/>
      <c r="E10" s="423"/>
      <c r="F10" s="73"/>
      <c r="G10" s="264">
        <v>875436</v>
      </c>
      <c r="H10" s="264">
        <v>372424.1</v>
      </c>
      <c r="I10" s="327"/>
      <c r="J10" s="323">
        <v>5000</v>
      </c>
      <c r="K10" s="323">
        <f>10471.96+(5268.48+3381.01)*1.14</f>
        <v>20332.378599999996</v>
      </c>
      <c r="L10" s="327"/>
      <c r="M10" s="323">
        <v>10000</v>
      </c>
      <c r="N10" s="68"/>
      <c r="O10" s="515">
        <f>M10-J10</f>
        <v>5000</v>
      </c>
      <c r="P10" s="441">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3" t="s">
        <v>106</v>
      </c>
      <c r="D11" s="423"/>
      <c r="E11" s="423"/>
      <c r="F11" s="73"/>
      <c r="G11" s="265"/>
      <c r="H11" s="265"/>
      <c r="I11" s="323"/>
      <c r="J11" s="323"/>
      <c r="K11" s="323"/>
      <c r="L11" s="323"/>
      <c r="M11" s="323"/>
      <c r="N11" s="68"/>
      <c r="O11" s="515"/>
      <c r="P11" s="42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3" t="s">
        <v>221</v>
      </c>
      <c r="E12" s="423"/>
      <c r="F12" s="73"/>
      <c r="G12" s="265">
        <v>94235.25</v>
      </c>
      <c r="H12" s="265">
        <v>37190.379999999997</v>
      </c>
      <c r="I12" s="323"/>
      <c r="J12" s="323">
        <f>3708.33*12</f>
        <v>44499.96</v>
      </c>
      <c r="K12" s="323">
        <f>3541.67*12</f>
        <v>42500.04</v>
      </c>
      <c r="L12" s="323"/>
      <c r="M12" s="323">
        <v>44500</v>
      </c>
      <c r="N12" s="68"/>
      <c r="O12" s="515">
        <f t="shared" ref="O12:O19" si="0">M12-J12</f>
        <v>4.0000000000873115E-2</v>
      </c>
      <c r="P12" s="441">
        <f t="shared" ref="P12:P18" si="1">O12/M12</f>
        <v>8.9887640451400261E-7</v>
      </c>
      <c r="Q12" s="68"/>
      <c r="R12" s="474"/>
      <c r="S12" s="475"/>
      <c r="T12" s="474"/>
      <c r="U12" s="474"/>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3" t="s">
        <v>163</v>
      </c>
      <c r="E13" s="423"/>
      <c r="F13" s="73"/>
      <c r="G13" s="265"/>
      <c r="H13" s="265"/>
      <c r="I13" s="323"/>
      <c r="J13" s="323">
        <v>13000</v>
      </c>
      <c r="K13" s="323">
        <f>750*12</f>
        <v>9000</v>
      </c>
      <c r="L13" s="323"/>
      <c r="M13" s="323">
        <v>18000</v>
      </c>
      <c r="N13" s="68"/>
      <c r="O13" s="515">
        <f t="shared" si="0"/>
        <v>5000</v>
      </c>
      <c r="P13" s="441">
        <f t="shared" si="1"/>
        <v>0.27777777777777779</v>
      </c>
      <c r="Q13" s="68"/>
      <c r="R13" s="68"/>
      <c r="S13" s="390"/>
      <c r="T13" s="476"/>
      <c r="U13" s="363"/>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3" t="s">
        <v>107</v>
      </c>
      <c r="D14" s="423"/>
      <c r="E14" s="423"/>
      <c r="F14" s="73"/>
      <c r="G14" s="265">
        <v>0</v>
      </c>
      <c r="H14" s="265">
        <v>3517</v>
      </c>
      <c r="I14" s="323"/>
      <c r="J14" s="323">
        <v>15000</v>
      </c>
      <c r="K14" s="323">
        <f>'February''21 State of Activities'!H17</f>
        <v>12695.06</v>
      </c>
      <c r="L14" s="323"/>
      <c r="M14" s="323">
        <v>20000</v>
      </c>
      <c r="N14" s="68"/>
      <c r="O14" s="515">
        <f t="shared" si="0"/>
        <v>5000</v>
      </c>
      <c r="P14" s="441">
        <f t="shared" si="1"/>
        <v>0.25</v>
      </c>
      <c r="Q14" s="68"/>
      <c r="R14" s="68"/>
      <c r="S14" s="390"/>
      <c r="T14" s="476"/>
      <c r="U14" s="363"/>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3" t="s">
        <v>396</v>
      </c>
      <c r="D15" s="423"/>
      <c r="E15" s="423"/>
      <c r="F15" s="73"/>
      <c r="G15" s="265">
        <v>31459</v>
      </c>
      <c r="H15" s="265">
        <v>13920.35</v>
      </c>
      <c r="I15" s="323"/>
      <c r="J15" s="323">
        <v>25000</v>
      </c>
      <c r="K15" s="323">
        <v>25000</v>
      </c>
      <c r="L15" s="323"/>
      <c r="M15" s="323">
        <v>25000</v>
      </c>
      <c r="N15" s="68"/>
      <c r="O15" s="515">
        <f t="shared" si="0"/>
        <v>0</v>
      </c>
      <c r="P15" s="441">
        <f t="shared" si="1"/>
        <v>0</v>
      </c>
      <c r="Q15" s="68"/>
      <c r="R15" s="68"/>
      <c r="S15" s="390"/>
      <c r="T15" s="476"/>
      <c r="U15" s="363"/>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3" t="s">
        <v>397</v>
      </c>
      <c r="D16" s="423"/>
      <c r="E16" s="423"/>
      <c r="F16" s="73"/>
      <c r="G16" s="265"/>
      <c r="H16" s="265"/>
      <c r="I16" s="323"/>
      <c r="J16" s="323">
        <v>20000</v>
      </c>
      <c r="K16" s="323"/>
      <c r="L16" s="323"/>
      <c r="M16" s="323">
        <v>15000</v>
      </c>
      <c r="N16" s="68"/>
      <c r="O16" s="515">
        <f t="shared" si="0"/>
        <v>-5000</v>
      </c>
      <c r="P16" s="441">
        <f t="shared" si="1"/>
        <v>-0.33333333333333331</v>
      </c>
      <c r="Q16" s="68"/>
      <c r="R16" s="68"/>
      <c r="S16" s="390"/>
      <c r="T16" s="476"/>
      <c r="U16" s="363"/>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3" t="s">
        <v>345</v>
      </c>
      <c r="D17" s="423"/>
      <c r="E17" s="423"/>
      <c r="F17" s="73"/>
      <c r="G17" s="265"/>
      <c r="H17" s="265"/>
      <c r="I17" s="323"/>
      <c r="J17" s="323">
        <v>2000</v>
      </c>
      <c r="K17" s="323"/>
      <c r="L17" s="323"/>
      <c r="M17" s="323">
        <v>1000</v>
      </c>
      <c r="N17" s="68"/>
      <c r="O17" s="515">
        <f t="shared" si="0"/>
        <v>-1000</v>
      </c>
      <c r="P17" s="441">
        <f t="shared" si="1"/>
        <v>-1</v>
      </c>
      <c r="Q17" s="68"/>
      <c r="R17" s="68"/>
      <c r="S17" s="390"/>
      <c r="T17" s="476"/>
      <c r="U17" s="363"/>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914" t="s">
        <v>348</v>
      </c>
      <c r="D18" s="914"/>
      <c r="E18" s="914"/>
      <c r="F18" s="914"/>
      <c r="G18" s="265"/>
      <c r="H18" s="265"/>
      <c r="I18" s="323"/>
      <c r="J18" s="323">
        <v>2000</v>
      </c>
      <c r="K18" s="323"/>
      <c r="L18" s="323"/>
      <c r="M18" s="323">
        <v>3000</v>
      </c>
      <c r="N18" s="68"/>
      <c r="O18" s="515">
        <f t="shared" si="0"/>
        <v>1000</v>
      </c>
      <c r="P18" s="441">
        <f t="shared" si="1"/>
        <v>0.33333333333333331</v>
      </c>
      <c r="Q18" s="68"/>
      <c r="R18" s="68"/>
      <c r="S18" s="390"/>
      <c r="T18" s="476"/>
      <c r="U18" s="363"/>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3" t="s">
        <v>399</v>
      </c>
      <c r="D19" s="423"/>
      <c r="E19" s="423"/>
      <c r="F19" s="73"/>
      <c r="G19" s="265">
        <v>1125</v>
      </c>
      <c r="H19" s="265">
        <v>6050</v>
      </c>
      <c r="I19" s="323"/>
      <c r="J19" s="323">
        <v>2000</v>
      </c>
      <c r="K19" s="323">
        <f>'February''21 State of Activities'!H24</f>
        <v>0</v>
      </c>
      <c r="L19" s="323"/>
      <c r="M19" s="323">
        <f>'February''21 State of Activities'!J24</f>
        <v>0</v>
      </c>
      <c r="N19" s="68"/>
      <c r="O19" s="515">
        <f t="shared" si="0"/>
        <v>-2000</v>
      </c>
      <c r="P19" s="441"/>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914" t="s">
        <v>346</v>
      </c>
      <c r="D20" s="914"/>
      <c r="E20" s="914"/>
      <c r="F20" s="914"/>
      <c r="G20" s="265"/>
      <c r="H20" s="265"/>
      <c r="I20" s="323"/>
      <c r="J20" s="323"/>
      <c r="K20" s="323">
        <v>659.25</v>
      </c>
      <c r="L20" s="323"/>
      <c r="M20" s="323"/>
      <c r="N20" s="68"/>
      <c r="O20" s="515">
        <f>J20-M20</f>
        <v>0</v>
      </c>
      <c r="P20" s="441"/>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3" t="s">
        <v>223</v>
      </c>
      <c r="D21" s="423"/>
      <c r="E21" s="423"/>
      <c r="F21" s="73"/>
      <c r="G21" s="266">
        <v>31250</v>
      </c>
      <c r="H21" s="266">
        <v>15624.98</v>
      </c>
      <c r="I21" s="323"/>
      <c r="J21" s="266">
        <v>9315</v>
      </c>
      <c r="K21" s="266">
        <f>'February''21 State of Activities'!H25*0.2</f>
        <v>10548</v>
      </c>
      <c r="L21" s="323"/>
      <c r="M21" s="266">
        <v>9315</v>
      </c>
      <c r="N21" s="68"/>
      <c r="O21" s="516">
        <f>J21-M21</f>
        <v>0</v>
      </c>
      <c r="P21" s="417">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3"/>
      <c r="D22" s="73" t="s">
        <v>109</v>
      </c>
      <c r="E22" s="423"/>
      <c r="F22" s="73"/>
      <c r="G22" s="235">
        <v>1161224.25</v>
      </c>
      <c r="H22" s="235">
        <v>516293.30999999994</v>
      </c>
      <c r="I22" s="233"/>
      <c r="J22" s="265">
        <f>SUM(J9:J21)</f>
        <v>297814.95999999996</v>
      </c>
      <c r="K22" s="265">
        <f>SUM(K9:K21)</f>
        <v>188907.23859999998</v>
      </c>
      <c r="L22" s="323"/>
      <c r="M22" s="265">
        <f>SUM(M9:M21)</f>
        <v>305815</v>
      </c>
      <c r="N22" s="68"/>
      <c r="O22" s="276">
        <f>SUM(O9:O21)</f>
        <v>8000.0400000000009</v>
      </c>
      <c r="P22" s="441">
        <f>O22/M22</f>
        <v>2.615973709595671E-2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224</v>
      </c>
      <c r="D23" s="423"/>
      <c r="E23" s="423"/>
      <c r="F23" s="73"/>
      <c r="G23" s="242">
        <v>150176</v>
      </c>
      <c r="H23" s="242">
        <v>47700.27</v>
      </c>
      <c r="I23" s="233"/>
      <c r="J23" s="323">
        <v>19000</v>
      </c>
      <c r="K23" s="323">
        <v>19000</v>
      </c>
      <c r="L23" s="323"/>
      <c r="M23" s="323">
        <v>19000</v>
      </c>
      <c r="N23" s="68"/>
      <c r="O23" s="515">
        <f>J23-M23</f>
        <v>0</v>
      </c>
      <c r="P23" s="416">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225</v>
      </c>
      <c r="D24" s="423"/>
      <c r="E24" s="423"/>
      <c r="F24" s="73"/>
      <c r="G24" s="233"/>
      <c r="H24" s="233"/>
      <c r="I24" s="233"/>
      <c r="J24" s="266">
        <v>40000</v>
      </c>
      <c r="K24" s="266">
        <v>37641.19</v>
      </c>
      <c r="L24" s="323"/>
      <c r="M24" s="266">
        <v>38000</v>
      </c>
      <c r="N24" s="68"/>
      <c r="O24" s="380">
        <f>M24-J24</f>
        <v>-2000</v>
      </c>
      <c r="P24" s="469">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3"/>
      <c r="D25" s="73" t="s">
        <v>111</v>
      </c>
      <c r="E25" s="423"/>
      <c r="F25" s="73"/>
      <c r="G25" s="235">
        <v>1311400.25</v>
      </c>
      <c r="H25" s="235">
        <v>563993.57999999996</v>
      </c>
      <c r="I25" s="233"/>
      <c r="J25" s="265">
        <f>SUM(J22:J24)</f>
        <v>356814.95999999996</v>
      </c>
      <c r="K25" s="265">
        <f>SUM(K22:K24)</f>
        <v>245548.42859999998</v>
      </c>
      <c r="L25" s="323"/>
      <c r="M25" s="265">
        <f>SUM(M22:M24)</f>
        <v>362815</v>
      </c>
      <c r="N25" s="68"/>
      <c r="O25" s="276">
        <f>M25-J25</f>
        <v>6000.0400000000373</v>
      </c>
      <c r="P25" s="441">
        <f>O25/M25</f>
        <v>1.6537463996802882E-2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3"/>
      <c r="D26" s="73"/>
      <c r="E26" s="423"/>
      <c r="F26" s="73"/>
      <c r="G26" s="235"/>
      <c r="H26" s="235"/>
      <c r="I26" s="233"/>
      <c r="J26" s="323"/>
      <c r="K26" s="323"/>
      <c r="L26" s="323"/>
      <c r="M26" s="323"/>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115</v>
      </c>
      <c r="C27" s="87"/>
      <c r="D27" s="87"/>
      <c r="E27" s="87"/>
      <c r="F27" s="87"/>
      <c r="G27" s="242"/>
      <c r="H27" s="68"/>
      <c r="I27" s="68"/>
      <c r="J27" s="323"/>
      <c r="K27" s="370"/>
      <c r="L27" s="370"/>
      <c r="M27" s="370"/>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226</v>
      </c>
      <c r="D28" s="79"/>
      <c r="E28" s="79"/>
      <c r="F28" s="79"/>
      <c r="G28" s="233">
        <v>733747.79999999993</v>
      </c>
      <c r="H28" s="276">
        <v>361976</v>
      </c>
      <c r="I28" s="276"/>
      <c r="J28" s="323"/>
      <c r="K28" s="402"/>
      <c r="L28" s="402"/>
      <c r="M28" s="402"/>
    </row>
    <row r="29" spans="1:61" s="68" customFormat="1" ht="20.25" x14ac:dyDescent="0.2">
      <c r="A29" s="67"/>
      <c r="B29" s="67"/>
      <c r="C29" s="79"/>
      <c r="D29" s="887" t="s">
        <v>227</v>
      </c>
      <c r="E29" s="887"/>
      <c r="F29" s="887"/>
      <c r="G29" s="233"/>
      <c r="H29" s="276"/>
      <c r="I29" s="276"/>
      <c r="J29" s="723">
        <f>110984.34+54648</f>
        <v>165632.34</v>
      </c>
      <c r="K29" s="723">
        <v>146508.01999999999</v>
      </c>
      <c r="L29" s="723"/>
      <c r="M29" s="723">
        <v>170000</v>
      </c>
      <c r="O29" s="515">
        <f t="shared" ref="O29:O47" si="2">M29-J29</f>
        <v>4367.6600000000035</v>
      </c>
      <c r="P29" s="441">
        <f>O29/M29</f>
        <v>2.5692117647058844E-2</v>
      </c>
    </row>
    <row r="30" spans="1:61" s="68" customFormat="1" ht="20.25" x14ac:dyDescent="0.2">
      <c r="A30" s="67"/>
      <c r="B30" s="67"/>
      <c r="C30" s="79"/>
      <c r="D30" s="887" t="s">
        <v>228</v>
      </c>
      <c r="E30" s="887"/>
      <c r="F30" s="887"/>
      <c r="G30" s="233"/>
      <c r="H30" s="276"/>
      <c r="I30" s="276"/>
      <c r="J30" s="723">
        <v>63684</v>
      </c>
      <c r="K30" s="723">
        <f>35778.69+23251.49+605.09+292.95</f>
        <v>59928.22</v>
      </c>
      <c r="L30" s="723"/>
      <c r="M30" s="723">
        <f>(22.5*(64*26+100))+(19.06*(50*26+100))</f>
        <v>66374</v>
      </c>
      <c r="O30" s="515">
        <f t="shared" si="2"/>
        <v>2690</v>
      </c>
      <c r="P30" s="441">
        <f>O30/M30</f>
        <v>4.0527917558079968E-2</v>
      </c>
      <c r="R30" s="263"/>
    </row>
    <row r="31" spans="1:61" s="68" customFormat="1" ht="20.25" x14ac:dyDescent="0.2">
      <c r="A31" s="67"/>
      <c r="B31" s="67"/>
      <c r="C31" s="79"/>
      <c r="D31" s="887" t="s">
        <v>117</v>
      </c>
      <c r="E31" s="887"/>
      <c r="F31" s="887"/>
      <c r="G31" s="233"/>
      <c r="H31" s="276"/>
      <c r="I31" s="276"/>
      <c r="J31" s="723">
        <f>(J29+J30)*0.185</f>
        <v>42423.522899999996</v>
      </c>
      <c r="K31" s="723">
        <f>(K29+K30)*0.192</f>
        <v>39635.75808</v>
      </c>
      <c r="L31" s="723"/>
      <c r="M31" s="723">
        <f>(M29+M30)*0.185</f>
        <v>43729.19</v>
      </c>
      <c r="O31" s="515">
        <f t="shared" si="2"/>
        <v>1305.667100000006</v>
      </c>
      <c r="P31" s="441">
        <f>O31/M31</f>
        <v>2.9858021609821858E-2</v>
      </c>
    </row>
    <row r="32" spans="1:61" s="68" customFormat="1" ht="20.25" x14ac:dyDescent="0.2">
      <c r="A32" s="67"/>
      <c r="B32" s="67"/>
      <c r="C32" s="79" t="s">
        <v>286</v>
      </c>
      <c r="D32" s="79"/>
      <c r="E32" s="79"/>
      <c r="F32" s="79"/>
      <c r="G32" s="233">
        <v>44745.18</v>
      </c>
      <c r="H32" s="233">
        <v>20974.21</v>
      </c>
      <c r="I32" s="233"/>
      <c r="J32" s="723"/>
      <c r="K32" s="724"/>
      <c r="L32" s="723"/>
      <c r="M32" s="723"/>
      <c r="O32" s="515">
        <f t="shared" si="2"/>
        <v>0</v>
      </c>
      <c r="P32" s="441"/>
    </row>
    <row r="33" spans="1:16" s="68" customFormat="1" ht="20.25" x14ac:dyDescent="0.2">
      <c r="A33" s="67"/>
      <c r="B33" s="67"/>
      <c r="C33" s="79"/>
      <c r="D33" s="887" t="s">
        <v>229</v>
      </c>
      <c r="E33" s="887"/>
      <c r="F33" s="887"/>
      <c r="G33" s="233"/>
      <c r="H33" s="233"/>
      <c r="I33" s="233"/>
      <c r="J33" s="723">
        <f>17368.36/8*12</f>
        <v>26052.54</v>
      </c>
      <c r="K33" s="723">
        <v>27183.82</v>
      </c>
      <c r="L33" s="723"/>
      <c r="M33" s="723">
        <v>27500</v>
      </c>
      <c r="O33" s="515">
        <f t="shared" si="2"/>
        <v>1447.4599999999991</v>
      </c>
      <c r="P33" s="441">
        <f t="shared" ref="P33:P40" si="3">O33/M33</f>
        <v>5.2634909090909059E-2</v>
      </c>
    </row>
    <row r="34" spans="1:16" s="68" customFormat="1" ht="20.25" x14ac:dyDescent="0.2">
      <c r="A34" s="67"/>
      <c r="B34" s="67"/>
      <c r="C34" s="79"/>
      <c r="D34" s="887" t="s">
        <v>230</v>
      </c>
      <c r="E34" s="887"/>
      <c r="F34" s="887"/>
      <c r="G34" s="233"/>
      <c r="H34" s="233"/>
      <c r="I34" s="233"/>
      <c r="J34" s="723">
        <f>12089.81/8*12+800-400</f>
        <v>18534.715</v>
      </c>
      <c r="K34" s="723">
        <v>15510.83</v>
      </c>
      <c r="L34" s="723"/>
      <c r="M34" s="723">
        <v>19374</v>
      </c>
      <c r="O34" s="515">
        <f t="shared" si="2"/>
        <v>839.28499999999985</v>
      </c>
      <c r="P34" s="441">
        <f t="shared" si="3"/>
        <v>4.3320171363683282E-2</v>
      </c>
    </row>
    <row r="35" spans="1:16" s="68" customFormat="1" ht="20.25" x14ac:dyDescent="0.2">
      <c r="A35" s="67"/>
      <c r="B35" s="67"/>
      <c r="C35" s="79"/>
      <c r="D35" s="887" t="s">
        <v>313</v>
      </c>
      <c r="E35" s="887"/>
      <c r="F35" s="887"/>
      <c r="G35" s="233"/>
      <c r="H35" s="233"/>
      <c r="I35" s="233"/>
      <c r="J35" s="723">
        <f>10143.6/8*12</f>
        <v>15215.400000000001</v>
      </c>
      <c r="K35" s="723">
        <v>12450.36</v>
      </c>
      <c r="L35" s="723"/>
      <c r="M35" s="723">
        <v>15000</v>
      </c>
      <c r="O35" s="515">
        <f t="shared" si="2"/>
        <v>-215.40000000000146</v>
      </c>
      <c r="P35" s="441">
        <f t="shared" si="3"/>
        <v>-1.4360000000000097E-2</v>
      </c>
    </row>
    <row r="36" spans="1:16" s="68" customFormat="1" ht="20.25" x14ac:dyDescent="0.2">
      <c r="A36" s="67"/>
      <c r="B36" s="67"/>
      <c r="C36" s="79"/>
      <c r="D36" s="887" t="s">
        <v>231</v>
      </c>
      <c r="E36" s="887"/>
      <c r="F36" s="887"/>
      <c r="G36" s="233"/>
      <c r="H36" s="233"/>
      <c r="I36" s="233"/>
      <c r="J36" s="723">
        <v>513.5</v>
      </c>
      <c r="K36" s="723">
        <v>377</v>
      </c>
      <c r="L36" s="723"/>
      <c r="M36" s="723">
        <v>250</v>
      </c>
      <c r="O36" s="515">
        <f t="shared" si="2"/>
        <v>-263.5</v>
      </c>
      <c r="P36" s="441">
        <f t="shared" si="3"/>
        <v>-1.054</v>
      </c>
    </row>
    <row r="37" spans="1:16" s="68" customFormat="1" ht="20.25" x14ac:dyDescent="0.2">
      <c r="A37" s="67"/>
      <c r="B37" s="67"/>
      <c r="C37" s="79" t="s">
        <v>232</v>
      </c>
      <c r="D37" s="79"/>
      <c r="E37" s="79"/>
      <c r="F37" s="79"/>
      <c r="G37" s="233">
        <v>27200</v>
      </c>
      <c r="H37" s="233">
        <v>11327</v>
      </c>
      <c r="I37" s="233"/>
      <c r="J37" s="723">
        <f>22772+1411</f>
        <v>24183</v>
      </c>
      <c r="K37" s="723">
        <v>25080</v>
      </c>
      <c r="L37" s="723"/>
      <c r="M37" s="723">
        <f>20430+6774</f>
        <v>27204</v>
      </c>
      <c r="O37" s="515">
        <f t="shared" si="2"/>
        <v>3021</v>
      </c>
      <c r="P37" s="441">
        <f t="shared" si="3"/>
        <v>0.11104984561093957</v>
      </c>
    </row>
    <row r="38" spans="1:16" s="68" customFormat="1" ht="20.25" x14ac:dyDescent="0.2">
      <c r="A38" s="67"/>
      <c r="B38" s="67"/>
      <c r="C38" s="79" t="s">
        <v>108</v>
      </c>
      <c r="D38" s="79"/>
      <c r="E38" s="79"/>
      <c r="F38" s="79"/>
      <c r="G38" s="233">
        <v>150176</v>
      </c>
      <c r="H38" s="276">
        <v>47700.27</v>
      </c>
      <c r="I38" s="276"/>
      <c r="J38" s="723">
        <f>J21</f>
        <v>9315</v>
      </c>
      <c r="K38" s="723">
        <f>K21</f>
        <v>10548</v>
      </c>
      <c r="L38" s="723"/>
      <c r="M38" s="723">
        <f>M21</f>
        <v>9315</v>
      </c>
      <c r="O38" s="515">
        <f t="shared" si="2"/>
        <v>0</v>
      </c>
      <c r="P38" s="441">
        <f t="shared" si="3"/>
        <v>0</v>
      </c>
    </row>
    <row r="39" spans="1:16" s="68" customFormat="1" ht="20.25" x14ac:dyDescent="0.2">
      <c r="A39" s="67"/>
      <c r="B39" s="67"/>
      <c r="C39" s="79" t="s">
        <v>322</v>
      </c>
      <c r="D39" s="79"/>
      <c r="E39" s="79"/>
      <c r="F39" s="79"/>
      <c r="G39" s="233"/>
      <c r="H39" s="276"/>
      <c r="I39" s="276"/>
      <c r="J39" s="723">
        <f>2845+(332.08+24.92)*4</f>
        <v>4273</v>
      </c>
      <c r="K39" s="723">
        <v>4075</v>
      </c>
      <c r="L39" s="723"/>
      <c r="M39" s="723">
        <f>360*12</f>
        <v>4320</v>
      </c>
      <c r="O39" s="515">
        <f t="shared" si="2"/>
        <v>47</v>
      </c>
      <c r="P39" s="441">
        <f t="shared" si="3"/>
        <v>1.087962962962963E-2</v>
      </c>
    </row>
    <row r="40" spans="1:16" s="68" customFormat="1" ht="20.25" x14ac:dyDescent="0.2">
      <c r="A40" s="67"/>
      <c r="B40" s="67"/>
      <c r="C40" s="79" t="s">
        <v>233</v>
      </c>
      <c r="D40" s="79"/>
      <c r="E40" s="79"/>
      <c r="F40" s="79"/>
      <c r="G40" s="233"/>
      <c r="H40" s="276"/>
      <c r="I40" s="276"/>
      <c r="J40" s="723">
        <f>393+75</f>
        <v>468</v>
      </c>
      <c r="K40" s="723">
        <v>1496.32</v>
      </c>
      <c r="L40" s="723"/>
      <c r="M40" s="723">
        <v>500</v>
      </c>
      <c r="O40" s="515">
        <f t="shared" si="2"/>
        <v>32</v>
      </c>
      <c r="P40" s="441">
        <f t="shared" si="3"/>
        <v>6.4000000000000001E-2</v>
      </c>
    </row>
    <row r="41" spans="1:16" s="68" customFormat="1" ht="20.25" x14ac:dyDescent="0.2">
      <c r="A41" s="67"/>
      <c r="B41" s="67"/>
      <c r="C41" s="79" t="s">
        <v>400</v>
      </c>
      <c r="D41" s="79"/>
      <c r="E41" s="79"/>
      <c r="F41" s="79"/>
      <c r="G41" s="233">
        <v>10993.12</v>
      </c>
      <c r="H41" s="276">
        <v>4904.57</v>
      </c>
      <c r="I41" s="276"/>
      <c r="J41" s="723">
        <f>2414+307*4</f>
        <v>3642</v>
      </c>
      <c r="K41" s="723">
        <v>3429.9</v>
      </c>
      <c r="L41" s="723"/>
      <c r="M41" s="723">
        <f>307*12</f>
        <v>3684</v>
      </c>
      <c r="O41" s="515">
        <f t="shared" si="2"/>
        <v>42</v>
      </c>
      <c r="P41" s="441">
        <f>O41/M41</f>
        <v>1.1400651465798045E-2</v>
      </c>
    </row>
    <row r="42" spans="1:16" s="68" customFormat="1" ht="20.25" x14ac:dyDescent="0.2">
      <c r="A42" s="67"/>
      <c r="B42" s="67"/>
      <c r="C42" s="79" t="s">
        <v>234</v>
      </c>
      <c r="D42" s="79"/>
      <c r="E42" s="79"/>
      <c r="F42" s="79"/>
      <c r="G42" s="233">
        <v>10250.949999999999</v>
      </c>
      <c r="H42" s="276">
        <v>3982.99</v>
      </c>
      <c r="I42" s="276"/>
      <c r="J42" s="723">
        <v>600</v>
      </c>
      <c r="K42" s="723">
        <f>56.6+402.81</f>
        <v>459.41</v>
      </c>
      <c r="L42" s="723"/>
      <c r="M42" s="723">
        <v>600</v>
      </c>
      <c r="O42" s="515">
        <f t="shared" si="2"/>
        <v>0</v>
      </c>
      <c r="P42" s="441">
        <f>O42/M42</f>
        <v>0</v>
      </c>
    </row>
    <row r="43" spans="1:16" s="68" customFormat="1" ht="20.25" x14ac:dyDescent="0.2">
      <c r="A43" s="67"/>
      <c r="B43" s="67"/>
      <c r="C43" s="79" t="s">
        <v>126</v>
      </c>
      <c r="D43" s="79"/>
      <c r="E43" s="79"/>
      <c r="F43" s="79"/>
      <c r="G43" s="233">
        <v>4412.53</v>
      </c>
      <c r="H43" s="277">
        <v>5667</v>
      </c>
      <c r="I43" s="277"/>
      <c r="J43" s="723">
        <f>122.96+1237.38+391.65</f>
        <v>1751.9900000000002</v>
      </c>
      <c r="K43" s="723">
        <v>1040.8800000000001</v>
      </c>
      <c r="L43" s="725"/>
      <c r="M43" s="725">
        <f>394*4</f>
        <v>1576</v>
      </c>
      <c r="O43" s="515">
        <f t="shared" si="2"/>
        <v>-175.99000000000024</v>
      </c>
      <c r="P43" s="441">
        <f>O43/M43</f>
        <v>-0.11166878172588847</v>
      </c>
    </row>
    <row r="44" spans="1:16" s="68" customFormat="1" ht="20.25" x14ac:dyDescent="0.2">
      <c r="A44" s="67"/>
      <c r="B44" s="67"/>
      <c r="C44" s="79" t="s">
        <v>124</v>
      </c>
      <c r="D44" s="79"/>
      <c r="E44" s="79"/>
      <c r="F44" s="79"/>
      <c r="G44" s="233">
        <v>7901</v>
      </c>
      <c r="H44" s="276">
        <v>4149.6000000000004</v>
      </c>
      <c r="I44" s="276"/>
      <c r="J44" s="723">
        <f>367.55/8*12</f>
        <v>551.32500000000005</v>
      </c>
      <c r="K44" s="723">
        <v>436.35</v>
      </c>
      <c r="L44" s="723"/>
      <c r="M44" s="723">
        <v>600</v>
      </c>
      <c r="O44" s="515">
        <f t="shared" si="2"/>
        <v>48.674999999999955</v>
      </c>
      <c r="P44" s="441">
        <f>O44/M44</f>
        <v>8.1124999999999919E-2</v>
      </c>
    </row>
    <row r="45" spans="1:16" s="68" customFormat="1" ht="20.25" hidden="1" x14ac:dyDescent="0.2">
      <c r="A45" s="67"/>
      <c r="B45" s="67"/>
      <c r="C45" s="79" t="s">
        <v>235</v>
      </c>
      <c r="D45" s="79"/>
      <c r="E45" s="79"/>
      <c r="F45" s="79"/>
      <c r="G45" s="233"/>
      <c r="H45" s="276"/>
      <c r="I45" s="276"/>
      <c r="J45" s="723"/>
      <c r="K45" s="723"/>
      <c r="L45" s="723"/>
      <c r="M45" s="723">
        <v>0</v>
      </c>
      <c r="O45" s="515">
        <f t="shared" si="2"/>
        <v>0</v>
      </c>
      <c r="P45" s="441"/>
    </row>
    <row r="46" spans="1:16" s="76" customFormat="1" ht="20.25" x14ac:dyDescent="0.2">
      <c r="A46" s="79"/>
      <c r="B46" s="79"/>
      <c r="C46" s="79" t="s">
        <v>120</v>
      </c>
      <c r="D46" s="79"/>
      <c r="E46" s="79"/>
      <c r="F46" s="79"/>
      <c r="G46" s="233">
        <v>5428.37</v>
      </c>
      <c r="H46" s="276">
        <v>2024.52</v>
      </c>
      <c r="I46" s="276"/>
      <c r="J46" s="723">
        <f>208.6/8*12</f>
        <v>312.89999999999998</v>
      </c>
      <c r="K46" s="723">
        <v>205.44</v>
      </c>
      <c r="L46" s="723"/>
      <c r="M46" s="723">
        <v>320</v>
      </c>
      <c r="O46" s="515">
        <f t="shared" si="2"/>
        <v>7.1000000000000227</v>
      </c>
      <c r="P46" s="441">
        <f>O46/M46</f>
        <v>2.2187500000000072E-2</v>
      </c>
    </row>
    <row r="47" spans="1:16" s="76" customFormat="1" ht="20.25" x14ac:dyDescent="0.2">
      <c r="A47" s="79"/>
      <c r="B47" s="79"/>
      <c r="C47" s="79" t="s">
        <v>236</v>
      </c>
      <c r="D47" s="79"/>
      <c r="E47" s="79"/>
      <c r="F47" s="79"/>
      <c r="G47" s="233">
        <v>83462.91</v>
      </c>
      <c r="H47" s="233">
        <v>18995.71</v>
      </c>
      <c r="I47" s="233"/>
      <c r="J47" s="726">
        <v>200</v>
      </c>
      <c r="K47" s="726">
        <f>201.52+30+216.21+94.56</f>
        <v>542.29</v>
      </c>
      <c r="L47" s="723"/>
      <c r="M47" s="723">
        <v>225</v>
      </c>
      <c r="O47" s="515">
        <f t="shared" si="2"/>
        <v>25</v>
      </c>
      <c r="P47" s="517">
        <f>O47/M47</f>
        <v>0.1111111111111111</v>
      </c>
    </row>
    <row r="48" spans="1:16" s="68" customFormat="1" ht="21" thickBot="1" x14ac:dyDescent="0.25">
      <c r="A48" s="67"/>
      <c r="B48" s="67"/>
      <c r="C48" s="67"/>
      <c r="D48" s="73" t="s">
        <v>132</v>
      </c>
      <c r="E48" s="67"/>
      <c r="F48" s="67"/>
      <c r="G48" s="242">
        <v>1078317.8599999999</v>
      </c>
      <c r="H48" s="242">
        <v>481701.87000000005</v>
      </c>
      <c r="I48" s="233"/>
      <c r="J48" s="471">
        <f>SUM(J29:J47)</f>
        <v>377353.23290000006</v>
      </c>
      <c r="K48" s="471">
        <f>SUM(K29:K47)</f>
        <v>348907.59807999997</v>
      </c>
      <c r="L48" s="323"/>
      <c r="M48" s="471">
        <f>SUM(M29:M47)</f>
        <v>390571.19</v>
      </c>
      <c r="O48" s="471">
        <f>J48-M48</f>
        <v>-13217.957099999941</v>
      </c>
      <c r="P48" s="469">
        <f>O48/M48</f>
        <v>-3.384263212040791E-2</v>
      </c>
    </row>
    <row r="49" spans="1:19" s="68" customFormat="1" ht="21" thickBot="1" x14ac:dyDescent="0.25">
      <c r="A49" s="67"/>
      <c r="B49" s="67"/>
      <c r="C49" s="67"/>
      <c r="D49" s="67" t="s">
        <v>133</v>
      </c>
      <c r="E49" s="67"/>
      <c r="F49" s="67"/>
      <c r="G49" s="242">
        <v>233082.39000000013</v>
      </c>
      <c r="H49" s="242">
        <v>82291.709999999905</v>
      </c>
      <c r="I49" s="233"/>
      <c r="J49" s="472">
        <f>J25-J48</f>
        <v>-20538.272900000098</v>
      </c>
      <c r="K49" s="472">
        <f>K25-K48</f>
        <v>-103359.16947999998</v>
      </c>
      <c r="L49" s="323"/>
      <c r="M49" s="472">
        <f>M25-M48</f>
        <v>-27756.190000000002</v>
      </c>
      <c r="O49" s="380">
        <f>M49-J49</f>
        <v>-7217.9170999999042</v>
      </c>
      <c r="P49" s="469">
        <f>O49/M49</f>
        <v>0.26004711381496898</v>
      </c>
    </row>
    <row r="50" spans="1:19" s="68" customFormat="1" ht="20.25" x14ac:dyDescent="0.2">
      <c r="A50" s="67"/>
      <c r="B50" s="67"/>
      <c r="C50" s="67"/>
      <c r="D50" s="67"/>
      <c r="E50" s="67"/>
      <c r="F50" s="67"/>
      <c r="G50" s="233"/>
      <c r="H50" s="233"/>
      <c r="I50" s="233"/>
      <c r="J50" s="323"/>
      <c r="K50" s="323"/>
      <c r="L50" s="323"/>
      <c r="M50" s="323"/>
    </row>
    <row r="51" spans="1:19" s="65" customFormat="1" ht="26.25" x14ac:dyDescent="0.2">
      <c r="A51" s="269"/>
      <c r="B51" s="269"/>
      <c r="C51" s="79" t="s">
        <v>271</v>
      </c>
      <c r="E51" s="79"/>
      <c r="F51" s="79"/>
      <c r="G51" s="271"/>
      <c r="H51" s="233"/>
      <c r="I51" s="233"/>
      <c r="J51" s="323">
        <f>-23415.22-24000</f>
        <v>-47415.22</v>
      </c>
      <c r="K51" s="323">
        <v>-44886</v>
      </c>
      <c r="L51" s="323"/>
      <c r="M51" s="323"/>
      <c r="O51" s="276">
        <f>M51-J51</f>
        <v>47415.22</v>
      </c>
      <c r="P51" s="416"/>
      <c r="S51" s="722"/>
    </row>
    <row r="52" spans="1:19" s="68" customFormat="1" ht="20.25" x14ac:dyDescent="0.2">
      <c r="A52" s="67"/>
      <c r="B52" s="67"/>
      <c r="C52" s="79" t="s">
        <v>237</v>
      </c>
      <c r="E52" s="67"/>
      <c r="G52" s="233"/>
      <c r="H52" s="233"/>
      <c r="I52" s="233"/>
      <c r="J52" s="323">
        <f>J37</f>
        <v>24183</v>
      </c>
      <c r="K52" s="323">
        <f>K37</f>
        <v>25080</v>
      </c>
      <c r="L52" s="323"/>
      <c r="M52" s="323">
        <f>M37</f>
        <v>27204</v>
      </c>
      <c r="O52" s="276">
        <f>M52-J52</f>
        <v>3021</v>
      </c>
      <c r="P52" s="416">
        <v>3.5414486921529216E-2</v>
      </c>
    </row>
    <row r="53" spans="1:19" s="68" customFormat="1" ht="24" thickBot="1" x14ac:dyDescent="0.25">
      <c r="A53" s="67"/>
      <c r="B53" s="399"/>
      <c r="C53" s="67"/>
      <c r="D53" s="913" t="s">
        <v>238</v>
      </c>
      <c r="E53" s="913"/>
      <c r="F53" s="913"/>
      <c r="G53" s="233"/>
      <c r="H53" s="233"/>
      <c r="I53" s="233"/>
      <c r="J53" s="473">
        <f>J49+J51+J52</f>
        <v>-43770.492900000099</v>
      </c>
      <c r="K53" s="473">
        <f>K49+K51+K52</f>
        <v>-123165.16947999998</v>
      </c>
      <c r="L53" s="327"/>
      <c r="M53" s="473">
        <f>M49+M51+M52</f>
        <v>-552.19000000000233</v>
      </c>
      <c r="N53" s="390"/>
      <c r="O53" s="470">
        <f>M53-J53</f>
        <v>43218.302900000097</v>
      </c>
      <c r="P53" s="507">
        <v>2.1062768618503362E-2</v>
      </c>
    </row>
    <row r="54" spans="1:19" s="68" customFormat="1" ht="42" customHeight="1" thickTop="1" x14ac:dyDescent="0.2">
      <c r="A54" s="67"/>
      <c r="B54" s="67"/>
      <c r="C54" s="67"/>
      <c r="D54" s="67"/>
      <c r="E54" s="67"/>
      <c r="F54" s="67"/>
      <c r="G54" s="233"/>
      <c r="H54" s="233"/>
      <c r="I54" s="233"/>
      <c r="J54" s="323"/>
      <c r="K54" s="323"/>
      <c r="L54" s="323"/>
      <c r="M54" s="323"/>
    </row>
    <row r="55" spans="1:19" s="76" customFormat="1" ht="20.25" x14ac:dyDescent="0.2">
      <c r="A55" s="79"/>
      <c r="B55" s="79"/>
      <c r="C55" s="79"/>
      <c r="D55" s="79"/>
      <c r="E55" s="79"/>
      <c r="F55" s="79"/>
      <c r="G55" s="233"/>
      <c r="H55" s="233"/>
      <c r="I55" s="233"/>
      <c r="J55" s="233"/>
      <c r="K55" s="233"/>
      <c r="L55" s="233"/>
      <c r="M55" s="233"/>
    </row>
    <row r="56" spans="1:19" s="76" customFormat="1" ht="20.25" x14ac:dyDescent="0.2">
      <c r="A56" s="79"/>
      <c r="B56" s="79"/>
      <c r="C56" s="79"/>
      <c r="D56" s="79"/>
      <c r="E56" s="79"/>
      <c r="F56" s="79"/>
      <c r="G56" s="233"/>
      <c r="H56" s="233"/>
      <c r="I56" s="233"/>
      <c r="J56" s="233"/>
      <c r="K56" s="233"/>
      <c r="L56" s="233"/>
      <c r="M56" s="233"/>
    </row>
    <row r="57" spans="1:19" s="76" customFormat="1" ht="20.25" x14ac:dyDescent="0.2">
      <c r="A57" s="79"/>
      <c r="B57" s="79"/>
      <c r="C57" s="67"/>
      <c r="D57" s="79"/>
      <c r="F57" s="79"/>
      <c r="G57" s="233"/>
      <c r="H57" s="233"/>
      <c r="I57" s="233"/>
      <c r="J57" s="233"/>
      <c r="K57" s="233"/>
      <c r="L57" s="233"/>
      <c r="M57" s="233"/>
    </row>
    <row r="58" spans="1:19" s="76" customFormat="1" ht="20.25" x14ac:dyDescent="0.2">
      <c r="A58" s="79"/>
      <c r="B58" s="79"/>
      <c r="C58" s="79"/>
      <c r="D58" s="79"/>
      <c r="E58" s="79"/>
      <c r="F58" s="79"/>
      <c r="G58" s="233"/>
      <c r="H58" s="233"/>
      <c r="I58" s="233"/>
      <c r="J58" s="233"/>
      <c r="K58" s="233"/>
      <c r="L58" s="233"/>
      <c r="M58" s="233"/>
    </row>
    <row r="59" spans="1:19" s="68" customFormat="1" ht="20.25" x14ac:dyDescent="0.2">
      <c r="A59" s="67"/>
      <c r="B59" s="67"/>
      <c r="C59" s="67"/>
      <c r="D59" s="67"/>
      <c r="E59" s="67"/>
      <c r="F59" s="67"/>
      <c r="G59" s="238"/>
      <c r="H59" s="238"/>
      <c r="I59" s="238"/>
      <c r="J59" s="238"/>
      <c r="K59" s="238"/>
      <c r="L59" s="238"/>
      <c r="M59" s="238"/>
    </row>
    <row r="60" spans="1:19" s="68" customFormat="1" ht="20.25" x14ac:dyDescent="0.2">
      <c r="A60" s="67"/>
      <c r="B60" s="67"/>
      <c r="C60" s="67"/>
      <c r="D60" s="67"/>
      <c r="E60" s="67"/>
      <c r="F60" s="67"/>
      <c r="G60" s="238"/>
      <c r="H60" s="238"/>
      <c r="I60" s="238"/>
      <c r="J60" s="238"/>
      <c r="K60" s="238"/>
      <c r="L60" s="238"/>
      <c r="M60" s="238"/>
    </row>
    <row r="61" spans="1:19" s="68" customFormat="1" ht="23.25" x14ac:dyDescent="0.2">
      <c r="A61" s="67"/>
      <c r="B61" s="272"/>
      <c r="C61" s="67"/>
      <c r="D61" s="67"/>
      <c r="E61" s="67"/>
      <c r="F61" s="67"/>
      <c r="G61" s="233"/>
      <c r="H61" s="233"/>
      <c r="I61" s="233"/>
      <c r="J61" s="233"/>
      <c r="K61" s="233"/>
      <c r="L61" s="233"/>
      <c r="M61" s="233"/>
    </row>
    <row r="62" spans="1:19" s="76" customFormat="1" ht="20.25" x14ac:dyDescent="0.2">
      <c r="A62" s="79"/>
      <c r="B62" s="79"/>
      <c r="D62" s="79"/>
      <c r="E62" s="79"/>
      <c r="F62" s="79"/>
      <c r="G62" s="233"/>
      <c r="H62" s="233"/>
      <c r="I62" s="233"/>
      <c r="J62" s="233"/>
      <c r="K62" s="233"/>
      <c r="L62" s="233"/>
      <c r="M62" s="233"/>
    </row>
    <row r="63" spans="1:19" s="76" customFormat="1" ht="20.25" x14ac:dyDescent="0.2">
      <c r="A63" s="79"/>
      <c r="B63" s="79"/>
      <c r="D63" s="79"/>
      <c r="E63" s="79"/>
      <c r="F63" s="79"/>
      <c r="G63" s="233"/>
      <c r="H63" s="233"/>
      <c r="I63" s="233"/>
      <c r="J63" s="233"/>
      <c r="K63" s="233"/>
      <c r="L63" s="233"/>
      <c r="M63" s="233"/>
    </row>
    <row r="64" spans="1:19" s="68" customFormat="1" ht="20.25" x14ac:dyDescent="0.2">
      <c r="A64" s="67"/>
      <c r="B64" s="67"/>
      <c r="D64" s="79"/>
      <c r="E64" s="67"/>
      <c r="F64" s="67"/>
      <c r="G64" s="233"/>
      <c r="H64" s="233"/>
      <c r="I64" s="233"/>
      <c r="J64" s="233"/>
      <c r="K64" s="233"/>
      <c r="L64" s="233"/>
      <c r="M64" s="233"/>
    </row>
    <row r="65" spans="1:13" s="68" customFormat="1" ht="23.25" x14ac:dyDescent="0.2">
      <c r="A65" s="67"/>
      <c r="B65" s="272"/>
      <c r="C65" s="67"/>
      <c r="D65" s="67"/>
      <c r="E65" s="67"/>
      <c r="F65" s="67"/>
      <c r="G65" s="238"/>
      <c r="H65" s="238"/>
      <c r="I65" s="238"/>
      <c r="J65" s="238"/>
      <c r="K65" s="238"/>
      <c r="L65" s="238"/>
      <c r="M65" s="238"/>
    </row>
    <row r="66" spans="1:13" s="68" customFormat="1" ht="20.25" x14ac:dyDescent="0.2">
      <c r="A66" s="67"/>
      <c r="B66" s="67"/>
      <c r="C66" s="67"/>
      <c r="D66" s="67"/>
      <c r="E66" s="67"/>
      <c r="F66" s="67"/>
      <c r="G66" s="233"/>
      <c r="H66" s="233"/>
      <c r="I66" s="233"/>
      <c r="J66" s="233"/>
      <c r="K66" s="233"/>
      <c r="L66" s="233"/>
      <c r="M66" s="233"/>
    </row>
    <row r="67" spans="1:13" s="82" customFormat="1" ht="26.25" x14ac:dyDescent="0.2">
      <c r="A67" s="269"/>
      <c r="B67" s="269"/>
      <c r="C67" s="269"/>
      <c r="D67" s="269"/>
      <c r="E67" s="269"/>
      <c r="F67" s="269"/>
      <c r="G67" s="270"/>
      <c r="H67" s="238"/>
      <c r="I67" s="238"/>
      <c r="J67" s="238"/>
      <c r="K67" s="238"/>
      <c r="L67" s="238"/>
      <c r="M67" s="238"/>
    </row>
    <row r="68" spans="1:13" s="18" customFormat="1" ht="20.25" x14ac:dyDescent="0.3">
      <c r="A68" s="122"/>
      <c r="B68" s="122"/>
      <c r="C68" s="122"/>
      <c r="D68" s="122"/>
      <c r="E68" s="122"/>
      <c r="F68" s="122"/>
      <c r="G68" s="273"/>
      <c r="H68" s="278"/>
      <c r="I68" s="278"/>
      <c r="J68" s="278"/>
      <c r="K68" s="278"/>
      <c r="L68" s="278"/>
      <c r="M68" s="278"/>
    </row>
    <row r="69" spans="1:13" ht="20.25" x14ac:dyDescent="0.3">
      <c r="H69" s="278"/>
      <c r="I69" s="278"/>
      <c r="J69" s="278"/>
      <c r="K69" s="278"/>
      <c r="L69" s="278"/>
      <c r="M69" s="278"/>
    </row>
    <row r="70" spans="1:13" ht="20.25" x14ac:dyDescent="0.3">
      <c r="H70" s="278"/>
      <c r="I70" s="278"/>
      <c r="J70" s="278"/>
      <c r="K70" s="278"/>
      <c r="L70" s="278"/>
      <c r="M70" s="278"/>
    </row>
    <row r="71" spans="1:13" ht="20.25" x14ac:dyDescent="0.3">
      <c r="H71" s="275"/>
      <c r="I71" s="275"/>
      <c r="J71" s="275"/>
      <c r="K71" s="275"/>
      <c r="L71" s="275"/>
      <c r="M71" s="275"/>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98</v>
      </c>
      <c r="B1" s="59"/>
      <c r="C1" s="60"/>
      <c r="D1" s="60"/>
      <c r="E1" s="60"/>
      <c r="F1" s="59"/>
      <c r="G1" s="231"/>
    </row>
    <row r="2" spans="1:9" ht="26.25" x14ac:dyDescent="0.4">
      <c r="A2" s="58" t="s">
        <v>269</v>
      </c>
      <c r="B2" s="59"/>
      <c r="C2" s="60"/>
      <c r="D2" s="60"/>
      <c r="E2" s="60"/>
      <c r="F2" s="59"/>
      <c r="G2" s="231"/>
    </row>
    <row r="3" spans="1:9" ht="26.25" x14ac:dyDescent="0.4">
      <c r="A3" s="58" t="s">
        <v>326</v>
      </c>
      <c r="B3" s="59"/>
      <c r="C3" s="60"/>
      <c r="D3" s="60"/>
      <c r="E3" s="60"/>
      <c r="F3" s="59"/>
      <c r="G3" s="231"/>
    </row>
    <row r="4" spans="1:9" ht="21" thickBot="1" x14ac:dyDescent="0.25">
      <c r="A4" s="61"/>
      <c r="B4" s="61"/>
      <c r="C4" s="61"/>
      <c r="D4" s="61"/>
      <c r="E4" s="61"/>
      <c r="F4" s="61"/>
      <c r="G4" s="232"/>
    </row>
    <row r="5" spans="1:9" ht="27.75" thickTop="1" thickBot="1" x14ac:dyDescent="0.25">
      <c r="A5" s="64"/>
      <c r="B5" s="64"/>
      <c r="C5" s="64"/>
      <c r="D5" s="64"/>
      <c r="E5" s="64"/>
      <c r="F5" s="64"/>
      <c r="G5" s="622" t="s">
        <v>53</v>
      </c>
    </row>
    <row r="6" spans="1:9" ht="21" thickTop="1" x14ac:dyDescent="0.2">
      <c r="A6" s="67"/>
      <c r="B6" s="67"/>
      <c r="C6" s="67"/>
      <c r="D6" s="67"/>
      <c r="E6" s="67"/>
      <c r="F6" s="67"/>
      <c r="G6" s="233"/>
    </row>
    <row r="7" spans="1:9" ht="21" thickBot="1" x14ac:dyDescent="0.35">
      <c r="A7" s="69"/>
      <c r="B7" s="153" t="s">
        <v>104</v>
      </c>
      <c r="C7" s="153"/>
      <c r="D7" s="153"/>
      <c r="E7" s="153"/>
      <c r="F7" s="153"/>
      <c r="G7" s="282"/>
    </row>
    <row r="8" spans="1:9" ht="20.25" x14ac:dyDescent="0.2">
      <c r="A8" s="73"/>
      <c r="B8" s="73"/>
      <c r="C8" s="423" t="s">
        <v>105</v>
      </c>
      <c r="D8" s="423"/>
      <c r="E8" s="423"/>
      <c r="F8" s="73"/>
      <c r="G8" s="264">
        <v>791718</v>
      </c>
    </row>
    <row r="9" spans="1:9" ht="20.25" x14ac:dyDescent="0.2">
      <c r="A9" s="73"/>
      <c r="B9" s="73"/>
      <c r="C9" s="423" t="s">
        <v>327</v>
      </c>
      <c r="D9" s="423"/>
      <c r="E9" s="423"/>
      <c r="F9" s="73"/>
      <c r="G9" s="265">
        <v>25000</v>
      </c>
    </row>
    <row r="10" spans="1:9" ht="20.25" x14ac:dyDescent="0.2">
      <c r="A10" s="73"/>
      <c r="B10" s="395"/>
      <c r="C10" s="423" t="s">
        <v>154</v>
      </c>
      <c r="D10" s="423"/>
      <c r="E10" s="423"/>
      <c r="F10" s="73"/>
      <c r="G10" s="265">
        <v>147000</v>
      </c>
    </row>
    <row r="11" spans="1:9" ht="20.25" x14ac:dyDescent="0.2">
      <c r="A11" s="73"/>
      <c r="B11" s="395"/>
      <c r="C11" s="423" t="s">
        <v>183</v>
      </c>
      <c r="D11" s="423"/>
      <c r="E11" s="423"/>
      <c r="F11" s="73"/>
      <c r="G11" s="265">
        <v>43322</v>
      </c>
      <c r="I11" s="244"/>
    </row>
    <row r="12" spans="1:9" ht="20.25" x14ac:dyDescent="0.2">
      <c r="A12" s="73"/>
      <c r="B12" s="395"/>
      <c r="C12" s="423" t="s">
        <v>106</v>
      </c>
      <c r="D12" s="423"/>
      <c r="E12" s="423"/>
      <c r="F12" s="73"/>
      <c r="G12" s="265"/>
    </row>
    <row r="13" spans="1:9" ht="20.25" x14ac:dyDescent="0.2">
      <c r="A13" s="73"/>
      <c r="B13" s="395"/>
      <c r="C13" s="77"/>
      <c r="D13" s="423" t="s">
        <v>143</v>
      </c>
      <c r="E13" s="423"/>
      <c r="F13" s="73"/>
      <c r="G13" s="265">
        <f>43500+158022</f>
        <v>201522</v>
      </c>
    </row>
    <row r="14" spans="1:9" ht="20.25" x14ac:dyDescent="0.2">
      <c r="A14" s="73"/>
      <c r="B14" s="395"/>
      <c r="C14" s="77"/>
      <c r="D14" s="423" t="s">
        <v>163</v>
      </c>
      <c r="E14" s="423"/>
      <c r="F14" s="73"/>
      <c r="G14" s="265">
        <v>13000</v>
      </c>
    </row>
    <row r="15" spans="1:9" ht="20.25" x14ac:dyDescent="0.2">
      <c r="A15" s="73"/>
      <c r="B15" s="395"/>
      <c r="C15" s="423" t="s">
        <v>107</v>
      </c>
      <c r="D15" s="423"/>
      <c r="E15" s="423"/>
      <c r="F15" s="73"/>
      <c r="G15" s="265">
        <v>12500</v>
      </c>
    </row>
    <row r="16" spans="1:9" ht="20.25" x14ac:dyDescent="0.2">
      <c r="A16" s="73"/>
      <c r="B16" s="395"/>
      <c r="C16" s="423" t="s">
        <v>114</v>
      </c>
      <c r="D16" s="423"/>
      <c r="E16" s="423"/>
      <c r="F16" s="73"/>
      <c r="G16" s="265">
        <v>1200</v>
      </c>
    </row>
    <row r="17" spans="1:9" ht="20.25" x14ac:dyDescent="0.2">
      <c r="A17" s="73"/>
      <c r="B17" s="395"/>
      <c r="C17" s="423" t="s">
        <v>243</v>
      </c>
      <c r="D17" s="423"/>
      <c r="E17" s="423"/>
      <c r="F17" s="73"/>
      <c r="G17" s="265">
        <v>4200</v>
      </c>
    </row>
    <row r="18" spans="1:9" ht="20.25" x14ac:dyDescent="0.2">
      <c r="A18" s="73"/>
      <c r="B18" s="395"/>
      <c r="C18" s="423" t="s">
        <v>329</v>
      </c>
      <c r="D18" s="423"/>
      <c r="E18" s="423"/>
      <c r="F18" s="73"/>
      <c r="G18" s="265">
        <v>1500</v>
      </c>
    </row>
    <row r="19" spans="1:9" ht="20.25" x14ac:dyDescent="0.2">
      <c r="A19" s="73"/>
      <c r="B19" s="395"/>
      <c r="C19" s="423" t="s">
        <v>244</v>
      </c>
      <c r="D19" s="423"/>
      <c r="E19" s="423"/>
      <c r="F19" s="73"/>
      <c r="G19" s="265"/>
    </row>
    <row r="20" spans="1:9" ht="20.25" x14ac:dyDescent="0.2">
      <c r="A20" s="73"/>
      <c r="B20" s="395"/>
      <c r="C20" s="423"/>
      <c r="D20" s="423" t="s">
        <v>11</v>
      </c>
      <c r="E20" s="423"/>
      <c r="F20" s="73"/>
      <c r="G20" s="265">
        <f>73338-45000</f>
        <v>28338</v>
      </c>
    </row>
    <row r="21" spans="1:9" ht="20.25" x14ac:dyDescent="0.2">
      <c r="A21" s="73"/>
      <c r="B21" s="395"/>
      <c r="C21" s="423"/>
      <c r="D21" s="423" t="s">
        <v>17</v>
      </c>
      <c r="E21" s="423"/>
      <c r="F21" s="73"/>
      <c r="G21" s="265">
        <v>45000</v>
      </c>
    </row>
    <row r="22" spans="1:9" ht="20.25" x14ac:dyDescent="0.2">
      <c r="A22" s="73"/>
      <c r="B22" s="395"/>
      <c r="C22" s="423" t="s">
        <v>331</v>
      </c>
      <c r="D22" s="423"/>
      <c r="E22" s="423"/>
      <c r="F22" s="73"/>
      <c r="G22" s="265">
        <v>2500</v>
      </c>
    </row>
    <row r="23" spans="1:9" ht="20.25" x14ac:dyDescent="0.2">
      <c r="A23" s="73"/>
      <c r="B23" s="395"/>
      <c r="C23" s="423" t="s">
        <v>113</v>
      </c>
      <c r="D23" s="423"/>
      <c r="E23" s="423"/>
      <c r="F23" s="73"/>
      <c r="G23" s="323">
        <v>46575</v>
      </c>
    </row>
    <row r="24" spans="1:9" ht="20.25" x14ac:dyDescent="0.2">
      <c r="A24" s="73"/>
      <c r="B24" s="395"/>
      <c r="C24" s="423" t="s">
        <v>332</v>
      </c>
      <c r="D24" s="423"/>
      <c r="E24" s="423"/>
      <c r="F24" s="73"/>
      <c r="G24" s="323">
        <v>1531</v>
      </c>
    </row>
    <row r="25" spans="1:9" ht="20.25" x14ac:dyDescent="0.2">
      <c r="A25" s="73"/>
      <c r="B25" s="395"/>
      <c r="C25" s="423" t="s">
        <v>106</v>
      </c>
      <c r="D25" s="423"/>
      <c r="E25" s="423"/>
      <c r="F25" s="73"/>
      <c r="G25" s="323">
        <v>19000</v>
      </c>
    </row>
    <row r="26" spans="1:9" ht="20.25" x14ac:dyDescent="0.2">
      <c r="A26" s="73"/>
      <c r="B26" s="395"/>
      <c r="C26" s="423" t="s">
        <v>328</v>
      </c>
      <c r="D26" s="423"/>
      <c r="E26" s="423"/>
      <c r="F26" s="73"/>
      <c r="G26" s="323">
        <v>51000</v>
      </c>
    </row>
    <row r="27" spans="1:9" ht="20.25" x14ac:dyDescent="0.2">
      <c r="A27" s="73"/>
      <c r="B27" s="395"/>
      <c r="C27" s="423" t="s">
        <v>330</v>
      </c>
      <c r="D27" s="423"/>
      <c r="E27" s="423"/>
      <c r="F27" s="73"/>
      <c r="G27" s="323">
        <v>20655</v>
      </c>
    </row>
    <row r="28" spans="1:9" ht="20.25" x14ac:dyDescent="0.2">
      <c r="A28" s="73"/>
      <c r="B28" s="395"/>
      <c r="C28" s="423"/>
      <c r="D28" s="73" t="s">
        <v>109</v>
      </c>
      <c r="E28" s="423"/>
      <c r="F28" s="73"/>
      <c r="G28" s="243">
        <f>SUM(G8:G27)</f>
        <v>1455561</v>
      </c>
      <c r="I28" s="244"/>
    </row>
    <row r="29" spans="1:9" ht="20.25" x14ac:dyDescent="0.2">
      <c r="A29" s="73"/>
      <c r="B29" s="395"/>
      <c r="C29" s="423"/>
      <c r="D29" s="73"/>
      <c r="E29" s="423"/>
      <c r="F29" s="73"/>
      <c r="G29" s="235"/>
    </row>
    <row r="30" spans="1:9" ht="21" thickBot="1" x14ac:dyDescent="0.25">
      <c r="A30" s="73"/>
      <c r="B30" s="396" t="s">
        <v>115</v>
      </c>
      <c r="C30" s="87"/>
      <c r="D30" s="87"/>
      <c r="E30" s="87"/>
      <c r="F30" s="87"/>
      <c r="G30" s="242"/>
    </row>
    <row r="31" spans="1:9" ht="20.25" x14ac:dyDescent="0.2">
      <c r="A31" s="67"/>
      <c r="B31" s="397"/>
      <c r="C31" s="79" t="s">
        <v>116</v>
      </c>
      <c r="D31" s="79"/>
      <c r="E31" s="79"/>
      <c r="F31" s="79"/>
      <c r="G31" s="233">
        <v>889720</v>
      </c>
    </row>
    <row r="32" spans="1:9" ht="20.25" x14ac:dyDescent="0.2">
      <c r="A32" s="67"/>
      <c r="B32" s="397"/>
      <c r="C32" s="79" t="s">
        <v>117</v>
      </c>
      <c r="D32" s="79"/>
      <c r="E32" s="79"/>
      <c r="F32" s="79"/>
      <c r="G32" s="233">
        <v>192602</v>
      </c>
    </row>
    <row r="33" spans="1:7" ht="20.25" x14ac:dyDescent="0.2">
      <c r="A33" s="67"/>
      <c r="B33" s="397"/>
      <c r="C33" s="79" t="s">
        <v>118</v>
      </c>
      <c r="D33" s="79"/>
      <c r="E33" s="79"/>
      <c r="F33" s="79"/>
      <c r="G33" s="233">
        <v>3600</v>
      </c>
    </row>
    <row r="34" spans="1:7" ht="20.25" x14ac:dyDescent="0.2">
      <c r="A34" s="67"/>
      <c r="B34" s="397"/>
      <c r="C34" s="79" t="s">
        <v>108</v>
      </c>
      <c r="D34" s="79"/>
      <c r="E34" s="79"/>
      <c r="F34" s="79"/>
      <c r="G34" s="233">
        <f>G23</f>
        <v>46575</v>
      </c>
    </row>
    <row r="35" spans="1:7" ht="20.25" x14ac:dyDescent="0.2">
      <c r="A35" s="67"/>
      <c r="B35" s="397"/>
      <c r="C35" s="79" t="s">
        <v>119</v>
      </c>
      <c r="D35" s="79"/>
      <c r="E35" s="79"/>
      <c r="F35" s="79"/>
      <c r="G35" s="233">
        <v>17595</v>
      </c>
    </row>
    <row r="36" spans="1:7" ht="20.25" x14ac:dyDescent="0.2">
      <c r="A36" s="67"/>
      <c r="B36" s="397"/>
      <c r="C36" s="79" t="s">
        <v>120</v>
      </c>
      <c r="D36" s="79"/>
      <c r="E36" s="79"/>
      <c r="F36" s="79"/>
      <c r="G36" s="233">
        <v>2821</v>
      </c>
    </row>
    <row r="37" spans="1:7" ht="20.25" x14ac:dyDescent="0.2">
      <c r="A37" s="67"/>
      <c r="B37" s="397"/>
      <c r="C37" s="79" t="s">
        <v>121</v>
      </c>
      <c r="D37" s="79"/>
      <c r="E37" s="79"/>
      <c r="F37" s="79"/>
      <c r="G37" s="233">
        <v>5032</v>
      </c>
    </row>
    <row r="38" spans="1:7" ht="20.25" x14ac:dyDescent="0.2">
      <c r="A38" s="67"/>
      <c r="B38" s="397"/>
      <c r="C38" s="79" t="s">
        <v>122</v>
      </c>
      <c r="D38" s="79"/>
      <c r="E38" s="79"/>
      <c r="F38" s="79"/>
      <c r="G38" s="233">
        <v>12216</v>
      </c>
    </row>
    <row r="39" spans="1:7" ht="20.25" x14ac:dyDescent="0.2">
      <c r="A39" s="67"/>
      <c r="B39" s="397"/>
      <c r="C39" s="79" t="s">
        <v>123</v>
      </c>
      <c r="D39" s="79"/>
      <c r="E39" s="79"/>
      <c r="F39" s="79"/>
      <c r="G39" s="233">
        <v>39500</v>
      </c>
    </row>
    <row r="40" spans="1:7" ht="20.25" x14ac:dyDescent="0.2">
      <c r="A40" s="67"/>
      <c r="B40" s="397"/>
      <c r="C40" s="79" t="s">
        <v>124</v>
      </c>
      <c r="D40" s="79"/>
      <c r="E40" s="79"/>
      <c r="F40" s="79"/>
      <c r="G40" s="233">
        <v>4840</v>
      </c>
    </row>
    <row r="41" spans="1:7" ht="20.25" x14ac:dyDescent="0.2">
      <c r="A41" s="67"/>
      <c r="B41" s="397"/>
      <c r="C41" s="79" t="s">
        <v>125</v>
      </c>
      <c r="D41" s="79"/>
      <c r="E41" s="79"/>
      <c r="F41" s="79"/>
      <c r="G41" s="233">
        <v>1735</v>
      </c>
    </row>
    <row r="42" spans="1:7" ht="20.25" x14ac:dyDescent="0.2">
      <c r="A42" s="67"/>
      <c r="B42" s="397"/>
      <c r="C42" s="79" t="s">
        <v>170</v>
      </c>
      <c r="D42" s="79"/>
      <c r="E42" s="79"/>
      <c r="F42" s="79"/>
      <c r="G42" s="233">
        <v>12125</v>
      </c>
    </row>
    <row r="43" spans="1:7" ht="20.25" x14ac:dyDescent="0.2">
      <c r="A43" s="79"/>
      <c r="B43" s="393"/>
      <c r="C43" s="79" t="s">
        <v>126</v>
      </c>
      <c r="D43" s="79"/>
      <c r="E43" s="79"/>
      <c r="F43" s="79"/>
      <c r="G43" s="323">
        <v>12252</v>
      </c>
    </row>
    <row r="44" spans="1:7" ht="20.25" x14ac:dyDescent="0.2">
      <c r="A44" s="79"/>
      <c r="B44" s="393"/>
      <c r="C44" s="79" t="s">
        <v>127</v>
      </c>
      <c r="D44" s="79"/>
      <c r="E44" s="79"/>
      <c r="F44" s="79"/>
      <c r="G44" s="233">
        <v>13564</v>
      </c>
    </row>
    <row r="45" spans="1:7" ht="20.25" x14ac:dyDescent="0.2">
      <c r="A45" s="79"/>
      <c r="B45" s="393"/>
      <c r="C45" s="79" t="s">
        <v>134</v>
      </c>
      <c r="D45" s="79"/>
      <c r="E45" s="79"/>
      <c r="F45" s="79"/>
      <c r="G45" s="233">
        <v>875</v>
      </c>
    </row>
    <row r="46" spans="1:7" ht="20.25" x14ac:dyDescent="0.2">
      <c r="A46" s="79"/>
      <c r="B46" s="393"/>
      <c r="C46" s="79" t="s">
        <v>128</v>
      </c>
      <c r="D46" s="79"/>
      <c r="E46" s="79"/>
      <c r="F46" s="79"/>
      <c r="G46" s="323">
        <f>10039+1500</f>
        <v>11539</v>
      </c>
    </row>
    <row r="47" spans="1:7" ht="20.25" x14ac:dyDescent="0.2">
      <c r="A47" s="67"/>
      <c r="B47" s="397"/>
      <c r="C47" s="79" t="s">
        <v>205</v>
      </c>
      <c r="D47" s="79"/>
      <c r="E47" s="79"/>
      <c r="F47" s="79"/>
      <c r="G47" s="233">
        <f>12623+2660</f>
        <v>15283</v>
      </c>
    </row>
    <row r="48" spans="1:7" ht="20.25" x14ac:dyDescent="0.2">
      <c r="A48" s="79"/>
      <c r="B48" s="393"/>
      <c r="C48" s="79" t="s">
        <v>129</v>
      </c>
      <c r="D48" s="79"/>
      <c r="E48" s="79"/>
      <c r="F48" s="79"/>
      <c r="G48" s="323">
        <v>39977</v>
      </c>
    </row>
    <row r="49" spans="1:7" ht="20.25" x14ac:dyDescent="0.2">
      <c r="A49" s="79"/>
      <c r="B49" s="393"/>
      <c r="C49" s="79" t="s">
        <v>130</v>
      </c>
      <c r="D49" s="79"/>
      <c r="E49" s="79"/>
      <c r="F49" s="79"/>
      <c r="G49" s="323">
        <v>19556</v>
      </c>
    </row>
    <row r="50" spans="1:7" ht="20.25" x14ac:dyDescent="0.2">
      <c r="A50" s="79"/>
      <c r="B50" s="393"/>
      <c r="C50" s="79" t="s">
        <v>169</v>
      </c>
      <c r="D50" s="79"/>
      <c r="E50" s="79"/>
      <c r="F50" s="79"/>
      <c r="G50" s="233">
        <v>56100</v>
      </c>
    </row>
    <row r="51" spans="1:7" ht="20.25" x14ac:dyDescent="0.2">
      <c r="A51" s="79"/>
      <c r="B51" s="393"/>
      <c r="C51" s="79" t="s">
        <v>131</v>
      </c>
      <c r="D51" s="79"/>
      <c r="E51" s="79"/>
      <c r="F51" s="79"/>
      <c r="G51" s="233">
        <f>750+86095</f>
        <v>86845</v>
      </c>
    </row>
    <row r="52" spans="1:7" ht="21" thickBot="1" x14ac:dyDescent="0.25">
      <c r="A52" s="79"/>
      <c r="B52" s="393"/>
      <c r="C52" s="79"/>
      <c r="D52" s="79"/>
      <c r="E52" s="79"/>
      <c r="F52" s="79"/>
      <c r="G52" s="242"/>
    </row>
    <row r="53" spans="1:7" ht="20.25" x14ac:dyDescent="0.2">
      <c r="A53" s="67"/>
      <c r="B53" s="397"/>
      <c r="C53" s="67"/>
      <c r="D53" s="73" t="s">
        <v>132</v>
      </c>
      <c r="E53" s="67"/>
      <c r="F53" s="67"/>
      <c r="G53" s="238">
        <f>SUM(G31:G51)</f>
        <v>1484352</v>
      </c>
    </row>
    <row r="54" spans="1:7" ht="21" thickBot="1" x14ac:dyDescent="0.25">
      <c r="A54" s="67"/>
      <c r="B54" s="397"/>
      <c r="C54" s="67"/>
      <c r="D54" s="73"/>
      <c r="E54" s="67"/>
      <c r="F54" s="67"/>
      <c r="G54" s="242"/>
    </row>
    <row r="55" spans="1:7" ht="21" thickBot="1" x14ac:dyDescent="0.25">
      <c r="A55" s="67"/>
      <c r="B55" s="397"/>
      <c r="C55" s="67"/>
      <c r="D55" s="67" t="s">
        <v>133</v>
      </c>
      <c r="E55" s="67"/>
      <c r="F55" s="67"/>
      <c r="G55" s="242">
        <f>G28-G53</f>
        <v>-28791</v>
      </c>
    </row>
    <row r="56" spans="1:7" ht="20.25" x14ac:dyDescent="0.2">
      <c r="A56" s="67"/>
      <c r="B56" s="397"/>
      <c r="C56" s="67"/>
      <c r="D56" s="67"/>
      <c r="E56" s="67"/>
      <c r="F56" s="67"/>
      <c r="G56" s="233"/>
    </row>
  </sheetData>
  <pageMargins left="1.2" right="0" top="0.5" bottom="0.5" header="0.3" footer="0.3"/>
  <pageSetup scale="6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61" hidden="1" customWidth="1"/>
    <col min="4" max="7" width="15" customWidth="1"/>
    <col min="8" max="8" width="14.625" customWidth="1"/>
  </cols>
  <sheetData>
    <row r="1" spans="1:130" ht="21" x14ac:dyDescent="0.35">
      <c r="A1" s="596" t="s">
        <v>98</v>
      </c>
      <c r="B1" s="59"/>
      <c r="C1" s="60"/>
      <c r="D1" s="60"/>
      <c r="E1" s="60"/>
      <c r="F1" s="59"/>
      <c r="G1" s="231"/>
      <c r="H1" s="59"/>
      <c r="I1" s="59"/>
      <c r="J1" s="59"/>
      <c r="K1" s="59"/>
      <c r="L1" s="468"/>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6" t="s">
        <v>308</v>
      </c>
      <c r="B2" s="59"/>
      <c r="C2" s="60"/>
      <c r="D2" s="60"/>
      <c r="E2" s="60"/>
      <c r="F2" s="59"/>
      <c r="G2" s="231"/>
      <c r="H2" s="59"/>
      <c r="I2" s="59"/>
      <c r="J2" s="59"/>
      <c r="K2" s="59"/>
      <c r="L2" s="468"/>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6" t="str">
        <f>'February''21 State of Activities'!A3</f>
        <v>Two Months Ended February 28, 2021 and 2020</v>
      </c>
      <c r="B3" s="59"/>
      <c r="C3" s="60"/>
      <c r="D3" s="60"/>
      <c r="E3" s="60"/>
      <c r="F3" s="59"/>
      <c r="G3" s="231"/>
      <c r="H3" s="59"/>
      <c r="I3" s="59"/>
      <c r="J3" s="59"/>
      <c r="K3" s="59"/>
      <c r="L3" s="46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15" t="s">
        <v>288</v>
      </c>
      <c r="B5" s="916"/>
      <c r="C5" s="916"/>
      <c r="D5" s="916"/>
      <c r="E5" s="916"/>
      <c r="F5" s="916"/>
      <c r="G5" s="916"/>
      <c r="H5" s="917"/>
    </row>
    <row r="6" spans="1:130" ht="7.5" customHeight="1" thickBot="1" x14ac:dyDescent="0.25">
      <c r="E6" s="562"/>
      <c r="F6" s="562"/>
      <c r="G6" s="562"/>
    </row>
    <row r="7" spans="1:130" ht="15.75" x14ac:dyDescent="0.25">
      <c r="A7" s="563" t="s">
        <v>289</v>
      </c>
      <c r="B7" s="564" t="s">
        <v>290</v>
      </c>
      <c r="C7" s="564" t="s">
        <v>291</v>
      </c>
      <c r="D7" s="564" t="s">
        <v>292</v>
      </c>
      <c r="E7" s="564" t="s">
        <v>293</v>
      </c>
      <c r="F7" s="564" t="s">
        <v>294</v>
      </c>
      <c r="G7" s="564" t="s">
        <v>295</v>
      </c>
      <c r="H7" s="563" t="s">
        <v>296</v>
      </c>
    </row>
    <row r="8" spans="1:130" ht="16.5" thickBot="1" x14ac:dyDescent="0.3">
      <c r="A8" s="565"/>
      <c r="B8" s="566" t="s">
        <v>297</v>
      </c>
      <c r="C8" s="566" t="s">
        <v>297</v>
      </c>
      <c r="D8" s="566" t="s">
        <v>297</v>
      </c>
      <c r="E8" s="566" t="s">
        <v>297</v>
      </c>
      <c r="F8" s="566" t="s">
        <v>297</v>
      </c>
      <c r="G8" s="566" t="s">
        <v>297</v>
      </c>
      <c r="H8" s="567" t="s">
        <v>298</v>
      </c>
    </row>
    <row r="9" spans="1:130" x14ac:dyDescent="0.2">
      <c r="A9" s="568">
        <v>42741</v>
      </c>
      <c r="B9" s="569">
        <v>1059.72</v>
      </c>
      <c r="C9" s="570">
        <f>6123.86-3246.88</f>
        <v>2876.9799999999996</v>
      </c>
      <c r="D9" s="569">
        <f>160.4+1401.46</f>
        <v>1561.8600000000001</v>
      </c>
      <c r="E9" s="569">
        <f>2007.36+883.16</f>
        <v>2890.52</v>
      </c>
      <c r="F9" s="569">
        <v>4174.08</v>
      </c>
      <c r="G9" s="569">
        <v>3187.95</v>
      </c>
      <c r="H9" s="569">
        <f>G9-F9</f>
        <v>-986.13000000000011</v>
      </c>
    </row>
    <row r="10" spans="1:130" x14ac:dyDescent="0.2">
      <c r="A10" s="571">
        <v>42748</v>
      </c>
      <c r="B10" s="572">
        <v>1351.72</v>
      </c>
      <c r="C10" s="573">
        <f>7232.22-3246.88</f>
        <v>3985.34</v>
      </c>
      <c r="D10" s="572">
        <v>3927.82</v>
      </c>
      <c r="E10" s="572">
        <v>3364.16</v>
      </c>
      <c r="F10" s="569">
        <v>4643.2299999999996</v>
      </c>
      <c r="G10" s="569">
        <v>3858.57</v>
      </c>
      <c r="H10" s="569">
        <f t="shared" ref="H10:H21" si="0">G10-F10</f>
        <v>-784.6599999999994</v>
      </c>
    </row>
    <row r="11" spans="1:130" x14ac:dyDescent="0.2">
      <c r="A11" s="571">
        <v>42755</v>
      </c>
      <c r="B11" s="572">
        <v>1237.58</v>
      </c>
      <c r="C11" s="574">
        <f>5493.18-2496.78</f>
        <v>2996.4</v>
      </c>
      <c r="D11" s="572">
        <v>3463.28</v>
      </c>
      <c r="E11" s="572">
        <v>3723.22</v>
      </c>
      <c r="F11" s="569">
        <v>3257.98</v>
      </c>
      <c r="G11" s="569">
        <v>2816.13</v>
      </c>
      <c r="H11" s="569">
        <f t="shared" si="0"/>
        <v>-441.84999999999991</v>
      </c>
    </row>
    <row r="12" spans="1:130" x14ac:dyDescent="0.2">
      <c r="A12" s="571">
        <v>42762</v>
      </c>
      <c r="B12" s="572">
        <v>1829.66</v>
      </c>
      <c r="C12" s="574">
        <f>6125.18-2535</f>
        <v>3590.1800000000003</v>
      </c>
      <c r="D12" s="572">
        <v>2947.54</v>
      </c>
      <c r="E12" s="572">
        <v>3026.63</v>
      </c>
      <c r="F12" s="569">
        <v>3503.82</v>
      </c>
      <c r="G12" s="569">
        <v>2957.14</v>
      </c>
      <c r="H12" s="569">
        <f t="shared" si="0"/>
        <v>-546.68000000000029</v>
      </c>
    </row>
    <row r="13" spans="1:130" x14ac:dyDescent="0.2">
      <c r="A13" s="571">
        <v>42769</v>
      </c>
      <c r="B13" s="572">
        <v>2363.12</v>
      </c>
      <c r="C13" s="574">
        <f>-3488.68+8424.94</f>
        <v>4936.26</v>
      </c>
      <c r="D13" s="572">
        <v>3434.46</v>
      </c>
      <c r="E13" s="572">
        <v>2986.58</v>
      </c>
      <c r="F13" s="569">
        <v>4063.43</v>
      </c>
      <c r="G13" s="569">
        <v>3878.62</v>
      </c>
      <c r="H13" s="569">
        <f t="shared" si="0"/>
        <v>-184.80999999999995</v>
      </c>
    </row>
    <row r="14" spans="1:130" x14ac:dyDescent="0.2">
      <c r="A14" s="571">
        <v>42776</v>
      </c>
      <c r="B14" s="572">
        <v>1902.16</v>
      </c>
      <c r="C14" s="574">
        <f>-2931.5+7254.06</f>
        <v>4322.5600000000004</v>
      </c>
      <c r="D14" s="572">
        <v>2818.82</v>
      </c>
      <c r="E14" s="572">
        <f>2800.67</f>
        <v>2800.67</v>
      </c>
      <c r="F14" s="569">
        <v>4002.46</v>
      </c>
      <c r="G14" s="569">
        <v>2987.96</v>
      </c>
      <c r="H14" s="569">
        <f t="shared" si="0"/>
        <v>-1014.5</v>
      </c>
    </row>
    <row r="15" spans="1:130" x14ac:dyDescent="0.2">
      <c r="A15" s="571">
        <v>42783</v>
      </c>
      <c r="B15" s="572">
        <v>2134.56</v>
      </c>
      <c r="C15" s="574">
        <f>-3653.28+8329.5-700</f>
        <v>3976.2199999999993</v>
      </c>
      <c r="D15" s="572">
        <v>2157.96</v>
      </c>
      <c r="E15" s="572">
        <v>2584.04</v>
      </c>
      <c r="F15" s="569">
        <v>2886.61</v>
      </c>
      <c r="G15" s="569">
        <v>3373.08</v>
      </c>
      <c r="H15" s="569">
        <f t="shared" si="0"/>
        <v>486.4699999999998</v>
      </c>
    </row>
    <row r="16" spans="1:130" x14ac:dyDescent="0.2">
      <c r="A16" s="571">
        <v>42790</v>
      </c>
      <c r="B16" s="572">
        <v>1676.08</v>
      </c>
      <c r="C16" s="574">
        <f>-2869.88+6693.6</f>
        <v>3823.7200000000003</v>
      </c>
      <c r="D16" s="572">
        <v>3063.52</v>
      </c>
      <c r="E16" s="572">
        <v>3161.19</v>
      </c>
      <c r="F16" s="569">
        <v>3994.7</v>
      </c>
      <c r="G16" s="569">
        <v>3335.8</v>
      </c>
      <c r="H16" s="569">
        <f t="shared" si="0"/>
        <v>-658.89999999999964</v>
      </c>
    </row>
    <row r="17" spans="1:8" x14ac:dyDescent="0.2">
      <c r="A17" s="571">
        <v>42797</v>
      </c>
      <c r="B17" s="572">
        <v>1418.9</v>
      </c>
      <c r="C17" s="574">
        <f>-3427.32+8141.08</f>
        <v>4713.76</v>
      </c>
      <c r="D17" s="572">
        <v>4534.3</v>
      </c>
      <c r="E17" s="572">
        <v>3860.23</v>
      </c>
      <c r="F17" s="569">
        <v>4172.5600000000004</v>
      </c>
      <c r="G17" s="569">
        <v>2335.96</v>
      </c>
      <c r="H17" s="569">
        <f t="shared" si="0"/>
        <v>-1836.6000000000004</v>
      </c>
    </row>
    <row r="18" spans="1:8" x14ac:dyDescent="0.2">
      <c r="A18" s="571">
        <v>42804</v>
      </c>
      <c r="B18" s="572">
        <v>1013.74</v>
      </c>
      <c r="C18" s="574">
        <f>-2919.8+6449.26</f>
        <v>3529.46</v>
      </c>
      <c r="D18" s="572">
        <v>3673.88</v>
      </c>
      <c r="E18" s="572">
        <v>4004</v>
      </c>
      <c r="F18" s="569">
        <v>3762.8</v>
      </c>
      <c r="G18" s="569">
        <v>1711.94</v>
      </c>
      <c r="H18" s="569">
        <f t="shared" si="0"/>
        <v>-2050.86</v>
      </c>
    </row>
    <row r="19" spans="1:8" x14ac:dyDescent="0.2">
      <c r="A19" s="571">
        <v>42811</v>
      </c>
      <c r="B19" s="575">
        <v>3629.96</v>
      </c>
      <c r="C19" s="574">
        <f>-3708.38+7621.78</f>
        <v>3913.3999999999996</v>
      </c>
      <c r="D19" s="572">
        <v>4030.4</v>
      </c>
      <c r="E19" s="572">
        <v>3222.03</v>
      </c>
      <c r="F19" s="569">
        <v>4340.3</v>
      </c>
      <c r="G19" s="569">
        <v>942.16</v>
      </c>
      <c r="H19" s="569">
        <f t="shared" si="0"/>
        <v>-3398.1400000000003</v>
      </c>
    </row>
    <row r="20" spans="1:8" x14ac:dyDescent="0.2">
      <c r="A20" s="571">
        <v>42818</v>
      </c>
      <c r="B20" s="575">
        <v>3364</v>
      </c>
      <c r="C20" s="574">
        <f>-3726.84+7846.28</f>
        <v>4119.4399999999996</v>
      </c>
      <c r="D20" s="572">
        <v>3975.2</v>
      </c>
      <c r="E20" s="572">
        <v>3684.17</v>
      </c>
      <c r="F20" s="569">
        <v>3849.95</v>
      </c>
      <c r="G20" s="569">
        <v>1706.08</v>
      </c>
      <c r="H20" s="569">
        <f t="shared" si="0"/>
        <v>-2143.87</v>
      </c>
    </row>
    <row r="21" spans="1:8" ht="15" thickBot="1" x14ac:dyDescent="0.25">
      <c r="A21" s="571">
        <v>42825</v>
      </c>
      <c r="B21" s="575">
        <v>3587</v>
      </c>
      <c r="C21" s="574">
        <f>-3329.82+7562.9</f>
        <v>4233.08</v>
      </c>
      <c r="D21" s="572">
        <v>4280.8</v>
      </c>
      <c r="E21" s="575">
        <v>4118.96</v>
      </c>
      <c r="F21" s="576">
        <v>4082.74</v>
      </c>
      <c r="G21" s="576">
        <v>2002.52</v>
      </c>
      <c r="H21" s="569">
        <f t="shared" si="0"/>
        <v>-2080.2199999999998</v>
      </c>
    </row>
    <row r="22" spans="1:8" ht="16.5" thickBot="1" x14ac:dyDescent="0.25">
      <c r="A22" s="577" t="s">
        <v>299</v>
      </c>
      <c r="B22" s="578">
        <f t="shared" ref="B22:H22" si="1">SUM(B9:B21)</f>
        <v>26568.2</v>
      </c>
      <c r="C22" s="578">
        <f t="shared" si="1"/>
        <v>51016.80000000001</v>
      </c>
      <c r="D22" s="578">
        <f t="shared" si="1"/>
        <v>43869.84</v>
      </c>
      <c r="E22" s="578">
        <f t="shared" si="1"/>
        <v>43426.399999999994</v>
      </c>
      <c r="F22" s="578">
        <f t="shared" si="1"/>
        <v>50734.659999999996</v>
      </c>
      <c r="G22" s="578">
        <f t="shared" si="1"/>
        <v>35093.909999999989</v>
      </c>
      <c r="H22" s="578">
        <f t="shared" si="1"/>
        <v>-15640.749999999998</v>
      </c>
    </row>
    <row r="23" spans="1:8" x14ac:dyDescent="0.2">
      <c r="A23" s="579">
        <v>42832</v>
      </c>
      <c r="B23" s="572">
        <v>3525.02</v>
      </c>
      <c r="C23" s="569">
        <v>4517.8999999999996</v>
      </c>
      <c r="D23" s="569">
        <v>4162.12</v>
      </c>
      <c r="E23" s="569">
        <v>4043.7</v>
      </c>
      <c r="F23" s="569">
        <v>3768.69</v>
      </c>
      <c r="G23" s="569">
        <v>2018.44</v>
      </c>
      <c r="H23" s="569">
        <f>G23-F23</f>
        <v>-1750.25</v>
      </c>
    </row>
    <row r="24" spans="1:8" x14ac:dyDescent="0.2">
      <c r="A24" s="579">
        <v>42839</v>
      </c>
      <c r="B24" s="572">
        <v>3842.84</v>
      </c>
      <c r="C24" s="569">
        <v>4554.42</v>
      </c>
      <c r="D24" s="572">
        <v>4616</v>
      </c>
      <c r="E24" s="572">
        <v>4136.18</v>
      </c>
      <c r="F24" s="569">
        <v>4345.16</v>
      </c>
      <c r="G24" s="569">
        <v>5284.52</v>
      </c>
      <c r="H24" s="569">
        <f t="shared" ref="H24:H63" si="2">G24-F24</f>
        <v>939.36000000000058</v>
      </c>
    </row>
    <row r="25" spans="1:8" x14ac:dyDescent="0.2">
      <c r="A25" s="579">
        <v>42846</v>
      </c>
      <c r="B25" s="572">
        <v>5337.82</v>
      </c>
      <c r="C25" s="572">
        <v>4041.14</v>
      </c>
      <c r="D25" s="572">
        <v>3729.1</v>
      </c>
      <c r="E25" s="572">
        <v>4132.83</v>
      </c>
      <c r="F25" s="569">
        <v>4267.46</v>
      </c>
      <c r="G25" s="569">
        <v>4715.9799999999996</v>
      </c>
      <c r="H25" s="569">
        <f t="shared" si="2"/>
        <v>448.51999999999953</v>
      </c>
    </row>
    <row r="26" spans="1:8" x14ac:dyDescent="0.2">
      <c r="A26" s="579">
        <v>42853</v>
      </c>
      <c r="B26" s="572">
        <v>4973.68</v>
      </c>
      <c r="C26" s="572">
        <v>4321.8599999999997</v>
      </c>
      <c r="D26" s="572">
        <v>3706.08</v>
      </c>
      <c r="E26" s="572">
        <v>4536.74</v>
      </c>
      <c r="F26" s="569">
        <v>3953.61</v>
      </c>
      <c r="G26" s="569">
        <v>4499.7</v>
      </c>
      <c r="H26" s="569">
        <f t="shared" si="2"/>
        <v>546.08999999999969</v>
      </c>
    </row>
    <row r="27" spans="1:8" x14ac:dyDescent="0.2">
      <c r="A27" s="579">
        <v>42860</v>
      </c>
      <c r="B27" s="572">
        <v>3187.22</v>
      </c>
      <c r="C27" s="572">
        <v>4732.8999999999996</v>
      </c>
      <c r="D27" s="572">
        <v>3421.72</v>
      </c>
      <c r="E27" s="572">
        <f>3478.64+72+758.56</f>
        <v>4309.2</v>
      </c>
      <c r="F27" s="569">
        <v>4192.32</v>
      </c>
      <c r="G27" s="569">
        <v>4204.16</v>
      </c>
      <c r="H27" s="569">
        <f t="shared" si="2"/>
        <v>11.840000000000146</v>
      </c>
    </row>
    <row r="28" spans="1:8" x14ac:dyDescent="0.2">
      <c r="A28" s="579">
        <v>42867</v>
      </c>
      <c r="B28" s="572">
        <v>2237.2399999999998</v>
      </c>
      <c r="C28" s="572">
        <v>4138.8999999999996</v>
      </c>
      <c r="D28" s="572">
        <v>3907.94</v>
      </c>
      <c r="E28" s="572">
        <f>4050.94+212.76</f>
        <v>4263.7</v>
      </c>
      <c r="F28" s="569">
        <v>4361.47</v>
      </c>
      <c r="G28" s="569">
        <v>4571.82</v>
      </c>
      <c r="H28" s="569">
        <f t="shared" si="2"/>
        <v>210.34999999999945</v>
      </c>
    </row>
    <row r="29" spans="1:8" x14ac:dyDescent="0.2">
      <c r="A29" s="579">
        <v>42874</v>
      </c>
      <c r="B29" s="572">
        <v>3446.22</v>
      </c>
      <c r="C29" s="572">
        <v>5447.82</v>
      </c>
      <c r="D29" s="572">
        <f>3359.74+70.28</f>
        <v>3430.02</v>
      </c>
      <c r="E29" s="572">
        <v>3958.56</v>
      </c>
      <c r="F29" s="569">
        <v>3957.78</v>
      </c>
      <c r="G29" s="569">
        <v>4089.18</v>
      </c>
      <c r="H29" s="569">
        <f t="shared" si="2"/>
        <v>131.39999999999964</v>
      </c>
    </row>
    <row r="30" spans="1:8" x14ac:dyDescent="0.2">
      <c r="A30" s="579">
        <v>42881</v>
      </c>
      <c r="B30" s="572">
        <v>3507.94</v>
      </c>
      <c r="C30" s="572">
        <v>4315.03</v>
      </c>
      <c r="D30" s="572">
        <v>3880.8</v>
      </c>
      <c r="E30" s="572">
        <v>4314.9799999999996</v>
      </c>
      <c r="F30" s="569">
        <v>3634.01</v>
      </c>
      <c r="G30" s="569">
        <v>3993.63</v>
      </c>
      <c r="H30" s="569">
        <f t="shared" si="2"/>
        <v>359.61999999999989</v>
      </c>
    </row>
    <row r="31" spans="1:8" x14ac:dyDescent="0.2">
      <c r="A31" s="579">
        <v>42888</v>
      </c>
      <c r="B31" s="572">
        <v>3609.72</v>
      </c>
      <c r="C31" s="572">
        <v>3053.8</v>
      </c>
      <c r="D31" s="572">
        <v>2686.82</v>
      </c>
      <c r="E31" s="572">
        <v>2987.04</v>
      </c>
      <c r="F31" s="569">
        <v>2684.24</v>
      </c>
      <c r="G31" s="569">
        <v>2384.3200000000002</v>
      </c>
      <c r="H31" s="569">
        <f t="shared" si="2"/>
        <v>-299.91999999999962</v>
      </c>
    </row>
    <row r="32" spans="1:8" x14ac:dyDescent="0.2">
      <c r="A32" s="579">
        <v>42895</v>
      </c>
      <c r="B32" s="572">
        <v>2033.76</v>
      </c>
      <c r="C32" s="572">
        <v>4194.8599999999997</v>
      </c>
      <c r="D32" s="572">
        <v>3006.14</v>
      </c>
      <c r="E32" s="572">
        <v>3675.8</v>
      </c>
      <c r="F32" s="569">
        <v>3674.42</v>
      </c>
      <c r="G32" s="569">
        <v>3297.66</v>
      </c>
      <c r="H32" s="569">
        <f t="shared" si="2"/>
        <v>-376.76000000000022</v>
      </c>
    </row>
    <row r="33" spans="1:8" x14ac:dyDescent="0.2">
      <c r="A33" s="579">
        <v>42902</v>
      </c>
      <c r="B33" s="572">
        <v>2786.98</v>
      </c>
      <c r="C33" s="572">
        <v>3980.08</v>
      </c>
      <c r="D33" s="572">
        <v>3579.53</v>
      </c>
      <c r="E33" s="572">
        <v>4147.8999999999996</v>
      </c>
      <c r="F33" s="569">
        <v>4182.5200000000004</v>
      </c>
      <c r="G33" s="569">
        <v>3252.16</v>
      </c>
      <c r="H33" s="569">
        <f t="shared" si="2"/>
        <v>-930.36000000000058</v>
      </c>
    </row>
    <row r="34" spans="1:8" x14ac:dyDescent="0.2">
      <c r="A34" s="579">
        <v>42909</v>
      </c>
      <c r="B34" s="575">
        <v>2436.9</v>
      </c>
      <c r="C34" s="572">
        <v>4001.26</v>
      </c>
      <c r="D34" s="572">
        <v>3401.21</v>
      </c>
      <c r="E34" s="572">
        <v>3774.82</v>
      </c>
      <c r="F34" s="569">
        <v>3596.56</v>
      </c>
      <c r="G34" s="569">
        <v>3139.68</v>
      </c>
      <c r="H34" s="569">
        <f t="shared" si="2"/>
        <v>-456.88000000000011</v>
      </c>
    </row>
    <row r="35" spans="1:8" ht="15" thickBot="1" x14ac:dyDescent="0.25">
      <c r="A35" s="579">
        <v>42916</v>
      </c>
      <c r="B35" s="575">
        <v>2410.56</v>
      </c>
      <c r="C35" s="572">
        <v>3928.74</v>
      </c>
      <c r="D35" s="575">
        <v>3288.01</v>
      </c>
      <c r="E35" s="575">
        <v>3466.07</v>
      </c>
      <c r="F35" s="576">
        <v>3867.92</v>
      </c>
      <c r="G35" s="576">
        <v>3368.72</v>
      </c>
      <c r="H35" s="569">
        <f t="shared" si="2"/>
        <v>-499.20000000000027</v>
      </c>
    </row>
    <row r="36" spans="1:8" ht="16.5" thickBot="1" x14ac:dyDescent="0.25">
      <c r="A36" s="577" t="s">
        <v>300</v>
      </c>
      <c r="B36" s="578">
        <f t="shared" ref="B36:H36" si="3">SUM(B23:B35)</f>
        <v>43335.9</v>
      </c>
      <c r="C36" s="578">
        <f t="shared" si="3"/>
        <v>55228.710000000006</v>
      </c>
      <c r="D36" s="578">
        <f t="shared" si="3"/>
        <v>46815.49</v>
      </c>
      <c r="E36" s="578">
        <f t="shared" si="3"/>
        <v>51747.520000000004</v>
      </c>
      <c r="F36" s="578">
        <f t="shared" si="3"/>
        <v>50486.159999999989</v>
      </c>
      <c r="G36" s="578">
        <f t="shared" si="3"/>
        <v>48819.970000000008</v>
      </c>
      <c r="H36" s="578">
        <f t="shared" si="3"/>
        <v>-1666.1900000000019</v>
      </c>
    </row>
    <row r="37" spans="1:8" x14ac:dyDescent="0.2">
      <c r="A37" s="579">
        <v>42923</v>
      </c>
      <c r="B37" s="569">
        <f>899.92+2410.56</f>
        <v>3310.48</v>
      </c>
      <c r="C37" s="569">
        <v>3059.59</v>
      </c>
      <c r="D37" s="569">
        <f>952.56+2445.69</f>
        <v>3398.25</v>
      </c>
      <c r="E37" s="569">
        <f>1313.52+1315.48</f>
        <v>2629</v>
      </c>
      <c r="F37" s="569">
        <v>3092.18</v>
      </c>
      <c r="G37" s="569">
        <v>2501.6799999999998</v>
      </c>
      <c r="H37" s="569">
        <f t="shared" si="2"/>
        <v>-590.5</v>
      </c>
    </row>
    <row r="38" spans="1:8" x14ac:dyDescent="0.2">
      <c r="A38" s="571">
        <v>42930</v>
      </c>
      <c r="B38" s="569">
        <v>2613.8200000000002</v>
      </c>
      <c r="C38" s="569">
        <v>4164.28</v>
      </c>
      <c r="D38" s="572">
        <v>3621.49</v>
      </c>
      <c r="E38" s="572">
        <v>3328.78</v>
      </c>
      <c r="F38" s="569">
        <v>4363</v>
      </c>
      <c r="G38" s="569">
        <v>3463.97</v>
      </c>
      <c r="H38" s="569">
        <f t="shared" si="2"/>
        <v>-899.0300000000002</v>
      </c>
    </row>
    <row r="39" spans="1:8" x14ac:dyDescent="0.2">
      <c r="A39" s="571">
        <v>42937</v>
      </c>
      <c r="B39" s="572">
        <v>2285.09</v>
      </c>
      <c r="C39" s="572">
        <v>3698.36</v>
      </c>
      <c r="D39" s="572">
        <v>3478.53</v>
      </c>
      <c r="E39" s="572">
        <v>4114.08</v>
      </c>
      <c r="F39" s="569">
        <v>3936.33</v>
      </c>
      <c r="G39" s="569">
        <v>3416.66</v>
      </c>
      <c r="H39" s="569">
        <f t="shared" si="2"/>
        <v>-519.67000000000007</v>
      </c>
    </row>
    <row r="40" spans="1:8" x14ac:dyDescent="0.2">
      <c r="A40" s="571">
        <v>42944</v>
      </c>
      <c r="B40" s="572">
        <v>1982.06</v>
      </c>
      <c r="C40" s="572">
        <v>3907.78</v>
      </c>
      <c r="D40" s="572">
        <v>3713.11</v>
      </c>
      <c r="E40" s="572">
        <v>4010.57</v>
      </c>
      <c r="F40" s="569">
        <v>3962.85</v>
      </c>
      <c r="G40" s="569">
        <v>3139.68</v>
      </c>
      <c r="H40" s="569">
        <f t="shared" si="2"/>
        <v>-823.17000000000007</v>
      </c>
    </row>
    <row r="41" spans="1:8" x14ac:dyDescent="0.2">
      <c r="A41" s="571">
        <v>42951</v>
      </c>
      <c r="B41" s="572">
        <v>2442</v>
      </c>
      <c r="C41" s="572">
        <v>3807.12</v>
      </c>
      <c r="D41" s="572">
        <v>3318.21</v>
      </c>
      <c r="E41" s="572">
        <v>3520.16</v>
      </c>
      <c r="F41" s="569">
        <v>3810.8</v>
      </c>
      <c r="G41" s="569">
        <v>3171.9</v>
      </c>
      <c r="H41" s="569">
        <f t="shared" si="2"/>
        <v>-638.90000000000009</v>
      </c>
    </row>
    <row r="42" spans="1:8" x14ac:dyDescent="0.2">
      <c r="A42" s="571">
        <v>42958</v>
      </c>
      <c r="B42" s="572">
        <v>2003.68</v>
      </c>
      <c r="C42" s="572">
        <v>3636.64</v>
      </c>
      <c r="D42" s="572">
        <v>2999.63</v>
      </c>
      <c r="E42" s="572">
        <v>3150.64</v>
      </c>
      <c r="F42" s="569">
        <v>3905.08</v>
      </c>
      <c r="G42" s="569">
        <v>3339.76</v>
      </c>
      <c r="H42" s="569">
        <f t="shared" si="2"/>
        <v>-565.31999999999971</v>
      </c>
    </row>
    <row r="43" spans="1:8" x14ac:dyDescent="0.2">
      <c r="A43" s="571">
        <v>42965</v>
      </c>
      <c r="B43" s="572">
        <v>1971.38</v>
      </c>
      <c r="C43" s="572">
        <v>3658.28</v>
      </c>
      <c r="D43" s="572">
        <v>4080.16</v>
      </c>
      <c r="E43" s="572">
        <v>3780.2</v>
      </c>
      <c r="F43" s="569">
        <v>3747.05</v>
      </c>
      <c r="G43" s="569">
        <v>3333.42</v>
      </c>
      <c r="H43" s="569">
        <f t="shared" si="2"/>
        <v>-413.63000000000011</v>
      </c>
    </row>
    <row r="44" spans="1:8" x14ac:dyDescent="0.2">
      <c r="A44" s="571">
        <v>42972</v>
      </c>
      <c r="B44" s="572">
        <v>2725.14</v>
      </c>
      <c r="C44" s="572">
        <v>4096.0200000000004</v>
      </c>
      <c r="D44" s="572">
        <v>4309.82</v>
      </c>
      <c r="E44" s="572">
        <v>3361.86</v>
      </c>
      <c r="F44" s="569">
        <v>3788.4</v>
      </c>
      <c r="G44" s="569">
        <v>3772.14</v>
      </c>
      <c r="H44" s="569">
        <f t="shared" si="2"/>
        <v>-16.260000000000218</v>
      </c>
    </row>
    <row r="45" spans="1:8" x14ac:dyDescent="0.2">
      <c r="A45" s="571">
        <v>42979</v>
      </c>
      <c r="B45" s="572">
        <v>2749.96</v>
      </c>
      <c r="C45" s="572">
        <v>3825.18</v>
      </c>
      <c r="D45" s="572">
        <v>3712.48</v>
      </c>
      <c r="E45" s="572">
        <v>3605.07</v>
      </c>
      <c r="F45" s="569">
        <v>3858.34</v>
      </c>
      <c r="G45" s="569">
        <v>3206</v>
      </c>
      <c r="H45" s="569">
        <f t="shared" si="2"/>
        <v>-652.34000000000015</v>
      </c>
    </row>
    <row r="46" spans="1:8" x14ac:dyDescent="0.2">
      <c r="A46" s="571">
        <v>42986</v>
      </c>
      <c r="B46" s="572">
        <v>2323.9</v>
      </c>
      <c r="C46" s="572">
        <v>2717.46</v>
      </c>
      <c r="D46" s="572">
        <v>3072.96</v>
      </c>
      <c r="E46" s="572">
        <f>753.86+2730.15</f>
        <v>3484.01</v>
      </c>
      <c r="F46" s="569">
        <v>3265.99</v>
      </c>
      <c r="G46" s="569">
        <v>2271.2199999999998</v>
      </c>
      <c r="H46" s="569">
        <f t="shared" si="2"/>
        <v>-994.77</v>
      </c>
    </row>
    <row r="47" spans="1:8" x14ac:dyDescent="0.2">
      <c r="A47" s="571">
        <v>42993</v>
      </c>
      <c r="B47" s="572">
        <v>2621.61</v>
      </c>
      <c r="C47" s="572">
        <v>3748.38</v>
      </c>
      <c r="D47" s="572">
        <v>3926.25</v>
      </c>
      <c r="E47" s="572">
        <v>3212.96</v>
      </c>
      <c r="F47" s="569">
        <v>3712.16</v>
      </c>
      <c r="G47" s="569">
        <v>2688.36</v>
      </c>
      <c r="H47" s="569">
        <f t="shared" si="2"/>
        <v>-1023.7999999999997</v>
      </c>
    </row>
    <row r="48" spans="1:8" x14ac:dyDescent="0.2">
      <c r="A48" s="571">
        <v>43000</v>
      </c>
      <c r="B48" s="572">
        <v>2394.14</v>
      </c>
      <c r="C48" s="572">
        <v>3766.8</v>
      </c>
      <c r="D48" s="572">
        <v>4164.1899999999996</v>
      </c>
      <c r="E48" s="572">
        <v>4004.92</v>
      </c>
      <c r="F48" s="569">
        <v>3509.17</v>
      </c>
      <c r="G48" s="569">
        <v>3180.04</v>
      </c>
      <c r="H48" s="569">
        <f t="shared" si="2"/>
        <v>-329.13000000000011</v>
      </c>
    </row>
    <row r="49" spans="1:8" ht="15" thickBot="1" x14ac:dyDescent="0.25">
      <c r="A49" s="571">
        <v>43007</v>
      </c>
      <c r="B49" s="575">
        <v>2669.64</v>
      </c>
      <c r="C49" s="575">
        <v>4136.58</v>
      </c>
      <c r="D49" s="575">
        <v>3566.31</v>
      </c>
      <c r="E49" s="575">
        <v>3837.41</v>
      </c>
      <c r="F49" s="576">
        <v>3803.3</v>
      </c>
      <c r="G49" s="576">
        <v>2437.88</v>
      </c>
      <c r="H49" s="569">
        <f t="shared" si="2"/>
        <v>-1365.42</v>
      </c>
    </row>
    <row r="50" spans="1:8" ht="16.5" thickBot="1" x14ac:dyDescent="0.25">
      <c r="A50" s="577" t="s">
        <v>301</v>
      </c>
      <c r="B50" s="578">
        <f>SUM(B37:B49)</f>
        <v>32092.899999999998</v>
      </c>
      <c r="C50" s="578">
        <f>SUM(C37:C49)</f>
        <v>48222.47</v>
      </c>
      <c r="D50" s="578">
        <f>SUM(D37:D49)</f>
        <v>47361.39</v>
      </c>
      <c r="E50" s="578">
        <f>SUM(E37:E49)</f>
        <v>46039.66</v>
      </c>
      <c r="F50" s="578">
        <f t="shared" ref="F50:H50" si="4">SUM(F37:F49)</f>
        <v>48754.649999999994</v>
      </c>
      <c r="G50" s="578">
        <f t="shared" si="4"/>
        <v>39922.71</v>
      </c>
      <c r="H50" s="578">
        <f t="shared" si="4"/>
        <v>-8831.9399999999987</v>
      </c>
    </row>
    <row r="51" spans="1:8" x14ac:dyDescent="0.2">
      <c r="A51" s="579">
        <v>43014</v>
      </c>
      <c r="B51" s="569">
        <v>3051.16</v>
      </c>
      <c r="C51" s="569">
        <v>4721</v>
      </c>
      <c r="D51" s="569">
        <f>1531.24+2227.04</f>
        <v>3758.2799999999997</v>
      </c>
      <c r="E51" s="569">
        <v>3921.83</v>
      </c>
      <c r="F51" s="569">
        <v>3911.96</v>
      </c>
      <c r="G51" s="569">
        <v>3047.82</v>
      </c>
      <c r="H51" s="569">
        <f t="shared" si="2"/>
        <v>-864.13999999999987</v>
      </c>
    </row>
    <row r="52" spans="1:8" x14ac:dyDescent="0.2">
      <c r="A52" s="571">
        <v>43021</v>
      </c>
      <c r="B52" s="572">
        <v>2579.96</v>
      </c>
      <c r="C52" s="572">
        <v>4035.24</v>
      </c>
      <c r="D52" s="572">
        <v>4232.92</v>
      </c>
      <c r="E52" s="572">
        <v>3403.46</v>
      </c>
      <c r="F52" s="569">
        <v>3093.5</v>
      </c>
      <c r="G52" s="569">
        <v>2010.94</v>
      </c>
      <c r="H52" s="569">
        <f t="shared" si="2"/>
        <v>-1082.56</v>
      </c>
    </row>
    <row r="53" spans="1:8" x14ac:dyDescent="0.2">
      <c r="A53" s="571">
        <v>43028</v>
      </c>
      <c r="B53" s="572">
        <v>3119.16</v>
      </c>
      <c r="C53" s="572">
        <v>2972.08</v>
      </c>
      <c r="D53" s="572">
        <v>3057.22</v>
      </c>
      <c r="E53" s="572">
        <v>3116.16</v>
      </c>
      <c r="F53" s="569">
        <v>4261.32</v>
      </c>
      <c r="G53" s="569">
        <v>3314.5</v>
      </c>
      <c r="H53" s="569">
        <f t="shared" si="2"/>
        <v>-946.81999999999971</v>
      </c>
    </row>
    <row r="54" spans="1:8" x14ac:dyDescent="0.2">
      <c r="A54" s="571">
        <v>43035</v>
      </c>
      <c r="B54" s="572">
        <v>2378.1999999999998</v>
      </c>
      <c r="C54" s="572">
        <v>3341.66</v>
      </c>
      <c r="D54" s="572">
        <v>3745.65</v>
      </c>
      <c r="E54" s="572">
        <v>3664.58</v>
      </c>
      <c r="F54" s="569">
        <v>3860.55</v>
      </c>
      <c r="G54" s="569">
        <v>2905</v>
      </c>
      <c r="H54" s="569">
        <f t="shared" si="2"/>
        <v>-955.55000000000018</v>
      </c>
    </row>
    <row r="55" spans="1:8" x14ac:dyDescent="0.2">
      <c r="A55" s="571">
        <v>43042</v>
      </c>
      <c r="B55" s="572">
        <v>2153.36</v>
      </c>
      <c r="C55" s="572">
        <v>3165.08</v>
      </c>
      <c r="D55" s="572">
        <f>3171.04+47.44+30.24</f>
        <v>3248.72</v>
      </c>
      <c r="E55" s="572">
        <v>3792.71</v>
      </c>
      <c r="F55" s="569">
        <v>3942.48</v>
      </c>
      <c r="G55" s="569">
        <v>3169.18</v>
      </c>
      <c r="H55" s="569">
        <f t="shared" si="2"/>
        <v>-773.30000000000018</v>
      </c>
    </row>
    <row r="56" spans="1:8" x14ac:dyDescent="0.2">
      <c r="A56" s="571">
        <v>43049</v>
      </c>
      <c r="B56" s="572">
        <v>1549.7</v>
      </c>
      <c r="C56" s="572">
        <v>3024.18</v>
      </c>
      <c r="D56" s="572">
        <v>3967.37</v>
      </c>
      <c r="E56" s="572">
        <v>3804.52</v>
      </c>
      <c r="F56" s="569">
        <v>3933.48</v>
      </c>
      <c r="G56" s="569">
        <v>2670.04</v>
      </c>
      <c r="H56" s="569">
        <f t="shared" si="2"/>
        <v>-1263.44</v>
      </c>
    </row>
    <row r="57" spans="1:8" x14ac:dyDescent="0.2">
      <c r="A57" s="571">
        <v>43056</v>
      </c>
      <c r="B57" s="572">
        <f>(5311.2-178.1)*0.5</f>
        <v>2566.5499999999997</v>
      </c>
      <c r="C57" s="572">
        <v>3500.86</v>
      </c>
      <c r="D57" s="572">
        <v>4007.55</v>
      </c>
      <c r="E57" s="572">
        <v>3693.64</v>
      </c>
      <c r="F57" s="569">
        <v>3860.4</v>
      </c>
      <c r="G57" s="569">
        <v>2400.7199999999998</v>
      </c>
      <c r="H57" s="569">
        <f t="shared" si="2"/>
        <v>-1459.6800000000003</v>
      </c>
    </row>
    <row r="58" spans="1:8" x14ac:dyDescent="0.2">
      <c r="A58" s="571">
        <v>43063</v>
      </c>
      <c r="B58" s="572">
        <f>(5311.2-178.1)*0.5</f>
        <v>2566.5499999999997</v>
      </c>
      <c r="C58" s="572">
        <v>4015.8</v>
      </c>
      <c r="D58" s="572">
        <v>4445.62</v>
      </c>
      <c r="E58" s="572">
        <v>3499.88</v>
      </c>
      <c r="F58" s="569">
        <v>1675.8</v>
      </c>
      <c r="G58" s="569">
        <v>1268.44</v>
      </c>
      <c r="H58" s="569">
        <f t="shared" si="2"/>
        <v>-407.3599999999999</v>
      </c>
    </row>
    <row r="59" spans="1:8" x14ac:dyDescent="0.2">
      <c r="A59" s="571">
        <v>43070</v>
      </c>
      <c r="B59" s="572">
        <v>3577.34</v>
      </c>
      <c r="C59" s="572">
        <v>2434.3200000000002</v>
      </c>
      <c r="D59" s="572">
        <v>1953.09</v>
      </c>
      <c r="E59" s="572">
        <v>2000.54</v>
      </c>
      <c r="F59" s="569">
        <v>3669.06</v>
      </c>
      <c r="G59" s="569">
        <v>2816.72</v>
      </c>
      <c r="H59" s="569">
        <f t="shared" si="2"/>
        <v>-852.34000000000015</v>
      </c>
    </row>
    <row r="60" spans="1:8" x14ac:dyDescent="0.2">
      <c r="A60" s="571">
        <v>43077</v>
      </c>
      <c r="B60" s="572">
        <v>3486.12</v>
      </c>
      <c r="C60" s="572">
        <v>3291.9</v>
      </c>
      <c r="D60" s="572">
        <v>3710.06</v>
      </c>
      <c r="E60" s="572">
        <f>2372.46+627.88</f>
        <v>3000.34</v>
      </c>
      <c r="F60" s="569">
        <v>3225.52</v>
      </c>
      <c r="G60" s="569">
        <v>2427</v>
      </c>
      <c r="H60" s="569">
        <f t="shared" si="2"/>
        <v>-798.52</v>
      </c>
    </row>
    <row r="61" spans="1:8" x14ac:dyDescent="0.2">
      <c r="A61" s="571">
        <v>43084</v>
      </c>
      <c r="B61" s="572">
        <v>3539.16</v>
      </c>
      <c r="C61" s="572">
        <v>4047.94</v>
      </c>
      <c r="D61" s="572">
        <v>3873.59</v>
      </c>
      <c r="E61" s="572">
        <v>4104.09</v>
      </c>
      <c r="F61" s="569">
        <v>2933.78</v>
      </c>
      <c r="G61" s="569">
        <v>2427</v>
      </c>
      <c r="H61" s="569">
        <f t="shared" si="2"/>
        <v>-506.7800000000002</v>
      </c>
    </row>
    <row r="62" spans="1:8" x14ac:dyDescent="0.2">
      <c r="A62" s="571">
        <v>43091</v>
      </c>
      <c r="B62" s="572">
        <v>1609.64</v>
      </c>
      <c r="C62" s="572">
        <v>3903.54</v>
      </c>
      <c r="D62" s="572">
        <v>3580.24</v>
      </c>
      <c r="E62" s="572">
        <v>3625.1</v>
      </c>
      <c r="F62" s="569">
        <v>3555.5</v>
      </c>
      <c r="G62" s="569">
        <v>2649.12</v>
      </c>
      <c r="H62" s="569">
        <f t="shared" si="2"/>
        <v>-906.38000000000011</v>
      </c>
    </row>
    <row r="63" spans="1:8" ht="15" thickBot="1" x14ac:dyDescent="0.25">
      <c r="A63" s="580">
        <v>43098</v>
      </c>
      <c r="B63" s="581">
        <v>5154.84</v>
      </c>
      <c r="C63" s="581">
        <v>2331.48</v>
      </c>
      <c r="D63" s="581">
        <v>2383.63</v>
      </c>
      <c r="E63" s="581">
        <v>2256.69</v>
      </c>
      <c r="F63" s="582">
        <v>2486.06</v>
      </c>
      <c r="G63" s="582">
        <v>2088.3000000000002</v>
      </c>
      <c r="H63" s="569">
        <f t="shared" si="2"/>
        <v>-397.75999999999976</v>
      </c>
    </row>
    <row r="64" spans="1:8" ht="16.5" thickBot="1" x14ac:dyDescent="0.25">
      <c r="A64" s="577" t="s">
        <v>302</v>
      </c>
      <c r="B64" s="578">
        <f>SUM(B51:B63)</f>
        <v>37331.74</v>
      </c>
      <c r="C64" s="578">
        <f>SUM(C51:C63)</f>
        <v>44785.08</v>
      </c>
      <c r="D64" s="578">
        <f>SUM(D51:D63)</f>
        <v>45963.939999999988</v>
      </c>
      <c r="E64" s="578">
        <f>SUM(E51:E63)</f>
        <v>43883.54</v>
      </c>
      <c r="F64" s="578">
        <f>SUM(F51:F63)</f>
        <v>44409.409999999996</v>
      </c>
      <c r="G64" s="578">
        <f t="shared" ref="G64" si="5">SUM(G51:G63)</f>
        <v>33194.78</v>
      </c>
      <c r="H64" s="578">
        <f>SUM(H51:H63)</f>
        <v>-11214.63</v>
      </c>
    </row>
    <row r="65" spans="1:8" ht="15.75" x14ac:dyDescent="0.25">
      <c r="A65" s="583" t="s">
        <v>303</v>
      </c>
      <c r="B65" s="584">
        <f t="shared" ref="B65:H65" si="6">SUM(B9:B63)-B22-B36-B50</f>
        <v>139328.74</v>
      </c>
      <c r="C65" s="584">
        <f t="shared" si="6"/>
        <v>199253.05999999985</v>
      </c>
      <c r="D65" s="584">
        <f t="shared" si="6"/>
        <v>184010.66000000003</v>
      </c>
      <c r="E65" s="584">
        <f t="shared" si="6"/>
        <v>185097.12000000014</v>
      </c>
      <c r="F65" s="584">
        <f t="shared" si="6"/>
        <v>194384.88000000003</v>
      </c>
      <c r="G65" s="584">
        <f t="shared" si="6"/>
        <v>157031.36999999994</v>
      </c>
      <c r="H65" s="584">
        <f t="shared" si="6"/>
        <v>-37353.509999999995</v>
      </c>
    </row>
    <row r="66" spans="1:8" x14ac:dyDescent="0.2">
      <c r="A66" s="56" t="s">
        <v>304</v>
      </c>
      <c r="B66" s="585">
        <f t="shared" ref="B66:G66" si="7">AVERAGE(B9:B21)</f>
        <v>2043.7076923076925</v>
      </c>
      <c r="C66" s="586">
        <f t="shared" si="7"/>
        <v>3924.3692307692318</v>
      </c>
      <c r="D66" s="586">
        <f t="shared" si="7"/>
        <v>3374.6030769230765</v>
      </c>
      <c r="E66" s="586">
        <f t="shared" si="7"/>
        <v>3340.4923076923073</v>
      </c>
      <c r="F66" s="586">
        <f t="shared" si="7"/>
        <v>3902.6661538461535</v>
      </c>
      <c r="G66" s="585">
        <f t="shared" si="7"/>
        <v>2699.5315384615378</v>
      </c>
      <c r="H66" s="587">
        <f>G66-F66</f>
        <v>-1203.1346153846157</v>
      </c>
    </row>
    <row r="67" spans="1:8" x14ac:dyDescent="0.2">
      <c r="A67" s="56" t="s">
        <v>305</v>
      </c>
      <c r="B67" s="588">
        <f t="shared" ref="B67:G67" si="8">AVERAGE(B23:B35)</f>
        <v>3333.5307692307692</v>
      </c>
      <c r="C67" s="589">
        <f t="shared" si="8"/>
        <v>4248.3623076923086</v>
      </c>
      <c r="D67" s="589">
        <f t="shared" si="8"/>
        <v>3601.1915384615381</v>
      </c>
      <c r="E67" s="589">
        <f t="shared" si="8"/>
        <v>3980.5784615384619</v>
      </c>
      <c r="F67" s="589">
        <f t="shared" si="8"/>
        <v>3883.5507692307683</v>
      </c>
      <c r="G67" s="588">
        <f t="shared" si="8"/>
        <v>3755.3823076923081</v>
      </c>
      <c r="H67" s="590">
        <f>G67-F67</f>
        <v>-128.16846153846018</v>
      </c>
    </row>
    <row r="68" spans="1:8" x14ac:dyDescent="0.2">
      <c r="A68" s="56" t="s">
        <v>306</v>
      </c>
      <c r="B68" s="588">
        <f t="shared" ref="B68:F68" si="9">AVERAGE(B37:B49)</f>
        <v>2468.6846153846154</v>
      </c>
      <c r="C68" s="589">
        <f t="shared" si="9"/>
        <v>3709.4207692307691</v>
      </c>
      <c r="D68" s="589">
        <f t="shared" si="9"/>
        <v>3643.1838461538459</v>
      </c>
      <c r="E68" s="589">
        <f t="shared" si="9"/>
        <v>3541.5123076923078</v>
      </c>
      <c r="F68" s="589">
        <f t="shared" si="9"/>
        <v>3750.3576923076917</v>
      </c>
      <c r="G68" s="589">
        <f>AVERAGE(G37:G49)</f>
        <v>3070.9776923076925</v>
      </c>
      <c r="H68" s="590">
        <f>G68-F68</f>
        <v>-679.3799999999992</v>
      </c>
    </row>
    <row r="69" spans="1:8" x14ac:dyDescent="0.2">
      <c r="A69" s="56" t="s">
        <v>307</v>
      </c>
      <c r="B69" s="591">
        <f t="shared" ref="B69:G69" si="10">AVERAGE(B51:B63)</f>
        <v>2871.6723076923076</v>
      </c>
      <c r="C69" s="592">
        <f t="shared" si="10"/>
        <v>3445.0061538461541</v>
      </c>
      <c r="D69" s="592">
        <f t="shared" si="10"/>
        <v>3535.6876923076916</v>
      </c>
      <c r="E69" s="593">
        <f t="shared" si="10"/>
        <v>3375.6569230769232</v>
      </c>
      <c r="F69" s="593">
        <f t="shared" si="10"/>
        <v>3416.1084615384611</v>
      </c>
      <c r="G69" s="593">
        <f t="shared" si="10"/>
        <v>2553.4446153846152</v>
      </c>
      <c r="H69" s="594">
        <f>G69-F69</f>
        <v>-862.66384615384595</v>
      </c>
    </row>
    <row r="71" spans="1:8" x14ac:dyDescent="0.2">
      <c r="H71" s="561"/>
    </row>
    <row r="74" spans="1:8" x14ac:dyDescent="0.2">
      <c r="C74" s="562"/>
    </row>
    <row r="75" spans="1:8" x14ac:dyDescent="0.2">
      <c r="C75" s="562"/>
    </row>
  </sheetData>
  <mergeCells count="1">
    <mergeCell ref="A5:H5"/>
  </mergeCells>
  <pageMargins left="1.2" right="0.2" top="0.25" bottom="0.5" header="0.3" footer="0.3"/>
  <pageSetup scale="7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4"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98</v>
      </c>
      <c r="B1" s="59"/>
      <c r="C1" s="60"/>
      <c r="D1" s="60"/>
      <c r="E1" s="60"/>
      <c r="F1" s="59"/>
      <c r="G1" s="231"/>
      <c r="H1" s="508"/>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269</v>
      </c>
      <c r="B2" s="59"/>
      <c r="C2" s="60"/>
      <c r="D2" s="60"/>
      <c r="E2" s="60"/>
      <c r="F2" s="59"/>
      <c r="G2" s="231"/>
      <c r="H2" s="508"/>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264</v>
      </c>
      <c r="B3" s="59"/>
      <c r="C3" s="60"/>
      <c r="D3" s="60"/>
      <c r="E3" s="60"/>
      <c r="F3" s="59"/>
      <c r="G3" s="231"/>
      <c r="H3" s="508"/>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270</v>
      </c>
      <c r="B4" s="59"/>
      <c r="C4" s="60"/>
      <c r="D4" s="60"/>
      <c r="E4" s="60"/>
      <c r="F4" s="59"/>
      <c r="G4" s="231"/>
      <c r="H4" s="508"/>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2"/>
      <c r="H5" s="509"/>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5" t="s">
        <v>53</v>
      </c>
      <c r="H6" s="494"/>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3"/>
      <c r="H7" s="370"/>
    </row>
    <row r="8" spans="1:143" s="72" customFormat="1" ht="21" thickBot="1" x14ac:dyDescent="0.35">
      <c r="A8" s="69"/>
      <c r="B8" s="153" t="s">
        <v>104</v>
      </c>
      <c r="C8" s="153"/>
      <c r="D8" s="153"/>
      <c r="E8" s="153"/>
      <c r="F8" s="153"/>
      <c r="G8" s="282"/>
      <c r="H8" s="510"/>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3" t="s">
        <v>105</v>
      </c>
      <c r="D9" s="423"/>
      <c r="E9" s="423"/>
      <c r="F9" s="73"/>
      <c r="G9" s="264">
        <v>1015000</v>
      </c>
      <c r="H9" s="370"/>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3" t="s">
        <v>177</v>
      </c>
      <c r="D10" s="423"/>
      <c r="E10" s="423"/>
      <c r="F10" s="73"/>
      <c r="G10" s="265">
        <v>13000</v>
      </c>
      <c r="H10" s="370"/>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5"/>
      <c r="C11" s="423" t="s">
        <v>154</v>
      </c>
      <c r="D11" s="423"/>
      <c r="E11" s="423"/>
      <c r="F11" s="73"/>
      <c r="G11" s="265">
        <v>195000</v>
      </c>
      <c r="H11" s="370"/>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5"/>
      <c r="C12" s="423" t="s">
        <v>183</v>
      </c>
      <c r="D12" s="423"/>
      <c r="E12" s="423"/>
      <c r="F12" s="73"/>
      <c r="G12" s="265">
        <v>40000</v>
      </c>
      <c r="H12" s="370"/>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5"/>
      <c r="C13" s="423" t="s">
        <v>106</v>
      </c>
      <c r="D13" s="423"/>
      <c r="E13" s="423"/>
      <c r="F13" s="73"/>
      <c r="G13" s="265"/>
      <c r="H13" s="370"/>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5"/>
      <c r="C14" s="77"/>
      <c r="D14" s="423" t="s">
        <v>143</v>
      </c>
      <c r="E14" s="423"/>
      <c r="F14" s="73"/>
      <c r="G14" s="265">
        <f>43900+41500+122000</f>
        <v>207400</v>
      </c>
      <c r="H14" s="370"/>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5"/>
      <c r="C15" s="77"/>
      <c r="D15" s="423" t="s">
        <v>163</v>
      </c>
      <c r="E15" s="423"/>
      <c r="F15" s="73"/>
      <c r="G15" s="265">
        <v>11000</v>
      </c>
      <c r="H15" s="370"/>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5"/>
      <c r="C16" s="423" t="s">
        <v>107</v>
      </c>
      <c r="D16" s="423"/>
      <c r="E16" s="423"/>
      <c r="F16" s="73"/>
      <c r="G16" s="265">
        <v>9500</v>
      </c>
      <c r="H16" s="370"/>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5"/>
      <c r="C17" s="423" t="s">
        <v>114</v>
      </c>
      <c r="D17" s="423"/>
      <c r="E17" s="423"/>
      <c r="F17" s="73"/>
      <c r="G17" s="265">
        <v>1000</v>
      </c>
      <c r="H17" s="370"/>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5"/>
      <c r="C18" s="423" t="s">
        <v>243</v>
      </c>
      <c r="D18" s="423"/>
      <c r="E18" s="423"/>
      <c r="F18" s="73"/>
      <c r="G18" s="265">
        <v>3000</v>
      </c>
      <c r="H18" s="370"/>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5"/>
      <c r="C19" s="423" t="s">
        <v>244</v>
      </c>
      <c r="D19" s="423"/>
      <c r="E19" s="423"/>
      <c r="F19" s="73"/>
      <c r="G19" s="265">
        <f>25000+8000+20000</f>
        <v>53000</v>
      </c>
      <c r="H19" s="370"/>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5"/>
      <c r="C20" s="423" t="s">
        <v>149</v>
      </c>
      <c r="D20" s="423"/>
      <c r="E20" s="423"/>
      <c r="F20" s="73"/>
      <c r="G20" s="265">
        <v>500</v>
      </c>
      <c r="H20" s="370"/>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5"/>
      <c r="C21" s="423" t="s">
        <v>168</v>
      </c>
      <c r="D21" s="423"/>
      <c r="E21" s="423"/>
      <c r="F21" s="73"/>
      <c r="G21" s="265"/>
      <c r="H21" s="370"/>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5"/>
      <c r="C22" s="423" t="s">
        <v>113</v>
      </c>
      <c r="D22" s="423"/>
      <c r="E22" s="423"/>
      <c r="F22" s="73"/>
      <c r="G22" s="266">
        <v>46575</v>
      </c>
      <c r="H22" s="370"/>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5"/>
      <c r="C23" s="423"/>
      <c r="D23" s="73" t="s">
        <v>109</v>
      </c>
      <c r="E23" s="423"/>
      <c r="F23" s="73"/>
      <c r="G23" s="235">
        <f>SUM(G9:G22)</f>
        <v>1594975</v>
      </c>
      <c r="H23" s="370"/>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5"/>
      <c r="C24" s="73" t="s">
        <v>110</v>
      </c>
      <c r="D24" s="423"/>
      <c r="E24" s="423"/>
      <c r="F24" s="73"/>
      <c r="G24" s="242">
        <f>68000+18000</f>
        <v>86000</v>
      </c>
      <c r="H24" s="370"/>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5"/>
      <c r="C25" s="423"/>
      <c r="D25" s="73" t="s">
        <v>111</v>
      </c>
      <c r="E25" s="423"/>
      <c r="F25" s="73"/>
      <c r="G25" s="235">
        <f>SUM(G23:G24)</f>
        <v>1680975</v>
      </c>
      <c r="H25" s="370"/>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5"/>
      <c r="C26" s="423"/>
      <c r="D26" s="73"/>
      <c r="E26" s="423"/>
      <c r="F26" s="73"/>
      <c r="G26" s="235"/>
      <c r="H26" s="370"/>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6" t="s">
        <v>115</v>
      </c>
      <c r="C27" s="87"/>
      <c r="D27" s="87"/>
      <c r="E27" s="87"/>
      <c r="F27" s="87"/>
      <c r="G27" s="242"/>
      <c r="H27" s="370"/>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7"/>
      <c r="C28" s="79" t="s">
        <v>116</v>
      </c>
      <c r="D28" s="79"/>
      <c r="E28" s="79"/>
      <c r="F28" s="79"/>
      <c r="G28" s="233">
        <f>ROUND((898643.55+40000)*1.02,-2)</f>
        <v>957400</v>
      </c>
      <c r="H28" s="370"/>
    </row>
    <row r="29" spans="1:143" s="68" customFormat="1" ht="20.25" x14ac:dyDescent="0.2">
      <c r="A29" s="67"/>
      <c r="B29" s="397"/>
      <c r="C29" s="79" t="s">
        <v>117</v>
      </c>
      <c r="D29" s="79"/>
      <c r="E29" s="79"/>
      <c r="F29" s="79"/>
      <c r="G29" s="233">
        <f>ROUNDUP(G28*0.195,-2)</f>
        <v>186700</v>
      </c>
      <c r="H29" s="370"/>
    </row>
    <row r="30" spans="1:143" s="68" customFormat="1" ht="20.25" x14ac:dyDescent="0.2">
      <c r="A30" s="67"/>
      <c r="B30" s="397"/>
      <c r="C30" s="79" t="s">
        <v>118</v>
      </c>
      <c r="D30" s="79"/>
      <c r="E30" s="79"/>
      <c r="F30" s="79"/>
      <c r="G30" s="233">
        <f>48831-G22</f>
        <v>2256</v>
      </c>
      <c r="H30" s="370"/>
    </row>
    <row r="31" spans="1:143" s="68" customFormat="1" ht="20.25" x14ac:dyDescent="0.2">
      <c r="A31" s="67"/>
      <c r="B31" s="397"/>
      <c r="C31" s="79" t="s">
        <v>108</v>
      </c>
      <c r="D31" s="79"/>
      <c r="E31" s="79"/>
      <c r="F31" s="79"/>
      <c r="G31" s="233">
        <f>G22</f>
        <v>46575</v>
      </c>
      <c r="H31" s="370"/>
    </row>
    <row r="32" spans="1:143" s="68" customFormat="1" ht="20.25" x14ac:dyDescent="0.2">
      <c r="A32" s="67"/>
      <c r="B32" s="397"/>
      <c r="C32" s="79" t="s">
        <v>119</v>
      </c>
      <c r="D32" s="79"/>
      <c r="E32" s="79"/>
      <c r="F32" s="79"/>
      <c r="G32" s="233">
        <v>14000</v>
      </c>
      <c r="H32" s="370"/>
    </row>
    <row r="33" spans="1:8" s="68" customFormat="1" ht="20.25" x14ac:dyDescent="0.2">
      <c r="A33" s="67"/>
      <c r="B33" s="397"/>
      <c r="C33" s="79" t="s">
        <v>120</v>
      </c>
      <c r="D33" s="79"/>
      <c r="E33" s="79"/>
      <c r="F33" s="79"/>
      <c r="G33" s="233">
        <v>3500</v>
      </c>
      <c r="H33" s="370"/>
    </row>
    <row r="34" spans="1:8" s="68" customFormat="1" ht="20.25" x14ac:dyDescent="0.2">
      <c r="A34" s="67"/>
      <c r="B34" s="397"/>
      <c r="C34" s="79" t="s">
        <v>121</v>
      </c>
      <c r="D34" s="79"/>
      <c r="E34" s="79"/>
      <c r="F34" s="79"/>
      <c r="G34" s="233">
        <v>7000</v>
      </c>
      <c r="H34" s="370"/>
    </row>
    <row r="35" spans="1:8" s="68" customFormat="1" ht="20.25" x14ac:dyDescent="0.2">
      <c r="A35" s="67"/>
      <c r="B35" s="397"/>
      <c r="C35" s="79" t="s">
        <v>122</v>
      </c>
      <c r="D35" s="79"/>
      <c r="E35" s="79"/>
      <c r="F35" s="79"/>
      <c r="G35" s="233">
        <v>13500</v>
      </c>
      <c r="H35" s="370"/>
    </row>
    <row r="36" spans="1:8" s="68" customFormat="1" ht="20.25" x14ac:dyDescent="0.2">
      <c r="A36" s="67"/>
      <c r="B36" s="397"/>
      <c r="C36" s="79" t="s">
        <v>123</v>
      </c>
      <c r="D36" s="79"/>
      <c r="E36" s="79"/>
      <c r="F36" s="79"/>
      <c r="G36" s="233">
        <v>40000</v>
      </c>
      <c r="H36" s="370"/>
    </row>
    <row r="37" spans="1:8" s="68" customFormat="1" ht="20.25" x14ac:dyDescent="0.2">
      <c r="A37" s="67"/>
      <c r="B37" s="397"/>
      <c r="C37" s="79" t="s">
        <v>124</v>
      </c>
      <c r="D37" s="79"/>
      <c r="E37" s="79"/>
      <c r="F37" s="79"/>
      <c r="G37" s="233">
        <v>6600</v>
      </c>
      <c r="H37" s="370"/>
    </row>
    <row r="38" spans="1:8" s="68" customFormat="1" ht="20.25" x14ac:dyDescent="0.2">
      <c r="A38" s="67"/>
      <c r="B38" s="397"/>
      <c r="C38" s="79" t="s">
        <v>125</v>
      </c>
      <c r="D38" s="79"/>
      <c r="E38" s="79"/>
      <c r="F38" s="79"/>
      <c r="G38" s="233">
        <v>1500</v>
      </c>
      <c r="H38" s="370"/>
    </row>
    <row r="39" spans="1:8" s="68" customFormat="1" ht="20.25" x14ac:dyDescent="0.2">
      <c r="A39" s="67"/>
      <c r="B39" s="397"/>
      <c r="C39" s="79" t="s">
        <v>170</v>
      </c>
      <c r="D39" s="79"/>
      <c r="E39" s="79"/>
      <c r="F39" s="79"/>
      <c r="G39" s="233">
        <v>13700</v>
      </c>
      <c r="H39" s="370"/>
    </row>
    <row r="40" spans="1:8" s="76" customFormat="1" ht="20.25" x14ac:dyDescent="0.2">
      <c r="A40" s="79"/>
      <c r="B40" s="393"/>
      <c r="C40" s="79" t="s">
        <v>126</v>
      </c>
      <c r="D40" s="79"/>
      <c r="E40" s="79"/>
      <c r="F40" s="79"/>
      <c r="G40" s="323">
        <f>ROUNDUP(13248.87*1.05,-2)</f>
        <v>14000</v>
      </c>
      <c r="H40" s="369"/>
    </row>
    <row r="41" spans="1:8" s="76" customFormat="1" ht="20.25" x14ac:dyDescent="0.2">
      <c r="A41" s="79"/>
      <c r="B41" s="393"/>
      <c r="C41" s="79" t="s">
        <v>127</v>
      </c>
      <c r="D41" s="79"/>
      <c r="E41" s="79"/>
      <c r="F41" s="79"/>
      <c r="G41" s="233">
        <f>ROUNDUP(12343.85*1.03,-2)</f>
        <v>12800</v>
      </c>
      <c r="H41" s="369"/>
    </row>
    <row r="42" spans="1:8" s="76" customFormat="1" ht="20.25" x14ac:dyDescent="0.2">
      <c r="A42" s="79"/>
      <c r="B42" s="393"/>
      <c r="C42" s="79" t="s">
        <v>134</v>
      </c>
      <c r="D42" s="79"/>
      <c r="E42" s="79"/>
      <c r="F42" s="79"/>
      <c r="G42" s="233">
        <v>3000</v>
      </c>
      <c r="H42" s="369"/>
    </row>
    <row r="43" spans="1:8" s="76" customFormat="1" ht="20.25" x14ac:dyDescent="0.2">
      <c r="A43" s="79"/>
      <c r="B43" s="393"/>
      <c r="C43" s="79" t="s">
        <v>128</v>
      </c>
      <c r="D43" s="79"/>
      <c r="E43" s="79"/>
      <c r="F43" s="79"/>
      <c r="G43" s="323">
        <f>ROUNDUP((3067.88+8008.83)*1.05,-2)</f>
        <v>11700</v>
      </c>
      <c r="H43" s="369"/>
    </row>
    <row r="44" spans="1:8" s="68" customFormat="1" ht="20.25" x14ac:dyDescent="0.2">
      <c r="A44" s="67"/>
      <c r="B44" s="397"/>
      <c r="C44" s="79" t="s">
        <v>205</v>
      </c>
      <c r="D44" s="79"/>
      <c r="E44" s="79"/>
      <c r="F44" s="79"/>
      <c r="G44" s="233">
        <v>17000</v>
      </c>
      <c r="H44" s="370"/>
    </row>
    <row r="45" spans="1:8" s="76" customFormat="1" ht="20.25" x14ac:dyDescent="0.2">
      <c r="A45" s="79"/>
      <c r="B45" s="393"/>
      <c r="C45" s="79" t="s">
        <v>129</v>
      </c>
      <c r="D45" s="79"/>
      <c r="E45" s="79"/>
      <c r="F45" s="79"/>
      <c r="G45" s="323">
        <v>41000</v>
      </c>
      <c r="H45" s="369"/>
    </row>
    <row r="46" spans="1:8" s="76" customFormat="1" ht="20.25" x14ac:dyDescent="0.2">
      <c r="A46" s="79"/>
      <c r="B46" s="393"/>
      <c r="C46" s="79" t="s">
        <v>130</v>
      </c>
      <c r="D46" s="79"/>
      <c r="E46" s="79"/>
      <c r="F46" s="79"/>
      <c r="G46" s="323">
        <f>ROUNDUP((1800+4675.64+34905.29+1033.01-10000-2673-17150-1033+14000)*1.01,-2)</f>
        <v>25900</v>
      </c>
      <c r="H46" s="369"/>
    </row>
    <row r="47" spans="1:8" s="76" customFormat="1" ht="20.25" x14ac:dyDescent="0.2">
      <c r="A47" s="79"/>
      <c r="B47" s="393"/>
      <c r="C47" s="79" t="s">
        <v>171</v>
      </c>
      <c r="D47" s="79"/>
      <c r="E47" s="79"/>
      <c r="F47" s="79"/>
      <c r="G47" s="233">
        <v>36000</v>
      </c>
      <c r="H47" s="369"/>
    </row>
    <row r="48" spans="1:8" s="76" customFormat="1" ht="20.25" x14ac:dyDescent="0.2">
      <c r="A48" s="79"/>
      <c r="B48" s="393"/>
      <c r="C48" s="79" t="s">
        <v>169</v>
      </c>
      <c r="D48" s="79"/>
      <c r="E48" s="79"/>
      <c r="F48" s="79"/>
      <c r="G48" s="233">
        <f>ROUNDUP(46266.27*1.02,-2)</f>
        <v>47200</v>
      </c>
      <c r="H48" s="369"/>
    </row>
    <row r="49" spans="1:8" s="76" customFormat="1" ht="20.25" x14ac:dyDescent="0.2">
      <c r="A49" s="79"/>
      <c r="B49" s="393"/>
      <c r="C49" s="79" t="s">
        <v>131</v>
      </c>
      <c r="D49" s="79"/>
      <c r="E49" s="79"/>
      <c r="F49" s="79"/>
      <c r="G49" s="233">
        <f>ROUND((2604.31+166143.24-12000)*1.01,-2)</f>
        <v>158300</v>
      </c>
      <c r="H49" s="369"/>
    </row>
    <row r="50" spans="1:8" s="76" customFormat="1" ht="20.25" hidden="1" x14ac:dyDescent="0.2">
      <c r="A50" s="79"/>
      <c r="B50" s="393"/>
      <c r="C50" s="79" t="s">
        <v>265</v>
      </c>
      <c r="D50" s="79"/>
      <c r="E50" s="79"/>
      <c r="F50" s="79"/>
      <c r="G50" s="233"/>
      <c r="H50" s="369"/>
    </row>
    <row r="51" spans="1:8" s="68" customFormat="1" ht="20.25" x14ac:dyDescent="0.2">
      <c r="A51" s="67"/>
      <c r="B51" s="397"/>
      <c r="C51" s="67"/>
      <c r="D51" s="73" t="s">
        <v>132</v>
      </c>
      <c r="E51" s="67"/>
      <c r="F51" s="67"/>
      <c r="G51" s="238">
        <f>SUM(G28:G50)</f>
        <v>1659631</v>
      </c>
      <c r="H51" s="370"/>
    </row>
    <row r="52" spans="1:8" s="68" customFormat="1" ht="10.5" customHeight="1" thickBot="1" x14ac:dyDescent="0.25">
      <c r="A52" s="67"/>
      <c r="B52" s="397"/>
      <c r="C52" s="67"/>
      <c r="D52" s="73"/>
      <c r="E52" s="67"/>
      <c r="F52" s="67"/>
      <c r="G52" s="242"/>
      <c r="H52" s="370"/>
    </row>
    <row r="53" spans="1:8" s="68" customFormat="1" ht="21" thickBot="1" x14ac:dyDescent="0.25">
      <c r="A53" s="67"/>
      <c r="B53" s="397"/>
      <c r="C53" s="67"/>
      <c r="D53" s="67" t="s">
        <v>133</v>
      </c>
      <c r="E53" s="67"/>
      <c r="F53" s="67"/>
      <c r="G53" s="242">
        <f>G25-G51</f>
        <v>21344</v>
      </c>
      <c r="H53" s="370"/>
    </row>
    <row r="54" spans="1:8" s="68" customFormat="1" ht="11.25" customHeight="1" x14ac:dyDescent="0.2">
      <c r="A54" s="67"/>
      <c r="B54" s="397"/>
      <c r="C54" s="67"/>
      <c r="D54" s="67"/>
      <c r="E54" s="67"/>
      <c r="F54" s="67"/>
      <c r="G54" s="233"/>
      <c r="H54" s="370"/>
    </row>
    <row r="55" spans="1:8" s="76" customFormat="1" ht="20.25" x14ac:dyDescent="0.2">
      <c r="A55" s="79"/>
      <c r="B55" s="393"/>
      <c r="C55" s="79"/>
      <c r="D55" s="79"/>
      <c r="F55" s="79"/>
      <c r="G55" s="247"/>
      <c r="H55" s="369"/>
    </row>
    <row r="56" spans="1:8" s="76" customFormat="1" ht="20.25" x14ac:dyDescent="0.2">
      <c r="A56" s="79"/>
      <c r="B56" s="393"/>
      <c r="C56" s="79"/>
      <c r="D56" s="79"/>
      <c r="F56" s="79"/>
      <c r="G56" s="233"/>
      <c r="H56" s="369"/>
    </row>
    <row r="57" spans="1:8" s="76" customFormat="1" ht="20.25" x14ac:dyDescent="0.2">
      <c r="A57" s="79"/>
      <c r="B57" s="393"/>
      <c r="C57" s="79"/>
      <c r="D57" s="79"/>
      <c r="F57" s="79"/>
      <c r="G57" s="233"/>
      <c r="H57" s="369"/>
    </row>
    <row r="58" spans="1:8" s="76" customFormat="1" ht="20.25" x14ac:dyDescent="0.2">
      <c r="A58" s="79"/>
      <c r="B58" s="79"/>
      <c r="C58" s="79"/>
      <c r="D58" s="79"/>
      <c r="F58" s="79"/>
      <c r="G58" s="233"/>
      <c r="H58" s="369"/>
    </row>
    <row r="59" spans="1:8" s="76" customFormat="1" ht="20.25" x14ac:dyDescent="0.2">
      <c r="A59" s="79"/>
      <c r="B59" s="79"/>
      <c r="C59" s="79"/>
      <c r="D59" s="79"/>
      <c r="F59" s="79"/>
      <c r="G59" s="233"/>
      <c r="H59" s="369"/>
    </row>
    <row r="60" spans="1:8" s="76" customFormat="1" ht="20.25" x14ac:dyDescent="0.2">
      <c r="A60" s="79"/>
      <c r="B60" s="79"/>
      <c r="C60" s="79"/>
      <c r="D60" s="79"/>
      <c r="F60" s="79"/>
      <c r="G60" s="233"/>
      <c r="H60" s="369"/>
    </row>
    <row r="61" spans="1:8" s="76" customFormat="1" ht="20.25" x14ac:dyDescent="0.2">
      <c r="A61" s="79"/>
      <c r="B61" s="79"/>
      <c r="C61" s="67"/>
      <c r="D61" s="79"/>
      <c r="F61" s="79"/>
      <c r="G61" s="233"/>
      <c r="H61" s="369"/>
    </row>
    <row r="62" spans="1:8" s="76" customFormat="1" ht="20.25" x14ac:dyDescent="0.2">
      <c r="A62" s="79"/>
      <c r="B62" s="79"/>
      <c r="C62" s="79"/>
      <c r="D62" s="79"/>
      <c r="E62" s="79"/>
      <c r="F62" s="79"/>
      <c r="G62" s="233"/>
      <c r="H62" s="369"/>
    </row>
    <row r="63" spans="1:8" s="76" customFormat="1" ht="20.25" x14ac:dyDescent="0.2">
      <c r="A63" s="79"/>
      <c r="B63" s="79"/>
      <c r="C63" s="67"/>
      <c r="D63" s="67"/>
      <c r="G63" s="233"/>
      <c r="H63" s="369"/>
    </row>
    <row r="64" spans="1:8" s="76" customFormat="1" ht="20.25" x14ac:dyDescent="0.2">
      <c r="A64" s="79"/>
      <c r="B64" s="79"/>
      <c r="C64" s="79"/>
      <c r="D64" s="79"/>
      <c r="E64" s="79"/>
      <c r="F64" s="79"/>
      <c r="G64" s="233"/>
      <c r="H64" s="369"/>
    </row>
    <row r="65" spans="1:8" s="76" customFormat="1" ht="20.25" x14ac:dyDescent="0.2">
      <c r="A65" s="79"/>
      <c r="B65" s="79"/>
      <c r="C65" s="79"/>
      <c r="D65" s="79"/>
      <c r="E65" s="79"/>
      <c r="F65" s="79"/>
      <c r="G65" s="233"/>
      <c r="H65" s="369"/>
    </row>
    <row r="66" spans="1:8" s="76" customFormat="1" ht="20.25" x14ac:dyDescent="0.2">
      <c r="A66" s="79"/>
      <c r="B66" s="79"/>
      <c r="C66" s="79"/>
      <c r="D66" s="79"/>
      <c r="E66" s="79"/>
      <c r="F66" s="79"/>
      <c r="G66" s="233"/>
      <c r="H66" s="369"/>
    </row>
    <row r="67" spans="1:8" s="76" customFormat="1" ht="20.25" x14ac:dyDescent="0.2">
      <c r="A67" s="79"/>
      <c r="B67" s="79"/>
      <c r="C67" s="79"/>
      <c r="D67" s="79"/>
      <c r="E67" s="79"/>
      <c r="F67" s="79"/>
      <c r="G67" s="233"/>
      <c r="H67" s="369"/>
    </row>
    <row r="68" spans="1:8" s="76" customFormat="1" ht="20.25" x14ac:dyDescent="0.2">
      <c r="A68" s="79"/>
      <c r="B68" s="79"/>
      <c r="C68" s="67"/>
      <c r="D68" s="79"/>
      <c r="F68" s="79"/>
      <c r="G68" s="233"/>
      <c r="H68" s="369"/>
    </row>
    <row r="69" spans="1:8" s="76" customFormat="1" ht="20.25" x14ac:dyDescent="0.2">
      <c r="A69" s="79"/>
      <c r="B69" s="79"/>
      <c r="C69" s="79"/>
      <c r="D69" s="79"/>
      <c r="E69" s="79"/>
      <c r="F69" s="79"/>
      <c r="G69" s="233"/>
      <c r="H69" s="369"/>
    </row>
    <row r="70" spans="1:8" s="68" customFormat="1" ht="20.25" x14ac:dyDescent="0.2">
      <c r="A70" s="67"/>
      <c r="B70" s="67"/>
      <c r="C70" s="67"/>
      <c r="D70" s="67"/>
      <c r="E70" s="67"/>
      <c r="F70" s="67"/>
      <c r="G70" s="238"/>
      <c r="H70" s="370"/>
    </row>
    <row r="71" spans="1:8" s="68" customFormat="1" ht="20.25" x14ac:dyDescent="0.2">
      <c r="A71" s="67"/>
      <c r="B71" s="67"/>
      <c r="C71" s="67"/>
      <c r="D71" s="67"/>
      <c r="E71" s="67"/>
      <c r="F71" s="67"/>
      <c r="G71" s="238"/>
      <c r="H71" s="370"/>
    </row>
    <row r="72" spans="1:8" s="68" customFormat="1" ht="23.25" x14ac:dyDescent="0.2">
      <c r="A72" s="67"/>
      <c r="B72" s="272"/>
      <c r="C72" s="67"/>
      <c r="D72" s="67"/>
      <c r="E72" s="67"/>
      <c r="F72" s="67"/>
      <c r="G72" s="233"/>
      <c r="H72" s="370"/>
    </row>
    <row r="73" spans="1:8" s="76" customFormat="1" ht="20.25" x14ac:dyDescent="0.2">
      <c r="A73" s="79"/>
      <c r="B73" s="79"/>
      <c r="D73" s="79"/>
      <c r="E73" s="79"/>
      <c r="F73" s="79"/>
      <c r="G73" s="233"/>
      <c r="H73" s="369"/>
    </row>
    <row r="74" spans="1:8" s="76" customFormat="1" ht="20.25" x14ac:dyDescent="0.2">
      <c r="A74" s="79"/>
      <c r="B74" s="79"/>
      <c r="D74" s="79"/>
      <c r="E74" s="79"/>
      <c r="F74" s="79"/>
      <c r="G74" s="233"/>
      <c r="H74" s="369"/>
    </row>
    <row r="75" spans="1:8" s="68" customFormat="1" ht="20.25" x14ac:dyDescent="0.2">
      <c r="A75" s="67"/>
      <c r="B75" s="67"/>
      <c r="D75" s="79"/>
      <c r="E75" s="67"/>
      <c r="F75" s="67"/>
      <c r="G75" s="233"/>
      <c r="H75" s="370"/>
    </row>
    <row r="76" spans="1:8" s="68" customFormat="1" ht="23.25" x14ac:dyDescent="0.2">
      <c r="A76" s="67"/>
      <c r="B76" s="272"/>
      <c r="C76" s="67"/>
      <c r="D76" s="67"/>
      <c r="E76" s="67"/>
      <c r="F76" s="67"/>
      <c r="G76" s="238"/>
      <c r="H76" s="370"/>
    </row>
    <row r="77" spans="1:8" s="68" customFormat="1" ht="20.25" x14ac:dyDescent="0.2">
      <c r="A77" s="67"/>
      <c r="B77" s="67"/>
      <c r="C77" s="67"/>
      <c r="D77" s="67"/>
      <c r="E77" s="67"/>
      <c r="F77" s="67"/>
      <c r="G77" s="233"/>
      <c r="H77" s="370"/>
    </row>
    <row r="78" spans="1:8" s="82" customFormat="1" ht="26.25" x14ac:dyDescent="0.2">
      <c r="A78" s="269"/>
      <c r="B78" s="269"/>
      <c r="C78" s="269"/>
      <c r="D78" s="269"/>
      <c r="E78" s="269"/>
      <c r="F78" s="269"/>
      <c r="G78" s="270"/>
      <c r="H78" s="511"/>
    </row>
    <row r="79" spans="1:8" s="18" customFormat="1" x14ac:dyDescent="0.2">
      <c r="A79" s="122"/>
      <c r="B79" s="122"/>
      <c r="C79" s="122"/>
      <c r="D79" s="122"/>
      <c r="E79" s="122"/>
      <c r="F79" s="122"/>
      <c r="G79" s="273"/>
      <c r="H79" s="1"/>
    </row>
  </sheetData>
  <pageMargins left="0.45" right="0.45" top="0.5" bottom="0.5" header="0.3" footer="0.3"/>
  <pageSetup scale="75"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98</v>
      </c>
      <c r="B1" s="59"/>
      <c r="C1" s="60"/>
      <c r="D1" s="60"/>
      <c r="E1" s="60"/>
      <c r="F1" s="59"/>
      <c r="G1" s="59"/>
    </row>
    <row r="2" spans="1:23" ht="26.25" x14ac:dyDescent="0.4">
      <c r="A2" s="58" t="s">
        <v>186</v>
      </c>
      <c r="B2" s="59"/>
      <c r="C2" s="60"/>
      <c r="D2" s="60"/>
      <c r="E2" s="60"/>
      <c r="F2" s="59"/>
      <c r="G2" s="59"/>
    </row>
    <row r="3" spans="1:23" ht="11.25" customHeight="1" thickBot="1" x14ac:dyDescent="0.25">
      <c r="A3" s="61"/>
      <c r="B3" s="61"/>
      <c r="C3" s="61"/>
      <c r="D3" s="61"/>
      <c r="E3" s="61"/>
      <c r="F3" s="61"/>
      <c r="G3" s="321"/>
    </row>
    <row r="4" spans="1:23" ht="27.75" thickTop="1" thickBot="1" x14ac:dyDescent="0.25">
      <c r="A4" s="64"/>
      <c r="B4" s="64"/>
      <c r="C4" s="64"/>
      <c r="D4" s="64" t="s">
        <v>52</v>
      </c>
      <c r="E4" s="64"/>
      <c r="F4" s="64"/>
      <c r="G4" s="408" t="s">
        <v>53</v>
      </c>
      <c r="H4" s="408"/>
      <c r="I4" s="408"/>
      <c r="J4" s="408"/>
      <c r="K4" s="408"/>
      <c r="L4" s="408"/>
      <c r="M4" s="408"/>
      <c r="N4" s="408"/>
      <c r="O4" s="408"/>
      <c r="P4" s="408"/>
      <c r="Q4" s="408"/>
      <c r="R4" s="408"/>
      <c r="S4" s="408"/>
      <c r="T4" s="408"/>
      <c r="U4" s="408"/>
      <c r="V4" s="408"/>
      <c r="W4" s="408"/>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11"/>
      <c r="B6" s="918" t="s">
        <v>187</v>
      </c>
      <c r="C6" s="918"/>
      <c r="D6" s="918"/>
      <c r="E6" s="918"/>
      <c r="F6" s="918"/>
      <c r="G6" s="412">
        <v>42004</v>
      </c>
      <c r="H6" s="412">
        <v>41639</v>
      </c>
      <c r="I6" s="412">
        <v>41274</v>
      </c>
      <c r="J6" s="412">
        <v>41090</v>
      </c>
      <c r="K6" s="412">
        <v>40724</v>
      </c>
      <c r="L6" s="412">
        <v>40359</v>
      </c>
      <c r="M6" s="412">
        <v>39994</v>
      </c>
      <c r="N6" s="412">
        <v>39629</v>
      </c>
      <c r="O6" s="412">
        <v>39263</v>
      </c>
      <c r="P6" s="412">
        <v>38898</v>
      </c>
      <c r="Q6" s="412">
        <v>38533</v>
      </c>
      <c r="R6" s="412">
        <v>38168</v>
      </c>
      <c r="S6" s="412">
        <v>37802</v>
      </c>
      <c r="T6" s="412">
        <v>37437</v>
      </c>
      <c r="U6" s="412">
        <v>37072</v>
      </c>
      <c r="V6" s="412">
        <v>36707</v>
      </c>
      <c r="W6" s="412">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188</v>
      </c>
      <c r="D8" s="73"/>
      <c r="E8" s="73"/>
      <c r="F8" s="73"/>
      <c r="G8" s="245">
        <v>333525.67</v>
      </c>
      <c r="H8" s="245">
        <v>210919</v>
      </c>
      <c r="I8" s="245">
        <v>214148</v>
      </c>
      <c r="J8" s="245">
        <v>156809</v>
      </c>
      <c r="K8" s="245">
        <v>240314</v>
      </c>
      <c r="L8" s="245">
        <v>142815</v>
      </c>
      <c r="M8" s="245">
        <v>82502</v>
      </c>
      <c r="N8" s="245">
        <v>45758</v>
      </c>
      <c r="O8" s="245">
        <v>105458</v>
      </c>
      <c r="P8" s="245">
        <v>29475</v>
      </c>
      <c r="Q8" s="245">
        <v>22537</v>
      </c>
      <c r="R8" s="245">
        <v>42935</v>
      </c>
      <c r="S8" s="245">
        <v>144393</v>
      </c>
      <c r="T8" s="245">
        <v>42414</v>
      </c>
      <c r="U8" s="245">
        <f>69880+9123</f>
        <v>79003</v>
      </c>
      <c r="V8" s="245">
        <v>92767</v>
      </c>
      <c r="W8" s="245">
        <v>13150</v>
      </c>
    </row>
    <row r="9" spans="1:23" ht="20.25" x14ac:dyDescent="0.2">
      <c r="A9" s="409"/>
      <c r="B9" s="409"/>
      <c r="C9" s="73" t="s">
        <v>189</v>
      </c>
      <c r="D9" s="79"/>
      <c r="E9" s="79"/>
      <c r="F9" s="79"/>
      <c r="G9" s="281">
        <v>247907.12</v>
      </c>
      <c r="H9" s="281">
        <v>311775</v>
      </c>
      <c r="I9" s="281">
        <v>243797</v>
      </c>
      <c r="J9" s="281">
        <v>347870</v>
      </c>
      <c r="K9" s="281">
        <v>298266</v>
      </c>
      <c r="L9" s="281">
        <v>296605</v>
      </c>
      <c r="M9" s="281">
        <v>349918</v>
      </c>
      <c r="N9" s="281">
        <v>366842</v>
      </c>
      <c r="O9" s="281">
        <v>209667</v>
      </c>
      <c r="P9" s="281">
        <v>234735</v>
      </c>
      <c r="Q9" s="281">
        <v>254712</v>
      </c>
      <c r="R9" s="281">
        <v>250225</v>
      </c>
      <c r="S9" s="281">
        <v>85795</v>
      </c>
      <c r="T9" s="281">
        <v>185461</v>
      </c>
      <c r="U9" s="281">
        <v>99322</v>
      </c>
      <c r="V9" s="281">
        <v>80619</v>
      </c>
      <c r="W9" s="281">
        <v>49127</v>
      </c>
    </row>
    <row r="10" spans="1:23" ht="20.25" x14ac:dyDescent="0.2">
      <c r="A10" s="409"/>
      <c r="B10" s="409"/>
      <c r="C10" s="919" t="s">
        <v>164</v>
      </c>
      <c r="D10" s="919"/>
      <c r="E10" s="919"/>
      <c r="F10" s="919"/>
      <c r="G10" s="281">
        <v>0</v>
      </c>
      <c r="H10" s="281">
        <v>5142</v>
      </c>
      <c r="I10" s="281"/>
      <c r="J10" s="281"/>
      <c r="K10" s="281"/>
      <c r="L10" s="281"/>
      <c r="M10" s="281"/>
      <c r="N10" s="281"/>
      <c r="O10" s="281"/>
      <c r="P10" s="281"/>
      <c r="Q10" s="281"/>
      <c r="R10" s="281">
        <v>23</v>
      </c>
      <c r="S10" s="281">
        <v>4823</v>
      </c>
      <c r="T10" s="281">
        <v>6130</v>
      </c>
      <c r="U10" s="281">
        <v>19833</v>
      </c>
      <c r="V10" s="281"/>
      <c r="W10" s="281"/>
    </row>
    <row r="11" spans="1:23" ht="20.25" x14ac:dyDescent="0.2">
      <c r="A11" s="409"/>
      <c r="B11" s="409"/>
      <c r="C11" s="73" t="s">
        <v>190</v>
      </c>
      <c r="D11" s="409"/>
      <c r="E11" s="409"/>
      <c r="F11" s="409"/>
      <c r="G11" s="235">
        <v>31129.64</v>
      </c>
      <c r="H11" s="235">
        <v>30012</v>
      </c>
      <c r="I11" s="235">
        <v>30964</v>
      </c>
      <c r="J11" s="235">
        <v>30506</v>
      </c>
      <c r="K11" s="235">
        <v>28900</v>
      </c>
      <c r="L11" s="235">
        <v>28036</v>
      </c>
      <c r="M11" s="235"/>
      <c r="N11" s="235"/>
      <c r="O11" s="235"/>
      <c r="P11" s="235"/>
      <c r="Q11" s="235"/>
      <c r="R11" s="235"/>
      <c r="S11" s="235"/>
      <c r="T11" s="235"/>
      <c r="U11" s="235"/>
      <c r="V11" s="235"/>
      <c r="W11" s="235"/>
    </row>
    <row r="12" spans="1:23" ht="20.25" x14ac:dyDescent="0.2">
      <c r="A12" s="409"/>
      <c r="B12" s="409"/>
      <c r="C12" s="73" t="s">
        <v>161</v>
      </c>
      <c r="D12" s="78"/>
      <c r="E12" s="78"/>
      <c r="F12" s="78"/>
      <c r="G12" s="236">
        <v>5968.8799999999992</v>
      </c>
      <c r="H12" s="236">
        <v>4730</v>
      </c>
      <c r="I12" s="236">
        <v>3598</v>
      </c>
      <c r="J12" s="236">
        <f>1663+577</f>
        <v>2240</v>
      </c>
      <c r="K12" s="236">
        <f>5202</f>
        <v>5202</v>
      </c>
      <c r="L12" s="236">
        <v>1840</v>
      </c>
      <c r="M12" s="236">
        <v>1427</v>
      </c>
      <c r="N12" s="236">
        <v>360</v>
      </c>
      <c r="O12" s="236">
        <v>312</v>
      </c>
      <c r="P12" s="236"/>
      <c r="Q12" s="236">
        <v>5593</v>
      </c>
      <c r="R12" s="236">
        <v>3952</v>
      </c>
      <c r="S12" s="236">
        <v>13154</v>
      </c>
      <c r="T12" s="236">
        <v>2441</v>
      </c>
      <c r="U12" s="236"/>
      <c r="V12" s="236"/>
      <c r="W12" s="236"/>
    </row>
    <row r="13" spans="1:23" ht="20.25" x14ac:dyDescent="0.2">
      <c r="A13" s="73"/>
      <c r="B13" s="67"/>
      <c r="C13" s="67" t="s">
        <v>60</v>
      </c>
      <c r="D13" s="67"/>
      <c r="E13" s="67"/>
      <c r="F13" s="67"/>
      <c r="G13" s="238">
        <f>SUM(G8:G12)</f>
        <v>618531.31000000006</v>
      </c>
      <c r="H13" s="238">
        <f>SUM(H8:H12)</f>
        <v>562578</v>
      </c>
      <c r="I13" s="238">
        <f>SUM(I8:I12)</f>
        <v>492507</v>
      </c>
      <c r="J13" s="238">
        <f>SUM(J8:J12)</f>
        <v>537425</v>
      </c>
      <c r="K13" s="238">
        <f>SUM(K8:K12)</f>
        <v>572682</v>
      </c>
      <c r="L13" s="238">
        <f t="shared" ref="L13:W13" si="0">SUM(L8:L12)</f>
        <v>469296</v>
      </c>
      <c r="M13" s="238">
        <f t="shared" si="0"/>
        <v>433847</v>
      </c>
      <c r="N13" s="238">
        <f t="shared" si="0"/>
        <v>412960</v>
      </c>
      <c r="O13" s="238">
        <f t="shared" si="0"/>
        <v>315437</v>
      </c>
      <c r="P13" s="238">
        <f t="shared" si="0"/>
        <v>264210</v>
      </c>
      <c r="Q13" s="238">
        <f t="shared" si="0"/>
        <v>282842</v>
      </c>
      <c r="R13" s="238">
        <f t="shared" si="0"/>
        <v>297135</v>
      </c>
      <c r="S13" s="238">
        <f t="shared" si="0"/>
        <v>248165</v>
      </c>
      <c r="T13" s="238">
        <f t="shared" si="0"/>
        <v>236446</v>
      </c>
      <c r="U13" s="238">
        <f t="shared" si="0"/>
        <v>198158</v>
      </c>
      <c r="V13" s="238">
        <f t="shared" si="0"/>
        <v>173386</v>
      </c>
      <c r="W13" s="238">
        <f t="shared" si="0"/>
        <v>62277</v>
      </c>
    </row>
    <row r="14" spans="1:23" ht="20.25" x14ac:dyDescent="0.2">
      <c r="A14" s="73"/>
      <c r="B14" s="73"/>
      <c r="C14" s="73"/>
      <c r="D14" s="73"/>
      <c r="E14" s="73"/>
      <c r="F14" s="73"/>
      <c r="G14" s="237"/>
      <c r="H14" s="237"/>
      <c r="I14" s="237"/>
      <c r="J14" s="237"/>
      <c r="K14" s="237"/>
      <c r="L14" s="237"/>
      <c r="M14" s="237"/>
      <c r="N14" s="237"/>
      <c r="O14" s="237"/>
      <c r="P14" s="237"/>
      <c r="Q14" s="237"/>
      <c r="R14" s="237"/>
      <c r="S14" s="237"/>
      <c r="T14" s="237"/>
      <c r="U14" s="237"/>
      <c r="V14" s="237"/>
      <c r="W14" s="237"/>
    </row>
    <row r="15" spans="1:23" ht="20.25" x14ac:dyDescent="0.3">
      <c r="A15" s="69"/>
      <c r="B15" s="267" t="s">
        <v>191</v>
      </c>
      <c r="C15" s="267"/>
      <c r="D15" s="267"/>
      <c r="E15" s="267"/>
      <c r="F15" s="267"/>
      <c r="G15" s="268"/>
      <c r="H15" s="268"/>
      <c r="I15" s="268"/>
      <c r="J15" s="268"/>
      <c r="K15" s="268"/>
      <c r="L15" s="268"/>
      <c r="M15" s="268"/>
      <c r="N15" s="268"/>
      <c r="O15" s="268"/>
      <c r="P15" s="268"/>
      <c r="Q15" s="268"/>
      <c r="R15" s="268"/>
      <c r="S15" s="268"/>
      <c r="T15" s="268"/>
      <c r="U15" s="268"/>
      <c r="V15" s="268"/>
      <c r="W15" s="268"/>
    </row>
    <row r="16" spans="1:23" ht="20.25" x14ac:dyDescent="0.3">
      <c r="A16" s="69"/>
      <c r="B16" s="267"/>
      <c r="C16" s="267"/>
      <c r="D16" s="267"/>
      <c r="E16" s="267"/>
      <c r="F16" s="267"/>
      <c r="G16" s="268">
        <v>121148.45000000001</v>
      </c>
      <c r="H16" s="268">
        <v>88948</v>
      </c>
      <c r="I16" s="268">
        <v>81381</v>
      </c>
      <c r="J16" s="268">
        <v>85951</v>
      </c>
      <c r="K16" s="268">
        <v>75213</v>
      </c>
      <c r="L16" s="268">
        <v>103757</v>
      </c>
      <c r="M16" s="268">
        <v>72661</v>
      </c>
      <c r="N16" s="268">
        <v>91918</v>
      </c>
      <c r="O16" s="268">
        <v>80411</v>
      </c>
      <c r="P16" s="268">
        <v>57354</v>
      </c>
      <c r="Q16" s="268">
        <v>59451</v>
      </c>
      <c r="R16" s="268">
        <v>70947</v>
      </c>
      <c r="S16" s="268">
        <v>80279</v>
      </c>
      <c r="T16" s="268">
        <v>84266</v>
      </c>
      <c r="U16" s="268">
        <v>45164</v>
      </c>
      <c r="V16" s="268">
        <v>15210</v>
      </c>
      <c r="W16" s="268">
        <v>15599</v>
      </c>
    </row>
    <row r="17" spans="1:23" ht="20.25" hidden="1" x14ac:dyDescent="0.2">
      <c r="A17" s="73"/>
      <c r="B17" s="73"/>
      <c r="C17" s="73"/>
      <c r="D17" s="73"/>
      <c r="E17" s="73"/>
      <c r="F17" s="73"/>
      <c r="G17" s="237"/>
      <c r="H17" s="237"/>
      <c r="I17" s="237"/>
      <c r="J17" s="237"/>
      <c r="K17" s="237"/>
      <c r="L17" s="237"/>
      <c r="M17" s="237"/>
      <c r="N17" s="237"/>
      <c r="O17" s="237"/>
      <c r="P17" s="237"/>
      <c r="Q17" s="237"/>
      <c r="R17" s="237"/>
      <c r="S17" s="237"/>
      <c r="T17" s="237"/>
      <c r="U17" s="237"/>
      <c r="V17" s="237"/>
      <c r="W17" s="237"/>
    </row>
    <row r="18" spans="1:23" ht="20.25" hidden="1" x14ac:dyDescent="0.2">
      <c r="A18" s="73"/>
      <c r="B18" s="73"/>
      <c r="C18" s="73"/>
      <c r="D18" s="73"/>
      <c r="E18" s="73"/>
      <c r="F18" s="73"/>
      <c r="G18" s="233"/>
      <c r="H18" s="233"/>
      <c r="I18" s="233"/>
      <c r="J18" s="233"/>
      <c r="K18" s="233"/>
      <c r="L18" s="233"/>
      <c r="M18" s="233"/>
      <c r="N18" s="233"/>
      <c r="O18" s="233"/>
      <c r="P18" s="233"/>
      <c r="Q18" s="233"/>
      <c r="R18" s="233"/>
      <c r="S18" s="233"/>
      <c r="T18" s="233"/>
      <c r="U18" s="233"/>
      <c r="V18" s="233"/>
      <c r="W18" s="233"/>
    </row>
    <row r="19" spans="1:23" ht="27" thickBot="1" x14ac:dyDescent="0.25">
      <c r="A19" s="81" t="s">
        <v>62</v>
      </c>
      <c r="B19" s="81"/>
      <c r="C19" s="81"/>
      <c r="D19" s="81"/>
      <c r="E19" s="81"/>
      <c r="F19" s="81"/>
      <c r="G19" s="246">
        <f>G13+G16</f>
        <v>739679.76</v>
      </c>
      <c r="H19" s="246">
        <f>H13+H16</f>
        <v>651526</v>
      </c>
      <c r="I19" s="246">
        <f>I13+I16</f>
        <v>573888</v>
      </c>
      <c r="J19" s="246">
        <f>J13+J16</f>
        <v>623376</v>
      </c>
      <c r="K19" s="246">
        <f>K13+K16</f>
        <v>647895</v>
      </c>
      <c r="L19" s="246">
        <f t="shared" ref="L19:W19" si="1">L13+L16</f>
        <v>573053</v>
      </c>
      <c r="M19" s="246">
        <f t="shared" si="1"/>
        <v>506508</v>
      </c>
      <c r="N19" s="246">
        <f t="shared" si="1"/>
        <v>504878</v>
      </c>
      <c r="O19" s="246">
        <f t="shared" si="1"/>
        <v>395848</v>
      </c>
      <c r="P19" s="246">
        <f t="shared" si="1"/>
        <v>321564</v>
      </c>
      <c r="Q19" s="246">
        <f t="shared" si="1"/>
        <v>342293</v>
      </c>
      <c r="R19" s="246">
        <f t="shared" si="1"/>
        <v>368082</v>
      </c>
      <c r="S19" s="246">
        <f t="shared" si="1"/>
        <v>328444</v>
      </c>
      <c r="T19" s="246">
        <f t="shared" si="1"/>
        <v>320712</v>
      </c>
      <c r="U19" s="246">
        <f t="shared" si="1"/>
        <v>243322</v>
      </c>
      <c r="V19" s="246">
        <f t="shared" si="1"/>
        <v>188596</v>
      </c>
      <c r="W19" s="246">
        <f t="shared" si="1"/>
        <v>77876</v>
      </c>
    </row>
    <row r="20" spans="1:23" ht="21.75" thickTop="1" thickBot="1" x14ac:dyDescent="0.25">
      <c r="A20" s="73"/>
      <c r="B20" s="73"/>
      <c r="C20" s="73"/>
      <c r="D20" s="73"/>
      <c r="E20" s="73"/>
      <c r="F20" s="73"/>
      <c r="G20" s="326"/>
      <c r="H20" s="326"/>
      <c r="I20" s="326"/>
      <c r="J20" s="326"/>
      <c r="K20" s="326"/>
      <c r="L20" s="326"/>
      <c r="M20" s="326"/>
      <c r="N20" s="326"/>
      <c r="O20" s="326"/>
      <c r="P20" s="326"/>
      <c r="Q20" s="326"/>
      <c r="R20" s="326"/>
      <c r="S20" s="326"/>
      <c r="T20" s="326"/>
      <c r="U20" s="326"/>
      <c r="V20" s="326"/>
      <c r="W20" s="326"/>
    </row>
    <row r="21" spans="1:23" ht="27.75" thickTop="1" thickBot="1" x14ac:dyDescent="0.25">
      <c r="A21" s="64"/>
      <c r="B21" s="64"/>
      <c r="C21" s="64"/>
      <c r="D21" s="64" t="s">
        <v>63</v>
      </c>
      <c r="E21" s="64"/>
      <c r="F21" s="64"/>
      <c r="G21" s="241"/>
      <c r="H21" s="241"/>
      <c r="I21" s="241"/>
      <c r="J21" s="241"/>
      <c r="K21" s="241"/>
      <c r="L21" s="241"/>
      <c r="M21" s="241"/>
      <c r="N21" s="241"/>
      <c r="O21" s="241"/>
      <c r="P21" s="241"/>
      <c r="Q21" s="241"/>
      <c r="R21" s="241"/>
      <c r="S21" s="241"/>
      <c r="T21" s="241"/>
      <c r="U21" s="241"/>
      <c r="V21" s="241"/>
      <c r="W21" s="241"/>
    </row>
    <row r="22" spans="1:23" ht="21" thickTop="1" x14ac:dyDescent="0.2">
      <c r="A22" s="73"/>
      <c r="B22" s="73"/>
      <c r="C22" s="73"/>
      <c r="D22" s="73"/>
      <c r="E22" s="73"/>
      <c r="F22" s="73"/>
      <c r="G22" s="235"/>
      <c r="H22" s="235"/>
      <c r="I22" s="235"/>
      <c r="J22" s="235"/>
      <c r="K22" s="235"/>
      <c r="L22" s="235"/>
      <c r="M22" s="235"/>
      <c r="N22" s="235"/>
      <c r="O22" s="235"/>
      <c r="P22" s="235"/>
      <c r="Q22" s="235"/>
      <c r="R22" s="235"/>
      <c r="S22" s="235"/>
      <c r="T22" s="235"/>
      <c r="U22" s="235"/>
      <c r="V22" s="235"/>
      <c r="W22" s="235"/>
    </row>
    <row r="23" spans="1:23" ht="24" hidden="1" thickBot="1" x14ac:dyDescent="0.25">
      <c r="A23" s="73"/>
      <c r="B23" s="86" t="s">
        <v>64</v>
      </c>
      <c r="C23" s="87"/>
      <c r="D23" s="87"/>
      <c r="E23" s="87"/>
      <c r="F23" s="87"/>
      <c r="G23" s="242"/>
      <c r="H23" s="242"/>
      <c r="I23" s="242"/>
      <c r="J23" s="242"/>
      <c r="K23" s="242"/>
      <c r="L23" s="242"/>
      <c r="M23" s="242"/>
      <c r="N23" s="242"/>
      <c r="O23" s="242"/>
      <c r="P23" s="242"/>
      <c r="Q23" s="242"/>
      <c r="R23" s="242"/>
      <c r="S23" s="242"/>
      <c r="T23" s="242"/>
      <c r="U23" s="242"/>
      <c r="V23" s="242"/>
      <c r="W23" s="242"/>
    </row>
    <row r="24" spans="1:23" ht="20.25" hidden="1" x14ac:dyDescent="0.2">
      <c r="A24" s="73"/>
      <c r="B24" s="73"/>
      <c r="C24" s="73"/>
      <c r="D24" s="73"/>
      <c r="E24" s="73"/>
      <c r="F24" s="73"/>
      <c r="G24" s="235"/>
      <c r="H24" s="235"/>
      <c r="I24" s="235"/>
      <c r="J24" s="235"/>
      <c r="K24" s="235"/>
      <c r="L24" s="235"/>
      <c r="M24" s="235"/>
      <c r="N24" s="235"/>
      <c r="O24" s="235"/>
      <c r="P24" s="235"/>
      <c r="Q24" s="235"/>
      <c r="R24" s="235"/>
      <c r="S24" s="235"/>
      <c r="T24" s="235"/>
      <c r="U24" s="235"/>
      <c r="V24" s="235"/>
      <c r="W24" s="235"/>
    </row>
    <row r="25" spans="1:23" ht="21" thickBot="1" x14ac:dyDescent="0.35">
      <c r="A25" s="69"/>
      <c r="B25" s="153" t="s">
        <v>192</v>
      </c>
      <c r="C25" s="154"/>
      <c r="D25" s="153"/>
      <c r="E25" s="153"/>
      <c r="F25" s="153"/>
      <c r="G25" s="234"/>
      <c r="H25" s="234"/>
      <c r="I25" s="234"/>
      <c r="J25" s="234"/>
      <c r="K25" s="234"/>
      <c r="L25" s="234"/>
      <c r="M25" s="234"/>
      <c r="N25" s="234"/>
      <c r="O25" s="234"/>
      <c r="P25" s="234"/>
      <c r="Q25" s="234"/>
      <c r="R25" s="234"/>
      <c r="S25" s="234"/>
      <c r="T25" s="234"/>
      <c r="U25" s="234"/>
      <c r="V25" s="234"/>
      <c r="W25" s="234"/>
    </row>
    <row r="26" spans="1:23" ht="20.25" x14ac:dyDescent="0.2">
      <c r="A26" s="409"/>
      <c r="B26" s="409"/>
      <c r="C26" s="409"/>
      <c r="D26" s="409" t="s">
        <v>153</v>
      </c>
      <c r="E26" s="77"/>
      <c r="F26" s="409"/>
      <c r="G26" s="247">
        <v>31278.429999999997</v>
      </c>
      <c r="H26" s="247">
        <v>51714</v>
      </c>
      <c r="I26" s="247">
        <v>52083</v>
      </c>
      <c r="J26" s="247">
        <v>69820</v>
      </c>
      <c r="K26" s="247">
        <v>81032</v>
      </c>
      <c r="L26" s="247">
        <v>64928</v>
      </c>
      <c r="M26" s="247">
        <v>89064</v>
      </c>
      <c r="N26" s="247">
        <v>102814</v>
      </c>
      <c r="O26" s="247">
        <v>27734</v>
      </c>
      <c r="P26" s="247">
        <v>33537</v>
      </c>
      <c r="Q26" s="247">
        <v>47914</v>
      </c>
      <c r="R26" s="247">
        <v>42054</v>
      </c>
      <c r="S26" s="247">
        <v>32004</v>
      </c>
      <c r="T26" s="247">
        <v>28904</v>
      </c>
      <c r="U26" s="247">
        <v>2405</v>
      </c>
      <c r="V26" s="247">
        <v>7686</v>
      </c>
      <c r="W26" s="247">
        <v>0</v>
      </c>
    </row>
    <row r="27" spans="1:23" ht="20.25" x14ac:dyDescent="0.2">
      <c r="A27" s="409"/>
      <c r="B27" s="409"/>
      <c r="C27" s="409"/>
      <c r="D27" s="409" t="s">
        <v>193</v>
      </c>
      <c r="E27" s="77"/>
      <c r="F27" s="409"/>
      <c r="G27" s="233">
        <v>16019.88</v>
      </c>
      <c r="H27" s="233">
        <v>26466</v>
      </c>
      <c r="I27" s="233">
        <v>33722</v>
      </c>
      <c r="J27" s="233">
        <v>37279</v>
      </c>
      <c r="K27" s="233">
        <v>34130</v>
      </c>
      <c r="L27" s="233">
        <v>30917</v>
      </c>
      <c r="M27" s="233">
        <v>24891</v>
      </c>
      <c r="N27" s="233">
        <v>22167</v>
      </c>
      <c r="O27" s="233">
        <v>16739</v>
      </c>
      <c r="P27" s="233">
        <v>13502</v>
      </c>
      <c r="Q27" s="233">
        <v>10581</v>
      </c>
      <c r="R27" s="233">
        <v>28556</v>
      </c>
      <c r="S27" s="233">
        <v>22953</v>
      </c>
      <c r="T27" s="233">
        <v>13246</v>
      </c>
      <c r="U27" s="233">
        <v>10214</v>
      </c>
      <c r="V27" s="233">
        <v>5966</v>
      </c>
      <c r="W27" s="233">
        <v>2341</v>
      </c>
    </row>
    <row r="28" spans="1:23" ht="20.25" x14ac:dyDescent="0.2">
      <c r="A28" s="409"/>
      <c r="B28" s="409"/>
      <c r="C28" s="409"/>
      <c r="D28" s="409" t="s">
        <v>92</v>
      </c>
      <c r="E28" s="77"/>
      <c r="F28" s="409"/>
      <c r="G28" s="235">
        <v>19094</v>
      </c>
      <c r="H28" s="235">
        <v>21990</v>
      </c>
      <c r="I28" s="235">
        <v>17053</v>
      </c>
      <c r="J28" s="235">
        <v>23081</v>
      </c>
      <c r="K28" s="235">
        <v>20125</v>
      </c>
      <c r="L28" s="235">
        <v>23900</v>
      </c>
      <c r="M28" s="235">
        <v>25993</v>
      </c>
      <c r="N28" s="235">
        <v>25084</v>
      </c>
      <c r="O28" s="235">
        <v>17164</v>
      </c>
      <c r="P28" s="235">
        <v>23194</v>
      </c>
      <c r="Q28" s="235">
        <v>17986</v>
      </c>
      <c r="R28" s="235">
        <v>19684</v>
      </c>
      <c r="S28" s="235">
        <v>15461</v>
      </c>
      <c r="T28" s="235">
        <v>11736</v>
      </c>
      <c r="U28" s="235">
        <v>6552</v>
      </c>
      <c r="V28" s="235">
        <v>4625</v>
      </c>
      <c r="W28" s="235"/>
    </row>
    <row r="29" spans="1:23" ht="20.25" x14ac:dyDescent="0.2">
      <c r="A29" s="409"/>
      <c r="B29" s="409"/>
      <c r="C29" s="409"/>
      <c r="D29" s="409" t="s">
        <v>194</v>
      </c>
      <c r="E29" s="77"/>
      <c r="F29" s="409"/>
      <c r="G29" s="235"/>
      <c r="H29" s="235">
        <v>463</v>
      </c>
      <c r="I29" s="235">
        <f>1236+16400</f>
        <v>17636</v>
      </c>
      <c r="J29" s="235">
        <v>13302</v>
      </c>
      <c r="K29" s="235">
        <v>5311</v>
      </c>
      <c r="L29" s="235">
        <v>12315</v>
      </c>
      <c r="M29" s="235"/>
      <c r="N29" s="235"/>
      <c r="O29" s="235"/>
      <c r="P29" s="235">
        <v>20000</v>
      </c>
      <c r="Q29" s="235"/>
      <c r="R29" s="235">
        <v>25000</v>
      </c>
      <c r="S29" s="235"/>
      <c r="T29" s="235"/>
      <c r="U29" s="235"/>
      <c r="V29" s="235"/>
      <c r="W29" s="235">
        <v>48000</v>
      </c>
    </row>
    <row r="30" spans="1:23" ht="20.25" x14ac:dyDescent="0.2">
      <c r="A30" s="409"/>
      <c r="B30" s="409"/>
      <c r="C30" s="409"/>
      <c r="D30" s="79" t="s">
        <v>99</v>
      </c>
      <c r="E30" s="77"/>
      <c r="F30" s="409"/>
      <c r="G30" s="235">
        <v>136592.41</v>
      </c>
      <c r="H30" s="235">
        <v>101837</v>
      </c>
      <c r="I30" s="235">
        <v>31429</v>
      </c>
      <c r="J30" s="235">
        <v>21927</v>
      </c>
      <c r="K30" s="235">
        <v>24493</v>
      </c>
      <c r="L30" s="235">
        <v>23546</v>
      </c>
      <c r="M30" s="235">
        <v>29986</v>
      </c>
      <c r="N30" s="235">
        <v>97627</v>
      </c>
      <c r="O30" s="235">
        <v>91085</v>
      </c>
      <c r="P30" s="235">
        <v>6118</v>
      </c>
      <c r="Q30" s="235">
        <v>42621</v>
      </c>
      <c r="R30" s="235"/>
      <c r="S30" s="235">
        <v>13218</v>
      </c>
      <c r="T30" s="235">
        <v>36938</v>
      </c>
      <c r="U30" s="235">
        <v>40000</v>
      </c>
      <c r="V30" s="235">
        <v>38354</v>
      </c>
      <c r="W30" s="235">
        <v>11775</v>
      </c>
    </row>
    <row r="31" spans="1:23" ht="20.25" x14ac:dyDescent="0.2">
      <c r="A31" s="409"/>
      <c r="B31" s="409"/>
      <c r="C31" s="409"/>
      <c r="D31" s="78" t="s">
        <v>195</v>
      </c>
      <c r="E31" s="152"/>
      <c r="F31" s="78"/>
      <c r="G31" s="235"/>
      <c r="H31" s="235"/>
      <c r="I31" s="235"/>
      <c r="J31" s="235"/>
      <c r="K31" s="235"/>
      <c r="L31" s="235"/>
      <c r="M31" s="235"/>
      <c r="N31" s="235"/>
      <c r="O31" s="235"/>
      <c r="P31" s="235"/>
      <c r="Q31" s="235"/>
      <c r="R31" s="235"/>
      <c r="S31" s="235"/>
      <c r="T31" s="235"/>
      <c r="U31" s="235"/>
      <c r="V31" s="235"/>
      <c r="W31" s="235"/>
    </row>
    <row r="32" spans="1:23" ht="20.25" x14ac:dyDescent="0.2">
      <c r="A32" s="409"/>
      <c r="B32" s="409"/>
      <c r="C32" s="80" t="s">
        <v>75</v>
      </c>
      <c r="D32" s="409"/>
      <c r="E32" s="77"/>
      <c r="F32" s="409"/>
      <c r="G32" s="243">
        <f>SUM(G26:G31)</f>
        <v>202984.72</v>
      </c>
      <c r="H32" s="243">
        <f>SUM(H26:H31)</f>
        <v>202470</v>
      </c>
      <c r="I32" s="243">
        <f>SUM(I26:I31)</f>
        <v>151923</v>
      </c>
      <c r="J32" s="243">
        <f>SUM(J26:J31)</f>
        <v>165409</v>
      </c>
      <c r="K32" s="243">
        <f>SUM(K26:K31)</f>
        <v>165091</v>
      </c>
      <c r="L32" s="243">
        <f t="shared" ref="L32:W32" si="2">SUM(L26:L31)</f>
        <v>155606</v>
      </c>
      <c r="M32" s="243">
        <f t="shared" si="2"/>
        <v>169934</v>
      </c>
      <c r="N32" s="243">
        <f t="shared" si="2"/>
        <v>247692</v>
      </c>
      <c r="O32" s="243">
        <f t="shared" si="2"/>
        <v>152722</v>
      </c>
      <c r="P32" s="243">
        <f t="shared" si="2"/>
        <v>96351</v>
      </c>
      <c r="Q32" s="243">
        <f t="shared" si="2"/>
        <v>119102</v>
      </c>
      <c r="R32" s="243">
        <f t="shared" si="2"/>
        <v>115294</v>
      </c>
      <c r="S32" s="243">
        <f t="shared" si="2"/>
        <v>83636</v>
      </c>
      <c r="T32" s="243">
        <f t="shared" si="2"/>
        <v>90824</v>
      </c>
      <c r="U32" s="243">
        <f t="shared" si="2"/>
        <v>59171</v>
      </c>
      <c r="V32" s="243">
        <f t="shared" si="2"/>
        <v>56631</v>
      </c>
      <c r="W32" s="243">
        <f t="shared" si="2"/>
        <v>62116</v>
      </c>
    </row>
    <row r="33" spans="1:23" ht="20.25" x14ac:dyDescent="0.2">
      <c r="A33" s="409"/>
      <c r="B33" s="409"/>
      <c r="C33" s="409"/>
      <c r="D33" s="409"/>
      <c r="E33" s="409"/>
      <c r="F33" s="409"/>
      <c r="G33" s="235"/>
      <c r="H33" s="235"/>
      <c r="I33" s="235"/>
      <c r="J33" s="235"/>
      <c r="K33" s="235"/>
      <c r="L33" s="235"/>
      <c r="M33" s="235"/>
      <c r="N33" s="235"/>
      <c r="O33" s="235"/>
      <c r="P33" s="235"/>
      <c r="Q33" s="235"/>
      <c r="R33" s="235"/>
      <c r="S33" s="235"/>
      <c r="T33" s="235"/>
      <c r="U33" s="235"/>
      <c r="V33" s="235"/>
      <c r="W33" s="235"/>
    </row>
    <row r="34" spans="1:23" ht="20.25" x14ac:dyDescent="0.2">
      <c r="A34" s="73"/>
      <c r="B34" s="73"/>
      <c r="C34" s="73"/>
      <c r="D34" s="73"/>
      <c r="E34" s="73"/>
      <c r="F34" s="73"/>
      <c r="G34" s="414"/>
      <c r="H34" s="414"/>
      <c r="I34" s="414"/>
      <c r="J34" s="414"/>
      <c r="K34" s="414"/>
      <c r="L34" s="237"/>
      <c r="M34" s="237"/>
      <c r="N34" s="237"/>
      <c r="O34" s="237"/>
      <c r="P34" s="237"/>
      <c r="Q34" s="237"/>
      <c r="R34" s="237"/>
      <c r="S34" s="237"/>
      <c r="T34" s="237"/>
      <c r="U34" s="237"/>
      <c r="V34" s="237"/>
      <c r="W34" s="237"/>
    </row>
    <row r="35" spans="1:23" ht="24" thickBot="1" x14ac:dyDescent="0.25">
      <c r="A35" s="73"/>
      <c r="B35" s="86" t="s">
        <v>196</v>
      </c>
      <c r="C35" s="87"/>
      <c r="D35" s="87"/>
      <c r="E35" s="87"/>
      <c r="F35" s="87"/>
      <c r="G35" s="242"/>
      <c r="H35" s="242"/>
      <c r="I35" s="242"/>
      <c r="J35" s="242"/>
      <c r="K35" s="242"/>
      <c r="L35" s="242"/>
      <c r="M35" s="242"/>
      <c r="N35" s="242"/>
      <c r="O35" s="242"/>
      <c r="P35" s="242"/>
      <c r="Q35" s="242"/>
      <c r="R35" s="242"/>
      <c r="S35" s="242"/>
      <c r="T35" s="242"/>
      <c r="U35" s="242"/>
      <c r="V35" s="242"/>
      <c r="W35" s="242"/>
    </row>
    <row r="36" spans="1:23" ht="23.25" x14ac:dyDescent="0.2">
      <c r="A36" s="73"/>
      <c r="B36" s="272"/>
      <c r="C36" s="67"/>
      <c r="D36" s="409" t="s">
        <v>95</v>
      </c>
      <c r="E36" s="67"/>
      <c r="F36" s="67"/>
      <c r="G36" s="233">
        <v>55367.21</v>
      </c>
      <c r="H36" s="233">
        <v>52578</v>
      </c>
      <c r="I36" s="233">
        <v>54372</v>
      </c>
      <c r="J36" s="233">
        <v>74343</v>
      </c>
      <c r="K36" s="233">
        <v>140489</v>
      </c>
      <c r="L36" s="233">
        <v>85282</v>
      </c>
      <c r="M36" s="233">
        <v>9601</v>
      </c>
      <c r="N36" s="233">
        <v>9601</v>
      </c>
      <c r="O36" s="233">
        <v>5248</v>
      </c>
      <c r="P36" s="233">
        <v>4472</v>
      </c>
      <c r="Q36" s="233">
        <v>15207</v>
      </c>
      <c r="R36" s="233"/>
      <c r="S36" s="233"/>
      <c r="T36" s="233"/>
      <c r="U36" s="233"/>
      <c r="V36" s="233"/>
      <c r="W36" s="233"/>
    </row>
    <row r="37" spans="1:23" ht="21" thickBot="1" x14ac:dyDescent="0.25">
      <c r="A37" s="409"/>
      <c r="B37" s="409"/>
      <c r="C37" s="77"/>
      <c r="D37" s="409" t="s">
        <v>89</v>
      </c>
      <c r="E37" s="410"/>
      <c r="F37" s="410"/>
      <c r="G37" s="242">
        <v>481327.83000000013</v>
      </c>
      <c r="H37" s="242">
        <v>396478</v>
      </c>
      <c r="I37" s="242">
        <v>367593</v>
      </c>
      <c r="J37" s="242">
        <v>383624</v>
      </c>
      <c r="K37" s="242">
        <v>342315</v>
      </c>
      <c r="L37" s="242">
        <v>332165</v>
      </c>
      <c r="M37" s="242">
        <v>326973</v>
      </c>
      <c r="N37" s="242">
        <v>247585</v>
      </c>
      <c r="O37" s="242">
        <v>237878</v>
      </c>
      <c r="P37" s="242">
        <v>220741</v>
      </c>
      <c r="Q37" s="242">
        <v>207984</v>
      </c>
      <c r="R37" s="242">
        <v>252788</v>
      </c>
      <c r="S37" s="242">
        <v>244808</v>
      </c>
      <c r="T37" s="242">
        <v>229888</v>
      </c>
      <c r="U37" s="242">
        <v>184151</v>
      </c>
      <c r="V37" s="242">
        <v>131965</v>
      </c>
      <c r="W37" s="242">
        <v>15760</v>
      </c>
    </row>
    <row r="38" spans="1:23" ht="23.25" x14ac:dyDescent="0.2">
      <c r="A38" s="73"/>
      <c r="B38" s="89" t="s">
        <v>67</v>
      </c>
      <c r="C38" s="90"/>
      <c r="D38" s="90"/>
      <c r="E38" s="67"/>
      <c r="F38" s="67"/>
      <c r="G38" s="238">
        <f>G36+G37</f>
        <v>536695.04000000015</v>
      </c>
      <c r="H38" s="238">
        <f>H36+H37</f>
        <v>449056</v>
      </c>
      <c r="I38" s="238">
        <f>I36+I37</f>
        <v>421965</v>
      </c>
      <c r="J38" s="238">
        <f>J36+J37</f>
        <v>457967</v>
      </c>
      <c r="K38" s="238">
        <f>K36+K37</f>
        <v>482804</v>
      </c>
      <c r="L38" s="238">
        <f t="shared" ref="L38:W38" si="3">L36+L37</f>
        <v>417447</v>
      </c>
      <c r="M38" s="238">
        <f t="shared" si="3"/>
        <v>336574</v>
      </c>
      <c r="N38" s="238">
        <f t="shared" si="3"/>
        <v>257186</v>
      </c>
      <c r="O38" s="238">
        <f t="shared" si="3"/>
        <v>243126</v>
      </c>
      <c r="P38" s="238">
        <f t="shared" si="3"/>
        <v>225213</v>
      </c>
      <c r="Q38" s="238">
        <f t="shared" si="3"/>
        <v>223191</v>
      </c>
      <c r="R38" s="238">
        <f t="shared" si="3"/>
        <v>252788</v>
      </c>
      <c r="S38" s="238">
        <f t="shared" si="3"/>
        <v>244808</v>
      </c>
      <c r="T38" s="238">
        <f t="shared" si="3"/>
        <v>229888</v>
      </c>
      <c r="U38" s="238">
        <f t="shared" si="3"/>
        <v>184151</v>
      </c>
      <c r="V38" s="238">
        <f t="shared" si="3"/>
        <v>131965</v>
      </c>
      <c r="W38" s="238">
        <f t="shared" si="3"/>
        <v>15760</v>
      </c>
    </row>
    <row r="39" spans="1:23" ht="20.25" x14ac:dyDescent="0.2">
      <c r="A39" s="73"/>
      <c r="B39" s="73"/>
      <c r="C39" s="73"/>
      <c r="D39" s="73"/>
      <c r="E39" s="73"/>
      <c r="F39" s="73"/>
      <c r="G39" s="236"/>
      <c r="H39" s="236"/>
      <c r="I39" s="236"/>
      <c r="J39" s="236"/>
      <c r="K39" s="236"/>
      <c r="L39" s="236"/>
      <c r="M39" s="236"/>
      <c r="N39" s="236"/>
      <c r="O39" s="236"/>
      <c r="P39" s="236"/>
      <c r="Q39" s="236"/>
      <c r="R39" s="236"/>
      <c r="S39" s="236"/>
      <c r="T39" s="236"/>
      <c r="U39" s="236"/>
      <c r="V39" s="236"/>
      <c r="W39" s="236"/>
    </row>
    <row r="40" spans="1:23" ht="27" thickBot="1" x14ac:dyDescent="0.25">
      <c r="A40" s="81" t="s">
        <v>68</v>
      </c>
      <c r="B40" s="81"/>
      <c r="C40" s="81"/>
      <c r="D40" s="81"/>
      <c r="E40" s="81"/>
      <c r="F40" s="81"/>
      <c r="G40" s="355">
        <f>G32+G38</f>
        <v>739679.76000000013</v>
      </c>
      <c r="H40" s="355">
        <f>H32+H38</f>
        <v>651526</v>
      </c>
      <c r="I40" s="355">
        <f>I32+I38</f>
        <v>573888</v>
      </c>
      <c r="J40" s="355">
        <f>J32+J38</f>
        <v>623376</v>
      </c>
      <c r="K40" s="355">
        <f>K32+K38</f>
        <v>647895</v>
      </c>
      <c r="L40" s="355">
        <f t="shared" ref="L40:W40" si="4">L32+L38</f>
        <v>573053</v>
      </c>
      <c r="M40" s="355">
        <f t="shared" si="4"/>
        <v>506508</v>
      </c>
      <c r="N40" s="355">
        <f t="shared" si="4"/>
        <v>504878</v>
      </c>
      <c r="O40" s="355">
        <f t="shared" si="4"/>
        <v>395848</v>
      </c>
      <c r="P40" s="355">
        <f t="shared" si="4"/>
        <v>321564</v>
      </c>
      <c r="Q40" s="355">
        <f t="shared" si="4"/>
        <v>342293</v>
      </c>
      <c r="R40" s="355">
        <f t="shared" si="4"/>
        <v>368082</v>
      </c>
      <c r="S40" s="355">
        <f t="shared" si="4"/>
        <v>328444</v>
      </c>
      <c r="T40" s="355">
        <f t="shared" si="4"/>
        <v>320712</v>
      </c>
      <c r="U40" s="355">
        <f t="shared" si="4"/>
        <v>243322</v>
      </c>
      <c r="V40" s="355">
        <f t="shared" si="4"/>
        <v>188596</v>
      </c>
      <c r="W40" s="355">
        <f t="shared" si="4"/>
        <v>77876</v>
      </c>
    </row>
    <row r="41" spans="1:23" ht="15" thickTop="1" x14ac:dyDescent="0.2">
      <c r="D41" s="343"/>
      <c r="H41" s="18"/>
      <c r="I41" s="18"/>
      <c r="J41" s="18"/>
      <c r="K41" s="18"/>
      <c r="L41" s="18"/>
      <c r="M41" s="18"/>
      <c r="N41" s="18"/>
      <c r="O41" s="18"/>
      <c r="P41" s="18"/>
      <c r="Q41" s="18"/>
      <c r="R41" s="18"/>
      <c r="S41" s="18"/>
      <c r="T41" s="18"/>
      <c r="U41" s="18"/>
      <c r="V41" s="18"/>
      <c r="W41" s="18"/>
    </row>
    <row r="42" spans="1:23" s="244" customFormat="1" x14ac:dyDescent="0.2">
      <c r="A42" s="413"/>
      <c r="B42" s="413"/>
      <c r="C42" s="413"/>
      <c r="D42" s="413"/>
      <c r="E42" s="413"/>
      <c r="F42" s="413"/>
      <c r="G42" s="273"/>
    </row>
    <row r="43" spans="1:23" s="244" customFormat="1" x14ac:dyDescent="0.2">
      <c r="A43" s="413"/>
      <c r="B43" s="413"/>
      <c r="C43" s="413"/>
      <c r="D43" s="413"/>
      <c r="E43" s="413"/>
      <c r="F43" s="413"/>
      <c r="G43" s="273"/>
    </row>
    <row r="44" spans="1:23" s="244" customFormat="1" x14ac:dyDescent="0.2">
      <c r="A44" s="413"/>
      <c r="B44" s="413"/>
      <c r="C44" s="413"/>
      <c r="D44" s="413"/>
      <c r="E44" s="413"/>
      <c r="F44" s="413"/>
      <c r="G44" s="273"/>
    </row>
    <row r="45" spans="1:23" s="244" customFormat="1" x14ac:dyDescent="0.2">
      <c r="A45" s="413"/>
      <c r="B45" s="413"/>
      <c r="C45" s="413"/>
      <c r="D45" s="413"/>
      <c r="E45" s="413"/>
      <c r="F45" s="413"/>
      <c r="G45" s="273"/>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Notes</vt:lpstr>
      <vt:lpstr>Data</vt:lpstr>
      <vt:lpstr>Updated Operating Budget</vt:lpstr>
      <vt:lpstr>February'21 Revenues &amp; Expenses</vt:lpstr>
      <vt:lpstr>February'21 AR Aging </vt:lpstr>
      <vt:lpstr>February'21 Financial Position</vt:lpstr>
      <vt:lpstr>February'21 State of Activities</vt:lpstr>
      <vt:lpstr>February'21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'February''21 AR Aging '!Print_Area</vt:lpstr>
      <vt:lpstr>'February''21 Financial Position'!Print_Area</vt:lpstr>
      <vt:lpstr>'February''21 Revenues &amp; Expenses'!Print_Area</vt:lpstr>
      <vt:lpstr>'February''21 State of Activities'!Print_Area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2020-07-28T15:12:17Z</cp:lastPrinted>
  <dcterms:created xsi:type="dcterms:W3CDTF">2011-11-03T17:20:29Z</dcterms:created>
  <dcterms:modified xsi:type="dcterms:W3CDTF">2021-03-23T17:49:04Z</dcterms:modified>
</cp:coreProperties>
</file>