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Board of Directors\Committees of the Board\Budget and Finance Committee\Meeting  minutes 2018\"/>
    </mc:Choice>
  </mc:AlternateContent>
  <bookViews>
    <workbookView xWindow="90" yWindow="35820" windowWidth="14955" windowHeight="9060" tabRatio="787"/>
  </bookViews>
  <sheets>
    <sheet name="Notes" sheetId="15" r:id="rId1"/>
    <sheet name="Data" sheetId="19" state="hidden" r:id="rId2"/>
    <sheet name="June'18 Revenues &amp; Expenses" sheetId="3" r:id="rId3"/>
    <sheet name="June'18 AR Aging " sheetId="6" r:id="rId4"/>
    <sheet name="June'18 Financial Position" sheetId="5" r:id="rId5"/>
    <sheet name="June'18 State of Activities" sheetId="12" r:id="rId6"/>
    <sheet name="June'18 Transportation" sheetId="18" r:id="rId7"/>
    <sheet name="2017 Medicaid Revenue" sheetId="21" state="hidden" r:id="rId8"/>
    <sheet name="Budget" sheetId="20" state="hidden" r:id="rId9"/>
    <sheet name="YE Historic Data" sheetId="17" state="hidden" r:id="rId10"/>
  </sheets>
  <definedNames>
    <definedName name="_xlnm.Print_Area" localSheetId="7">'2017 Medicaid Revenue'!$A$1:$H$69</definedName>
    <definedName name="_xlnm.Print_Area" localSheetId="8">Budget!$A$1:$G$54</definedName>
    <definedName name="_xlnm.Print_Area" localSheetId="3">'June''18 AR Aging '!$A$1:$G$95</definedName>
    <definedName name="_xlnm.Print_Area" localSheetId="4">'June''18 Financial Position'!$A$1:$L$67</definedName>
    <definedName name="_xlnm.Print_Area" localSheetId="2">'June''18 Revenues &amp; Expenses'!$A$1:$L$62</definedName>
    <definedName name="_xlnm.Print_Area" localSheetId="5">'June''18 State of Activities'!$A$1:$O$70</definedName>
    <definedName name="_xlnm.Print_Area" localSheetId="6">'June''18 Transportation'!$A$1:$R$60</definedName>
    <definedName name="_xlnm.Print_Area" localSheetId="0">Notes!$A$4:$H$101</definedName>
    <definedName name="_xlnm.Print_Area" localSheetId="9">'YE Historic Data'!$A$1:$W$41</definedName>
    <definedName name="_xlnm.Print_Titles" localSheetId="0">Notes!$1:$3</definedName>
  </definedNames>
  <calcPr calcId="152511"/>
</workbook>
</file>

<file path=xl/calcChain.xml><?xml version="1.0" encoding="utf-8"?>
<calcChain xmlns="http://schemas.openxmlformats.org/spreadsheetml/2006/main">
  <c r="G26" i="12" l="1"/>
  <c r="Q10" i="18"/>
  <c r="Q19" i="18" s="1"/>
  <c r="G83" i="15" l="1"/>
  <c r="G87" i="15"/>
  <c r="F88" i="15"/>
  <c r="F87" i="15"/>
  <c r="B689" i="19" l="1"/>
  <c r="B690" i="19"/>
  <c r="E16" i="15"/>
  <c r="M27" i="18" l="1"/>
  <c r="M28" i="18" s="1"/>
  <c r="K28" i="18"/>
  <c r="M49" i="18"/>
  <c r="M11" i="18"/>
  <c r="M44" i="18"/>
  <c r="M42" i="18"/>
  <c r="M40" i="18"/>
  <c r="M39" i="18"/>
  <c r="M35" i="18"/>
  <c r="M20" i="18"/>
  <c r="M14" i="18"/>
  <c r="M13" i="18"/>
  <c r="J45" i="18"/>
  <c r="J28" i="18"/>
  <c r="J27" i="18"/>
  <c r="J41" i="18"/>
  <c r="J40" i="18"/>
  <c r="J39" i="18"/>
  <c r="J38" i="18"/>
  <c r="J35" i="18"/>
  <c r="J14" i="18"/>
  <c r="J63" i="12"/>
  <c r="J52" i="12"/>
  <c r="J49" i="12"/>
  <c r="J46" i="12"/>
  <c r="J45" i="12"/>
  <c r="J39" i="12"/>
  <c r="J33" i="12"/>
  <c r="J23" i="12"/>
  <c r="H42" i="5" l="1"/>
  <c r="G52" i="12"/>
  <c r="G49" i="12"/>
  <c r="H31" i="5"/>
  <c r="G46" i="12" l="1"/>
  <c r="G45" i="12"/>
  <c r="G39" i="12"/>
  <c r="G33" i="12"/>
  <c r="L50" i="5"/>
  <c r="L42" i="5"/>
  <c r="L22" i="5"/>
  <c r="H50" i="5"/>
  <c r="H22" i="5"/>
  <c r="H56" i="3"/>
  <c r="H55" i="3"/>
  <c r="J52" i="3"/>
  <c r="J50" i="3"/>
  <c r="I38" i="3"/>
  <c r="K37" i="3"/>
  <c r="I37" i="3"/>
  <c r="I36" i="3"/>
  <c r="I20" i="3" l="1"/>
  <c r="C13" i="6" l="1"/>
  <c r="D13" i="6"/>
  <c r="F61" i="6"/>
  <c r="D19" i="6"/>
  <c r="E19" i="6"/>
  <c r="E23" i="6" s="1"/>
  <c r="D31" i="6"/>
  <c r="E31" i="6"/>
  <c r="F14" i="6"/>
  <c r="E13" i="6"/>
  <c r="E14" i="6" s="1"/>
  <c r="E48" i="6"/>
  <c r="C52" i="6"/>
  <c r="C51" i="6"/>
  <c r="G61" i="15" l="1"/>
  <c r="G66" i="15"/>
  <c r="M41" i="18" l="1"/>
  <c r="M15" i="18"/>
  <c r="M9" i="18"/>
  <c r="M60" i="18" s="1"/>
  <c r="H28" i="5" l="1"/>
  <c r="J53" i="3"/>
  <c r="F95" i="15"/>
  <c r="F94" i="15"/>
  <c r="J20" i="3" l="1"/>
  <c r="I13" i="3"/>
  <c r="J10" i="3"/>
  <c r="D14" i="6"/>
  <c r="C23" i="6"/>
  <c r="D23" i="6"/>
  <c r="E32" i="6"/>
  <c r="F18" i="3" l="1"/>
  <c r="J17" i="3"/>
  <c r="D85" i="15" l="1"/>
  <c r="E35" i="15"/>
  <c r="D35" i="15"/>
  <c r="Q40" i="18" l="1"/>
  <c r="R40" i="18" s="1"/>
  <c r="Q39" i="18"/>
  <c r="R39" i="18" s="1"/>
  <c r="Q49" i="18"/>
  <c r="Q45" i="18"/>
  <c r="Q44" i="18"/>
  <c r="R44" i="18" s="1"/>
  <c r="Q43" i="18"/>
  <c r="Q42" i="18"/>
  <c r="R42" i="18" s="1"/>
  <c r="Q41" i="18"/>
  <c r="R41" i="18" s="1"/>
  <c r="Q38" i="18"/>
  <c r="Q37" i="18"/>
  <c r="R37" i="18" s="1"/>
  <c r="Q35" i="18"/>
  <c r="R35" i="18" s="1"/>
  <c r="Q34" i="18"/>
  <c r="R34" i="18" s="1"/>
  <c r="Q33" i="18"/>
  <c r="R33" i="18" s="1"/>
  <c r="Q32" i="18"/>
  <c r="R32" i="18" s="1"/>
  <c r="Q31" i="18"/>
  <c r="R31" i="18" s="1"/>
  <c r="Q30" i="18"/>
  <c r="R30" i="18" s="1"/>
  <c r="Q29" i="18"/>
  <c r="Q27" i="18"/>
  <c r="R27" i="18" s="1"/>
  <c r="Q26" i="18"/>
  <c r="R26" i="18" s="1"/>
  <c r="Q21" i="18"/>
  <c r="R21" i="18" s="1"/>
  <c r="Q11" i="18"/>
  <c r="R11" i="18" s="1"/>
  <c r="J16" i="18" l="1"/>
  <c r="Q16" i="18" s="1"/>
  <c r="R16" i="18" s="1"/>
  <c r="K30" i="18"/>
  <c r="Q28" i="18"/>
  <c r="R28" i="18" s="1"/>
  <c r="J20" i="18"/>
  <c r="Q20" i="18" s="1"/>
  <c r="R20" i="18" s="1"/>
  <c r="Q14" i="18"/>
  <c r="R14" i="18" s="1"/>
  <c r="J13" i="18"/>
  <c r="Q13" i="18" s="1"/>
  <c r="R13" i="18" s="1"/>
  <c r="J18" i="18" l="1"/>
  <c r="K18" i="18"/>
  <c r="K36" i="18" s="1"/>
  <c r="K17" i="18"/>
  <c r="K9" i="18"/>
  <c r="K60" i="18" s="1"/>
  <c r="K15" i="18"/>
  <c r="K14" i="18"/>
  <c r="K13" i="18"/>
  <c r="K11" i="18"/>
  <c r="K45" i="18"/>
  <c r="K42" i="18"/>
  <c r="K41" i="18"/>
  <c r="K40" i="18"/>
  <c r="K39" i="18"/>
  <c r="K37" i="18"/>
  <c r="K35" i="18"/>
  <c r="K50" i="18" s="1"/>
  <c r="K27" i="18"/>
  <c r="K8" i="18"/>
  <c r="M62" i="12"/>
  <c r="M61" i="12"/>
  <c r="M16" i="12"/>
  <c r="L62" i="12"/>
  <c r="L61" i="12"/>
  <c r="L53" i="12"/>
  <c r="L52" i="12"/>
  <c r="M52" i="12" s="1"/>
  <c r="L51" i="12"/>
  <c r="M51" i="12" s="1"/>
  <c r="L50" i="12"/>
  <c r="M50" i="12" s="1"/>
  <c r="L49" i="12"/>
  <c r="M49" i="12" s="1"/>
  <c r="L48" i="12"/>
  <c r="M48" i="12" s="1"/>
  <c r="L47" i="12"/>
  <c r="M47" i="12" s="1"/>
  <c r="L46" i="12"/>
  <c r="M46" i="12" s="1"/>
  <c r="L45" i="12"/>
  <c r="M45" i="12" s="1"/>
  <c r="L44" i="12"/>
  <c r="M44" i="12" s="1"/>
  <c r="L43" i="12"/>
  <c r="M43" i="12" s="1"/>
  <c r="L42" i="12"/>
  <c r="M42" i="12" s="1"/>
  <c r="L41" i="12"/>
  <c r="M41" i="12" s="1"/>
  <c r="L40" i="12"/>
  <c r="M40" i="12" s="1"/>
  <c r="L39" i="12"/>
  <c r="M39" i="12" s="1"/>
  <c r="L38" i="12"/>
  <c r="M38" i="12" s="1"/>
  <c r="L37" i="12"/>
  <c r="M37" i="12" s="1"/>
  <c r="L36" i="12"/>
  <c r="M36" i="12" s="1"/>
  <c r="L35" i="12"/>
  <c r="M35" i="12" s="1"/>
  <c r="L32" i="12"/>
  <c r="M32" i="12" s="1"/>
  <c r="L31" i="12"/>
  <c r="M31" i="12" s="1"/>
  <c r="L27" i="12"/>
  <c r="M27" i="12" s="1"/>
  <c r="L24" i="12"/>
  <c r="L23" i="12"/>
  <c r="M23" i="12" s="1"/>
  <c r="L22" i="12"/>
  <c r="M22" i="12" s="1"/>
  <c r="L21" i="12"/>
  <c r="M21" i="12" s="1"/>
  <c r="L20" i="12"/>
  <c r="M20" i="12" s="1"/>
  <c r="L19" i="12"/>
  <c r="M19" i="12" s="1"/>
  <c r="L18" i="12"/>
  <c r="M18" i="12" s="1"/>
  <c r="L16" i="12"/>
  <c r="L15" i="12"/>
  <c r="M15" i="12" s="1"/>
  <c r="L14" i="12"/>
  <c r="M14" i="12" s="1"/>
  <c r="L13" i="12"/>
  <c r="L12" i="12"/>
  <c r="M12" i="12" s="1"/>
  <c r="L11" i="12"/>
  <c r="M11" i="12" s="1"/>
  <c r="L10" i="12"/>
  <c r="M10" i="12" s="1"/>
  <c r="L9" i="12"/>
  <c r="M9" i="12" s="1"/>
  <c r="J61" i="5"/>
  <c r="J50" i="5"/>
  <c r="J42" i="5"/>
  <c r="J22" i="5"/>
  <c r="H70" i="12"/>
  <c r="K46" i="18" l="1"/>
  <c r="K57" i="18" s="1"/>
  <c r="J36" i="18"/>
  <c r="K19" i="18"/>
  <c r="H52" i="12"/>
  <c r="H49" i="12"/>
  <c r="H46" i="12"/>
  <c r="H45" i="12"/>
  <c r="H39" i="12"/>
  <c r="H33" i="12"/>
  <c r="H23" i="12"/>
  <c r="H16" i="12"/>
  <c r="H69" i="12"/>
  <c r="K54" i="18" l="1"/>
  <c r="J59" i="5"/>
  <c r="L59" i="5"/>
  <c r="J16" i="12"/>
  <c r="H59" i="5"/>
  <c r="L8" i="5"/>
  <c r="K52" i="3"/>
  <c r="K50" i="3"/>
  <c r="L50" i="3" s="1"/>
  <c r="G35" i="3"/>
  <c r="F35" i="3"/>
  <c r="I34" i="3"/>
  <c r="K34" i="3" s="1"/>
  <c r="J25" i="3" l="1"/>
  <c r="F13" i="3" l="1"/>
  <c r="D41" i="6" l="1"/>
  <c r="G13" i="6"/>
  <c r="H10" i="3" s="1"/>
  <c r="G10" i="3" s="1"/>
  <c r="F35" i="15" l="1"/>
  <c r="C35" i="15"/>
  <c r="G35" i="15" l="1"/>
  <c r="A3" i="21"/>
  <c r="H33" i="15" l="1"/>
  <c r="H31" i="15"/>
  <c r="H30" i="15"/>
  <c r="H32" i="15"/>
  <c r="H29" i="15"/>
  <c r="H28" i="15"/>
  <c r="G63" i="12"/>
  <c r="L63" i="12" s="1"/>
  <c r="M63" i="12" s="1"/>
  <c r="H35" i="15" l="1"/>
  <c r="J23" i="3"/>
  <c r="L52" i="3"/>
  <c r="F52" i="3"/>
  <c r="I33" i="3"/>
  <c r="K33" i="3" s="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4" i="6"/>
  <c r="H21" i="3" s="1"/>
  <c r="E72" i="15" l="1"/>
  <c r="K53" i="3" l="1"/>
  <c r="J15" i="3" l="1"/>
  <c r="K27" i="3" l="1"/>
  <c r="D32" i="6"/>
  <c r="J17" i="18" l="1"/>
  <c r="Q17" i="18" s="1"/>
  <c r="K55" i="3" l="1"/>
  <c r="G55" i="15" l="1"/>
  <c r="G50" i="15"/>
  <c r="J25" i="12"/>
  <c r="L25" i="12" s="1"/>
  <c r="M25" i="12" s="1"/>
  <c r="G8" i="12"/>
  <c r="E73" i="15" l="1"/>
  <c r="B323" i="19" l="1"/>
  <c r="M50" i="18" l="1"/>
  <c r="K22" i="18"/>
  <c r="K47" i="18" s="1"/>
  <c r="K51" i="18" s="1"/>
  <c r="M18" i="18"/>
  <c r="M36" i="18" l="1"/>
  <c r="Q36" i="18" s="1"/>
  <c r="R36" i="18" s="1"/>
  <c r="Q18" i="18"/>
  <c r="M46" i="18"/>
  <c r="M19" i="18"/>
  <c r="M22" i="18" s="1"/>
  <c r="J9" i="18"/>
  <c r="J8" i="18"/>
  <c r="A4" i="18"/>
  <c r="A3" i="18"/>
  <c r="J50" i="18"/>
  <c r="Q50" i="18" s="1"/>
  <c r="Q9" i="18" l="1"/>
  <c r="R9" i="18" s="1"/>
  <c r="J60" i="18"/>
  <c r="M54" i="18"/>
  <c r="M57" i="18"/>
  <c r="M47" i="18"/>
  <c r="M51" i="18" s="1"/>
  <c r="J46" i="18"/>
  <c r="J57" i="18" s="1"/>
  <c r="J54" i="18" l="1"/>
  <c r="Q46" i="18"/>
  <c r="R46" i="18" s="1"/>
  <c r="J8" i="12"/>
  <c r="M8" i="18" s="1"/>
  <c r="J62" i="12" l="1"/>
  <c r="G34" i="12"/>
  <c r="G17" i="12"/>
  <c r="L17" i="12" s="1"/>
  <c r="M17" i="12" s="1"/>
  <c r="H34" i="12"/>
  <c r="G55" i="12" l="1"/>
  <c r="J15" i="18"/>
  <c r="Q15" i="18" s="1"/>
  <c r="R15" i="18" s="1"/>
  <c r="H26" i="12"/>
  <c r="H28" i="12" s="1"/>
  <c r="K56" i="3"/>
  <c r="K38" i="3"/>
  <c r="G85" i="15" s="1"/>
  <c r="F85" i="15" s="1"/>
  <c r="I39" i="3"/>
  <c r="J19" i="18" l="1"/>
  <c r="J22" i="18" s="1"/>
  <c r="Q22" i="18" s="1"/>
  <c r="R22" i="18" s="1"/>
  <c r="J21" i="3"/>
  <c r="J47" i="18" l="1"/>
  <c r="Q47" i="18" s="1"/>
  <c r="R47" i="18" s="1"/>
  <c r="R19" i="18"/>
  <c r="C74" i="6"/>
  <c r="G21" i="3"/>
  <c r="J51" i="18" l="1"/>
  <c r="Q51" i="18" s="1"/>
  <c r="G14" i="20"/>
  <c r="G46" i="20"/>
  <c r="G49" i="20"/>
  <c r="G48" i="20"/>
  <c r="G43" i="20"/>
  <c r="G41" i="20"/>
  <c r="G40" i="20"/>
  <c r="G28" i="20"/>
  <c r="G29" i="20" s="1"/>
  <c r="G24" i="20"/>
  <c r="G19" i="20"/>
  <c r="G31" i="20"/>
  <c r="G30" i="20"/>
  <c r="F99" i="15"/>
  <c r="G23" i="20" l="1"/>
  <c r="G25" i="20" s="1"/>
  <c r="G51" i="20"/>
  <c r="G53" i="20" l="1"/>
  <c r="L51" i="3"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6" i="6" l="1"/>
  <c r="H23" i="3" s="1"/>
  <c r="D48" i="6"/>
  <c r="D90" i="15" l="1"/>
  <c r="E90" i="15"/>
  <c r="G88" i="15"/>
  <c r="G82" i="15"/>
  <c r="F80" i="15"/>
  <c r="I35" i="3"/>
  <c r="F98" i="15"/>
  <c r="G55" i="6" l="1"/>
  <c r="C48" i="6"/>
  <c r="C41" i="6"/>
  <c r="G17" i="6"/>
  <c r="G18" i="6" l="1"/>
  <c r="F97" i="15"/>
  <c r="F96" i="15"/>
  <c r="D101" i="15"/>
  <c r="G100" i="15"/>
  <c r="G99" i="15"/>
  <c r="G98" i="15"/>
  <c r="H55" i="12" l="1"/>
  <c r="G95" i="15"/>
  <c r="K36" i="3"/>
  <c r="E96" i="15" l="1"/>
  <c r="F101" i="15"/>
  <c r="G94" i="15"/>
  <c r="G96" i="15" l="1"/>
  <c r="G59" i="6" l="1"/>
  <c r="K35" i="3" l="1"/>
  <c r="G80" i="15" s="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G21" i="6" l="1"/>
  <c r="H14" i="3" s="1"/>
  <c r="J14" i="3" s="1"/>
  <c r="J13" i="3" l="1"/>
  <c r="G64" i="12"/>
  <c r="L54" i="5" l="1"/>
  <c r="L47" i="5"/>
  <c r="L16" i="5"/>
  <c r="K60" i="3"/>
  <c r="G81" i="15"/>
  <c r="F81" i="15" s="1"/>
  <c r="F90" i="15" l="1"/>
  <c r="G90" i="15"/>
  <c r="G40" i="6"/>
  <c r="E15" i="15" l="1"/>
  <c r="J64" i="3"/>
  <c r="G45" i="6" l="1"/>
  <c r="G64" i="3" l="1"/>
  <c r="G23" i="3" l="1"/>
  <c r="L56" i="5"/>
  <c r="L32" i="5"/>
  <c r="L23" i="5"/>
  <c r="L25" i="5" s="1"/>
  <c r="J54" i="5"/>
  <c r="H54" i="5"/>
  <c r="J32" i="5"/>
  <c r="H32" i="5"/>
  <c r="J16" i="5"/>
  <c r="H16" i="5"/>
  <c r="L67" i="5" l="1"/>
  <c r="L35" i="5"/>
  <c r="D170" i="6" l="1"/>
  <c r="D171" i="6"/>
  <c r="D172" i="6"/>
  <c r="J64" i="12" l="1"/>
  <c r="L64" i="12" s="1"/>
  <c r="M64" i="12" s="1"/>
  <c r="F170" i="6" l="1"/>
  <c r="G31" i="6" l="1"/>
  <c r="G57" i="6"/>
  <c r="E17" i="15" s="1"/>
  <c r="G48" i="6"/>
  <c r="G47" i="6"/>
  <c r="H26" i="3" l="1"/>
  <c r="J26" i="3" l="1"/>
  <c r="F39" i="3"/>
  <c r="G26" i="3" l="1"/>
  <c r="N174" i="6"/>
  <c r="M174" i="6"/>
  <c r="L174" i="6"/>
  <c r="K174" i="6"/>
  <c r="J174" i="6"/>
  <c r="I174" i="6"/>
  <c r="H174" i="6"/>
  <c r="G174" i="6"/>
  <c r="C53" i="6" l="1"/>
  <c r="F27" i="6"/>
  <c r="G30" i="6"/>
  <c r="C32" i="6"/>
  <c r="C173" i="6" l="1"/>
  <c r="G51" i="6" l="1"/>
  <c r="G52" i="6"/>
  <c r="G53" i="6" l="1"/>
  <c r="H25" i="3" l="1"/>
  <c r="G25" i="3" s="1"/>
  <c r="G20" i="6"/>
  <c r="H13" i="3" s="1"/>
  <c r="G13" i="3" s="1"/>
  <c r="G19" i="6"/>
  <c r="H12" i="3" s="1"/>
  <c r="I12" i="3" s="1"/>
  <c r="J12" i="3" s="1"/>
  <c r="D61" i="6"/>
  <c r="C14" i="6"/>
  <c r="G12" i="6"/>
  <c r="G6" i="6"/>
  <c r="J34" i="12" l="1"/>
  <c r="J26" i="12"/>
  <c r="L26" i="12" s="1"/>
  <c r="M26" i="12" s="1"/>
  <c r="L33" i="12" l="1"/>
  <c r="M33" i="12" s="1"/>
  <c r="L34" i="12"/>
  <c r="M34" i="12" s="1"/>
  <c r="L28" i="12"/>
  <c r="J55" i="12"/>
  <c r="J28" i="12"/>
  <c r="J65" i="12"/>
  <c r="M28" i="12" l="1"/>
  <c r="L55" i="12"/>
  <c r="M55" i="12" s="1"/>
  <c r="J57" i="12"/>
  <c r="L61" i="5" s="1"/>
  <c r="J67" i="12" l="1"/>
  <c r="J70" i="12" s="1"/>
  <c r="I32" i="3" l="1"/>
  <c r="K32" i="3" s="1"/>
  <c r="K41" i="3" s="1"/>
  <c r="L41" i="3" s="1"/>
  <c r="I64" i="3" l="1"/>
  <c r="H64" i="12"/>
  <c r="H46" i="5"/>
  <c r="H47" i="5" s="1"/>
  <c r="H56" i="5" s="1"/>
  <c r="H65" i="12" l="1"/>
  <c r="G28" i="12"/>
  <c r="G57" i="12" l="1"/>
  <c r="H61" i="5" s="1"/>
  <c r="H57" i="12"/>
  <c r="H67" i="12" s="1"/>
  <c r="J39" i="3"/>
  <c r="L62" i="5" l="1"/>
  <c r="L57" i="12"/>
  <c r="M57" i="12" s="1"/>
  <c r="G69" i="12" l="1"/>
  <c r="L64" i="5"/>
  <c r="G22" i="6"/>
  <c r="H15" i="3" s="1"/>
  <c r="G15" i="3" l="1"/>
  <c r="G23" i="6"/>
  <c r="C171" i="6"/>
  <c r="G39" i="6"/>
  <c r="G32" i="6"/>
  <c r="H17" i="3" s="1"/>
  <c r="G11" i="6"/>
  <c r="E12" i="15" l="1"/>
  <c r="G17" i="3"/>
  <c r="H20" i="3"/>
  <c r="E14" i="15"/>
  <c r="H64" i="3"/>
  <c r="K64" i="3" s="1"/>
  <c r="D174" i="6"/>
  <c r="G14" i="6"/>
  <c r="E13" i="15" s="1"/>
  <c r="G27" i="6"/>
  <c r="G41" i="6"/>
  <c r="F174" i="6" l="1"/>
  <c r="H41" i="3"/>
  <c r="J23" i="5" l="1"/>
  <c r="J25" i="5" s="1"/>
  <c r="J35" i="5" s="1"/>
  <c r="M60" i="3"/>
  <c r="I60" i="3"/>
  <c r="J60" i="3"/>
  <c r="G60" i="3"/>
  <c r="F60" i="3"/>
  <c r="L57" i="3"/>
  <c r="L55" i="3"/>
  <c r="L54" i="3"/>
  <c r="F41" i="3"/>
  <c r="G41" i="3"/>
  <c r="J41" i="3"/>
  <c r="J47" i="5" l="1"/>
  <c r="J56" i="5" s="1"/>
  <c r="J67" i="5" s="1"/>
  <c r="I41" i="3"/>
  <c r="L56" i="3" l="1"/>
  <c r="L60" i="3" l="1"/>
  <c r="L62" i="3" s="1"/>
  <c r="H60" i="3"/>
  <c r="G65" i="12"/>
  <c r="E97" i="15"/>
  <c r="J62" i="5" l="1"/>
  <c r="J64" i="5" s="1"/>
  <c r="J70" i="5" s="1"/>
  <c r="H60" i="5"/>
  <c r="H62" i="5" s="1"/>
  <c r="H64" i="5" s="1"/>
  <c r="G67" i="12"/>
  <c r="G70" i="12" s="1"/>
  <c r="L65" i="12"/>
  <c r="M65" i="12" s="1"/>
  <c r="E101" i="15"/>
  <c r="G97" i="15"/>
  <c r="G101" i="15" s="1"/>
  <c r="L67" i="12" l="1"/>
  <c r="E61" i="6"/>
  <c r="C172" i="6" s="1"/>
  <c r="G7" i="6"/>
  <c r="G8" i="6" l="1"/>
  <c r="E11" i="15" s="1"/>
  <c r="E18" i="15" s="1"/>
  <c r="H8" i="3"/>
  <c r="I8" i="3" s="1"/>
  <c r="C8" i="6"/>
  <c r="C61" i="6" s="1"/>
  <c r="C170" i="6" s="1"/>
  <c r="C174" i="6" s="1"/>
  <c r="G61" i="6" l="1"/>
  <c r="C76" i="6" s="1"/>
  <c r="J8" i="3"/>
  <c r="J27" i="3" s="1"/>
  <c r="G8" i="3"/>
  <c r="G27" i="3" s="1"/>
  <c r="I27" i="3"/>
  <c r="G7" i="3"/>
  <c r="H27" i="3"/>
  <c r="J68" i="3" s="1"/>
  <c r="H19" i="5" l="1"/>
  <c r="H23" i="5" s="1"/>
  <c r="H25" i="5" s="1"/>
  <c r="H35" i="5" s="1"/>
  <c r="H70" i="5" s="1"/>
  <c r="J69" i="3"/>
  <c r="J70" i="3" s="1"/>
  <c r="H67" i="5" l="1"/>
</calcChain>
</file>

<file path=xl/comments1.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<sst xmlns="http://schemas.openxmlformats.org/spreadsheetml/2006/main" count="640" uniqueCount="460">
  <si>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</si>
  <si>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</si>
  <si>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</si>
  <si>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</si>
  <si>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</si>
  <si>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</si>
  <si>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</si>
  <si>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</si>
  <si>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</si>
  <si>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Temporary Restricted Net Assets</t>
  </si>
  <si>
    <t>Temporarily Restricted Net Assets</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</si>
  <si>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</si>
  <si>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</si>
  <si>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</si>
  <si>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</si>
  <si>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</si>
  <si>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</si>
  <si>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</si>
  <si>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</si>
  <si>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</si>
  <si>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</si>
  <si>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</si>
  <si>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</si>
  <si>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</si>
  <si>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</si>
  <si>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</si>
  <si>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</si>
  <si>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</si>
  <si>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</si>
  <si>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</si>
  <si>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</si>
  <si>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</si>
  <si>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</si>
  <si>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</si>
  <si>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</si>
  <si>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</si>
  <si>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</si>
  <si>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</si>
  <si>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</si>
  <si>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</si>
  <si>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</si>
  <si>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</si>
  <si>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</si>
  <si>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</si>
  <si>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</si>
  <si>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</si>
  <si>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</si>
  <si>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</si>
  <si>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</si>
  <si>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</si>
  <si>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</si>
  <si>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</si>
  <si>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</si>
  <si>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</si>
  <si>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</si>
  <si>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</si>
  <si>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</si>
  <si>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</si>
  <si>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</si>
  <si>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</si>
  <si>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</si>
  <si>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</si>
  <si>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</si>
  <si>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</si>
  <si>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</si>
  <si>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</si>
  <si>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</si>
  <si>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</si>
  <si>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</si>
  <si>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</si>
  <si>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</si>
  <si>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</si>
  <si>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</si>
  <si>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</si>
  <si>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</si>
  <si>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</si>
  <si>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</si>
  <si>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</si>
  <si>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</si>
  <si>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</si>
  <si>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</si>
  <si>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</si>
  <si>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</si>
  <si>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</si>
  <si>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</si>
  <si>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</si>
  <si>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</si>
  <si>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</si>
  <si>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</si>
  <si>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</si>
  <si>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</si>
  <si>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</si>
  <si>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</si>
  <si>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</si>
  <si>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</si>
  <si>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</si>
  <si>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</si>
  <si>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</si>
  <si>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</si>
  <si>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</si>
  <si>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</si>
  <si>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</si>
  <si>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</si>
  <si>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</si>
  <si>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</si>
  <si>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</si>
  <si>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</si>
  <si>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</si>
  <si>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Total Temp Restricted</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</si>
  <si>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</si>
  <si>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</si>
  <si>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</si>
  <si>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</si>
  <si>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</si>
  <si>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</si>
  <si>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</si>
  <si>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</si>
  <si>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</si>
  <si>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</si>
  <si>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</si>
  <si>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</si>
  <si>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</si>
  <si>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</si>
  <si>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</si>
  <si>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</si>
  <si>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</si>
  <si>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</si>
  <si>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</si>
  <si>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</si>
  <si>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</si>
  <si>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</si>
  <si>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</si>
  <si>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</si>
  <si>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</si>
  <si>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</si>
  <si>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</si>
  <si>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</si>
  <si>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</si>
  <si>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</si>
  <si>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</si>
  <si>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Changes in Temporarily Restricted Net Assets</t>
  </si>
  <si>
    <t>Change in Temporarily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</si>
  <si>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</si>
  <si>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</si>
  <si>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</si>
  <si>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</si>
  <si>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</si>
  <si>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</si>
  <si>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</si>
  <si>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</si>
  <si>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</si>
  <si>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Greene County</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</si>
  <si>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</si>
  <si>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</si>
  <si>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</si>
  <si>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</si>
  <si>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</si>
  <si>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</si>
  <si>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</si>
  <si>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</si>
  <si>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</si>
  <si>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</si>
  <si>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</si>
  <si>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</si>
  <si>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</si>
  <si>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</si>
  <si>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</si>
  <si>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</si>
  <si>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</si>
  <si>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C-028699</t>
  </si>
  <si>
    <t>C-028916</t>
  </si>
  <si>
    <t>Accrued-Medicaid Billing Error</t>
  </si>
  <si>
    <t>HRI-Health Research Institute</t>
  </si>
  <si>
    <t>Prepaid Expenses</t>
  </si>
  <si>
    <t>GRANT AND CONTRACT REVENUE (all sources of revenue operating on a reimbursement basis, occurring on a contract rather than fiscal year, and w/o carryover from one contract year to the next)</t>
  </si>
  <si>
    <t>Dept. of Human Services</t>
  </si>
  <si>
    <t>C-029670</t>
  </si>
  <si>
    <t>C-028809</t>
  </si>
  <si>
    <t>C-028810</t>
  </si>
  <si>
    <t>Miscellaneous Receivable</t>
  </si>
  <si>
    <t>Donations - Others</t>
  </si>
  <si>
    <t>Income Received YTD</t>
  </si>
  <si>
    <t>Actual Expenses YTD</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</si>
  <si>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</si>
  <si>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</si>
  <si>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</si>
  <si>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</si>
  <si>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</si>
  <si>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</si>
  <si>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Statement of Activities </t>
    </r>
    <r>
      <rPr>
        <b/>
        <sz val="12"/>
        <color theme="1"/>
        <rFont val="Calibri"/>
        <family val="2"/>
        <scheme val="minor"/>
      </rPr>
      <t>(Income Statement)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</si>
  <si>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</si>
  <si>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</si>
  <si>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</si>
  <si>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</si>
  <si>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</si>
  <si>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</si>
  <si>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Prescription Access (24-Months)</t>
  </si>
  <si>
    <t>Columbia County Dept. of Human Services</t>
  </si>
  <si>
    <t>Total Columbia County Dept. Human Services</t>
  </si>
  <si>
    <t>Rural Health Network Program</t>
  </si>
  <si>
    <t xml:space="preserve">CSP - Patient Services Grant </t>
  </si>
  <si>
    <t>CSP - Patient Services Grant</t>
  </si>
  <si>
    <t>Ancram/Copake Prescription Access (2015)</t>
  </si>
  <si>
    <t>Operating - Bank of Greene Co.</t>
  </si>
  <si>
    <t>Payroll - Bank of Greene Co.</t>
  </si>
  <si>
    <t>MIPPA</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</si>
  <si>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</si>
  <si>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</si>
  <si>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</si>
  <si>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</si>
  <si>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</si>
  <si>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</si>
  <si>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</si>
  <si>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</si>
  <si>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</si>
  <si>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</si>
  <si>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</si>
  <si>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</si>
  <si>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</si>
  <si>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</si>
  <si>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</si>
  <si>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</si>
  <si>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</si>
  <si>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</si>
  <si>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</si>
  <si>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</si>
  <si>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</si>
  <si>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</si>
  <si>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</si>
  <si>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Ancram/Copake Prescription Access (2016)</t>
  </si>
  <si>
    <t>Navigator Health Exchange Program</t>
  </si>
  <si>
    <t>Tobacco-Free Program</t>
  </si>
  <si>
    <t>Cancer Services Program</t>
  </si>
  <si>
    <t>Transportation-Medicaid</t>
  </si>
  <si>
    <t>Other Columbia County Programs</t>
  </si>
  <si>
    <t>Total Grant Receivable</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</si>
  <si>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</si>
  <si>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</si>
  <si>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</si>
  <si>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</si>
  <si>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</si>
  <si>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</si>
  <si>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</si>
  <si>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</si>
  <si>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</si>
  <si>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</si>
  <si>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</si>
  <si>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</si>
  <si>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</si>
  <si>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</si>
  <si>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</si>
  <si>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</si>
  <si>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</si>
  <si>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</si>
  <si>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</si>
  <si>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</si>
  <si>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</si>
  <si>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</si>
  <si>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</si>
  <si>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</si>
  <si>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</si>
  <si>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Lease with County - $550/mth</t>
  </si>
  <si>
    <t>Vehicle Licenses &amp; Permits</t>
  </si>
  <si>
    <t>Depreciation-Vehicles</t>
  </si>
  <si>
    <t>Audit</t>
  </si>
  <si>
    <t>Office &amp; Program Supplies</t>
  </si>
  <si>
    <t>General Insurance</t>
  </si>
  <si>
    <t>Other Expenses</t>
  </si>
  <si>
    <t>Add Back Deprecation</t>
  </si>
  <si>
    <t>Net Cash</t>
  </si>
  <si>
    <t>RountingBox Software</t>
  </si>
  <si>
    <t>Gain (Loss) on Sale of Vehicles</t>
  </si>
  <si>
    <t>Various Medical Providers</t>
  </si>
  <si>
    <t>Prescription Rx Access</t>
  </si>
  <si>
    <t>Transportation: Acram/Copake</t>
  </si>
  <si>
    <t>Children's Mental Health Project</t>
  </si>
  <si>
    <t>NYS Grant Advances</t>
  </si>
  <si>
    <t>Tobacco Free Program</t>
  </si>
  <si>
    <t>Total Advance Funding Payable</t>
  </si>
  <si>
    <t>Investment Income</t>
  </si>
  <si>
    <t>Foundation Revenue - FCH &amp; Dyson</t>
  </si>
  <si>
    <t>Income</t>
  </si>
  <si>
    <t>Unrealized Gains</t>
  </si>
  <si>
    <t>Ending Balance</t>
  </si>
  <si>
    <t xml:space="preserve">FCISX </t>
  </si>
  <si>
    <t xml:space="preserve">FRUGX </t>
  </si>
  <si>
    <t xml:space="preserve">FRGSX </t>
  </si>
  <si>
    <t>FCSCX</t>
  </si>
  <si>
    <t xml:space="preserve">FSGCX </t>
  </si>
  <si>
    <t>TEGBX</t>
  </si>
  <si>
    <t>Month in Service</t>
  </si>
  <si>
    <t>Funding Source</t>
  </si>
  <si>
    <t>Supplier</t>
  </si>
  <si>
    <t>Cost</t>
  </si>
  <si>
    <t>Total</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</si>
  <si>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</si>
  <si>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</si>
  <si>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</si>
  <si>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</si>
  <si>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</si>
  <si>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</si>
  <si>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</si>
  <si>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NYSDOH 07/16 to 06/17</t>
  </si>
  <si>
    <t>Tobacco Free Communities Grant - COLA</t>
  </si>
  <si>
    <t>Totals</t>
  </si>
  <si>
    <t>NYSDOH 10/16 to 09/17</t>
  </si>
  <si>
    <t>NY Connects Year #11</t>
  </si>
  <si>
    <t>In Person Assistors &amp; Navigators - Yr#4 of 5</t>
  </si>
  <si>
    <t>Senior Transportation Services - 2017</t>
  </si>
  <si>
    <t>Ten Months Ended October 31, 2016 and 2015</t>
  </si>
  <si>
    <t>Albany Medical Center</t>
  </si>
  <si>
    <t>Bank Fees</t>
  </si>
  <si>
    <t>Date</t>
  </si>
  <si>
    <t>Balance</t>
  </si>
  <si>
    <t>Transportation Services (2017)</t>
  </si>
  <si>
    <t>County Government - 2017</t>
  </si>
  <si>
    <t>County Departments - 2017</t>
  </si>
  <si>
    <t>Columbia County Departments 2017 Donations (CARTS)</t>
  </si>
  <si>
    <t>Columbia County BOS 2017 Budget Appropriation</t>
  </si>
  <si>
    <t>Organizational Budget</t>
  </si>
  <si>
    <t>Twelve Months Ended December 31, 2017</t>
  </si>
  <si>
    <t>Less: Purchase of Vehicles</t>
  </si>
  <si>
    <t>NYSDOH Infrastructure Grant 04/17 to 03/18</t>
  </si>
  <si>
    <t>NYSDOH Clinical Services Grant 04/17 to 03/18</t>
  </si>
  <si>
    <t>Columbia County - Office of the Aging</t>
  </si>
  <si>
    <t>Rural Health Network Program - Yr#5 of 5</t>
  </si>
  <si>
    <t xml:space="preserve">Diff </t>
  </si>
  <si>
    <t>Max</t>
  </si>
  <si>
    <t>Min</t>
  </si>
  <si>
    <t>Columbia County</t>
  </si>
  <si>
    <r>
      <t xml:space="preserve">Greene County DSS </t>
    </r>
    <r>
      <rPr>
        <sz val="10"/>
        <color theme="1"/>
        <rFont val="Arial"/>
        <family val="2"/>
      </rPr>
      <t>(Community Service Workers )</t>
    </r>
  </si>
  <si>
    <t>Sold in Month</t>
  </si>
  <si>
    <t>Revenue</t>
  </si>
  <si>
    <t>Mileage</t>
  </si>
  <si>
    <t>Sold thru</t>
  </si>
  <si>
    <t>Vehicle Fuel &amp; Repairs</t>
  </si>
  <si>
    <t>CSP Clinical Services</t>
  </si>
  <si>
    <t>NYSDOH 07/17 to 06/18</t>
  </si>
  <si>
    <t>HRI Clinical Services 07/17 to 06/18</t>
  </si>
  <si>
    <t>Pending on NYS Statewide Financial System Website</t>
  </si>
  <si>
    <t>Tobacco Free Communities Grant - Yr#4 of 5</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</si>
  <si>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</si>
  <si>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NYSDOH 10/17 to 09/18</t>
  </si>
  <si>
    <t>In Person Assistors &amp; Navigators - Yr#5 of 5</t>
  </si>
  <si>
    <t xml:space="preserve">Transportation Services </t>
  </si>
  <si>
    <t>NY Connects E&amp;EP         01/17 to 03/18</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</si>
  <si>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</si>
  <si>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</si>
  <si>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</si>
  <si>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</si>
  <si>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</si>
  <si>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</si>
  <si>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</si>
  <si>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</si>
  <si>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</si>
  <si>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</si>
  <si>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</si>
  <si>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</si>
  <si>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</si>
  <si>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</si>
  <si>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</si>
  <si>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</si>
  <si>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</si>
  <si>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</si>
  <si>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</si>
  <si>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</si>
  <si>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</si>
  <si>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Senior Transportation Services - 2018</t>
  </si>
  <si>
    <t>CSP - Patient Services Grant - (6 Month Extension)</t>
  </si>
  <si>
    <t>CSP - Infrastructure Grant - (6 Month Extension)</t>
  </si>
  <si>
    <t>Transportation Services (2018)</t>
  </si>
  <si>
    <t>County Government - 2018</t>
  </si>
  <si>
    <t>Columbia County BOS 2018 Budget Appropriation</t>
  </si>
  <si>
    <t>County Departments - 2018</t>
  </si>
  <si>
    <t>Columbia County Departments 2018 Donations (CARTS)</t>
  </si>
  <si>
    <t>4695-05</t>
  </si>
  <si>
    <t>Medicaid Revenue -Transportation</t>
  </si>
  <si>
    <t>Fund</t>
  </si>
  <si>
    <t>Beginning Balance</t>
  </si>
  <si>
    <t>Percent Total Assets</t>
  </si>
  <si>
    <t>Columbia County (2nd Half of $50,000)</t>
  </si>
  <si>
    <t>Greene County-DSS HEAP Program</t>
  </si>
  <si>
    <t>Rural Health Network Program-(9 Month Extension)</t>
  </si>
  <si>
    <t>Balance as of 01/01/2018</t>
  </si>
  <si>
    <t>Unrealized Gain (Loss) on Investments</t>
  </si>
  <si>
    <t>For the Year Ended December 31, 2017</t>
  </si>
  <si>
    <t>Transfer</t>
  </si>
  <si>
    <t>Complementary Therapies Fund</t>
  </si>
  <si>
    <t>Group rides at $17/ride started 6/1/17, lost Harry Howard group ride in'18</t>
  </si>
  <si>
    <t>Vehicle Maintenance &amp; Repairs</t>
  </si>
  <si>
    <t>CoCo Dept. of Human Services</t>
  </si>
  <si>
    <t>Columbia County - Dept. of Human Services'</t>
  </si>
  <si>
    <t>Greene County-Dept. of Social Services</t>
  </si>
  <si>
    <t>NYSDOH 04/18 to 12/18 (Quarterly Voucher)</t>
  </si>
  <si>
    <t>April</t>
  </si>
  <si>
    <t>NYSDOH Infrastructure Grant 04/18 to 09/18</t>
  </si>
  <si>
    <t>NYSDOH Clinical Services Grant 04/18 to 09/18</t>
  </si>
  <si>
    <t>NY Connects E&amp;EP         04/18 to 03/19</t>
  </si>
  <si>
    <t>MIPPA                              04/18 to 9/18</t>
  </si>
  <si>
    <t>Tobacco Free Communities Grant - Yr#5 of 5</t>
  </si>
  <si>
    <t>The Bank of Greene County - Greene County Cancer Fund</t>
  </si>
  <si>
    <t>Miscellaneous</t>
  </si>
  <si>
    <t>Vehicle mileage for period</t>
  </si>
  <si>
    <t>Agency</t>
  </si>
  <si>
    <t>Genesee Valley Ford</t>
  </si>
  <si>
    <t>2018 Ford Taurus FWD SE</t>
  </si>
  <si>
    <t>Intelligent Technology Solutions</t>
  </si>
  <si>
    <t>RHN</t>
  </si>
  <si>
    <t>Dell Optiplex 7450</t>
  </si>
  <si>
    <t>Dell Latitude Laptop</t>
  </si>
  <si>
    <t>Samsung Galaxy Tablet</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</si>
  <si>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another twelve months until August 1, 2018. Request recently submitted to renew line for another twelve months.</t>
    </r>
  </si>
  <si>
    <r>
      <t>è</t>
    </r>
    <r>
      <rPr>
        <b/>
        <sz val="12"/>
        <color theme="1"/>
        <rFont val="Times New Roman"/>
        <family val="1"/>
      </rPr>
      <t xml:space="preserve"> Equipment, Furniture &amp; Vehicles</t>
    </r>
    <r>
      <rPr>
        <sz val="12"/>
        <color theme="1"/>
        <rFont val="Calibri"/>
        <family val="2"/>
      </rPr>
      <t xml:space="preserve"> -We purchased $4,000 for new computer equipment and $21,894 for new Ford Taurus vehicle.</t>
    </r>
  </si>
  <si>
    <t>Cost per mile (w/o depreciation)</t>
  </si>
  <si>
    <t>Cost per Rider (w/o depreciation)</t>
  </si>
  <si>
    <t>Pay Increases in '18 + positions temporary vacant in 2017 + driver's wages</t>
  </si>
  <si>
    <t>Grants Receivable Aging Summary as of June 30, 2018</t>
  </si>
  <si>
    <t>June</t>
  </si>
  <si>
    <t>Payments Received After June 30, 2018</t>
  </si>
  <si>
    <t>Total AR Payments Received After June 30, 2018</t>
  </si>
  <si>
    <t>May</t>
  </si>
  <si>
    <t>CSP Infra - May 2018 Voucher</t>
  </si>
  <si>
    <t>CSP Patient Services - May 2018 Voucher</t>
  </si>
  <si>
    <t>Navigator Program - April 2018 Voucher</t>
  </si>
  <si>
    <t>March &amp; Older</t>
  </si>
  <si>
    <t>Tobacco-Free -  March 2018 Voucher</t>
  </si>
  <si>
    <t>Tobacco-Free -  April 2018 Voucher</t>
  </si>
  <si>
    <t>CSP Infra - April 2018 Voucher</t>
  </si>
  <si>
    <t>June 30th AR Balance at July 16, 2018</t>
  </si>
  <si>
    <t>Tobacco-Free - May 2018 Voucher</t>
  </si>
  <si>
    <t>Tobacco-Free - Grant Advance for 18/19 Year</t>
  </si>
  <si>
    <t>As of  June 30, 2018</t>
  </si>
  <si>
    <t>In Person Assistors &amp; Navigators-(7 Mth Extension)</t>
  </si>
  <si>
    <t>QuickBooks AR at 6/30/2018</t>
  </si>
  <si>
    <t>Six Months Ended June 30, 2018 and 2017</t>
  </si>
  <si>
    <t>June '18 vs. '17</t>
  </si>
  <si>
    <t>Number of Rides for period</t>
  </si>
  <si>
    <t>Number of Medicaid Rides for Period</t>
  </si>
  <si>
    <t>Medicaid Revenue/Medicaid Ride</t>
  </si>
  <si>
    <r>
      <t>è</t>
    </r>
    <r>
      <rPr>
        <b/>
        <sz val="12"/>
        <color theme="1"/>
        <rFont val="Times New Roman"/>
        <family val="1"/>
      </rPr>
      <t xml:space="preserve"> Cash</t>
    </r>
    <r>
      <rPr>
        <sz val="12"/>
        <color theme="1"/>
        <rFont val="Calibri"/>
        <family val="2"/>
      </rPr>
      <t xml:space="preserve"> -  Cash balance in the operating checking account started the year off with $283K and ended with $195K at June 30, 2018. Low balance on May 11th was $153K &amp; the high balance on March 2nd was $367K. Average daily balance for the 2017 &amp; 2018 years were $323K and $256K, respectively.</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</si>
  <si>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June 30, 2018 our Grant Receivable is $311K. Expectation is that we will collect on all receivables.  The average collection period for 2017 was 70 days. Summary of Grants Receivable at June 30, 2018 is as follows:</t>
    </r>
  </si>
  <si>
    <r>
      <t>è</t>
    </r>
    <r>
      <rPr>
        <b/>
        <sz val="12"/>
        <color theme="1"/>
        <rFont val="Times New Roman"/>
        <family val="1"/>
      </rPr>
      <t xml:space="preserve"> Investment - Infinex Financial-Securities</t>
    </r>
    <r>
      <rPr>
        <sz val="12"/>
        <color theme="1"/>
        <rFont val="Calibri"/>
        <family val="2"/>
      </rPr>
      <t xml:space="preserve"> - As of June 30, 2018, investment account value of six mutual funds is $164,895. Initial investment during March 2016 was $152,036 or $25.3K per mutual fund</t>
    </r>
  </si>
  <si>
    <r>
      <t>è</t>
    </r>
    <r>
      <rPr>
        <b/>
        <sz val="12"/>
        <color theme="1"/>
        <rFont val="Times New Roman"/>
        <family val="1"/>
      </rPr>
      <t xml:space="preserve">Accounts Payable - </t>
    </r>
    <r>
      <rPr>
        <sz val="12"/>
        <color theme="1"/>
        <rFont val="Calibri"/>
        <family val="2"/>
        <scheme val="minor"/>
      </rPr>
      <t xml:space="preserve">At June 30, 2018, accounts payable lability is $36,245 and all AP liability is being paid timely within 28 days except CSP Clinical Services which gets paid once NYS pays CCCHC. Amount due to iHeart Media for Tobacco-Free advertising was $18,385. </t>
    </r>
  </si>
  <si>
    <t>Ending Balance at June 30, 2018</t>
  </si>
  <si>
    <r>
      <t>è</t>
    </r>
    <r>
      <rPr>
        <sz val="12"/>
        <color theme="1"/>
        <rFont val="Times New Roman"/>
        <family val="1"/>
      </rPr>
      <t xml:space="preserve"> </t>
    </r>
    <r>
      <rPr>
        <b/>
        <sz val="12"/>
        <color theme="1"/>
        <rFont val="Calibri"/>
        <family val="2"/>
      </rPr>
      <t>Temporary Restricted Funds</t>
    </r>
    <r>
      <rPr>
        <sz val="12"/>
        <color theme="1"/>
        <rFont val="Calibri"/>
        <family val="2"/>
      </rPr>
      <t xml:space="preserve"> - Temporarily restricted net assets are donated contributions that have only a one-sided economic benefit and are restricted to a specific period of time or set of conditions. To decrease this revenue employ another account named Net Assets Released From Restrictions, which reports revenue.  Below temporarily restricted net assets represents donations to be used for the following specific program purpose as of June 30, 2018: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</si>
  <si>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June 30, 2018,</t>
    </r>
  </si>
  <si>
    <t>Transportation Program Efficiency</t>
  </si>
  <si>
    <t>CARTS  - Transportation Efficiency Study</t>
  </si>
  <si>
    <t>Kinderhook Toyota - Columbia Cancer Fund</t>
  </si>
  <si>
    <t>FCH: Transportation Efficiency Study</t>
  </si>
  <si>
    <t>Reduction in RHN &amp; CSP Grants.</t>
  </si>
  <si>
    <t>$9K for CARTS Effeciency Study '18, &lt;$2.2&gt; Dyson Rx</t>
  </si>
  <si>
    <t>Recoup 2% Medicaid Reduction from 2015</t>
  </si>
  <si>
    <t>Recoup 2% of Medicaid Claims from 2015 Yr</t>
  </si>
  <si>
    <t>Refund of 2015 2% Recapture of Medicaid Claims $3,123 in 2018</t>
  </si>
  <si>
    <t>Health &amp; Dental Ins down by $4.3K and Accrued Paid Leave up $6.5K</t>
  </si>
  <si>
    <t>Tobacco Program Supplies increased by $2.5K in 2018</t>
  </si>
  <si>
    <t>Tobacco paid $14K for Siena Research in 2017</t>
  </si>
  <si>
    <t>Tobacco Program increased by $4.0K in 2018</t>
  </si>
  <si>
    <t>Grants Receivable at 06/30/2018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</si>
</sst>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s>
  <fonts count="65"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s>
  <borders count="69">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9" fontId="2" fillId="0" borderId="0" applyFont="0" applyFill="0" applyBorder="0" applyAlignment="0" applyProtection="0"/>
  </cellStyleXfs>
  <cellXfs count="780">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2"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3" xfId="0" applyFont="1" applyFill="1" applyBorder="1" applyAlignment="1"/>
    <xf numFmtId="0" fontId="6" fillId="4" borderId="14" xfId="0" applyFont="1" applyFill="1" applyBorder="1" applyAlignment="1"/>
    <xf numFmtId="0" fontId="6" fillId="3" borderId="16"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0" xfId="0" applyNumberFormat="1" applyFont="1" applyBorder="1" applyAlignment="1">
      <alignment vertical="center"/>
    </xf>
    <xf numFmtId="0" fontId="14" fillId="0" borderId="0" xfId="0" applyFont="1" applyBorder="1" applyAlignment="1">
      <alignment vertical="center"/>
    </xf>
    <xf numFmtId="0" fontId="14" fillId="0" borderId="30"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1" xfId="0" applyNumberFormat="1" applyFont="1" applyBorder="1" applyAlignment="1">
      <alignment vertical="center"/>
    </xf>
    <xf numFmtId="0" fontId="12" fillId="0" borderId="0" xfId="0" applyFont="1" applyBorder="1" applyAlignment="1">
      <alignment vertical="center"/>
    </xf>
    <xf numFmtId="0" fontId="12" fillId="0" borderId="3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27" xfId="0" applyNumberFormat="1" applyFont="1" applyBorder="1" applyAlignment="1">
      <alignment vertical="center"/>
    </xf>
    <xf numFmtId="49" fontId="11" fillId="0" borderId="27" xfId="0" applyNumberFormat="1" applyFont="1" applyBorder="1" applyAlignment="1">
      <alignment vertical="center"/>
    </xf>
    <xf numFmtId="49" fontId="11" fillId="0" borderId="2" xfId="0" applyNumberFormat="1" applyFont="1" applyBorder="1" applyAlignment="1">
      <alignment vertical="center"/>
    </xf>
    <xf numFmtId="49" fontId="16" fillId="0" borderId="28" xfId="0" applyNumberFormat="1" applyFont="1" applyBorder="1" applyAlignment="1">
      <alignment vertical="center"/>
    </xf>
    <xf numFmtId="49" fontId="11" fillId="0" borderId="28"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19" fillId="6" borderId="0" xfId="0" applyNumberFormat="1" applyFont="1" applyFill="1" applyBorder="1"/>
    <xf numFmtId="0" fontId="0" fillId="7" borderId="0" xfId="0" applyFont="1" applyFill="1"/>
    <xf numFmtId="49" fontId="19" fillId="7" borderId="0" xfId="0" applyNumberFormat="1" applyFont="1" applyFill="1" applyBorder="1"/>
    <xf numFmtId="0" fontId="0" fillId="7"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0" borderId="0" xfId="0" applyFont="1" applyFill="1"/>
    <xf numFmtId="0" fontId="0" fillId="8" borderId="0" xfId="0" applyFont="1" applyFill="1"/>
    <xf numFmtId="49" fontId="18" fillId="0" borderId="0" xfId="0" applyNumberFormat="1" applyFont="1" applyFill="1" applyBorder="1"/>
    <xf numFmtId="0" fontId="0" fillId="0" borderId="3" xfId="0" applyFont="1" applyFill="1" applyBorder="1"/>
    <xf numFmtId="0" fontId="0" fillId="8" borderId="3" xfId="0" applyFont="1" applyFill="1" applyBorder="1"/>
    <xf numFmtId="49" fontId="19"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19" fillId="11" borderId="0" xfId="0" applyNumberFormat="1" applyFont="1" applyFill="1" applyBorder="1" applyAlignment="1">
      <alignment horizontal="left"/>
    </xf>
    <xf numFmtId="0" fontId="0" fillId="9"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2"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7" borderId="0" xfId="0" applyNumberFormat="1" applyFont="1" applyFill="1" applyBorder="1" applyAlignment="1">
      <alignment horizontal="left"/>
    </xf>
    <xf numFmtId="49" fontId="19" fillId="10" borderId="0" xfId="0" applyNumberFormat="1" applyFont="1" applyFill="1" applyBorder="1"/>
    <xf numFmtId="49" fontId="19" fillId="11" borderId="0" xfId="0" applyNumberFormat="1" applyFont="1" applyFill="1" applyBorder="1"/>
    <xf numFmtId="0" fontId="5" fillId="0" borderId="0" xfId="0" applyFont="1" applyBorder="1" applyAlignment="1">
      <alignment horizontal="center"/>
    </xf>
    <xf numFmtId="49" fontId="18" fillId="5" borderId="16" xfId="0" applyNumberFormat="1" applyFont="1" applyFill="1" applyBorder="1"/>
    <xf numFmtId="49" fontId="18" fillId="6" borderId="34" xfId="0" applyNumberFormat="1" applyFont="1" applyFill="1" applyBorder="1"/>
    <xf numFmtId="49" fontId="18" fillId="6" borderId="28" xfId="0" applyNumberFormat="1" applyFont="1" applyFill="1" applyBorder="1"/>
    <xf numFmtId="49" fontId="18" fillId="6" borderId="16" xfId="0" applyNumberFormat="1" applyFont="1" applyFill="1" applyBorder="1"/>
    <xf numFmtId="49" fontId="18" fillId="7" borderId="34" xfId="0" applyNumberFormat="1" applyFont="1" applyFill="1" applyBorder="1"/>
    <xf numFmtId="49" fontId="18" fillId="7" borderId="28" xfId="0" applyNumberFormat="1" applyFont="1" applyFill="1" applyBorder="1"/>
    <xf numFmtId="49" fontId="18" fillId="7" borderId="16" xfId="0" applyNumberFormat="1" applyFont="1" applyFill="1" applyBorder="1"/>
    <xf numFmtId="49" fontId="18" fillId="7" borderId="16" xfId="0" applyNumberFormat="1" applyFont="1" applyFill="1" applyBorder="1" applyAlignment="1">
      <alignment horizontal="center"/>
    </xf>
    <xf numFmtId="49" fontId="18" fillId="10" borderId="34" xfId="0" applyNumberFormat="1" applyFont="1" applyFill="1" applyBorder="1"/>
    <xf numFmtId="49" fontId="18" fillId="10" borderId="28" xfId="0" applyNumberFormat="1" applyFont="1" applyFill="1" applyBorder="1"/>
    <xf numFmtId="49" fontId="18" fillId="10" borderId="16" xfId="0" applyNumberFormat="1" applyFont="1" applyFill="1" applyBorder="1"/>
    <xf numFmtId="49" fontId="18" fillId="8" borderId="34" xfId="0" applyNumberFormat="1" applyFont="1" applyFill="1" applyBorder="1"/>
    <xf numFmtId="49" fontId="18" fillId="8" borderId="28" xfId="0" applyNumberFormat="1" applyFont="1" applyFill="1" applyBorder="1"/>
    <xf numFmtId="49" fontId="19" fillId="8" borderId="16" xfId="0" applyNumberFormat="1" applyFont="1" applyFill="1" applyBorder="1"/>
    <xf numFmtId="49" fontId="18" fillId="11" borderId="34" xfId="0" applyNumberFormat="1" applyFont="1" applyFill="1" applyBorder="1" applyAlignment="1">
      <alignment horizontal="left"/>
    </xf>
    <xf numFmtId="49" fontId="18" fillId="11" borderId="28" xfId="0" applyNumberFormat="1" applyFont="1" applyFill="1" applyBorder="1" applyAlignment="1">
      <alignment horizontal="center"/>
    </xf>
    <xf numFmtId="0" fontId="5" fillId="11" borderId="16" xfId="0" applyFont="1" applyFill="1" applyBorder="1" applyAlignment="1">
      <alignment horizontal="center"/>
    </xf>
    <xf numFmtId="49" fontId="18" fillId="9" borderId="34" xfId="0" applyNumberFormat="1" applyFont="1" applyFill="1" applyBorder="1"/>
    <xf numFmtId="49" fontId="18" fillId="5" borderId="36" xfId="0" applyNumberFormat="1" applyFont="1" applyFill="1" applyBorder="1" applyAlignment="1"/>
    <xf numFmtId="49" fontId="18" fillId="5" borderId="37" xfId="0" applyNumberFormat="1" applyFont="1" applyFill="1" applyBorder="1" applyAlignment="1"/>
    <xf numFmtId="49" fontId="18" fillId="8" borderId="24"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2" xfId="0" applyFont="1" applyFill="1" applyBorder="1" applyAlignment="1">
      <alignment horizontal="center" vertical="center"/>
    </xf>
    <xf numFmtId="0" fontId="0" fillId="0" borderId="2" xfId="0" applyFont="1" applyBorder="1" applyAlignment="1">
      <alignment vertical="center"/>
    </xf>
    <xf numFmtId="49" fontId="11" fillId="0" borderId="27" xfId="0" applyNumberFormat="1" applyFont="1" applyBorder="1" applyAlignment="1"/>
    <xf numFmtId="0" fontId="0" fillId="0" borderId="27" xfId="0" applyBorder="1" applyAlignment="1"/>
    <xf numFmtId="49" fontId="18"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9" fillId="5" borderId="17" xfId="1" applyNumberFormat="1" applyFont="1" applyFill="1" applyBorder="1" applyAlignment="1">
      <alignment horizontal="right"/>
    </xf>
    <xf numFmtId="38" fontId="18" fillId="0" borderId="0" xfId="0" applyNumberFormat="1" applyFont="1" applyBorder="1" applyAlignment="1">
      <alignment horizontal="right"/>
    </xf>
    <xf numFmtId="38" fontId="19" fillId="6" borderId="37" xfId="0" applyNumberFormat="1" applyFont="1" applyFill="1" applyBorder="1" applyAlignment="1">
      <alignment horizontal="right"/>
    </xf>
    <xf numFmtId="38" fontId="19" fillId="6" borderId="39" xfId="0" applyNumberFormat="1" applyFont="1" applyFill="1" applyBorder="1" applyAlignment="1">
      <alignment horizontal="right"/>
    </xf>
    <xf numFmtId="38" fontId="19" fillId="6" borderId="36" xfId="0" applyNumberFormat="1" applyFont="1" applyFill="1" applyBorder="1" applyAlignment="1">
      <alignment horizontal="right"/>
    </xf>
    <xf numFmtId="38" fontId="19" fillId="6" borderId="1" xfId="1" applyNumberFormat="1" applyFont="1" applyFill="1" applyBorder="1" applyAlignment="1">
      <alignment horizontal="right"/>
    </xf>
    <xf numFmtId="38" fontId="19" fillId="6" borderId="9" xfId="1" applyNumberFormat="1" applyFont="1" applyFill="1" applyBorder="1" applyAlignment="1">
      <alignment horizontal="right"/>
    </xf>
    <xf numFmtId="38" fontId="19" fillId="6" borderId="17"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7" borderId="37" xfId="1" applyNumberFormat="1" applyFont="1" applyFill="1" applyBorder="1" applyAlignment="1">
      <alignment horizontal="right"/>
    </xf>
    <xf numFmtId="38" fontId="19" fillId="7" borderId="39" xfId="1" applyNumberFormat="1" applyFont="1" applyFill="1" applyBorder="1" applyAlignment="1">
      <alignment horizontal="right"/>
    </xf>
    <xf numFmtId="38" fontId="19" fillId="7" borderId="36" xfId="1"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9" fillId="7" borderId="17"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0" borderId="37" xfId="1" applyNumberFormat="1" applyFont="1" applyFill="1" applyBorder="1" applyAlignment="1">
      <alignment horizontal="right"/>
    </xf>
    <xf numFmtId="38" fontId="19" fillId="10" borderId="39" xfId="1" applyNumberFormat="1" applyFont="1" applyFill="1" applyBorder="1" applyAlignment="1">
      <alignment horizontal="right"/>
    </xf>
    <xf numFmtId="38" fontId="19" fillId="10" borderId="36" xfId="1" applyNumberFormat="1" applyFont="1" applyFill="1" applyBorder="1" applyAlignment="1">
      <alignment horizontal="right"/>
    </xf>
    <xf numFmtId="38" fontId="19" fillId="10" borderId="1" xfId="1" applyNumberFormat="1" applyFont="1" applyFill="1" applyBorder="1" applyAlignment="1">
      <alignment horizontal="right"/>
    </xf>
    <xf numFmtId="38" fontId="19" fillId="10" borderId="9" xfId="1" applyNumberFormat="1" applyFont="1" applyFill="1" applyBorder="1" applyAlignment="1">
      <alignment horizontal="right"/>
    </xf>
    <xf numFmtId="38" fontId="19" fillId="10" borderId="17" xfId="1" applyNumberFormat="1" applyFont="1" applyFill="1" applyBorder="1" applyAlignment="1">
      <alignment horizontal="right"/>
    </xf>
    <xf numFmtId="38" fontId="19" fillId="8" borderId="37" xfId="1" applyNumberFormat="1" applyFont="1" applyFill="1" applyBorder="1" applyAlignment="1">
      <alignment horizontal="right"/>
    </xf>
    <xf numFmtId="38" fontId="19" fillId="8" borderId="39" xfId="1" applyNumberFormat="1" applyFont="1" applyFill="1" applyBorder="1" applyAlignment="1">
      <alignment horizontal="right"/>
    </xf>
    <xf numFmtId="38" fontId="19" fillId="8" borderId="36"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9" fillId="8" borderId="17" xfId="1" applyNumberFormat="1" applyFont="1" applyFill="1" applyBorder="1" applyAlignment="1">
      <alignment horizontal="right"/>
    </xf>
    <xf numFmtId="38" fontId="18" fillId="8" borderId="37" xfId="1" applyNumberFormat="1" applyFont="1" applyFill="1" applyBorder="1" applyAlignment="1">
      <alignment horizontal="right"/>
    </xf>
    <xf numFmtId="38" fontId="18" fillId="8" borderId="39" xfId="1" applyNumberFormat="1" applyFont="1" applyFill="1" applyBorder="1" applyAlignment="1">
      <alignment horizontal="right"/>
    </xf>
    <xf numFmtId="38" fontId="18" fillId="8" borderId="36" xfId="1" applyNumberFormat="1" applyFont="1" applyFill="1" applyBorder="1" applyAlignment="1">
      <alignment horizontal="right"/>
    </xf>
    <xf numFmtId="38" fontId="18" fillId="11" borderId="37" xfId="1" applyNumberFormat="1" applyFont="1" applyFill="1" applyBorder="1" applyAlignment="1">
      <alignment horizontal="right"/>
    </xf>
    <xf numFmtId="38" fontId="18" fillId="11" borderId="39" xfId="1" applyNumberFormat="1" applyFont="1" applyFill="1" applyBorder="1" applyAlignment="1">
      <alignment horizontal="right"/>
    </xf>
    <xf numFmtId="38" fontId="18" fillId="11" borderId="36" xfId="1" applyNumberFormat="1" applyFont="1" applyFill="1" applyBorder="1" applyAlignment="1">
      <alignment horizontal="right"/>
    </xf>
    <xf numFmtId="38" fontId="19" fillId="11" borderId="1" xfId="1" applyNumberFormat="1" applyFont="1" applyFill="1" applyBorder="1" applyAlignment="1">
      <alignment horizontal="right"/>
    </xf>
    <xf numFmtId="38" fontId="19" fillId="11" borderId="9" xfId="1" applyNumberFormat="1" applyFont="1" applyFill="1" applyBorder="1" applyAlignment="1">
      <alignment horizontal="right"/>
    </xf>
    <xf numFmtId="38" fontId="19" fillId="11" borderId="17"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18" fillId="5" borderId="19" xfId="0" applyNumberFormat="1" applyFont="1" applyFill="1" applyBorder="1" applyAlignment="1">
      <alignment horizontal="center"/>
    </xf>
    <xf numFmtId="6" fontId="18" fillId="5" borderId="20" xfId="1" applyNumberFormat="1" applyFont="1" applyFill="1" applyBorder="1" applyAlignment="1">
      <alignment horizontal="right"/>
    </xf>
    <xf numFmtId="6" fontId="18" fillId="5" borderId="21"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18" fillId="6" borderId="19" xfId="0" applyNumberFormat="1" applyFont="1" applyFill="1" applyBorder="1" applyAlignment="1">
      <alignment horizontal="center"/>
    </xf>
    <xf numFmtId="6" fontId="18" fillId="6" borderId="25" xfId="1" applyNumberFormat="1" applyFont="1" applyFill="1" applyBorder="1" applyAlignment="1">
      <alignment horizontal="right"/>
    </xf>
    <xf numFmtId="6" fontId="18" fillId="6" borderId="21"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18" fillId="7" borderId="19" xfId="0" applyNumberFormat="1" applyFont="1" applyFill="1" applyBorder="1" applyAlignment="1">
      <alignment horizontal="center"/>
    </xf>
    <xf numFmtId="6" fontId="18" fillId="7" borderId="25" xfId="1" applyNumberFormat="1" applyFont="1" applyFill="1" applyBorder="1" applyAlignment="1">
      <alignment horizontal="right"/>
    </xf>
    <xf numFmtId="6" fontId="18" fillId="7" borderId="21"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18" fillId="10" borderId="19" xfId="0" applyNumberFormat="1" applyFont="1" applyFill="1" applyBorder="1" applyAlignment="1">
      <alignment horizontal="center"/>
    </xf>
    <xf numFmtId="6" fontId="18" fillId="10" borderId="25" xfId="1" applyNumberFormat="1" applyFont="1" applyFill="1" applyBorder="1" applyAlignment="1">
      <alignment horizontal="right"/>
    </xf>
    <xf numFmtId="6" fontId="18" fillId="10" borderId="20" xfId="1" applyNumberFormat="1" applyFont="1" applyFill="1" applyBorder="1" applyAlignment="1">
      <alignment horizontal="right"/>
    </xf>
    <xf numFmtId="6" fontId="18" fillId="10" borderId="21"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18" fillId="8" borderId="19" xfId="0" applyNumberFormat="1" applyFont="1" applyFill="1" applyBorder="1" applyAlignment="1">
      <alignment horizontal="center"/>
    </xf>
    <xf numFmtId="6" fontId="18" fillId="8" borderId="25" xfId="1" applyNumberFormat="1" applyFont="1" applyFill="1" applyBorder="1" applyAlignment="1">
      <alignment horizontal="right"/>
    </xf>
    <xf numFmtId="6" fontId="18" fillId="8" borderId="20" xfId="1" applyNumberFormat="1" applyFont="1" applyFill="1" applyBorder="1" applyAlignment="1">
      <alignment horizontal="right"/>
    </xf>
    <xf numFmtId="6" fontId="18" fillId="8" borderId="21"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4" fillId="11" borderId="19" xfId="0" applyNumberFormat="1" applyFont="1" applyFill="1" applyBorder="1" applyAlignment="1">
      <alignment horizontal="center"/>
    </xf>
    <xf numFmtId="6" fontId="18" fillId="11" borderId="25" xfId="1" applyNumberFormat="1" applyFont="1" applyFill="1" applyBorder="1" applyAlignment="1">
      <alignment horizontal="right"/>
    </xf>
    <xf numFmtId="6" fontId="18" fillId="11" borderId="21"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18"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27"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1"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0" xfId="0" applyNumberFormat="1" applyFont="1" applyBorder="1" applyAlignment="1">
      <alignment vertical="center"/>
    </xf>
    <xf numFmtId="41" fontId="15" fillId="0" borderId="27"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1"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45" xfId="0" applyNumberFormat="1" applyFont="1" applyFill="1" applyBorder="1" applyAlignment="1">
      <alignment horizontal="center"/>
    </xf>
    <xf numFmtId="40" fontId="3" fillId="0" borderId="44" xfId="0" applyNumberFormat="1" applyFont="1" applyFill="1" applyBorder="1" applyAlignment="1">
      <alignment horizontal="center"/>
    </xf>
    <xf numFmtId="0" fontId="6" fillId="4" borderId="32" xfId="0" applyFont="1" applyFill="1" applyBorder="1" applyAlignment="1">
      <alignment vertical="center"/>
    </xf>
    <xf numFmtId="0" fontId="6" fillId="4" borderId="33" xfId="0" applyFont="1" applyFill="1" applyBorder="1" applyAlignment="1">
      <alignment vertical="center"/>
    </xf>
    <xf numFmtId="0" fontId="6" fillId="4" borderId="42" xfId="0" applyFont="1" applyFill="1" applyBorder="1" applyAlignment="1">
      <alignment vertical="center"/>
    </xf>
    <xf numFmtId="40" fontId="3" fillId="3" borderId="47" xfId="0" applyNumberFormat="1" applyFont="1" applyFill="1" applyBorder="1" applyAlignment="1">
      <alignment horizontal="center" vertical="center" wrapText="1"/>
    </xf>
    <xf numFmtId="0" fontId="6" fillId="3" borderId="35" xfId="0" applyFont="1" applyFill="1" applyBorder="1"/>
    <xf numFmtId="0" fontId="6" fillId="3" borderId="27" xfId="0" applyFont="1" applyFill="1" applyBorder="1"/>
    <xf numFmtId="0" fontId="6" fillId="3" borderId="27" xfId="0" applyFont="1" applyFill="1" applyBorder="1" applyAlignment="1">
      <alignment horizontal="center"/>
    </xf>
    <xf numFmtId="14" fontId="6" fillId="3" borderId="27" xfId="0" applyNumberFormat="1" applyFont="1" applyFill="1" applyBorder="1" applyAlignment="1">
      <alignment horizontal="center"/>
    </xf>
    <xf numFmtId="42" fontId="23"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27"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4" fillId="0" borderId="0" xfId="0" applyFont="1" applyBorder="1"/>
    <xf numFmtId="41" fontId="24"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4" fillId="0" borderId="0" xfId="0" applyNumberFormat="1" applyFont="1" applyBorder="1"/>
    <xf numFmtId="0" fontId="0" fillId="0" borderId="0" xfId="0" applyFill="1" applyBorder="1" applyAlignment="1">
      <alignment horizontal="left"/>
    </xf>
    <xf numFmtId="6" fontId="4" fillId="13" borderId="38" xfId="1" applyNumberFormat="1" applyFont="1" applyFill="1" applyBorder="1" applyAlignment="1">
      <alignment horizontal="right"/>
    </xf>
    <xf numFmtId="0" fontId="25" fillId="0" borderId="0" xfId="0" applyNumberFormat="1" applyFont="1"/>
    <xf numFmtId="38" fontId="15" fillId="0" borderId="0" xfId="0" applyNumberFormat="1" applyFont="1" applyBorder="1" applyAlignment="1">
      <alignment vertical="center"/>
    </xf>
    <xf numFmtId="166" fontId="26" fillId="0" borderId="27" xfId="0" applyNumberFormat="1" applyFont="1" applyBorder="1" applyAlignment="1">
      <alignment horizontal="center"/>
    </xf>
    <xf numFmtId="10" fontId="0" fillId="0" borderId="0" xfId="0" applyNumberFormat="1" applyFill="1" applyBorder="1" applyAlignment="1"/>
    <xf numFmtId="0" fontId="27" fillId="0" borderId="0" xfId="0" applyFont="1" applyFill="1" applyBorder="1" applyAlignment="1">
      <alignment horizontal="left"/>
    </xf>
    <xf numFmtId="42" fontId="6" fillId="3" borderId="46" xfId="1" applyNumberFormat="1" applyFont="1" applyFill="1" applyBorder="1" applyAlignment="1"/>
    <xf numFmtId="42" fontId="3" fillId="3" borderId="35" xfId="0" applyNumberFormat="1" applyFont="1" applyFill="1" applyBorder="1"/>
    <xf numFmtId="0" fontId="0" fillId="0" borderId="49" xfId="0" applyFill="1" applyBorder="1"/>
    <xf numFmtId="0" fontId="0" fillId="0" borderId="46" xfId="0" applyFill="1" applyBorder="1"/>
    <xf numFmtId="42" fontId="3" fillId="3" borderId="27" xfId="0" applyNumberFormat="1" applyFont="1" applyFill="1" applyBorder="1"/>
    <xf numFmtId="42" fontId="3"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0" fontId="0" fillId="0" borderId="46" xfId="0" applyFill="1" applyBorder="1" applyAlignment="1">
      <alignment horizontal="center"/>
    </xf>
    <xf numFmtId="42" fontId="3"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3" fillId="3" borderId="27" xfId="0" applyNumberFormat="1" applyFont="1" applyFill="1" applyBorder="1" applyAlignment="1"/>
    <xf numFmtId="42" fontId="3" fillId="3" borderId="52" xfId="0" applyNumberFormat="1" applyFont="1" applyFill="1" applyBorder="1" applyAlignment="1"/>
    <xf numFmtId="42" fontId="3" fillId="3" borderId="53" xfId="0" applyNumberFormat="1" applyFont="1" applyFill="1" applyBorder="1" applyAlignment="1"/>
    <xf numFmtId="0" fontId="6" fillId="4" borderId="34" xfId="0" applyFont="1" applyFill="1" applyBorder="1"/>
    <xf numFmtId="0" fontId="4" fillId="4" borderId="28" xfId="0" applyFont="1" applyFill="1" applyBorder="1"/>
    <xf numFmtId="0" fontId="4"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4"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4" fillId="4" borderId="41" xfId="0" applyNumberFormat="1" applyFont="1" applyFill="1" applyBorder="1" applyAlignment="1"/>
    <xf numFmtId="40" fontId="4" fillId="4" borderId="36" xfId="0" applyNumberFormat="1" applyFont="1" applyFill="1" applyBorder="1" applyAlignment="1"/>
    <xf numFmtId="14" fontId="0" fillId="0" borderId="48" xfId="0" applyNumberFormat="1" applyFill="1" applyBorder="1" applyAlignment="1">
      <alignment horizontal="center"/>
    </xf>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8" fillId="0" borderId="0" xfId="0" applyNumberFormat="1" applyFont="1" applyBorder="1" applyAlignment="1">
      <alignment horizontal="center"/>
    </xf>
    <xf numFmtId="0" fontId="22" fillId="0" borderId="0" xfId="0" applyNumberFormat="1" applyFont="1"/>
    <xf numFmtId="14" fontId="0" fillId="0" borderId="29" xfId="0" applyNumberFormat="1" applyFill="1" applyBorder="1" applyAlignment="1">
      <alignment horizontal="center"/>
    </xf>
    <xf numFmtId="14" fontId="0" fillId="0" borderId="53" xfId="0" applyNumberFormat="1" applyFill="1" applyBorder="1" applyAlignment="1">
      <alignment horizontal="center"/>
    </xf>
    <xf numFmtId="0" fontId="3" fillId="3" borderId="44" xfId="0" applyFont="1" applyFill="1" applyBorder="1" applyAlignment="1">
      <alignment horizontal="center" vertical="center"/>
    </xf>
    <xf numFmtId="42" fontId="3" fillId="3" borderId="32" xfId="0" applyNumberFormat="1" applyFont="1" applyFill="1" applyBorder="1"/>
    <xf numFmtId="42" fontId="3" fillId="3" borderId="33" xfId="0" applyNumberFormat="1" applyFont="1" applyFill="1" applyBorder="1"/>
    <xf numFmtId="42" fontId="3" fillId="3" borderId="42" xfId="0" applyNumberFormat="1" applyFont="1" applyFill="1" applyBorder="1"/>
    <xf numFmtId="40" fontId="3" fillId="3" borderId="44" xfId="0" applyNumberFormat="1" applyFont="1" applyFill="1" applyBorder="1" applyAlignment="1">
      <alignment horizontal="center" vertical="center"/>
    </xf>
    <xf numFmtId="40" fontId="3" fillId="3" borderId="44" xfId="0" applyNumberFormat="1" applyFont="1" applyFill="1" applyBorder="1" applyAlignment="1">
      <alignment horizontal="center" vertical="center" wrapText="1"/>
    </xf>
    <xf numFmtId="0" fontId="0" fillId="0" borderId="57" xfId="0" applyBorder="1" applyAlignment="1">
      <alignment horizontal="center" vertical="center"/>
    </xf>
    <xf numFmtId="42" fontId="11" fillId="0" borderId="31" xfId="0" applyNumberFormat="1" applyFont="1" applyBorder="1" applyAlignment="1">
      <alignment vertical="center"/>
    </xf>
    <xf numFmtId="41" fontId="15" fillId="0" borderId="0" xfId="0" applyNumberFormat="1" applyFont="1" applyFill="1" applyBorder="1" applyAlignment="1">
      <alignment vertical="center"/>
    </xf>
    <xf numFmtId="166" fontId="26" fillId="0" borderId="0" xfId="0" applyNumberFormat="1" applyFont="1" applyBorder="1" applyAlignment="1">
      <alignment horizontal="center"/>
    </xf>
    <xf numFmtId="41" fontId="13" fillId="0" borderId="57" xfId="0" applyNumberFormat="1" applyFont="1" applyBorder="1" applyAlignment="1">
      <alignment vertical="center"/>
    </xf>
    <xf numFmtId="41" fontId="11" fillId="0" borderId="57" xfId="0" applyNumberFormat="1" applyFont="1" applyBorder="1" applyAlignment="1">
      <alignment vertical="center"/>
    </xf>
    <xf numFmtId="42" fontId="15" fillId="0" borderId="0" xfId="0" applyNumberFormat="1" applyFont="1" applyFill="1" applyBorder="1" applyAlignment="1">
      <alignment vertical="center"/>
    </xf>
    <xf numFmtId="41" fontId="18" fillId="5" borderId="16"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29" fillId="0" borderId="0" xfId="0" applyNumberFormat="1" applyFont="1" applyBorder="1" applyAlignment="1">
      <alignment vertical="center"/>
    </xf>
    <xf numFmtId="49" fontId="18" fillId="12" borderId="34" xfId="0" applyNumberFormat="1" applyFont="1" applyFill="1" applyBorder="1"/>
    <xf numFmtId="49" fontId="18" fillId="12" borderId="28" xfId="0" applyNumberFormat="1" applyFont="1" applyFill="1" applyBorder="1"/>
    <xf numFmtId="6" fontId="18" fillId="12" borderId="39" xfId="1" applyNumberFormat="1" applyFont="1" applyFill="1" applyBorder="1" applyAlignment="1">
      <alignment horizontal="right"/>
    </xf>
    <xf numFmtId="6" fontId="18" fillId="12" borderId="41" xfId="1" applyNumberFormat="1" applyFont="1" applyFill="1" applyBorder="1" applyAlignment="1">
      <alignment horizontal="right"/>
    </xf>
    <xf numFmtId="49" fontId="18" fillId="12" borderId="16" xfId="0" applyNumberFormat="1" applyFont="1" applyFill="1" applyBorder="1"/>
    <xf numFmtId="49" fontId="18" fillId="12" borderId="24" xfId="0" applyNumberFormat="1" applyFont="1" applyFill="1" applyBorder="1"/>
    <xf numFmtId="6" fontId="18" fillId="12" borderId="40" xfId="1" applyNumberFormat="1" applyFont="1" applyFill="1" applyBorder="1" applyAlignment="1">
      <alignment horizontal="right"/>
    </xf>
    <xf numFmtId="49" fontId="19" fillId="12" borderId="0" xfId="0" applyNumberFormat="1" applyFont="1" applyFill="1" applyBorder="1"/>
    <xf numFmtId="49" fontId="19" fillId="12" borderId="2" xfId="0" applyNumberFormat="1" applyFont="1" applyFill="1" applyBorder="1"/>
    <xf numFmtId="38" fontId="18" fillId="12" borderId="29" xfId="1" applyNumberFormat="1" applyFont="1" applyFill="1" applyBorder="1" applyAlignment="1">
      <alignment horizontal="right"/>
    </xf>
    <xf numFmtId="38" fontId="18" fillId="12" borderId="43" xfId="1" applyNumberFormat="1" applyFont="1" applyFill="1" applyBorder="1" applyAlignment="1">
      <alignment horizontal="right"/>
    </xf>
    <xf numFmtId="0" fontId="28"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2" fillId="0" borderId="57"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38" fontId="18" fillId="12" borderId="39" xfId="1" applyNumberFormat="1" applyFont="1" applyFill="1" applyBorder="1" applyAlignment="1">
      <alignment horizontal="right"/>
    </xf>
    <xf numFmtId="49" fontId="18" fillId="8" borderId="16" xfId="0" applyNumberFormat="1" applyFont="1" applyFill="1" applyBorder="1"/>
    <xf numFmtId="41" fontId="0" fillId="0" borderId="0" xfId="0" applyNumberFormat="1" applyAlignment="1">
      <alignment horizontal="right"/>
    </xf>
    <xf numFmtId="14" fontId="0" fillId="0" borderId="59" xfId="0" applyNumberFormat="1" applyFill="1" applyBorder="1" applyAlignment="1">
      <alignment horizontal="center"/>
    </xf>
    <xf numFmtId="41" fontId="0" fillId="0" borderId="49" xfId="1" applyNumberFormat="1" applyFont="1" applyFill="1" applyBorder="1" applyAlignment="1">
      <alignment horizontal="right"/>
    </xf>
    <xf numFmtId="41" fontId="0" fillId="0" borderId="48"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18" fillId="9" borderId="16" xfId="0" applyNumberFormat="1" applyFont="1" applyFill="1" applyBorder="1"/>
    <xf numFmtId="49" fontId="18" fillId="9" borderId="24" xfId="0" applyNumberFormat="1" applyFont="1" applyFill="1" applyBorder="1"/>
    <xf numFmtId="49" fontId="18" fillId="14" borderId="33" xfId="0" applyNumberFormat="1" applyFont="1" applyFill="1" applyBorder="1"/>
    <xf numFmtId="6" fontId="18" fillId="14" borderId="38" xfId="1" applyNumberFormat="1" applyFont="1" applyFill="1" applyBorder="1" applyAlignment="1">
      <alignment horizontal="right"/>
    </xf>
    <xf numFmtId="38" fontId="18" fillId="14" borderId="38" xfId="1" applyNumberFormat="1" applyFont="1" applyFill="1" applyBorder="1" applyAlignment="1">
      <alignment horizontal="right"/>
    </xf>
    <xf numFmtId="6" fontId="18" fillId="14" borderId="42" xfId="1" applyNumberFormat="1" applyFont="1" applyFill="1" applyBorder="1" applyAlignment="1">
      <alignment horizontal="right"/>
    </xf>
    <xf numFmtId="42" fontId="3" fillId="3" borderId="60" xfId="1" applyNumberFormat="1" applyFont="1" applyFill="1" applyBorder="1" applyAlignment="1"/>
    <xf numFmtId="42" fontId="3" fillId="3" borderId="38" xfId="1" applyNumberFormat="1" applyFont="1" applyFill="1" applyBorder="1" applyAlignment="1"/>
    <xf numFmtId="42" fontId="3" fillId="3" borderId="61" xfId="1" applyNumberFormat="1" applyFont="1" applyFill="1" applyBorder="1" applyAlignment="1"/>
    <xf numFmtId="42" fontId="3" fillId="3" borderId="62" xfId="1" applyNumberFormat="1" applyFont="1" applyFill="1" applyBorder="1" applyAlignment="1"/>
    <xf numFmtId="41" fontId="24" fillId="0" borderId="27" xfId="0" applyNumberFormat="1" applyFont="1" applyBorder="1" applyAlignment="1">
      <alignment vertical="center"/>
    </xf>
    <xf numFmtId="42" fontId="24" fillId="0" borderId="0" xfId="0" applyNumberFormat="1" applyFont="1" applyBorder="1" applyAlignment="1">
      <alignment vertical="center"/>
    </xf>
    <xf numFmtId="42" fontId="0" fillId="0" borderId="0" xfId="0" applyNumberFormat="1" applyFont="1" applyBorder="1" applyAlignment="1">
      <alignment vertical="center"/>
    </xf>
    <xf numFmtId="41" fontId="30" fillId="0" borderId="49" xfId="1" applyNumberFormat="1" applyFont="1" applyFill="1" applyBorder="1" applyAlignment="1"/>
    <xf numFmtId="38" fontId="0" fillId="0" borderId="49" xfId="1" applyNumberFormat="1" applyFont="1" applyFill="1" applyBorder="1" applyAlignment="1">
      <alignment horizontal="right"/>
    </xf>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1" fontId="0" fillId="0" borderId="46" xfId="1" applyNumberFormat="1" applyFont="1" applyFill="1" applyBorder="1" applyAlignment="1">
      <alignment horizont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27"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xf numFmtId="41" fontId="15" fillId="0" borderId="2" xfId="0" applyNumberFormat="1" applyFont="1" applyFill="1" applyBorder="1" applyAlignment="1">
      <alignment vertical="center"/>
    </xf>
    <xf numFmtId="41" fontId="24"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0" fontId="3" fillId="3" borderId="47" xfId="0" applyFont="1" applyFill="1" applyBorder="1" applyAlignment="1">
      <alignment horizontal="center" vertical="center"/>
    </xf>
    <xf numFmtId="42" fontId="8" fillId="0" borderId="0" xfId="0" applyNumberFormat="1" applyFont="1" applyBorder="1" applyAlignment="1">
      <alignment vertical="center"/>
    </xf>
    <xf numFmtId="0" fontId="0" fillId="0" borderId="27" xfId="0" applyFont="1" applyBorder="1" applyAlignment="1">
      <alignment vertical="center"/>
    </xf>
    <xf numFmtId="0" fontId="24" fillId="0" borderId="0" xfId="0" applyFont="1" applyBorder="1" applyAlignment="1">
      <alignment vertical="center"/>
    </xf>
    <xf numFmtId="0" fontId="11" fillId="0" borderId="0" xfId="0" applyFont="1" applyBorder="1" applyAlignment="1">
      <alignment vertical="center"/>
    </xf>
    <xf numFmtId="0" fontId="24" fillId="0" borderId="27" xfId="0" applyFont="1" applyBorder="1" applyAlignment="1">
      <alignment vertical="center"/>
    </xf>
    <xf numFmtId="41" fontId="13" fillId="0" borderId="30" xfId="0" applyNumberFormat="1" applyFont="1" applyBorder="1" applyAlignment="1">
      <alignment horizontal="center" vertical="center"/>
    </xf>
    <xf numFmtId="49" fontId="15" fillId="0" borderId="0" xfId="0" applyNumberFormat="1" applyFont="1" applyAlignment="1">
      <alignment vertical="center"/>
    </xf>
    <xf numFmtId="49" fontId="15" fillId="0" borderId="27" xfId="0" applyNumberFormat="1" applyFont="1" applyBorder="1" applyAlignment="1">
      <alignment vertical="center"/>
    </xf>
    <xf numFmtId="49" fontId="11" fillId="0" borderId="0" xfId="0" applyNumberFormat="1" applyFont="1" applyAlignment="1">
      <alignment wrapText="1"/>
    </xf>
    <xf numFmtId="166" fontId="26" fillId="0" borderId="27" xfId="0" applyNumberFormat="1" applyFont="1" applyBorder="1" applyAlignment="1">
      <alignment horizontal="center" vertical="center" wrapText="1"/>
    </xf>
    <xf numFmtId="41" fontId="8" fillId="0" borderId="0" xfId="0" applyNumberFormat="1" applyFont="1"/>
    <xf numFmtId="10" fontId="11" fillId="0" borderId="0" xfId="0" applyNumberFormat="1" applyFont="1" applyAlignment="1">
      <alignment vertical="center"/>
    </xf>
    <xf numFmtId="0" fontId="24" fillId="0" borderId="30"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27" xfId="0" applyNumberFormat="1" applyFont="1" applyBorder="1" applyAlignment="1">
      <alignment horizontal="center" vertical="center"/>
    </xf>
    <xf numFmtId="0" fontId="24" fillId="0" borderId="30" xfId="0" applyFont="1" applyBorder="1" applyAlignment="1">
      <alignment horizontal="right" vertical="center"/>
    </xf>
    <xf numFmtId="8" fontId="42" fillId="0" borderId="0" xfId="0" applyNumberFormat="1" applyFont="1" applyAlignment="1">
      <alignment vertical="center"/>
    </xf>
    <xf numFmtId="0" fontId="42" fillId="0" borderId="0" xfId="0" applyFont="1" applyAlignment="1">
      <alignment vertical="center"/>
    </xf>
    <xf numFmtId="0" fontId="42" fillId="0" borderId="0" xfId="0" applyFont="1"/>
    <xf numFmtId="8" fontId="42" fillId="0" borderId="0" xfId="0" applyNumberFormat="1" applyFont="1"/>
    <xf numFmtId="49" fontId="15"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38" fontId="0" fillId="9" borderId="36" xfId="0" applyNumberFormat="1" applyFont="1" applyFill="1" applyBorder="1" applyAlignment="1">
      <alignment horizontal="center"/>
    </xf>
    <xf numFmtId="6" fontId="18" fillId="9" borderId="40" xfId="1" applyNumberFormat="1" applyFont="1" applyFill="1" applyBorder="1" applyAlignment="1">
      <alignment horizontal="right"/>
    </xf>
    <xf numFmtId="6" fontId="18" fillId="9" borderId="51" xfId="1" applyNumberFormat="1" applyFont="1" applyFill="1" applyBorder="1" applyAlignment="1">
      <alignment horizontal="right"/>
    </xf>
    <xf numFmtId="165" fontId="43" fillId="0" borderId="0" xfId="0" applyNumberFormat="1" applyFont="1" applyBorder="1" applyAlignment="1">
      <alignment horizontal="center" vertical="center"/>
    </xf>
    <xf numFmtId="0" fontId="25" fillId="0" borderId="0" xfId="0" applyNumberFormat="1" applyFont="1" applyFill="1"/>
    <xf numFmtId="38" fontId="0" fillId="0" borderId="48" xfId="1" applyNumberFormat="1" applyFont="1" applyFill="1" applyBorder="1" applyAlignment="1">
      <alignment horizontal="right"/>
    </xf>
    <xf numFmtId="6" fontId="19" fillId="9" borderId="0" xfId="0" applyNumberFormat="1" applyFont="1" applyFill="1" applyBorder="1"/>
    <xf numFmtId="6" fontId="18" fillId="9" borderId="19" xfId="0" applyNumberFormat="1" applyFont="1" applyFill="1" applyBorder="1" applyAlignment="1">
      <alignment horizontal="center"/>
    </xf>
    <xf numFmtId="38" fontId="18" fillId="9" borderId="9" xfId="1" applyNumberFormat="1" applyFont="1" applyFill="1" applyBorder="1" applyAlignment="1">
      <alignment horizontal="right"/>
    </xf>
    <xf numFmtId="38" fontId="18" fillId="9" borderId="1" xfId="1" applyNumberFormat="1" applyFont="1" applyFill="1" applyBorder="1" applyAlignment="1">
      <alignment horizontal="right"/>
    </xf>
    <xf numFmtId="38" fontId="18" fillId="9" borderId="17" xfId="1" applyNumberFormat="1" applyFont="1" applyFill="1" applyBorder="1" applyAlignment="1">
      <alignment horizontal="right"/>
    </xf>
    <xf numFmtId="38" fontId="18" fillId="9" borderId="4" xfId="1" applyNumberFormat="1" applyFont="1" applyFill="1" applyBorder="1" applyAlignment="1">
      <alignment horizontal="right"/>
    </xf>
    <xf numFmtId="38" fontId="18" fillId="9" borderId="64" xfId="1" applyNumberFormat="1" applyFont="1" applyFill="1" applyBorder="1" applyAlignment="1">
      <alignment horizontal="right"/>
    </xf>
    <xf numFmtId="6" fontId="18" fillId="0" borderId="0" xfId="1" applyNumberFormat="1" applyFont="1" applyFill="1" applyBorder="1" applyAlignment="1">
      <alignment horizontal="right"/>
    </xf>
    <xf numFmtId="6" fontId="18" fillId="15" borderId="38" xfId="1" applyNumberFormat="1" applyFont="1" applyFill="1" applyBorder="1" applyAlignment="1">
      <alignment horizontal="right"/>
    </xf>
    <xf numFmtId="38" fontId="18" fillId="15" borderId="38" xfId="1" applyNumberFormat="1" applyFont="1" applyFill="1" applyBorder="1" applyAlignment="1">
      <alignment horizontal="right"/>
    </xf>
    <xf numFmtId="6" fontId="18" fillId="15" borderId="42" xfId="1" applyNumberFormat="1" applyFont="1" applyFill="1" applyBorder="1" applyAlignment="1">
      <alignment horizontal="right"/>
    </xf>
    <xf numFmtId="0" fontId="28" fillId="0" borderId="0" xfId="0" applyNumberFormat="1" applyFont="1" applyFill="1" applyBorder="1" applyAlignment="1">
      <alignment horizontal="center"/>
    </xf>
    <xf numFmtId="42" fontId="3" fillId="2" borderId="44" xfId="0" applyNumberFormat="1" applyFont="1" applyFill="1" applyBorder="1" applyAlignment="1"/>
    <xf numFmtId="40" fontId="45" fillId="0" borderId="0" xfId="0" applyNumberFormat="1" applyFont="1" applyAlignment="1">
      <alignment horizontal="center" vertical="center"/>
    </xf>
    <xf numFmtId="165" fontId="44" fillId="0" borderId="0" xfId="0" applyNumberFormat="1" applyFont="1" applyBorder="1" applyAlignment="1">
      <alignment horizontal="center" vertical="center"/>
    </xf>
    <xf numFmtId="167" fontId="35" fillId="0" borderId="0" xfId="0" applyNumberFormat="1" applyFont="1" applyFill="1" applyAlignment="1">
      <alignment horizontal="right" wrapText="1"/>
    </xf>
    <xf numFmtId="0" fontId="35" fillId="0" borderId="0" xfId="0" applyFont="1" applyFill="1" applyAlignment="1">
      <alignment horizontal="right" wrapText="1"/>
    </xf>
    <xf numFmtId="41" fontId="35" fillId="0" borderId="0" xfId="0" applyNumberFormat="1" applyFont="1" applyFill="1" applyAlignment="1">
      <alignment horizontal="center" wrapText="1"/>
    </xf>
    <xf numFmtId="0" fontId="34" fillId="0" borderId="0" xfId="0" applyFont="1" applyFill="1" applyAlignment="1">
      <alignment horizontal="left" vertical="center" wrapText="1"/>
    </xf>
    <xf numFmtId="0" fontId="38" fillId="0" borderId="0" xfId="0" quotePrefix="1" applyFont="1" applyFill="1" applyAlignment="1">
      <alignment horizontal="center" vertical="center" wrapText="1"/>
    </xf>
    <xf numFmtId="42" fontId="35" fillId="0" borderId="31" xfId="0" applyNumberFormat="1" applyFont="1" applyFill="1" applyBorder="1" applyAlignment="1">
      <alignment horizontal="center" vertical="center" wrapText="1"/>
    </xf>
    <xf numFmtId="167" fontId="35" fillId="0" borderId="0" xfId="0" applyNumberFormat="1" applyFont="1" applyFill="1" applyAlignment="1">
      <alignment horizontal="center" wrapText="1"/>
    </xf>
    <xf numFmtId="41" fontId="35" fillId="0" borderId="0" xfId="0" applyNumberFormat="1" applyFont="1" applyFill="1" applyBorder="1" applyAlignment="1">
      <alignment horizontal="center" wrapText="1"/>
    </xf>
    <xf numFmtId="6" fontId="35" fillId="0" borderId="31" xfId="0" applyNumberFormat="1" applyFont="1" applyFill="1" applyBorder="1" applyAlignment="1">
      <alignment horizontal="right" wrapText="1"/>
    </xf>
    <xf numFmtId="42" fontId="35" fillId="0" borderId="31" xfId="0" applyNumberFormat="1" applyFont="1" applyFill="1" applyBorder="1" applyAlignment="1">
      <alignment horizontal="left" vertical="center" wrapText="1"/>
    </xf>
    <xf numFmtId="0" fontId="41" fillId="0" borderId="0" xfId="0" applyFont="1" applyFill="1" applyAlignment="1">
      <alignment horizontal="center" wrapText="1"/>
    </xf>
    <xf numFmtId="0" fontId="34" fillId="0" borderId="0" xfId="0" applyFont="1" applyFill="1" applyAlignment="1">
      <alignment horizontal="center"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38" fontId="19" fillId="9" borderId="9" xfId="1" applyNumberFormat="1" applyFont="1" applyFill="1" applyBorder="1" applyAlignment="1">
      <alignment horizontal="right"/>
    </xf>
    <xf numFmtId="38" fontId="19" fillId="9" borderId="10"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0" xfId="1" applyNumberFormat="1" applyFont="1" applyFill="1" applyBorder="1" applyAlignment="1">
      <alignment horizontal="right"/>
    </xf>
    <xf numFmtId="6" fontId="18" fillId="13" borderId="33" xfId="0" applyNumberFormat="1" applyFont="1" applyFill="1" applyBorder="1" applyAlignment="1">
      <alignment horizontal="center" vertical="center"/>
    </xf>
    <xf numFmtId="49" fontId="18" fillId="15" borderId="33" xfId="0" applyNumberFormat="1" applyFont="1" applyFill="1" applyBorder="1" applyAlignment="1">
      <alignment vertical="center"/>
    </xf>
    <xf numFmtId="49" fontId="18" fillId="15" borderId="32" xfId="0" applyNumberFormat="1" applyFont="1" applyFill="1" applyBorder="1" applyAlignment="1">
      <alignment vertical="center"/>
    </xf>
    <xf numFmtId="49" fontId="18" fillId="16" borderId="33" xfId="0" applyNumberFormat="1" applyFont="1" applyFill="1" applyBorder="1"/>
    <xf numFmtId="6" fontId="18" fillId="16" borderId="38" xfId="1" applyNumberFormat="1" applyFont="1" applyFill="1" applyBorder="1" applyAlignment="1">
      <alignment horizontal="right"/>
    </xf>
    <xf numFmtId="38" fontId="18" fillId="16" borderId="38" xfId="1" applyNumberFormat="1" applyFont="1" applyFill="1" applyBorder="1" applyAlignment="1">
      <alignment horizontal="right"/>
    </xf>
    <xf numFmtId="6" fontId="18" fillId="16" borderId="42" xfId="1" applyNumberFormat="1" applyFont="1" applyFill="1" applyBorder="1" applyAlignment="1">
      <alignment horizontal="right"/>
    </xf>
    <xf numFmtId="49" fontId="18" fillId="16" borderId="32" xfId="0" applyNumberFormat="1" applyFont="1" applyFill="1" applyBorder="1" applyAlignment="1">
      <alignment vertical="center"/>
    </xf>
    <xf numFmtId="43" fontId="0" fillId="0" borderId="49" xfId="1" applyNumberFormat="1" applyFont="1" applyFill="1" applyBorder="1" applyAlignment="1"/>
    <xf numFmtId="0" fontId="10" fillId="0" borderId="0" xfId="0" applyFont="1" applyBorder="1"/>
    <xf numFmtId="165" fontId="44" fillId="0" borderId="27" xfId="0" applyNumberFormat="1" applyFont="1" applyBorder="1" applyAlignment="1">
      <alignment horizontal="center" vertical="center"/>
    </xf>
    <xf numFmtId="42" fontId="24" fillId="0" borderId="31" xfId="0" applyNumberFormat="1" applyFont="1" applyBorder="1" applyAlignment="1">
      <alignment vertical="center"/>
    </xf>
    <xf numFmtId="166" fontId="19" fillId="0" borderId="27" xfId="0" applyNumberFormat="1" applyFont="1" applyBorder="1" applyAlignment="1">
      <alignment horizontal="center"/>
    </xf>
    <xf numFmtId="41" fontId="15" fillId="0" borderId="19" xfId="0" applyNumberFormat="1" applyFont="1" applyFill="1" applyBorder="1" applyAlignment="1">
      <alignment vertical="center"/>
    </xf>
    <xf numFmtId="42" fontId="15" fillId="0" borderId="27" xfId="0" applyNumberFormat="1" applyFont="1" applyFill="1" applyBorder="1" applyAlignment="1">
      <alignment vertical="center"/>
    </xf>
    <xf numFmtId="42" fontId="15" fillId="0" borderId="31" xfId="0" applyNumberFormat="1" applyFont="1" applyFill="1" applyBorder="1" applyAlignment="1">
      <alignment vertical="center"/>
    </xf>
    <xf numFmtId="0" fontId="3" fillId="0" borderId="0" xfId="0" applyFont="1" applyBorder="1" applyAlignment="1">
      <alignment horizontal="center" vertical="center" wrapText="1"/>
    </xf>
    <xf numFmtId="41" fontId="3" fillId="0" borderId="0" xfId="0" applyNumberFormat="1" applyFont="1" applyBorder="1" applyAlignment="1">
      <alignment horizontal="center" vertical="center" wrapText="1"/>
    </xf>
    <xf numFmtId="3" fontId="0" fillId="0" borderId="0" xfId="0" applyNumberFormat="1" applyBorder="1" applyAlignment="1">
      <alignment vertical="center"/>
    </xf>
    <xf numFmtId="0" fontId="38" fillId="0" borderId="0" xfId="0" applyFont="1" applyFill="1" applyAlignment="1">
      <alignment horizontal="right" vertical="center" wrapText="1"/>
    </xf>
    <xf numFmtId="42" fontId="35"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4" fillId="0" borderId="0" xfId="0" applyFont="1" applyFill="1" applyAlignment="1">
      <alignment horizontal="left" vertical="top" wrapText="1"/>
    </xf>
    <xf numFmtId="38" fontId="0" fillId="0" borderId="0" xfId="0" applyNumberFormat="1" applyFill="1"/>
    <xf numFmtId="0" fontId="21" fillId="0" borderId="11" xfId="0" applyFont="1" applyFill="1" applyBorder="1" applyAlignment="1">
      <alignment horizontal="center" vertical="top" wrapText="1"/>
    </xf>
    <xf numFmtId="0" fontId="21"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4" fontId="0" fillId="0" borderId="11" xfId="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49"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4" fillId="0" borderId="0" xfId="0" applyFont="1" applyFill="1" applyAlignment="1">
      <alignment horizontal="left" vertical="top" wrapText="1"/>
    </xf>
    <xf numFmtId="41" fontId="35" fillId="0" borderId="0" xfId="0" applyNumberFormat="1" applyFont="1" applyFill="1" applyAlignment="1">
      <alignment horizontal="center" vertical="center" wrapText="1"/>
    </xf>
    <xf numFmtId="0" fontId="34" fillId="0" borderId="0" xfId="0" applyFont="1" applyFill="1" applyAlignment="1">
      <alignment horizontal="left" vertical="top" wrapText="1"/>
    </xf>
    <xf numFmtId="38" fontId="15" fillId="0" borderId="0" xfId="0" applyNumberFormat="1" applyFont="1" applyFill="1" applyBorder="1" applyAlignment="1">
      <alignment vertical="center"/>
    </xf>
    <xf numFmtId="41" fontId="35" fillId="0" borderId="0" xfId="0" applyNumberFormat="1" applyFont="1" applyFill="1" applyAlignment="1">
      <alignment horizontal="right" vertical="center" wrapText="1"/>
    </xf>
    <xf numFmtId="49" fontId="15" fillId="0" borderId="0" xfId="0" applyNumberFormat="1" applyFont="1" applyAlignment="1">
      <alignment horizontal="left" vertical="center"/>
    </xf>
    <xf numFmtId="42" fontId="6" fillId="2" borderId="44" xfId="0" applyNumberFormat="1" applyFont="1" applyFill="1" applyBorder="1" applyAlignment="1"/>
    <xf numFmtId="42" fontId="0" fillId="0" borderId="0" xfId="0" applyNumberFormat="1" applyFill="1" applyBorder="1" applyAlignment="1">
      <alignment vertical="center"/>
    </xf>
    <xf numFmtId="0" fontId="14" fillId="0" borderId="0" xfId="0" applyFont="1" applyFill="1" applyBorder="1" applyAlignment="1">
      <alignment vertical="center"/>
    </xf>
    <xf numFmtId="38" fontId="8" fillId="0" borderId="65" xfId="0" applyNumberFormat="1" applyFont="1" applyBorder="1" applyAlignment="1">
      <alignment horizontal="center"/>
    </xf>
    <xf numFmtId="38" fontId="8" fillId="0" borderId="0" xfId="0" applyNumberFormat="1" applyFont="1"/>
    <xf numFmtId="38" fontId="51" fillId="0" borderId="0" xfId="0" applyNumberFormat="1" applyFont="1"/>
    <xf numFmtId="38" fontId="51" fillId="0" borderId="0" xfId="0" applyNumberFormat="1" applyFont="1" applyBorder="1"/>
    <xf numFmtId="38" fontId="50" fillId="0" borderId="0" xfId="0" applyNumberFormat="1" applyFont="1"/>
    <xf numFmtId="168" fontId="52"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5" fillId="0" borderId="0" xfId="0" applyFont="1" applyFill="1" applyBorder="1" applyAlignment="1">
      <alignment horizontal="center" vertical="center" wrapText="1"/>
    </xf>
    <xf numFmtId="10" fontId="0" fillId="0" borderId="57" xfId="0" applyNumberFormat="1" applyFill="1" applyBorder="1" applyAlignment="1">
      <alignment horizontal="center"/>
    </xf>
    <xf numFmtId="41" fontId="13" fillId="0" borderId="30" xfId="0" applyNumberFormat="1" applyFont="1" applyBorder="1" applyAlignment="1">
      <alignment horizontal="center" vertical="center"/>
    </xf>
    <xf numFmtId="49" fontId="18" fillId="14" borderId="32" xfId="0" applyNumberFormat="1" applyFont="1" applyFill="1" applyBorder="1" applyAlignment="1">
      <alignment vertical="center"/>
    </xf>
    <xf numFmtId="6" fontId="0" fillId="0" borderId="0" xfId="0" applyNumberFormat="1" applyFill="1" applyBorder="1" applyAlignment="1"/>
    <xf numFmtId="165" fontId="44" fillId="0" borderId="31" xfId="0" applyNumberFormat="1" applyFont="1" applyBorder="1" applyAlignment="1">
      <alignment horizontal="center" vertical="center"/>
    </xf>
    <xf numFmtId="0" fontId="10"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2" fillId="0" borderId="0" xfId="0" applyFont="1" applyFill="1" applyBorder="1" applyAlignment="1">
      <alignment vertical="center"/>
    </xf>
    <xf numFmtId="41" fontId="13"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4" fillId="0" borderId="33" xfId="0" applyNumberFormat="1" applyFont="1" applyBorder="1" applyAlignment="1">
      <alignment horizontal="center" vertical="center"/>
    </xf>
    <xf numFmtId="41" fontId="54" fillId="0" borderId="0" xfId="0" applyNumberFormat="1" applyFont="1" applyBorder="1" applyAlignment="1">
      <alignment vertical="center"/>
    </xf>
    <xf numFmtId="41" fontId="53" fillId="0" borderId="27" xfId="0" applyNumberFormat="1" applyFont="1" applyBorder="1" applyAlignment="1">
      <alignment vertical="center"/>
    </xf>
    <xf numFmtId="165" fontId="44" fillId="0" borderId="2" xfId="0" applyNumberFormat="1" applyFont="1" applyBorder="1" applyAlignment="1">
      <alignment horizontal="center" vertical="center"/>
    </xf>
    <xf numFmtId="41" fontId="54" fillId="0" borderId="2" xfId="0" applyNumberFormat="1" applyFont="1" applyBorder="1" applyAlignment="1">
      <alignment vertical="center"/>
    </xf>
    <xf numFmtId="0" fontId="54" fillId="0" borderId="0" xfId="0" applyFont="1" applyBorder="1" applyAlignment="1">
      <alignment vertical="center"/>
    </xf>
    <xf numFmtId="0" fontId="54" fillId="0" borderId="27" xfId="0" applyFont="1" applyBorder="1" applyAlignment="1">
      <alignment vertical="center"/>
    </xf>
    <xf numFmtId="41" fontId="19" fillId="5" borderId="1" xfId="0" applyNumberFormat="1" applyFont="1" applyFill="1" applyBorder="1" applyAlignment="1"/>
    <xf numFmtId="38" fontId="19" fillId="9" borderId="1" xfId="1" applyNumberFormat="1" applyFont="1" applyFill="1" applyBorder="1" applyAlignment="1">
      <alignment horizontal="right"/>
    </xf>
    <xf numFmtId="168" fontId="55" fillId="0" borderId="0" xfId="0" applyNumberFormat="1" applyFont="1"/>
    <xf numFmtId="3" fontId="51" fillId="0" borderId="0" xfId="0" applyNumberFormat="1" applyFont="1"/>
    <xf numFmtId="168" fontId="8" fillId="0" borderId="65" xfId="0" applyNumberFormat="1" applyFont="1" applyBorder="1" applyAlignment="1">
      <alignment horizontal="center"/>
    </xf>
    <xf numFmtId="168" fontId="8" fillId="0" borderId="0" xfId="0" applyNumberFormat="1" applyFont="1"/>
    <xf numFmtId="168" fontId="51"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38" fontId="0" fillId="0" borderId="31" xfId="0" applyNumberFormat="1" applyBorder="1"/>
    <xf numFmtId="0" fontId="56" fillId="0" borderId="0" xfId="0" applyNumberFormat="1" applyFont="1" applyBorder="1" applyAlignment="1">
      <alignment horizontal="center"/>
    </xf>
    <xf numFmtId="0" fontId="57"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xf numFmtId="41" fontId="5" fillId="0" borderId="0" xfId="0" applyNumberFormat="1" applyFont="1" applyBorder="1" applyAlignment="1">
      <alignment vertical="center"/>
    </xf>
    <xf numFmtId="41" fontId="19" fillId="0" borderId="0" xfId="0" applyNumberFormat="1" applyFont="1" applyFill="1" applyBorder="1" applyAlignment="1">
      <alignment vertical="center"/>
    </xf>
    <xf numFmtId="43" fontId="5" fillId="0" borderId="0" xfId="0" applyNumberFormat="1" applyFont="1" applyBorder="1" applyAlignment="1">
      <alignment vertical="center"/>
    </xf>
    <xf numFmtId="0" fontId="18" fillId="0" borderId="0" xfId="0" applyFont="1" applyBorder="1" applyAlignment="1">
      <alignment vertical="center"/>
    </xf>
    <xf numFmtId="0" fontId="5" fillId="0" borderId="0" xfId="0" applyFont="1" applyBorder="1"/>
    <xf numFmtId="0" fontId="34" fillId="0" borderId="0" xfId="0" applyFont="1" applyFill="1" applyAlignment="1">
      <alignment horizontal="left" vertical="top"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3" fillId="0" borderId="11"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44" fontId="3" fillId="0" borderId="11" xfId="1" applyFont="1" applyFill="1" applyBorder="1" applyAlignment="1">
      <alignment horizontal="center" vertical="center" wrapText="1"/>
    </xf>
    <xf numFmtId="41" fontId="3" fillId="0" borderId="11" xfId="0" applyNumberFormat="1" applyFont="1" applyFill="1" applyBorder="1" applyAlignment="1">
      <alignment horizontal="center" vertical="center" wrapText="1"/>
    </xf>
    <xf numFmtId="42" fontId="0" fillId="0" borderId="0" xfId="0" applyNumberFormat="1" applyFont="1" applyFill="1" applyBorder="1" applyAlignment="1">
      <alignment horizontal="left" vertical="top" wrapText="1"/>
    </xf>
    <xf numFmtId="44" fontId="58"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0" fillId="0" borderId="11" xfId="0" applyFont="1" applyBorder="1" applyAlignment="1">
      <alignment horizontal="center" vertical="center" wrapText="1"/>
    </xf>
    <xf numFmtId="42" fontId="35" fillId="0" borderId="0" xfId="0" applyNumberFormat="1" applyFont="1" applyFill="1" applyBorder="1" applyAlignment="1">
      <alignment horizontal="left" vertical="center" wrapText="1"/>
    </xf>
    <xf numFmtId="0" fontId="34" fillId="0" borderId="0" xfId="0" applyFont="1" applyFill="1" applyAlignment="1">
      <alignment horizontal="left" vertical="top" wrapText="1"/>
    </xf>
    <xf numFmtId="40" fontId="0" fillId="0" borderId="0" xfId="0" applyNumberFormat="1" applyFont="1" applyFill="1" applyBorder="1"/>
    <xf numFmtId="0" fontId="59" fillId="0" borderId="0" xfId="0" applyNumberFormat="1" applyFont="1" applyFill="1" applyBorder="1" applyAlignment="1">
      <alignment horizontal="left"/>
    </xf>
    <xf numFmtId="0" fontId="56" fillId="0" borderId="0" xfId="0" applyNumberFormat="1" applyFont="1" applyFill="1"/>
    <xf numFmtId="38" fontId="7" fillId="0" borderId="0" xfId="0" applyNumberFormat="1" applyFont="1" applyAlignment="1">
      <alignment horizontal="right"/>
    </xf>
    <xf numFmtId="8" fontId="0" fillId="0" borderId="27" xfId="0" applyNumberFormat="1" applyFont="1" applyBorder="1" applyAlignment="1">
      <alignment vertical="center"/>
    </xf>
    <xf numFmtId="3" fontId="51" fillId="2" borderId="0" xfId="0" applyNumberFormat="1" applyFont="1" applyFill="1"/>
    <xf numFmtId="38" fontId="50" fillId="2" borderId="0" xfId="0" applyNumberFormat="1" applyFont="1" applyFill="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2" fillId="0" borderId="45" xfId="0" applyFont="1" applyBorder="1" applyAlignment="1">
      <alignment horizontal="center"/>
    </xf>
    <xf numFmtId="38" fontId="32" fillId="0" borderId="45" xfId="0" applyNumberFormat="1" applyFont="1" applyBorder="1" applyAlignment="1">
      <alignment horizontal="center" vertical="center"/>
    </xf>
    <xf numFmtId="0" fontId="32" fillId="0" borderId="46" xfId="0" applyFont="1" applyBorder="1" applyAlignment="1">
      <alignment horizontal="center"/>
    </xf>
    <xf numFmtId="38" fontId="32" fillId="0" borderId="46" xfId="0" applyNumberFormat="1" applyFont="1" applyBorder="1" applyAlignment="1">
      <alignment horizontal="center" vertical="center"/>
    </xf>
    <xf numFmtId="0" fontId="62"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8" xfId="0" applyNumberFormat="1" applyFill="1" applyBorder="1" applyAlignment="1">
      <alignment horizontal="center"/>
    </xf>
    <xf numFmtId="38" fontId="0" fillId="0" borderId="63" xfId="0" applyNumberFormat="1" applyFill="1" applyBorder="1" applyAlignment="1">
      <alignment horizontal="center"/>
    </xf>
    <xf numFmtId="38" fontId="0" fillId="0" borderId="59" xfId="0" applyNumberFormat="1" applyBorder="1" applyAlignment="1">
      <alignment horizontal="center"/>
    </xf>
    <xf numFmtId="38" fontId="0" fillId="0" borderId="49" xfId="0" applyNumberFormat="1" applyBorder="1" applyAlignment="1">
      <alignment horizontal="center"/>
    </xf>
    <xf numFmtId="0" fontId="32" fillId="0" borderId="44" xfId="0" applyFont="1" applyBorder="1" applyAlignment="1">
      <alignment horizontal="center" vertical="center"/>
    </xf>
    <xf numFmtId="38" fontId="32"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6" xfId="0" applyNumberFormat="1" applyBorder="1" applyAlignment="1">
      <alignment horizontal="center"/>
    </xf>
    <xf numFmtId="38" fontId="0" fillId="0" borderId="66" xfId="0" applyNumberFormat="1" applyBorder="1" applyAlignment="1">
      <alignment horizontal="center"/>
    </xf>
    <xf numFmtId="38" fontId="0" fillId="0" borderId="46" xfId="0" applyNumberFormat="1" applyBorder="1" applyAlignment="1">
      <alignment horizontal="center"/>
    </xf>
    <xf numFmtId="0" fontId="32" fillId="0" borderId="0" xfId="0" applyFont="1" applyAlignment="1">
      <alignment horizontal="center"/>
    </xf>
    <xf numFmtId="38" fontId="32" fillId="0" borderId="28" xfId="0" applyNumberFormat="1" applyFont="1" applyBorder="1" applyAlignment="1">
      <alignment horizontal="center"/>
    </xf>
    <xf numFmtId="38" fontId="0" fillId="0" borderId="67"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8" xfId="0" applyNumberFormat="1" applyBorder="1" applyAlignment="1">
      <alignment horizontal="center" vertical="center"/>
    </xf>
    <xf numFmtId="38" fontId="0" fillId="0" borderId="10" xfId="0" applyNumberFormat="1" applyBorder="1" applyAlignment="1">
      <alignment horizontal="center"/>
    </xf>
    <xf numFmtId="0" fontId="3" fillId="3" borderId="14" xfId="0" applyFont="1" applyFill="1" applyBorder="1" applyAlignment="1">
      <alignment horizontal="center" vertical="center"/>
    </xf>
    <xf numFmtId="0" fontId="0" fillId="0" borderId="2" xfId="0" applyFill="1" applyBorder="1" applyAlignment="1">
      <alignment horizontal="center"/>
    </xf>
    <xf numFmtId="0" fontId="0" fillId="0" borderId="27" xfId="0" applyFill="1" applyBorder="1" applyAlignment="1">
      <alignment horizontal="center"/>
    </xf>
    <xf numFmtId="14" fontId="0" fillId="0" borderId="2" xfId="0" applyNumberFormat="1" applyFill="1" applyBorder="1" applyAlignment="1">
      <alignment horizontal="center"/>
    </xf>
    <xf numFmtId="14" fontId="0" fillId="0" borderId="27" xfId="0" applyNumberFormat="1" applyFill="1" applyBorder="1" applyAlignment="1">
      <alignment horizontal="center"/>
    </xf>
    <xf numFmtId="40" fontId="3" fillId="3" borderId="14"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0" xfId="0" applyNumberFormat="1" applyFont="1" applyFill="1" applyBorder="1"/>
    <xf numFmtId="0" fontId="63" fillId="0" borderId="0" xfId="0" applyFont="1"/>
    <xf numFmtId="0" fontId="21" fillId="0" borderId="11" xfId="0" applyFont="1" applyBorder="1"/>
    <xf numFmtId="40" fontId="21" fillId="0" borderId="11" xfId="0" applyNumberFormat="1" applyFont="1" applyBorder="1" applyAlignment="1">
      <alignment horizontal="center" wrapText="1"/>
    </xf>
    <xf numFmtId="0" fontId="21" fillId="0" borderId="11" xfId="0" applyFont="1" applyBorder="1" applyAlignment="1">
      <alignment horizontal="center" wrapText="1"/>
    </xf>
    <xf numFmtId="169" fontId="0" fillId="0" borderId="11" xfId="1" applyNumberFormat="1" applyFont="1" applyBorder="1"/>
    <xf numFmtId="9" fontId="0" fillId="0" borderId="11" xfId="4" applyFont="1" applyBorder="1"/>
    <xf numFmtId="38" fontId="21" fillId="0" borderId="11" xfId="0" applyNumberFormat="1" applyFont="1" applyBorder="1"/>
    <xf numFmtId="169" fontId="21" fillId="0" borderId="11" xfId="1" applyNumberFormat="1" applyFont="1" applyBorder="1"/>
    <xf numFmtId="169" fontId="21" fillId="0" borderId="11" xfId="0" applyNumberFormat="1" applyFont="1" applyBorder="1"/>
    <xf numFmtId="6" fontId="0" fillId="0" borderId="49" xfId="1" applyNumberFormat="1" applyFont="1" applyFill="1" applyBorder="1" applyAlignment="1">
      <alignment horizontal="right"/>
    </xf>
    <xf numFmtId="38" fontId="7" fillId="0" borderId="0" xfId="0" applyNumberFormat="1" applyFont="1" applyFill="1" applyBorder="1" applyAlignment="1">
      <alignment horizontal="right"/>
    </xf>
    <xf numFmtId="43" fontId="15" fillId="0" borderId="0" xfId="0" applyNumberFormat="1" applyFont="1" applyFill="1" applyBorder="1" applyAlignment="1">
      <alignment vertical="center"/>
    </xf>
    <xf numFmtId="0" fontId="21" fillId="0" borderId="0" xfId="0" applyFont="1" applyFill="1" applyBorder="1" applyAlignment="1">
      <alignment horizontal="center" wrapText="1"/>
    </xf>
    <xf numFmtId="0" fontId="21" fillId="0" borderId="0" xfId="0" applyFont="1" applyBorder="1" applyAlignment="1">
      <alignment horizontal="center" wrapText="1"/>
    </xf>
    <xf numFmtId="169" fontId="0" fillId="0" borderId="0" xfId="0" applyNumberFormat="1" applyFont="1" applyFill="1" applyBorder="1" applyAlignment="1">
      <alignment horizontal="center"/>
    </xf>
    <xf numFmtId="169" fontId="0" fillId="0" borderId="0" xfId="0" applyNumberFormat="1" applyBorder="1"/>
    <xf numFmtId="9" fontId="0" fillId="0" borderId="0" xfId="4" applyFont="1" applyBorder="1"/>
    <xf numFmtId="169" fontId="64" fillId="0" borderId="0" xfId="0" applyNumberFormat="1" applyFont="1" applyFill="1" applyBorder="1" applyAlignment="1">
      <alignment horizontal="center"/>
    </xf>
    <xf numFmtId="169" fontId="21" fillId="0" borderId="0" xfId="0" applyNumberFormat="1" applyFont="1" applyFill="1" applyBorder="1" applyAlignment="1">
      <alignment horizontal="center"/>
    </xf>
    <xf numFmtId="169" fontId="21" fillId="0" borderId="0" xfId="0" applyNumberFormat="1" applyFont="1" applyBorder="1"/>
    <xf numFmtId="9" fontId="21" fillId="0" borderId="0" xfId="0" applyNumberFormat="1" applyFont="1" applyBorder="1"/>
    <xf numFmtId="42" fontId="0" fillId="0" borderId="11" xfId="1" applyNumberFormat="1" applyFont="1" applyBorder="1"/>
    <xf numFmtId="42" fontId="0" fillId="0" borderId="11" xfId="0" applyNumberFormat="1" applyBorder="1"/>
    <xf numFmtId="0" fontId="34" fillId="0" borderId="0" xfId="0" applyFont="1" applyFill="1" applyAlignment="1">
      <alignment horizontal="left" vertical="top" wrapText="1"/>
    </xf>
    <xf numFmtId="0" fontId="38" fillId="0" borderId="0" xfId="0" applyFont="1" applyFill="1" applyAlignment="1">
      <alignment horizontal="center" vertical="center" wrapText="1"/>
    </xf>
    <xf numFmtId="0" fontId="21" fillId="0" borderId="11" xfId="0" applyFont="1" applyFill="1" applyBorder="1" applyAlignment="1">
      <alignment horizontal="center" vertical="top" wrapText="1"/>
    </xf>
    <xf numFmtId="0" fontId="3" fillId="3" borderId="13" xfId="0" applyFont="1" applyFill="1" applyBorder="1" applyAlignment="1">
      <alignment horizontal="center" vertical="center"/>
    </xf>
    <xf numFmtId="0" fontId="0" fillId="0" borderId="16" xfId="0" applyFill="1" applyBorder="1"/>
    <xf numFmtId="0" fontId="0" fillId="0" borderId="24" xfId="0" applyFill="1" applyBorder="1"/>
    <xf numFmtId="0" fontId="0" fillId="0" borderId="35" xfId="0" applyFill="1" applyBorder="1" applyAlignment="1"/>
    <xf numFmtId="38" fontId="0" fillId="0" borderId="0" xfId="0" applyNumberFormat="1" applyFill="1" applyBorder="1" applyAlignment="1">
      <alignment horizontal="right"/>
    </xf>
    <xf numFmtId="38" fontId="0" fillId="0" borderId="0" xfId="1" applyNumberFormat="1" applyFont="1" applyFill="1" applyBorder="1" applyAlignment="1"/>
    <xf numFmtId="6" fontId="0" fillId="0" borderId="0" xfId="1" applyNumberFormat="1" applyFont="1" applyFill="1" applyBorder="1" applyAlignment="1"/>
    <xf numFmtId="38" fontId="0" fillId="0" borderId="2" xfId="1" applyNumberFormat="1" applyFont="1" applyFill="1" applyBorder="1" applyAlignment="1"/>
    <xf numFmtId="38" fontId="0" fillId="0" borderId="27" xfId="1" applyNumberFormat="1" applyFont="1" applyFill="1" applyBorder="1" applyAlignment="1"/>
    <xf numFmtId="43" fontId="0" fillId="0" borderId="0" xfId="0" applyNumberFormat="1" applyBorder="1"/>
    <xf numFmtId="7" fontId="15" fillId="0" borderId="0" xfId="0" applyNumberFormat="1" applyFont="1" applyBorder="1" applyAlignment="1">
      <alignment vertical="center"/>
    </xf>
    <xf numFmtId="7" fontId="15" fillId="0" borderId="19" xfId="0" applyNumberFormat="1" applyFont="1" applyBorder="1" applyAlignment="1">
      <alignment vertical="center"/>
    </xf>
    <xf numFmtId="42" fontId="0" fillId="0" borderId="0" xfId="0" applyNumberFormat="1"/>
    <xf numFmtId="9" fontId="21" fillId="0" borderId="11" xfId="0" applyNumberFormat="1" applyFont="1" applyBorder="1"/>
    <xf numFmtId="44" fontId="50" fillId="0" borderId="11" xfId="1" applyFont="1" applyFill="1" applyBorder="1" applyAlignment="1">
      <alignment horizontal="center" vertical="center" wrapText="1"/>
    </xf>
    <xf numFmtId="41" fontId="0" fillId="0" borderId="11" xfId="1" applyNumberFormat="1" applyFont="1" applyBorder="1"/>
    <xf numFmtId="41" fontId="35" fillId="0" borderId="0" xfId="0" applyNumberFormat="1" applyFont="1" applyFill="1" applyAlignment="1">
      <alignment horizontal="center" vertical="center" wrapText="1"/>
    </xf>
    <xf numFmtId="6" fontId="19" fillId="9" borderId="2" xfId="0" applyNumberFormat="1" applyFont="1" applyFill="1" applyBorder="1"/>
    <xf numFmtId="38" fontId="0" fillId="2" borderId="48" xfId="1" applyNumberFormat="1" applyFont="1" applyFill="1" applyBorder="1" applyAlignment="1"/>
    <xf numFmtId="38" fontId="0" fillId="2" borderId="48" xfId="1" applyNumberFormat="1" applyFont="1" applyFill="1" applyBorder="1" applyAlignment="1">
      <alignment horizontal="right"/>
    </xf>
    <xf numFmtId="37" fontId="15" fillId="0" borderId="0" xfId="0" applyNumberFormat="1" applyFont="1" applyFill="1" applyBorder="1" applyAlignment="1">
      <alignment vertic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4" fillId="0" borderId="0" xfId="0" applyFont="1" applyFill="1" applyAlignment="1">
      <alignment horizontal="left" vertical="top" wrapText="1"/>
    </xf>
    <xf numFmtId="0" fontId="35"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Fill="1" applyBorder="1" applyAlignment="1">
      <alignment horizontal="center" vertical="center" wrapText="1"/>
    </xf>
    <xf numFmtId="0" fontId="21" fillId="0" borderId="11" xfId="0" applyFont="1" applyFill="1" applyBorder="1" applyAlignment="1">
      <alignment horizontal="center" vertical="top" wrapText="1"/>
    </xf>
    <xf numFmtId="0" fontId="35" fillId="0" borderId="0" xfId="0" applyFont="1" applyFill="1" applyAlignment="1">
      <alignment horizontal="center" vertical="top" wrapText="1"/>
    </xf>
    <xf numFmtId="0" fontId="38" fillId="0" borderId="0" xfId="0" applyFont="1" applyFill="1" applyAlignment="1">
      <alignment horizontal="left" vertical="center" wrapText="1"/>
    </xf>
    <xf numFmtId="0" fontId="35" fillId="0" borderId="0" xfId="0" applyFont="1" applyFill="1" applyAlignment="1">
      <alignment horizontal="left" vertical="center" wrapText="1" indent="2"/>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right" vertical="center" wrapText="1"/>
    </xf>
    <xf numFmtId="0" fontId="38" fillId="0" borderId="0" xfId="0" applyFont="1" applyFill="1" applyAlignment="1">
      <alignment horizontal="center" vertical="center" wrapText="1"/>
    </xf>
    <xf numFmtId="0" fontId="60" fillId="0" borderId="0" xfId="0" applyFont="1" applyFill="1" applyAlignment="1">
      <alignment horizontal="center" vertical="center" wrapText="1"/>
    </xf>
    <xf numFmtId="0" fontId="35" fillId="0" borderId="0" xfId="0" applyFont="1" applyFill="1" applyAlignment="1">
      <alignment horizontal="right" vertical="center" wrapText="1"/>
    </xf>
    <xf numFmtId="0" fontId="33" fillId="0" borderId="0" xfId="0" applyFont="1" applyFill="1" applyAlignment="1">
      <alignment horizontal="center" vertical="center"/>
    </xf>
    <xf numFmtId="168" fontId="33" fillId="0" borderId="0" xfId="0" applyNumberFormat="1" applyFont="1" applyFill="1" applyAlignment="1">
      <alignment horizontal="center" vertical="center"/>
    </xf>
    <xf numFmtId="0" fontId="41" fillId="0" borderId="0" xfId="0" applyFont="1" applyFill="1" applyAlignment="1">
      <alignment horizontal="center" wrapText="1"/>
    </xf>
    <xf numFmtId="0" fontId="34" fillId="0" borderId="0" xfId="0" applyFont="1" applyFill="1" applyAlignment="1">
      <alignment horizontal="left" wrapText="1"/>
    </xf>
    <xf numFmtId="0" fontId="3" fillId="3" borderId="32" xfId="0" applyFont="1" applyFill="1" applyBorder="1" applyAlignment="1">
      <alignment horizontal="center" vertical="center"/>
    </xf>
    <xf numFmtId="0" fontId="3" fillId="3" borderId="42"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3" fillId="3" borderId="33" xfId="0" applyFont="1" applyFill="1" applyBorder="1" applyAlignment="1">
      <alignment horizontal="center" vertical="center"/>
    </xf>
    <xf numFmtId="0" fontId="0" fillId="0" borderId="23" xfId="0" applyFont="1" applyFill="1" applyBorder="1" applyAlignment="1">
      <alignment horizontal="left"/>
    </xf>
    <xf numFmtId="0" fontId="0" fillId="0" borderId="17" xfId="0" applyFont="1" applyFill="1" applyBorder="1" applyAlignment="1">
      <alignment horizontal="left"/>
    </xf>
    <xf numFmtId="0" fontId="0" fillId="0" borderId="50" xfId="0" applyFill="1" applyBorder="1" applyAlignment="1">
      <alignment horizontal="left"/>
    </xf>
    <xf numFmtId="0" fontId="0" fillId="0" borderId="51"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0" fillId="0" borderId="23" xfId="0" applyFill="1" applyBorder="1" applyAlignment="1">
      <alignment horizontal="left"/>
    </xf>
    <xf numFmtId="0" fontId="0" fillId="0" borderId="17" xfId="0" applyFill="1" applyBorder="1" applyAlignment="1">
      <alignment horizontal="left"/>
    </xf>
    <xf numFmtId="49" fontId="18" fillId="5" borderId="34" xfId="0" applyNumberFormat="1" applyFont="1" applyFill="1" applyBorder="1" applyAlignment="1">
      <alignment horizontal="left"/>
    </xf>
    <xf numFmtId="49" fontId="18" fillId="5" borderId="28" xfId="0" applyNumberFormat="1" applyFont="1" applyFill="1" applyBorder="1" applyAlignment="1">
      <alignment horizontal="left"/>
    </xf>
    <xf numFmtId="49" fontId="18" fillId="12" borderId="35" xfId="0" applyNumberFormat="1" applyFont="1" applyFill="1" applyBorder="1" applyAlignment="1">
      <alignment horizontal="center" vertical="center"/>
    </xf>
    <xf numFmtId="49" fontId="18" fillId="12" borderId="52" xfId="0" applyNumberFormat="1" applyFont="1" applyFill="1" applyBorder="1" applyAlignment="1">
      <alignment horizontal="center" vertical="center"/>
    </xf>
    <xf numFmtId="49" fontId="17" fillId="0" borderId="0" xfId="0" applyNumberFormat="1" applyFont="1" applyAlignment="1">
      <alignment horizontal="center" vertical="center"/>
    </xf>
    <xf numFmtId="0" fontId="0" fillId="0" borderId="27" xfId="0" applyBorder="1" applyAlignment="1">
      <alignment horizontal="center"/>
    </xf>
    <xf numFmtId="41" fontId="13" fillId="0" borderId="3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15" fillId="0" borderId="0" xfId="0" applyNumberFormat="1" applyFont="1" applyAlignment="1">
      <alignment horizontal="left" vertical="center"/>
    </xf>
    <xf numFmtId="0" fontId="61" fillId="0" borderId="32" xfId="0" applyFont="1" applyBorder="1" applyAlignment="1">
      <alignment horizontal="center"/>
    </xf>
    <xf numFmtId="0" fontId="61" fillId="0" borderId="33" xfId="0" applyFont="1" applyBorder="1" applyAlignment="1">
      <alignment horizontal="center"/>
    </xf>
    <xf numFmtId="0" fontId="61" fillId="0" borderId="42" xfId="0" applyFont="1" applyBorder="1" applyAlignment="1">
      <alignment horizontal="center"/>
    </xf>
    <xf numFmtId="49" fontId="11" fillId="0" borderId="27" xfId="0" applyNumberFormat="1" applyFont="1" applyBorder="1" applyAlignment="1">
      <alignment horizontal="center" wrapText="1"/>
    </xf>
    <xf numFmtId="49" fontId="11" fillId="0" borderId="0" xfId="0" applyNumberFormat="1" applyFont="1" applyAlignment="1">
      <alignment horizontal="left" vertical="center"/>
    </xf>
  </cellXfs>
  <cellStyles count="5">
    <cellStyle name="Currency" xfId="1" builtinId="4"/>
    <cellStyle name="Currency 2" xfId="3"/>
    <cellStyle name="Normal" xfId="0" builtinId="0"/>
    <cellStyle name="Normal 2" xfId="2"/>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Data!$A$265:$A$664</c:f>
              <c:numCache>
                <c:formatCode>[$-F800]dddd\,\ mmmm\ dd\,\ yyyy</c:formatCode>
                <c:ptCount val="400"/>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42785</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numCache>
            </c:numRef>
          </c:cat>
          <c:val>
            <c:numRef>
              <c:f>Data!$B$265:$B$664</c:f>
              <c:numCache>
                <c:formatCode>#,##0</c:formatCode>
                <c:ptCount val="400"/>
                <c:pt idx="0">
                  <c:v>354814</c:v>
                </c:pt>
                <c:pt idx="1">
                  <c:v>361866.86</c:v>
                </c:pt>
                <c:pt idx="2">
                  <c:v>363519.32</c:v>
                </c:pt>
                <c:pt idx="3">
                  <c:v>361866.66</c:v>
                </c:pt>
                <c:pt idx="4">
                  <c:v>363519</c:v>
                </c:pt>
                <c:pt idx="5">
                  <c:v>363543.47</c:v>
                </c:pt>
                <c:pt idx="6">
                  <c:v>328707.83</c:v>
                </c:pt>
                <c:pt idx="7">
                  <c:v>328708</c:v>
                </c:pt>
                <c:pt idx="8">
                  <c:v>321086.01</c:v>
                </c:pt>
                <c:pt idx="9">
                  <c:v>334097.28000000003</c:v>
                </c:pt>
                <c:pt idx="10">
                  <c:v>334097</c:v>
                </c:pt>
                <c:pt idx="11">
                  <c:v>268850.96000000002</c:v>
                </c:pt>
                <c:pt idx="12">
                  <c:v>268851</c:v>
                </c:pt>
                <c:pt idx="13">
                  <c:v>269075.21000000002</c:v>
                </c:pt>
                <c:pt idx="14">
                  <c:v>270983.21000000002</c:v>
                </c:pt>
                <c:pt idx="15">
                  <c:v>270983</c:v>
                </c:pt>
                <c:pt idx="16">
                  <c:v>270723.98</c:v>
                </c:pt>
                <c:pt idx="17">
                  <c:v>281353.09999999998</c:v>
                </c:pt>
                <c:pt idx="18">
                  <c:v>274313.84999999998</c:v>
                </c:pt>
                <c:pt idx="19">
                  <c:v>296447.59999999998</c:v>
                </c:pt>
                <c:pt idx="20">
                  <c:v>295107.96000000002</c:v>
                </c:pt>
                <c:pt idx="21">
                  <c:v>314030.53000000003</c:v>
                </c:pt>
                <c:pt idx="22">
                  <c:v>314031</c:v>
                </c:pt>
                <c:pt idx="23">
                  <c:v>312808.53999999998</c:v>
                </c:pt>
                <c:pt idx="24">
                  <c:v>316461.53999999998</c:v>
                </c:pt>
                <c:pt idx="25">
                  <c:v>316462</c:v>
                </c:pt>
                <c:pt idx="26">
                  <c:v>289560.21999999997</c:v>
                </c:pt>
                <c:pt idx="27">
                  <c:v>297310.21999999997</c:v>
                </c:pt>
                <c:pt idx="28">
                  <c:v>352433.91</c:v>
                </c:pt>
                <c:pt idx="29">
                  <c:v>352434</c:v>
                </c:pt>
                <c:pt idx="30">
                  <c:v>352434</c:v>
                </c:pt>
                <c:pt idx="31">
                  <c:v>352434</c:v>
                </c:pt>
                <c:pt idx="32">
                  <c:v>352542.46</c:v>
                </c:pt>
                <c:pt idx="33">
                  <c:v>383231.99</c:v>
                </c:pt>
                <c:pt idx="34">
                  <c:v>404679.36</c:v>
                </c:pt>
                <c:pt idx="35">
                  <c:v>404679</c:v>
                </c:pt>
                <c:pt idx="36">
                  <c:v>368703.72</c:v>
                </c:pt>
                <c:pt idx="37">
                  <c:v>368203.72</c:v>
                </c:pt>
                <c:pt idx="38">
                  <c:v>349211.92</c:v>
                </c:pt>
                <c:pt idx="39">
                  <c:v>384176.45</c:v>
                </c:pt>
                <c:pt idx="40">
                  <c:v>384176</c:v>
                </c:pt>
                <c:pt idx="41">
                  <c:v>384176</c:v>
                </c:pt>
                <c:pt idx="42">
                  <c:v>384176</c:v>
                </c:pt>
                <c:pt idx="43">
                  <c:v>395396.43</c:v>
                </c:pt>
                <c:pt idx="44">
                  <c:v>395396</c:v>
                </c:pt>
                <c:pt idx="45">
                  <c:v>395396</c:v>
                </c:pt>
                <c:pt idx="46">
                  <c:v>361856.47</c:v>
                </c:pt>
                <c:pt idx="47">
                  <c:v>361856</c:v>
                </c:pt>
                <c:pt idx="48">
                  <c:v>349877.16</c:v>
                </c:pt>
                <c:pt idx="49">
                  <c:v>359297.81</c:v>
                </c:pt>
                <c:pt idx="50">
                  <c:v>361678.91</c:v>
                </c:pt>
                <c:pt idx="51">
                  <c:v>361679</c:v>
                </c:pt>
                <c:pt idx="52">
                  <c:v>370843.37</c:v>
                </c:pt>
                <c:pt idx="53">
                  <c:v>377566.07</c:v>
                </c:pt>
                <c:pt idx="54">
                  <c:v>370373.97</c:v>
                </c:pt>
                <c:pt idx="55">
                  <c:v>338340.3</c:v>
                </c:pt>
                <c:pt idx="56">
                  <c:v>338340</c:v>
                </c:pt>
                <c:pt idx="57">
                  <c:v>338340</c:v>
                </c:pt>
                <c:pt idx="58">
                  <c:v>348438.37</c:v>
                </c:pt>
                <c:pt idx="59">
                  <c:v>348438</c:v>
                </c:pt>
                <c:pt idx="60">
                  <c:v>348360.51</c:v>
                </c:pt>
                <c:pt idx="61" formatCode="#,##0_);[Red]\(#,##0\)">
                  <c:v>348440.48</c:v>
                </c:pt>
                <c:pt idx="62" formatCode="#,##0_);[Red]\(#,##0\)">
                  <c:v>348440</c:v>
                </c:pt>
                <c:pt idx="63" formatCode="#,##0_);[Red]\(#,##0\)">
                  <c:v>350305.92</c:v>
                </c:pt>
                <c:pt idx="64" formatCode="#,##0_);[Red]\(#,##0\)">
                  <c:v>350306</c:v>
                </c:pt>
                <c:pt idx="65" formatCode="#,##0_);[Red]\(#,##0\)">
                  <c:v>350306</c:v>
                </c:pt>
                <c:pt idx="66" formatCode="#,##0_);[Red]\(#,##0\)">
                  <c:v>320389.65000000002</c:v>
                </c:pt>
                <c:pt idx="67" formatCode="#,##0_);[Red]\(#,##0\)">
                  <c:v>320390</c:v>
                </c:pt>
                <c:pt idx="68" formatCode="#,##0_);[Red]\(#,##0\)">
                  <c:v>313344</c:v>
                </c:pt>
                <c:pt idx="69" formatCode="#,##0_);[Red]\(#,##0\)">
                  <c:v>313344</c:v>
                </c:pt>
                <c:pt idx="70" formatCode="#,##0_);[Red]\(#,##0\)">
                  <c:v>306132.78000000003</c:v>
                </c:pt>
                <c:pt idx="71" formatCode="#,##0_);[Red]\(#,##0\)">
                  <c:v>286047.34999999998</c:v>
                </c:pt>
                <c:pt idx="72" formatCode="#,##0_);[Red]\(#,##0\)">
                  <c:v>286047</c:v>
                </c:pt>
                <c:pt idx="73" formatCode="#,##0_);[Red]\(#,##0\)">
                  <c:v>272128.99</c:v>
                </c:pt>
                <c:pt idx="74" formatCode="#,##0_);[Red]\(#,##0\)">
                  <c:v>272229.71000000002</c:v>
                </c:pt>
                <c:pt idx="75" formatCode="#,##0_);[Red]\(#,##0\)">
                  <c:v>236683.56</c:v>
                </c:pt>
                <c:pt idx="76" formatCode="#,##0_);[Red]\(#,##0\)">
                  <c:v>244114.64</c:v>
                </c:pt>
                <c:pt idx="77" formatCode="#,##0_);[Red]\(#,##0\)">
                  <c:v>244115</c:v>
                </c:pt>
                <c:pt idx="78" formatCode="#,##0_);[Red]\(#,##0\)">
                  <c:v>241798.76</c:v>
                </c:pt>
                <c:pt idx="79" formatCode="#,##0_);[Red]\(#,##0\)">
                  <c:v>241799</c:v>
                </c:pt>
                <c:pt idx="80" formatCode="#,##0_);[Red]\(#,##0\)">
                  <c:v>241973.76000000001</c:v>
                </c:pt>
                <c:pt idx="81" formatCode="#,##0_);[Red]\(#,##0\)">
                  <c:v>243364.2</c:v>
                </c:pt>
                <c:pt idx="82" formatCode="#,##0_);[Red]\(#,##0\)">
                  <c:v>243364</c:v>
                </c:pt>
                <c:pt idx="83" formatCode="#,##0_);[Red]\(#,##0\)">
                  <c:v>259265.45</c:v>
                </c:pt>
                <c:pt idx="84" formatCode="#,##0_);[Red]\(#,##0\)">
                  <c:v>290731.18</c:v>
                </c:pt>
                <c:pt idx="85" formatCode="#,##0_);[Red]\(#,##0\)">
                  <c:v>251486.17</c:v>
                </c:pt>
                <c:pt idx="86" formatCode="#,##0_);[Red]\(#,##0\)">
                  <c:v>253188.17</c:v>
                </c:pt>
                <c:pt idx="87" formatCode="#,##0_);[Red]\(#,##0\)">
                  <c:v>253188</c:v>
                </c:pt>
                <c:pt idx="88" formatCode="#,##0_);[Red]\(#,##0\)">
                  <c:v>232739.33</c:v>
                </c:pt>
                <c:pt idx="89" formatCode="#,##0_);[Red]\(#,##0\)">
                  <c:v>234049.33</c:v>
                </c:pt>
                <c:pt idx="90" formatCode="#,##0_);[Red]\(#,##0\)">
                  <c:v>314317.77</c:v>
                </c:pt>
                <c:pt idx="91" formatCode="#,##0_);[Red]\(#,##0\)">
                  <c:v>314318</c:v>
                </c:pt>
                <c:pt idx="92" formatCode="#,##0_);[Red]\(#,##0\)">
                  <c:v>314318</c:v>
                </c:pt>
                <c:pt idx="93" formatCode="#,##0_);[Red]\(#,##0\)">
                  <c:v>313971.28000000003</c:v>
                </c:pt>
                <c:pt idx="94" formatCode="#,##0_);[Red]\(#,##0\)">
                  <c:v>313971</c:v>
                </c:pt>
                <c:pt idx="95" formatCode="#,##0_);[Red]\(#,##0\)">
                  <c:v>271063.69</c:v>
                </c:pt>
                <c:pt idx="96" formatCode="#,##0_);[Red]\(#,##0\)">
                  <c:v>271064</c:v>
                </c:pt>
                <c:pt idx="97" formatCode="#,##0_);[Red]\(#,##0\)">
                  <c:v>271064</c:v>
                </c:pt>
                <c:pt idx="98" formatCode="#,##0_);[Red]\(#,##0\)">
                  <c:v>261497.73</c:v>
                </c:pt>
                <c:pt idx="99" formatCode="#,##0_);[Red]\(#,##0\)">
                  <c:v>311507.92</c:v>
                </c:pt>
                <c:pt idx="100" formatCode="#,##0_);[Red]\(#,##0\)">
                  <c:v>290080.52</c:v>
                </c:pt>
                <c:pt idx="101" formatCode="#,##0_);[Red]\(#,##0\)">
                  <c:v>290081</c:v>
                </c:pt>
                <c:pt idx="102" formatCode="#,##0_);[Red]\(#,##0\)">
                  <c:v>327080.46000000002</c:v>
                </c:pt>
                <c:pt idx="103" formatCode="#,##0_);[Red]\(#,##0\)">
                  <c:v>327080</c:v>
                </c:pt>
                <c:pt idx="104" formatCode="#,##0_);[Red]\(#,##0\)">
                  <c:v>336844.12</c:v>
                </c:pt>
                <c:pt idx="105" formatCode="#,##0_);[Red]\(#,##0\)">
                  <c:v>336844</c:v>
                </c:pt>
                <c:pt idx="106" formatCode="#,##0_);[Red]\(#,##0\)">
                  <c:v>300553.48</c:v>
                </c:pt>
                <c:pt idx="107" formatCode="#,##0_);[Red]\(#,##0\)">
                  <c:v>296887.5</c:v>
                </c:pt>
                <c:pt idx="108" formatCode="#,##0_);[Red]\(#,##0\)">
                  <c:v>297355.68</c:v>
                </c:pt>
                <c:pt idx="109" formatCode="#,##0_);[Red]\(#,##0\)">
                  <c:v>298760.68</c:v>
                </c:pt>
                <c:pt idx="110" formatCode="#,##0_);[Red]\(#,##0\)">
                  <c:v>279006.82</c:v>
                </c:pt>
                <c:pt idx="111" formatCode="#,##0_);[Red]\(#,##0\)">
                  <c:v>279007</c:v>
                </c:pt>
                <c:pt idx="112" formatCode="#,##0_);[Red]\(#,##0\)">
                  <c:v>279007</c:v>
                </c:pt>
                <c:pt idx="113" formatCode="#,##0_);[Red]\(#,##0\)">
                  <c:v>279112.07</c:v>
                </c:pt>
                <c:pt idx="114" formatCode="#,##0_);[Red]\(#,##0\)">
                  <c:v>279112</c:v>
                </c:pt>
                <c:pt idx="115" formatCode="#,##0_);[Red]\(#,##0\)">
                  <c:v>244072.02</c:v>
                </c:pt>
                <c:pt idx="116" formatCode="#,##0_);[Red]\(#,##0\)">
                  <c:v>249325.41</c:v>
                </c:pt>
                <c:pt idx="117" formatCode="#,##0_);[Red]\(#,##0\)">
                  <c:v>249325</c:v>
                </c:pt>
                <c:pt idx="118" formatCode="#,##0_);[Red]\(#,##0\)">
                  <c:v>252874.48</c:v>
                </c:pt>
                <c:pt idx="119" formatCode="#,##0_);[Red]\(#,##0\)">
                  <c:v>253128.65</c:v>
                </c:pt>
                <c:pt idx="120" formatCode="#,##0_);[Red]\(#,##0\)">
                  <c:v>255098.96</c:v>
                </c:pt>
                <c:pt idx="121" formatCode="#,##0_);[Red]\(#,##0\)">
                  <c:v>253521.42</c:v>
                </c:pt>
                <c:pt idx="122" formatCode="#,##0_);[Red]\(#,##0\)">
                  <c:v>253521</c:v>
                </c:pt>
                <c:pt idx="123" formatCode="#,##0_);[Red]\(#,##0\)">
                  <c:v>235912.36</c:v>
                </c:pt>
                <c:pt idx="124" formatCode="#,##0_);[Red]\(#,##0\)">
                  <c:v>235912</c:v>
                </c:pt>
                <c:pt idx="125" formatCode="#,##0_);[Red]\(#,##0\)">
                  <c:v>198879.76</c:v>
                </c:pt>
                <c:pt idx="126" formatCode="#,##0_);[Red]\(#,##0\)">
                  <c:v>199009.76</c:v>
                </c:pt>
                <c:pt idx="127" formatCode="#,##0_);[Red]\(#,##0\)">
                  <c:v>199010</c:v>
                </c:pt>
                <c:pt idx="128" formatCode="#,##0_);[Red]\(#,##0\)">
                  <c:v>210354</c:v>
                </c:pt>
                <c:pt idx="129" formatCode="#,##0_);[Red]\(#,##0\)">
                  <c:v>260779.62</c:v>
                </c:pt>
                <c:pt idx="130" formatCode="#,##0_);[Red]\(#,##0\)">
                  <c:v>260780</c:v>
                </c:pt>
                <c:pt idx="131" formatCode="#,##0_);[Red]\(#,##0\)">
                  <c:v>260780</c:v>
                </c:pt>
                <c:pt idx="132" formatCode="#,##0_);[Red]\(#,##0\)">
                  <c:v>260780</c:v>
                </c:pt>
                <c:pt idx="133" formatCode="#,##0_);[Red]\(#,##0\)">
                  <c:v>261774.11</c:v>
                </c:pt>
                <c:pt idx="134" formatCode="#,##0_);[Red]\(#,##0\)">
                  <c:v>261774</c:v>
                </c:pt>
                <c:pt idx="135" formatCode="#,##0_);[Red]\(#,##0\)">
                  <c:v>226950.89</c:v>
                </c:pt>
                <c:pt idx="136" formatCode="#,##0_);[Red]\(#,##0\)">
                  <c:v>226951</c:v>
                </c:pt>
                <c:pt idx="137" formatCode="#,##0_);[Red]\(#,##0\)">
                  <c:v>248711.94</c:v>
                </c:pt>
                <c:pt idx="138" formatCode="#,##0_);[Red]\(#,##0\)">
                  <c:v>256201.58</c:v>
                </c:pt>
                <c:pt idx="139" formatCode="#,##0_);[Red]\(#,##0\)">
                  <c:v>256272.97</c:v>
                </c:pt>
                <c:pt idx="140" formatCode="#,##0_);[Red]\(#,##0\)">
                  <c:v>256056.42</c:v>
                </c:pt>
                <c:pt idx="141" formatCode="#,##0_);[Red]\(#,##0\)">
                  <c:v>257213.96</c:v>
                </c:pt>
                <c:pt idx="142" formatCode="#,##0_);[Red]\(#,##0\)">
                  <c:v>257214</c:v>
                </c:pt>
                <c:pt idx="143" formatCode="#,##0_);[Red]\(#,##0\)">
                  <c:v>260075.5</c:v>
                </c:pt>
                <c:pt idx="144" formatCode="#,##0_);[Red]\(#,##0\)">
                  <c:v>339825.5</c:v>
                </c:pt>
                <c:pt idx="145" formatCode="#,##0_);[Red]\(#,##0\)">
                  <c:v>303182.65000000002</c:v>
                </c:pt>
                <c:pt idx="146" formatCode="#,##0_);[Red]\(#,##0\)">
                  <c:v>322340.12</c:v>
                </c:pt>
                <c:pt idx="147" formatCode="#,##0_);[Red]\(#,##0\)">
                  <c:v>322340</c:v>
                </c:pt>
                <c:pt idx="148" formatCode="#,##0_);[Red]\(#,##0\)">
                  <c:v>308772.78999999998</c:v>
                </c:pt>
                <c:pt idx="149" formatCode="#,##0_);[Red]\(#,##0\)">
                  <c:v>317343.40999999997</c:v>
                </c:pt>
                <c:pt idx="150" formatCode="#,##0_);[Red]\(#,##0\)">
                  <c:v>317343</c:v>
                </c:pt>
                <c:pt idx="151" formatCode="#,##0_);[Red]\(#,##0\)">
                  <c:v>369152.35</c:v>
                </c:pt>
                <c:pt idx="152" formatCode="#,##0_);[Red]\(#,##0\)">
                  <c:v>371061.94</c:v>
                </c:pt>
                <c:pt idx="153" formatCode="#,##0_);[Red]\(#,##0\)">
                  <c:v>372080.87</c:v>
                </c:pt>
                <c:pt idx="154" formatCode="#,##0_);[Red]\(#,##0\)">
                  <c:v>372080.87</c:v>
                </c:pt>
                <c:pt idx="155" formatCode="#,##0_);[Red]\(#,##0\)">
                  <c:v>336189.47</c:v>
                </c:pt>
                <c:pt idx="156" formatCode="#,##0_);[Red]\(#,##0\)">
                  <c:v>340998.07</c:v>
                </c:pt>
                <c:pt idx="157" formatCode="#,##0_);[Red]\(#,##0\)">
                  <c:v>332763.65000000002</c:v>
                </c:pt>
                <c:pt idx="158" formatCode="#,##0_);[Red]\(#,##0\)">
                  <c:v>375651.45</c:v>
                </c:pt>
                <c:pt idx="159" formatCode="#,##0_);[Red]\(#,##0\)">
                  <c:v>378293.21</c:v>
                </c:pt>
                <c:pt idx="160" formatCode="#,##0_);[Red]\(#,##0\)">
                  <c:v>378293</c:v>
                </c:pt>
                <c:pt idx="161" formatCode="#,##0_);[Red]\(#,##0\)">
                  <c:v>401190.06</c:v>
                </c:pt>
                <c:pt idx="162" formatCode="#,##0_);[Red]\(#,##0\)">
                  <c:v>401190</c:v>
                </c:pt>
                <c:pt idx="163" formatCode="#,##0_);[Red]\(#,##0\)">
                  <c:v>401569.72</c:v>
                </c:pt>
                <c:pt idx="164" formatCode="#,##0_);[Red]\(#,##0\)">
                  <c:v>403837.72</c:v>
                </c:pt>
                <c:pt idx="165" formatCode="#,##0_);[Red]\(#,##0\)">
                  <c:v>369495.17</c:v>
                </c:pt>
                <c:pt idx="166" formatCode="#,##0_);[Red]\(#,##0\)">
                  <c:v>379169.06</c:v>
                </c:pt>
                <c:pt idx="167" formatCode="#,##0_);[Red]\(#,##0\)">
                  <c:v>379169</c:v>
                </c:pt>
                <c:pt idx="168" formatCode="#,##0_);[Red]\(#,##0\)">
                  <c:v>372540.41</c:v>
                </c:pt>
                <c:pt idx="169" formatCode="#,##0_);[Red]\(#,##0\)">
                  <c:v>372540</c:v>
                </c:pt>
                <c:pt idx="170" formatCode="#,##0_);[Red]\(#,##0\)">
                  <c:v>372540</c:v>
                </c:pt>
                <c:pt idx="171" formatCode="#,##0_);[Red]\(#,##0\)">
                  <c:v>374625.25</c:v>
                </c:pt>
                <c:pt idx="172" formatCode="#,##0_);[Red]\(#,##0\)">
                  <c:v>382658.46</c:v>
                </c:pt>
                <c:pt idx="173" formatCode="#,##0_);[Red]\(#,##0\)">
                  <c:v>389160.26</c:v>
                </c:pt>
                <c:pt idx="174" formatCode="#,##0_);[Red]\(#,##0\)">
                  <c:v>389160</c:v>
                </c:pt>
                <c:pt idx="175" formatCode="#,##0_);[Red]\(#,##0\)">
                  <c:v>389160</c:v>
                </c:pt>
                <c:pt idx="176" formatCode="#,##0_);[Red]\(#,##0\)">
                  <c:v>352908.42</c:v>
                </c:pt>
                <c:pt idx="177" formatCode="#,##0_);[Red]\(#,##0\)">
                  <c:v>383959.41</c:v>
                </c:pt>
                <c:pt idx="178" formatCode="#,##0_);[Red]\(#,##0\)">
                  <c:v>403148.81</c:v>
                </c:pt>
                <c:pt idx="179" formatCode="#,##0_);[Red]\(#,##0\)">
                  <c:v>403344.11</c:v>
                </c:pt>
                <c:pt idx="180" formatCode="#,##0_);[Red]\(#,##0\)">
                  <c:v>403344</c:v>
                </c:pt>
                <c:pt idx="181" formatCode="#,##0_);[Red]\(#,##0\)">
                  <c:v>403344</c:v>
                </c:pt>
                <c:pt idx="182" formatCode="#,##0_);[Red]\(#,##0\)">
                  <c:v>403344</c:v>
                </c:pt>
                <c:pt idx="183" formatCode="#,##0_);[Red]\(#,##0\)">
                  <c:v>400016.8</c:v>
                </c:pt>
                <c:pt idx="184" formatCode="#,##0_);[Red]\(#,##0\)">
                  <c:v>400134.96</c:v>
                </c:pt>
                <c:pt idx="185" formatCode="#,##0_);[Red]\(#,##0\)">
                  <c:v>364805.11</c:v>
                </c:pt>
                <c:pt idx="186" formatCode="#,##0_);[Red]\(#,##0\)">
                  <c:v>364805</c:v>
                </c:pt>
                <c:pt idx="187" formatCode="#,##0_);[Red]\(#,##0\)">
                  <c:v>371804.33</c:v>
                </c:pt>
                <c:pt idx="188" formatCode="#,##0_);[Red]\(#,##0\)">
                  <c:v>370759.85</c:v>
                </c:pt>
                <c:pt idx="189" formatCode="#,##0_);[Red]\(#,##0\)">
                  <c:v>389878.66</c:v>
                </c:pt>
                <c:pt idx="190" formatCode="#,##0_);[Red]\(#,##0\)">
                  <c:v>393013.02</c:v>
                </c:pt>
                <c:pt idx="191" formatCode="#,##0_);[Red]\(#,##0\)">
                  <c:v>393593.22</c:v>
                </c:pt>
                <c:pt idx="192" formatCode="#,##0_);[Red]\(#,##0\)">
                  <c:v>393593</c:v>
                </c:pt>
                <c:pt idx="193" formatCode="#,##0_);[Red]\(#,##0\)">
                  <c:v>385433.95</c:v>
                </c:pt>
                <c:pt idx="194" formatCode="#,##0_);[Red]\(#,##0\)">
                  <c:v>385678.15</c:v>
                </c:pt>
                <c:pt idx="195" formatCode="#,##0_);[Red]\(#,##0\)">
                  <c:v>350949.28</c:v>
                </c:pt>
                <c:pt idx="196" formatCode="#,##0_);[Red]\(#,##0\)">
                  <c:v>352010.98</c:v>
                </c:pt>
                <c:pt idx="197" formatCode="#,##0_);[Red]\(#,##0\)">
                  <c:v>352011</c:v>
                </c:pt>
                <c:pt idx="198" formatCode="#,##0_);[Red]\(#,##0\)">
                  <c:v>348679</c:v>
                </c:pt>
                <c:pt idx="199" formatCode="#,##0_);[Red]\(#,##0\)">
                  <c:v>348679</c:v>
                </c:pt>
                <c:pt idx="200" formatCode="#,##0_);[Red]\(#,##0\)">
                  <c:v>348679</c:v>
                </c:pt>
                <c:pt idx="201" formatCode="#,##0_);[Red]\(#,##0\)">
                  <c:v>348679</c:v>
                </c:pt>
                <c:pt idx="202" formatCode="#,##0_);[Red]\(#,##0\)">
                  <c:v>348761.24</c:v>
                </c:pt>
                <c:pt idx="203" formatCode="#,##0_);[Red]\(#,##0\)">
                  <c:v>349998.26</c:v>
                </c:pt>
                <c:pt idx="204" formatCode="#,##0_);[Red]\(#,##0\)">
                  <c:v>370561.14</c:v>
                </c:pt>
                <c:pt idx="205" formatCode="#,##0_);[Red]\(#,##0\)">
                  <c:v>336220.14</c:v>
                </c:pt>
                <c:pt idx="206" formatCode="#,##0_);[Red]\(#,##0\)">
                  <c:v>336332.14</c:v>
                </c:pt>
                <c:pt idx="207" formatCode="#,##0_);[Red]\(#,##0\)">
                  <c:v>336332</c:v>
                </c:pt>
                <c:pt idx="208" formatCode="#,##0_);[Red]\(#,##0\)">
                  <c:v>339185.02</c:v>
                </c:pt>
                <c:pt idx="209" formatCode="#,##0_);[Red]\(#,##0\)">
                  <c:v>344936.35</c:v>
                </c:pt>
                <c:pt idx="210" formatCode="#,##0_);[Red]\(#,##0\)">
                  <c:v>344564.68</c:v>
                </c:pt>
                <c:pt idx="211" formatCode="#,##0_);[Red]\(#,##0\)">
                  <c:v>344565</c:v>
                </c:pt>
                <c:pt idx="212" formatCode="#,##0_);[Red]\(#,##0\)">
                  <c:v>344829.18</c:v>
                </c:pt>
                <c:pt idx="213" formatCode="#,##0_);[Red]\(#,##0\)">
                  <c:v>339942.05</c:v>
                </c:pt>
                <c:pt idx="214" formatCode="#,##0_);[Red]\(#,##0\)">
                  <c:v>360185.72</c:v>
                </c:pt>
                <c:pt idx="215" formatCode="#,##0_);[Red]\(#,##0\)">
                  <c:v>323067.73</c:v>
                </c:pt>
                <c:pt idx="216" formatCode="#,##0_);[Red]\(#,##0\)">
                  <c:v>323197.73</c:v>
                </c:pt>
                <c:pt idx="217" formatCode="#,##0_);[Red]\(#,##0\)">
                  <c:v>323198</c:v>
                </c:pt>
                <c:pt idx="218" formatCode="#,##0_);[Red]\(#,##0\)">
                  <c:v>341044.7</c:v>
                </c:pt>
                <c:pt idx="219" formatCode="#,##0_);[Red]\(#,##0\)">
                  <c:v>341676.17</c:v>
                </c:pt>
                <c:pt idx="220" formatCode="#,##0_);[Red]\(#,##0\)">
                  <c:v>341676</c:v>
                </c:pt>
                <c:pt idx="221" formatCode="#,##0_);[Red]\(#,##0\)">
                  <c:v>341676</c:v>
                </c:pt>
                <c:pt idx="222" formatCode="#,##0_);[Red]\(#,##0\)">
                  <c:v>379863.97</c:v>
                </c:pt>
                <c:pt idx="223" formatCode="#,##0_);[Red]\(#,##0\)">
                  <c:v>378842.06</c:v>
                </c:pt>
                <c:pt idx="224" formatCode="#,##0_);[Red]\(#,##0\)">
                  <c:v>378842</c:v>
                </c:pt>
                <c:pt idx="225" formatCode="#,##0_);[Red]\(#,##0\)">
                  <c:v>340784.14</c:v>
                </c:pt>
                <c:pt idx="226" formatCode="#,##0_);[Red]\(#,##0\)">
                  <c:v>340784</c:v>
                </c:pt>
                <c:pt idx="227" formatCode="#,##0_);[Red]\(#,##0\)">
                  <c:v>340895.76</c:v>
                </c:pt>
                <c:pt idx="228" formatCode="#,##0_);[Red]\(#,##0\)">
                  <c:v>354246.44</c:v>
                </c:pt>
                <c:pt idx="229" formatCode="#,##0_);[Red]\(#,##0\)">
                  <c:v>354246.44</c:v>
                </c:pt>
                <c:pt idx="230" formatCode="#,##0_);[Red]\(#,##0\)">
                  <c:v>354264.44</c:v>
                </c:pt>
                <c:pt idx="231" formatCode="#,##0_);[Red]\(#,##0\)">
                  <c:v>354264</c:v>
                </c:pt>
                <c:pt idx="232" formatCode="#,##0_);[Red]\(#,##0\)">
                  <c:v>357804.55</c:v>
                </c:pt>
                <c:pt idx="233" formatCode="#,##0_);[Red]\(#,##0\)">
                  <c:v>357805</c:v>
                </c:pt>
                <c:pt idx="234" formatCode="#,##0_);[Red]\(#,##0\)">
                  <c:v>361119.05</c:v>
                </c:pt>
                <c:pt idx="235" formatCode="#,##0_);[Red]\(#,##0\)">
                  <c:v>318415.71000000002</c:v>
                </c:pt>
                <c:pt idx="236" formatCode="#,##0_);[Red]\(#,##0\)">
                  <c:v>320237.53999999998</c:v>
                </c:pt>
                <c:pt idx="237" formatCode="#,##0_);[Red]\(#,##0\)">
                  <c:v>320237.53999999998</c:v>
                </c:pt>
                <c:pt idx="238" formatCode="#,##0_);[Red]\(#,##0\)">
                  <c:v>325286.46999999997</c:v>
                </c:pt>
                <c:pt idx="239" formatCode="#,##0_);[Red]\(#,##0\)">
                  <c:v>334247.03000000003</c:v>
                </c:pt>
                <c:pt idx="240" formatCode="#,##0_);[Red]\(#,##0\)">
                  <c:v>334247</c:v>
                </c:pt>
                <c:pt idx="241" formatCode="#,##0_);[Red]\(#,##0\)">
                  <c:v>334247.03000000003</c:v>
                </c:pt>
                <c:pt idx="242" formatCode="#,##0_);[Red]\(#,##0\)">
                  <c:v>334247</c:v>
                </c:pt>
                <c:pt idx="243" formatCode="#,##0_);[Red]\(#,##0\)">
                  <c:v>323171.46000000002</c:v>
                </c:pt>
                <c:pt idx="244" formatCode="#,##0_);[Red]\(#,##0\)">
                  <c:v>324229.90999999997</c:v>
                </c:pt>
                <c:pt idx="245" formatCode="#,##0_);[Red]\(#,##0\)">
                  <c:v>324230</c:v>
                </c:pt>
                <c:pt idx="246" formatCode="#,##0_);[Red]\(#,##0\)">
                  <c:v>286030.39</c:v>
                </c:pt>
                <c:pt idx="247" formatCode="#,##0_);[Red]\(#,##0\)">
                  <c:v>286197.44</c:v>
                </c:pt>
                <c:pt idx="248" formatCode="#,##0_);[Red]\(#,##0\)">
                  <c:v>280065.2</c:v>
                </c:pt>
                <c:pt idx="249" formatCode="#,##0_);[Red]\(#,##0\)">
                  <c:v>284409.09999999998</c:v>
                </c:pt>
                <c:pt idx="250" formatCode="#,##0_);[Red]\(#,##0\)">
                  <c:v>285119.09999999998</c:v>
                </c:pt>
                <c:pt idx="251" formatCode="#,##0_);[Red]\(#,##0\)">
                  <c:v>285395.49</c:v>
                </c:pt>
                <c:pt idx="252" formatCode="#,##0_);[Red]\(#,##0\)">
                  <c:v>285395</c:v>
                </c:pt>
                <c:pt idx="253" formatCode="#,##0_);[Red]\(#,##0\)">
                  <c:v>285542.49</c:v>
                </c:pt>
                <c:pt idx="254" formatCode="#,##0_);[Red]\(#,##0\)">
                  <c:v>285542</c:v>
                </c:pt>
                <c:pt idx="255" formatCode="#,##0_);[Red]\(#,##0\)">
                  <c:v>285542</c:v>
                </c:pt>
                <c:pt idx="256" formatCode="#,##0_);[Red]\(#,##0\)">
                  <c:v>248584.72</c:v>
                </c:pt>
                <c:pt idx="257" formatCode="#,##0_);[Red]\(#,##0\)">
                  <c:v>248585</c:v>
                </c:pt>
                <c:pt idx="258" formatCode="#,##0_);[Red]\(#,##0\)">
                  <c:v>270685.83</c:v>
                </c:pt>
                <c:pt idx="259" formatCode="#,##0_);[Red]\(#,##0\)">
                  <c:v>282558.58</c:v>
                </c:pt>
                <c:pt idx="260" formatCode="#,##0_);[Red]\(#,##0\)">
                  <c:v>282559</c:v>
                </c:pt>
                <c:pt idx="261" formatCode="#,##0_);[Red]\(#,##0\)">
                  <c:v>282508.58</c:v>
                </c:pt>
                <c:pt idx="262" formatCode="#,##0_);[Red]\(#,##0\)">
                  <c:v>282509</c:v>
                </c:pt>
                <c:pt idx="263" formatCode="#,##0_);[Red]\(#,##0\)">
                  <c:v>283213.14</c:v>
                </c:pt>
                <c:pt idx="264" formatCode="#,##0_);[Red]\(#,##0\)">
                  <c:v>297779.06</c:v>
                </c:pt>
                <c:pt idx="265" formatCode="#,##0_);[Red]\(#,##0\)">
                  <c:v>263886.2</c:v>
                </c:pt>
                <c:pt idx="266" formatCode="#,##0_);[Red]\(#,##0\)">
                  <c:v>277030.96999999997</c:v>
                </c:pt>
                <c:pt idx="267" formatCode="#,##0_);[Red]\(#,##0\)">
                  <c:v>277031</c:v>
                </c:pt>
                <c:pt idx="268" formatCode="#,##0_);[Red]\(#,##0\)">
                  <c:v>281394.14</c:v>
                </c:pt>
                <c:pt idx="269" formatCode="#,##0_);[Red]\(#,##0\)">
                  <c:v>281470.18</c:v>
                </c:pt>
                <c:pt idx="270" formatCode="#,##0_);[Red]\(#,##0\)">
                  <c:v>281470</c:v>
                </c:pt>
                <c:pt idx="271" formatCode="#,##0_);[Red]\(#,##0\)">
                  <c:v>284325.94</c:v>
                </c:pt>
                <c:pt idx="272" formatCode="#,##0_);[Red]\(#,##0\)">
                  <c:v>305911.78000000003</c:v>
                </c:pt>
                <c:pt idx="273" formatCode="#,##0_);[Red]\(#,##0\)">
                  <c:v>305752.93</c:v>
                </c:pt>
                <c:pt idx="274" formatCode="#,##0_);[Red]\(#,##0\)">
                  <c:v>332730.14</c:v>
                </c:pt>
                <c:pt idx="275" formatCode="#,##0_);[Red]\(#,##0\)">
                  <c:v>291419.49</c:v>
                </c:pt>
                <c:pt idx="276" formatCode="#,##0_);[Red]\(#,##0\)">
                  <c:v>293419.65000000002</c:v>
                </c:pt>
                <c:pt idx="277" formatCode="#,##0_);[Red]\(#,##0\)">
                  <c:v>293420</c:v>
                </c:pt>
                <c:pt idx="278" formatCode="#,##0_);[Red]\(#,##0\)">
                  <c:v>301331.82</c:v>
                </c:pt>
                <c:pt idx="279" formatCode="#,##0_);[Red]\(#,##0\)">
                  <c:v>327084.28999999998</c:v>
                </c:pt>
                <c:pt idx="280" formatCode="#,##0_);[Red]\(#,##0\)">
                  <c:v>327084</c:v>
                </c:pt>
                <c:pt idx="281" formatCode="#,##0_);[Red]\(#,##0\)">
                  <c:v>327084</c:v>
                </c:pt>
                <c:pt idx="282" formatCode="#,##0_);[Red]\(#,##0\)">
                  <c:v>337130.63</c:v>
                </c:pt>
                <c:pt idx="283" formatCode="#,##0_);[Red]\(#,##0\)">
                  <c:v>334292.59999999998</c:v>
                </c:pt>
                <c:pt idx="284" formatCode="#,##0_);[Red]\(#,##0\)">
                  <c:v>335977.23</c:v>
                </c:pt>
                <c:pt idx="285" formatCode="#,##0_);[Red]\(#,##0\)">
                  <c:v>300614.99</c:v>
                </c:pt>
                <c:pt idx="286" formatCode="#,##0_);[Red]\(#,##0\)">
                  <c:v>295509.53999999998</c:v>
                </c:pt>
                <c:pt idx="287" formatCode="#,##0_);[Red]\(#,##0\)">
                  <c:v>295510</c:v>
                </c:pt>
                <c:pt idx="288" formatCode="#,##0_);[Red]\(#,##0\)">
                  <c:v>295623.09999999998</c:v>
                </c:pt>
                <c:pt idx="289" formatCode="#,##0_);[Red]\(#,##0\)">
                  <c:v>295623</c:v>
                </c:pt>
                <c:pt idx="290" formatCode="#,##0_);[Red]\(#,##0\)">
                  <c:v>299232.09999999998</c:v>
                </c:pt>
                <c:pt idx="291" formatCode="#,##0_);[Red]\(#,##0\)">
                  <c:v>304422.01</c:v>
                </c:pt>
                <c:pt idx="292" formatCode="#,##0_);[Red]\(#,##0\)">
                  <c:v>330191.24</c:v>
                </c:pt>
                <c:pt idx="293" formatCode="#,##0_);[Red]\(#,##0\)">
                  <c:v>313471.64</c:v>
                </c:pt>
                <c:pt idx="294" formatCode="#,##0_);[Red]\(#,##0\)">
                  <c:v>313472</c:v>
                </c:pt>
                <c:pt idx="295" formatCode="#,##0_);[Red]\(#,##0\)">
                  <c:v>313472</c:v>
                </c:pt>
                <c:pt idx="296" formatCode="#,##0_);[Red]\(#,##0\)">
                  <c:v>277471.58</c:v>
                </c:pt>
                <c:pt idx="297" formatCode="#,##0_);[Red]\(#,##0\)">
                  <c:v>287526.92</c:v>
                </c:pt>
                <c:pt idx="298" formatCode="#,##0_);[Red]\(#,##0\)">
                  <c:v>296486.64</c:v>
                </c:pt>
                <c:pt idx="299" formatCode="#,##0_);[Red]\(#,##0\)">
                  <c:v>296487</c:v>
                </c:pt>
                <c:pt idx="300" formatCode="#,##0_);[Red]\(#,##0\)">
                  <c:v>296487</c:v>
                </c:pt>
                <c:pt idx="301" formatCode="#,##0_);[Red]\(#,##0\)">
                  <c:v>335911.5</c:v>
                </c:pt>
                <c:pt idx="302" formatCode="#,##0_);[Red]\(#,##0\)">
                  <c:v>335912</c:v>
                </c:pt>
                <c:pt idx="303" formatCode="#,##0_);[Red]\(#,##0\)">
                  <c:v>330042.21999999997</c:v>
                </c:pt>
                <c:pt idx="304" formatCode="#,##0_);[Red]\(#,##0\)">
                  <c:v>367034.5</c:v>
                </c:pt>
                <c:pt idx="305" formatCode="#,##0_);[Red]\(#,##0\)">
                  <c:v>330990.42</c:v>
                </c:pt>
                <c:pt idx="306" formatCode="#,##0_);[Red]\(#,##0\)">
                  <c:v>333065.89</c:v>
                </c:pt>
                <c:pt idx="307" formatCode="#,##0_);[Red]\(#,##0\)">
                  <c:v>331065.89</c:v>
                </c:pt>
                <c:pt idx="308" formatCode="#,##0_);[Red]\(#,##0\)">
                  <c:v>331092.17</c:v>
                </c:pt>
                <c:pt idx="309" formatCode="#,##0_);[Red]\(#,##0\)">
                  <c:v>311733.17</c:v>
                </c:pt>
                <c:pt idx="310" formatCode="#,##0_);[Red]\(#,##0\)">
                  <c:v>317116.19</c:v>
                </c:pt>
                <c:pt idx="311" formatCode="#,##0_);[Red]\(#,##0\)">
                  <c:v>317116</c:v>
                </c:pt>
                <c:pt idx="312" formatCode="#,##0_);[Red]\(#,##0\)">
                  <c:v>317496.19</c:v>
                </c:pt>
                <c:pt idx="313" formatCode="#,##0_);[Red]\(#,##0\)">
                  <c:v>317772.45</c:v>
                </c:pt>
                <c:pt idx="314" formatCode="#,##0_);[Red]\(#,##0\)">
                  <c:v>317772</c:v>
                </c:pt>
                <c:pt idx="315" formatCode="#,##0_);[Red]\(#,##0\)">
                  <c:v>279446.55</c:v>
                </c:pt>
                <c:pt idx="316" formatCode="#,##0_);[Red]\(#,##0\)">
                  <c:v>272785.62</c:v>
                </c:pt>
                <c:pt idx="317" formatCode="#,##0_);[Red]\(#,##0\)">
                  <c:v>288240.15999999997</c:v>
                </c:pt>
                <c:pt idx="318" formatCode="#,##0_);[Red]\(#,##0\)">
                  <c:v>278742.74</c:v>
                </c:pt>
                <c:pt idx="319" formatCode="#,##0_);[Red]\(#,##0\)">
                  <c:v>278840.24</c:v>
                </c:pt>
                <c:pt idx="320" formatCode="#,##0_);[Red]\(#,##0\)">
                  <c:v>278942.24</c:v>
                </c:pt>
                <c:pt idx="321" formatCode="#,##0_);[Red]\(#,##0\)">
                  <c:v>257048.49</c:v>
                </c:pt>
                <c:pt idx="322" formatCode="#,##0_);[Red]\(#,##0\)">
                  <c:v>252662.47</c:v>
                </c:pt>
                <c:pt idx="323" formatCode="#,##0_);[Red]\(#,##0\)">
                  <c:v>254708.73</c:v>
                </c:pt>
                <c:pt idx="324" formatCode="#,##0_);[Red]\(#,##0\)">
                  <c:v>281702.86</c:v>
                </c:pt>
                <c:pt idx="325" formatCode="#,##0_);[Red]\(#,##0\)">
                  <c:v>244220.77</c:v>
                </c:pt>
                <c:pt idx="326" formatCode="#,##0_);[Red]\(#,##0\)">
                  <c:v>244221</c:v>
                </c:pt>
                <c:pt idx="327" formatCode="#,##0_);[Red]\(#,##0\)">
                  <c:v>244221</c:v>
                </c:pt>
                <c:pt idx="328" formatCode="#,##0_);[Red]\(#,##0\)">
                  <c:v>225503.87</c:v>
                </c:pt>
                <c:pt idx="329" formatCode="#,##0_);[Red]\(#,##0\)">
                  <c:v>225504</c:v>
                </c:pt>
                <c:pt idx="330" formatCode="#,##0_);[Red]\(#,##0\)">
                  <c:v>225503.8</c:v>
                </c:pt>
                <c:pt idx="331" formatCode="#,##0_);[Red]\(#,##0\)">
                  <c:v>227389.96</c:v>
                </c:pt>
                <c:pt idx="332" formatCode="#,##0_);[Red]\(#,##0\)">
                  <c:v>235472.53</c:v>
                </c:pt>
                <c:pt idx="333" formatCode="#,##0_);[Red]\(#,##0\)">
                  <c:v>222207.84</c:v>
                </c:pt>
                <c:pt idx="334" formatCode="#,##0_);[Red]\(#,##0\)">
                  <c:v>222287.93</c:v>
                </c:pt>
                <c:pt idx="335" formatCode="#,##0_);[Red]\(#,##0\)">
                  <c:v>186664.28</c:v>
                </c:pt>
                <c:pt idx="336" formatCode="#,##0_);[Red]\(#,##0\)">
                  <c:v>188484.95</c:v>
                </c:pt>
                <c:pt idx="337" formatCode="#,##0_);[Red]\(#,##0\)">
                  <c:v>188485</c:v>
                </c:pt>
                <c:pt idx="338" formatCode="#,##0_);[Red]\(#,##0\)">
                  <c:v>180474.73</c:v>
                </c:pt>
                <c:pt idx="339" formatCode="#,##0_);[Red]\(#,##0\)">
                  <c:v>188207.38</c:v>
                </c:pt>
                <c:pt idx="340" formatCode="#,##0_);[Red]\(#,##0\)">
                  <c:v>198618.83</c:v>
                </c:pt>
                <c:pt idx="341" formatCode="#,##0_);[Red]\(#,##0\)">
                  <c:v>198619</c:v>
                </c:pt>
                <c:pt idx="342" formatCode="#,##0_);[Red]\(#,##0\)">
                  <c:v>198619</c:v>
                </c:pt>
                <c:pt idx="343" formatCode="#,##0_);[Red]\(#,##0\)">
                  <c:v>189089.55</c:v>
                </c:pt>
                <c:pt idx="344" formatCode="#,##0_);[Red]\(#,##0\)">
                  <c:v>216053.77</c:v>
                </c:pt>
                <c:pt idx="345" formatCode="#,##0_);[Red]\(#,##0\)">
                  <c:v>179849.52</c:v>
                </c:pt>
                <c:pt idx="346" formatCode="#,##0_);[Red]\(#,##0\)">
                  <c:v>179850</c:v>
                </c:pt>
                <c:pt idx="347" formatCode="#,##0_);[Red]\(#,##0\)">
                  <c:v>173749.01</c:v>
                </c:pt>
                <c:pt idx="348" formatCode="#,##0_);[Red]\(#,##0\)">
                  <c:v>200792.85</c:v>
                </c:pt>
                <c:pt idx="349" formatCode="#,##0_);[Red]\(#,##0\)">
                  <c:v>202331.91</c:v>
                </c:pt>
                <c:pt idx="350" formatCode="#,##0_);[Red]\(#,##0\)">
                  <c:v>203517.87</c:v>
                </c:pt>
                <c:pt idx="351" formatCode="#,##0_);[Red]\(#,##0\)">
                  <c:v>203518</c:v>
                </c:pt>
                <c:pt idx="352" formatCode="#,##0_);[Red]\(#,##0\)">
                  <c:v>203518</c:v>
                </c:pt>
                <c:pt idx="353" formatCode="#,##0_);[Red]\(#,##0\)">
                  <c:v>191114.58</c:v>
                </c:pt>
                <c:pt idx="354" formatCode="#,##0_);[Red]\(#,##0\)">
                  <c:v>153114.57999999999</c:v>
                </c:pt>
                <c:pt idx="355" formatCode="#,##0_);[Red]\(#,##0\)">
                  <c:v>153115</c:v>
                </c:pt>
                <c:pt idx="356" formatCode="#,##0_);[Red]\(#,##0\)">
                  <c:v>182792.08</c:v>
                </c:pt>
                <c:pt idx="357" formatCode="#,##0_);[Red]\(#,##0\)">
                  <c:v>182792</c:v>
                </c:pt>
                <c:pt idx="358" formatCode="#,##0_);[Red]\(#,##0\)">
                  <c:v>222152.66</c:v>
                </c:pt>
                <c:pt idx="359" formatCode="#,##0_);[Red]\(#,##0\)">
                  <c:v>222153</c:v>
                </c:pt>
                <c:pt idx="360" formatCode="#,##0_);[Red]\(#,##0\)">
                  <c:v>222153</c:v>
                </c:pt>
                <c:pt idx="361" formatCode="#,##0_);[Red]\(#,##0\)">
                  <c:v>222153</c:v>
                </c:pt>
                <c:pt idx="362" formatCode="#,##0_);[Red]\(#,##0\)">
                  <c:v>222152</c:v>
                </c:pt>
                <c:pt idx="363" formatCode="#,##0_);[Red]\(#,##0\)">
                  <c:v>211720.43</c:v>
                </c:pt>
                <c:pt idx="364" formatCode="#,##0_);[Red]\(#,##0\)">
                  <c:v>211720</c:v>
                </c:pt>
                <c:pt idx="365" formatCode="#,##0_);[Red]\(#,##0\)">
                  <c:v>211720</c:v>
                </c:pt>
                <c:pt idx="366" formatCode="#,##0_);[Red]\(#,##0\)">
                  <c:v>176327.95</c:v>
                </c:pt>
                <c:pt idx="367" formatCode="#,##0_);[Red]\(#,##0\)">
                  <c:v>176328</c:v>
                </c:pt>
                <c:pt idx="368" formatCode="#,##0_);[Red]\(#,##0\)">
                  <c:v>169004.5</c:v>
                </c:pt>
                <c:pt idx="369" formatCode="#,##0_);[Red]\(#,##0\)">
                  <c:v>261992.26</c:v>
                </c:pt>
                <c:pt idx="370" formatCode="#,##0_);[Red]\(#,##0\)">
                  <c:v>270521.09000000003</c:v>
                </c:pt>
                <c:pt idx="371" formatCode="#,##0_);[Red]\(#,##0\)">
                  <c:v>285365.09000000003</c:v>
                </c:pt>
                <c:pt idx="372" formatCode="#,##0_);[Red]\(#,##0\)">
                  <c:v>285365</c:v>
                </c:pt>
                <c:pt idx="373" formatCode="#,##0_);[Red]\(#,##0\)">
                  <c:v>287246.65999999997</c:v>
                </c:pt>
                <c:pt idx="374" formatCode="#,##0_);[Red]\(#,##0\)">
                  <c:v>287247</c:v>
                </c:pt>
                <c:pt idx="375" formatCode="#,##0_);[Red]\(#,##0\)">
                  <c:v>287247</c:v>
                </c:pt>
                <c:pt idx="376" formatCode="#,##0_);[Red]\(#,##0\)">
                  <c:v>253042.79</c:v>
                </c:pt>
                <c:pt idx="377" formatCode="#,##0_);[Red]\(#,##0\)">
                  <c:v>253043</c:v>
                </c:pt>
                <c:pt idx="378" formatCode="#,##0_);[Red]\(#,##0\)">
                  <c:v>246521.36</c:v>
                </c:pt>
                <c:pt idx="379" formatCode="#,##0_);[Red]\(#,##0\)">
                  <c:v>246593.56</c:v>
                </c:pt>
                <c:pt idx="380" formatCode="#,##0_);[Red]\(#,##0\)">
                  <c:v>246594</c:v>
                </c:pt>
                <c:pt idx="381" formatCode="#,##0_);[Red]\(#,##0\)">
                  <c:v>246594</c:v>
                </c:pt>
                <c:pt idx="382" formatCode="#,##0_);[Red]\(#,##0\)">
                  <c:v>246594</c:v>
                </c:pt>
                <c:pt idx="383" formatCode="#,##0_);[Red]\(#,##0\)">
                  <c:v>228395.48</c:v>
                </c:pt>
                <c:pt idx="384" formatCode="#,##0_);[Red]\(#,##0\)">
                  <c:v>228395</c:v>
                </c:pt>
                <c:pt idx="385" formatCode="#,##0_);[Red]\(#,##0\)">
                  <c:v>192627.9</c:v>
                </c:pt>
                <c:pt idx="386" formatCode="#,##0_);[Red]\(#,##0\)">
                  <c:v>192628</c:v>
                </c:pt>
                <c:pt idx="387" formatCode="#,##0_);[Red]\(#,##0\)">
                  <c:v>192628</c:v>
                </c:pt>
                <c:pt idx="388" formatCode="#,##0_);[Red]\(#,##0\)">
                  <c:v>193904.61</c:v>
                </c:pt>
                <c:pt idx="389" formatCode="#,##0_);[Red]\(#,##0\)">
                  <c:v>195328.48</c:v>
                </c:pt>
                <c:pt idx="390" formatCode="#,##0_);[Red]\(#,##0\)">
                  <c:v>199304.09</c:v>
                </c:pt>
                <c:pt idx="391" formatCode="#,##0_);[Red]\(#,##0\)">
                  <c:v>201071.11</c:v>
                </c:pt>
                <c:pt idx="392" formatCode="#,##0_);[Red]\(#,##0\)">
                  <c:v>201071</c:v>
                </c:pt>
                <c:pt idx="393" formatCode="#,##0_);[Red]\(#,##0\)">
                  <c:v>223298.16</c:v>
                </c:pt>
                <c:pt idx="394" formatCode="#,##0_);[Red]\(#,##0\)">
                  <c:v>238962.66</c:v>
                </c:pt>
                <c:pt idx="395" formatCode="#,##0_);[Red]\(#,##0\)">
                  <c:v>203086.22</c:v>
                </c:pt>
                <c:pt idx="396" formatCode="#,##0_);[Red]\(#,##0\)">
                  <c:v>226930.31</c:v>
                </c:pt>
                <c:pt idx="397" formatCode="#,##0_);[Red]\(#,##0\)">
                  <c:v>226930</c:v>
                </c:pt>
                <c:pt idx="398" formatCode="#,##0_);[Red]\(#,##0\)">
                  <c:v>220822.05</c:v>
                </c:pt>
                <c:pt idx="399" formatCode="#,##0_);[Red]\(#,##0\)">
                  <c:v>220883.3</c:v>
                </c:pt>
              </c:numCache>
            </c:numRef>
          </c:val>
          <c:smooth val="0"/>
        </c:ser>
        <c:dLbls>
          <c:showLegendKey val="0"/>
          <c:showVal val="0"/>
          <c:showCatName val="0"/>
          <c:showSerName val="0"/>
          <c:showPercent val="0"/>
          <c:showBubbleSize val="0"/>
        </c:dLbls>
        <c:smooth val="0"/>
        <c:axId val="192773568"/>
        <c:axId val="138726360"/>
      </c:lineChart>
      <c:dateAx>
        <c:axId val="192773568"/>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726360"/>
        <c:crosses val="autoZero"/>
        <c:auto val="1"/>
        <c:lblOffset val="100"/>
        <c:baseTimeUnit val="days"/>
        <c:majorUnit val="30"/>
        <c:majorTimeUnit val="days"/>
        <c:minorUnit val="4"/>
        <c:minorTimeUnit val="months"/>
      </c:dateAx>
      <c:valAx>
        <c:axId val="138726360"/>
        <c:scaling>
          <c:orientation val="minMax"/>
          <c:min val="150000"/>
        </c:scaling>
        <c:delete val="0"/>
        <c:axPos val="l"/>
        <c:majorGridlines>
          <c:spPr>
            <a:ln w="9525" cap="flat" cmpd="sng" algn="ctr">
              <a:solidFill>
                <a:schemeClr val="accent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773568"/>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Data!$F$538:$F$555</c:f>
              <c:numCache>
                <c:formatCode>mmm\-yy</c:formatCode>
                <c:ptCount val="1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numCache>
            </c:numRef>
          </c:cat>
          <c:val>
            <c:numRef>
              <c:f>Data!$G$538:$G$555</c:f>
              <c:numCache>
                <c:formatCode>"$"#,##0_);[Red]\("$"#,##0\)</c:formatCode>
                <c:ptCount val="18"/>
                <c:pt idx="0">
                  <c:v>351420</c:v>
                </c:pt>
                <c:pt idx="1">
                  <c:v>253330</c:v>
                </c:pt>
                <c:pt idx="2">
                  <c:v>280744</c:v>
                </c:pt>
                <c:pt idx="3">
                  <c:v>319478.15999999997</c:v>
                </c:pt>
                <c:pt idx="4">
                  <c:v>241828.1</c:v>
                </c:pt>
                <c:pt idx="5">
                  <c:v>248981.18</c:v>
                </c:pt>
                <c:pt idx="6">
                  <c:v>268937.63</c:v>
                </c:pt>
                <c:pt idx="7">
                  <c:v>198251.6</c:v>
                </c:pt>
                <c:pt idx="8">
                  <c:v>178964.63</c:v>
                </c:pt>
                <c:pt idx="9">
                  <c:v>199171.39</c:v>
                </c:pt>
                <c:pt idx="10">
                  <c:v>180584.58</c:v>
                </c:pt>
                <c:pt idx="11">
                  <c:v>258260.86</c:v>
                </c:pt>
                <c:pt idx="12">
                  <c:v>297556.56</c:v>
                </c:pt>
                <c:pt idx="13">
                  <c:v>287550</c:v>
                </c:pt>
                <c:pt idx="14">
                  <c:v>277699.34999999998</c:v>
                </c:pt>
                <c:pt idx="15">
                  <c:v>309160.14</c:v>
                </c:pt>
                <c:pt idx="16">
                  <c:v>335232.94</c:v>
                </c:pt>
                <c:pt idx="17">
                  <c:v>311330.84000000003</c:v>
                </c:pt>
              </c:numCache>
            </c:numRef>
          </c:val>
        </c:ser>
        <c:dLbls>
          <c:showLegendKey val="0"/>
          <c:showVal val="0"/>
          <c:showCatName val="0"/>
          <c:showSerName val="0"/>
          <c:showPercent val="0"/>
          <c:showBubbleSize val="0"/>
        </c:dLbls>
        <c:gapWidth val="243"/>
        <c:overlap val="-83"/>
        <c:axId val="193921352"/>
        <c:axId val="193329376"/>
      </c:barChart>
      <c:dateAx>
        <c:axId val="1939213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329376"/>
        <c:crosses val="autoZero"/>
        <c:auto val="1"/>
        <c:lblOffset val="100"/>
        <c:baseTimeUnit val="months"/>
      </c:dateAx>
      <c:valAx>
        <c:axId val="1933293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921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'June''18 AR Aging '!$B$170</c:f>
              <c:strCache>
                <c:ptCount val="1"/>
                <c:pt idx="0">
                  <c:v>Current Month</c:v>
                </c:pt>
              </c:strCache>
            </c:strRef>
          </c:tx>
          <c:spPr>
            <a:solidFill>
              <a:srgbClr val="0070C0"/>
            </a:solidFill>
          </c:spPr>
          <c:invertIfNegative val="0"/>
          <c:val>
            <c:numRef>
              <c:f>'June''18 AR Aging '!$C$170:$N$170</c:f>
            </c:numRef>
          </c:val>
          <c:extLst>
            <c:ext xmlns:c15="http://schemas.microsoft.com/office/drawing/2012/chart" uri="{02D57815-91ED-43cb-92C2-25804820EDAC}">
              <c15:filteredCategoryTitle>
                <c15:cat>
                  <c:multiLvlStrRef>
                    <c:extLst>
                      <c:ext uri="{02D57815-91ED-43cb-92C2-25804820EDAC}">
                        <c15:formulaRef>
                          <c15:sqref>'June''18 AR Aging '!$C$169:$N$169</c15:sqref>
                        </c15:formulaRef>
                      </c:ext>
                    </c:extLst>
                  </c:multiLvlStrRef>
                </c15:cat>
              </c15:filteredCategoryTitle>
            </c:ext>
          </c:extLst>
        </c:ser>
        <c:ser>
          <c:idx val="1"/>
          <c:order val="1"/>
          <c:tx>
            <c:strRef>
              <c:f>'June''18 AR Aging '!$B$171</c:f>
              <c:strCache>
                <c:ptCount val="1"/>
                <c:pt idx="0">
                  <c:v>Previous Month</c:v>
                </c:pt>
              </c:strCache>
            </c:strRef>
          </c:tx>
          <c:spPr>
            <a:solidFill>
              <a:schemeClr val="accent6">
                <a:lumMod val="40000"/>
                <a:lumOff val="60000"/>
              </a:schemeClr>
            </a:solidFill>
          </c:spPr>
          <c:invertIfNegative val="0"/>
          <c:val>
            <c:numRef>
              <c:f>'June''18 AR Aging '!$C$171:$N$171</c:f>
            </c:numRef>
          </c:val>
          <c:extLst>
            <c:ext xmlns:c15="http://schemas.microsoft.com/office/drawing/2012/chart" uri="{02D57815-91ED-43cb-92C2-25804820EDAC}">
              <c15:filteredCategoryTitle>
                <c15:cat>
                  <c:multiLvlStrRef>
                    <c:extLst>
                      <c:ext uri="{02D57815-91ED-43cb-92C2-25804820EDAC}">
                        <c15:formulaRef>
                          <c15:sqref>'June''18 AR Aging '!$C$169:$N$169</c15:sqref>
                        </c15:formulaRef>
                      </c:ext>
                    </c:extLst>
                  </c:multiLvlStrRef>
                </c15:cat>
              </c15:filteredCategoryTitle>
            </c:ext>
          </c:extLst>
        </c:ser>
        <c:ser>
          <c:idx val="2"/>
          <c:order val="2"/>
          <c:tx>
            <c:strRef>
              <c:f>'June''18 AR Aging '!$B$172</c:f>
              <c:strCache>
                <c:ptCount val="1"/>
                <c:pt idx="0">
                  <c:v>Three Months Ago</c:v>
                </c:pt>
              </c:strCache>
            </c:strRef>
          </c:tx>
          <c:spPr>
            <a:solidFill>
              <a:schemeClr val="accent3">
                <a:lumMod val="75000"/>
              </a:schemeClr>
            </a:solidFill>
          </c:spPr>
          <c:invertIfNegative val="0"/>
          <c:val>
            <c:numRef>
              <c:f>'June''18 AR Aging '!$C$172:$N$172</c:f>
            </c:numRef>
          </c:val>
          <c:extLst>
            <c:ext xmlns:c15="http://schemas.microsoft.com/office/drawing/2012/chart" uri="{02D57815-91ED-43cb-92C2-25804820EDAC}">
              <c15:filteredCategoryTitle>
                <c15:cat>
                  <c:multiLvlStrRef>
                    <c:extLst>
                      <c:ext uri="{02D57815-91ED-43cb-92C2-25804820EDAC}">
                        <c15:formulaRef>
                          <c15:sqref>'June''18 AR Aging '!$C$169:$N$169</c15:sqref>
                        </c15:formulaRef>
                      </c:ext>
                    </c:extLst>
                  </c:multiLvlStrRef>
                </c15:cat>
              </c15:filteredCategoryTitle>
            </c:ext>
          </c:extLst>
        </c:ser>
        <c:ser>
          <c:idx val="3"/>
          <c:order val="3"/>
          <c:tx>
            <c:strRef>
              <c:f>'June''18 AR Aging '!$B$173</c:f>
              <c:strCache>
                <c:ptCount val="1"/>
                <c:pt idx="0">
                  <c:v>Older than Three Months</c:v>
                </c:pt>
              </c:strCache>
            </c:strRef>
          </c:tx>
          <c:spPr>
            <a:solidFill>
              <a:schemeClr val="accent4">
                <a:lumMod val="40000"/>
                <a:lumOff val="60000"/>
              </a:schemeClr>
            </a:solidFill>
          </c:spPr>
          <c:invertIfNegative val="0"/>
          <c:val>
            <c:numRef>
              <c:f>'June''18 AR Aging '!$C$173:$N$173</c:f>
            </c:numRef>
          </c:val>
          <c:extLst>
            <c:ext xmlns:c15="http://schemas.microsoft.com/office/drawing/2012/chart" uri="{02D57815-91ED-43cb-92C2-25804820EDAC}">
              <c15:filteredCategoryTitle>
                <c15:cat>
                  <c:multiLvlStrRef>
                    <c:extLst>
                      <c:ext uri="{02D57815-91ED-43cb-92C2-25804820EDAC}">
                        <c15:formulaRef>
                          <c15:sqref>'June''18 AR Aging '!$C$169:$N$169</c15:sqref>
                        </c15:formulaRef>
                      </c:ext>
                    </c:extLst>
                  </c:multiLvlStrRef>
                </c15:cat>
              </c15:filteredCategoryTitle>
            </c:ext>
          </c:extLst>
        </c:ser>
        <c:dLbls>
          <c:showLegendKey val="0"/>
          <c:showVal val="0"/>
          <c:showCatName val="0"/>
          <c:showSerName val="0"/>
          <c:showPercent val="0"/>
          <c:showBubbleSize val="0"/>
        </c:dLbls>
        <c:gapWidth val="56"/>
        <c:overlap val="100"/>
        <c:axId val="194049096"/>
        <c:axId val="195419592"/>
      </c:barChart>
      <c:catAx>
        <c:axId val="194049096"/>
        <c:scaling>
          <c:orientation val="minMax"/>
        </c:scaling>
        <c:delete val="0"/>
        <c:axPos val="b"/>
        <c:numFmt formatCode="[$-409]mmmm\-yy;@" sourceLinked="1"/>
        <c:majorTickMark val="none"/>
        <c:minorTickMark val="none"/>
        <c:tickLblPos val="nextTo"/>
        <c:spPr>
          <a:noFill/>
          <a:ln w="22225"/>
        </c:spPr>
        <c:crossAx val="195419592"/>
        <c:crosses val="autoZero"/>
        <c:auto val="0"/>
        <c:lblAlgn val="ctr"/>
        <c:lblOffset val="100"/>
        <c:tickLblSkip val="1"/>
        <c:noMultiLvlLbl val="0"/>
      </c:catAx>
      <c:valAx>
        <c:axId val="195419592"/>
        <c:scaling>
          <c:orientation val="minMax"/>
        </c:scaling>
        <c:delete val="0"/>
        <c:axPos val="l"/>
        <c:majorGridlines/>
        <c:numFmt formatCode="&quot;$&quot;#,##0_);[Red]\(&quot;$&quot;#,##0\)" sourceLinked="1"/>
        <c:majorTickMark val="none"/>
        <c:minorTickMark val="none"/>
        <c:tickLblPos val="nextTo"/>
        <c:crossAx val="194049096"/>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990600</xdr:colOff>
      <xdr:row>7</xdr:row>
      <xdr:rowOff>800099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561975</xdr:colOff>
      <xdr:row>18</xdr:row>
      <xdr:rowOff>180976</xdr:rowOff>
    </xdr:from>
    <xdr:to>
      <xdr:col>7</xdr:col>
      <xdr:colOff>571500</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3695700</xdr:colOff>
      <xdr:row>163</xdr:row>
      <xdr:rowOff>47625</xdr:rowOff>
    </xdr:from>
    <xdr:to>
      <xdr:col>8</xdr:col>
      <xdr:colOff>523875</xdr:colOff>
      <xdr:row>200</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5"/>
  <sheetViews>
    <sheetView tabSelected="1" zoomScaleNormal="100" workbookViewId="0">
      <selection sqref="A1:H1"/>
    </sheetView>
  </sheetViews>
  <sheetFormatPr defaultRowHeight="14.25" x14ac:dyDescent="0.2"/>
  <cols>
    <col min="1" max="1" width="5" style="4" customWidth="1"/>
    <col min="2" max="6" width="14.875" style="4" customWidth="1"/>
    <col min="7" max="7" width="16.125" style="4" customWidth="1"/>
    <col min="8" max="8" width="16.625" style="4" customWidth="1"/>
    <col min="9" max="9" width="9.5" style="4" bestFit="1" customWidth="1"/>
    <col min="10" max="16384" width="9" style="4"/>
  </cols>
  <sheetData>
    <row r="1" spans="1:8" ht="23.25" x14ac:dyDescent="0.2">
      <c r="A1" s="743" t="s">
        <v>192</v>
      </c>
      <c r="B1" s="743"/>
      <c r="C1" s="743"/>
      <c r="D1" s="743"/>
      <c r="E1" s="743"/>
      <c r="F1" s="743"/>
      <c r="G1" s="743"/>
      <c r="H1" s="743"/>
    </row>
    <row r="2" spans="1:8" ht="23.25" x14ac:dyDescent="0.2">
      <c r="A2" s="743" t="s">
        <v>193</v>
      </c>
      <c r="B2" s="743"/>
      <c r="C2" s="743"/>
      <c r="D2" s="743"/>
      <c r="E2" s="743"/>
      <c r="F2" s="743"/>
      <c r="G2" s="743"/>
      <c r="H2" s="743"/>
    </row>
    <row r="3" spans="1:8" ht="23.25" x14ac:dyDescent="0.2">
      <c r="A3" s="744">
        <v>43298</v>
      </c>
      <c r="B3" s="744"/>
      <c r="C3" s="744"/>
      <c r="D3" s="744"/>
      <c r="E3" s="744"/>
      <c r="F3" s="744"/>
      <c r="G3" s="744"/>
      <c r="H3" s="744"/>
    </row>
    <row r="4" spans="1:8" ht="21.75" customHeight="1" x14ac:dyDescent="0.25">
      <c r="A4" s="745" t="s">
        <v>209</v>
      </c>
      <c r="B4" s="745"/>
      <c r="C4" s="745"/>
      <c r="D4" s="745"/>
      <c r="E4" s="745"/>
      <c r="F4" s="745"/>
      <c r="G4" s="745"/>
      <c r="H4" s="745"/>
    </row>
    <row r="5" spans="1:8" ht="51" customHeight="1" x14ac:dyDescent="0.2">
      <c r="A5" s="725" t="s">
        <v>439</v>
      </c>
      <c r="B5" s="725"/>
      <c r="C5" s="725"/>
      <c r="D5" s="725"/>
      <c r="E5" s="725"/>
      <c r="F5" s="725"/>
      <c r="G5" s="725"/>
      <c r="H5" s="725"/>
    </row>
    <row r="6" spans="1:8" ht="81" customHeight="1" x14ac:dyDescent="0.2">
      <c r="A6" s="537"/>
      <c r="B6" s="537"/>
      <c r="C6" s="537"/>
      <c r="D6" s="537"/>
      <c r="E6" s="537"/>
      <c r="F6" s="537"/>
      <c r="G6" s="537"/>
      <c r="H6" s="537"/>
    </row>
    <row r="7" spans="1:8" ht="81" customHeight="1" x14ac:dyDescent="0.2">
      <c r="A7" s="537"/>
      <c r="B7" s="537"/>
      <c r="C7" s="537"/>
      <c r="D7" s="537"/>
      <c r="E7" s="537"/>
      <c r="F7" s="537"/>
      <c r="G7" s="537"/>
      <c r="H7" s="537"/>
    </row>
    <row r="8" spans="1:8" ht="81" customHeight="1" x14ac:dyDescent="0.2">
      <c r="A8" s="537"/>
      <c r="B8" s="537"/>
      <c r="C8" s="537"/>
      <c r="D8" s="537"/>
      <c r="E8" s="537"/>
      <c r="F8" s="537"/>
      <c r="G8" s="537"/>
      <c r="H8" s="537"/>
    </row>
    <row r="9" spans="1:8" ht="38.25" customHeight="1" x14ac:dyDescent="0.2">
      <c r="A9" s="725" t="s">
        <v>440</v>
      </c>
      <c r="B9" s="725"/>
      <c r="C9" s="725"/>
      <c r="D9" s="725"/>
      <c r="E9" s="725"/>
      <c r="F9" s="725"/>
      <c r="G9" s="725"/>
      <c r="H9" s="725"/>
    </row>
    <row r="10" spans="1:8" ht="15.75" x14ac:dyDescent="0.25">
      <c r="A10" s="505"/>
      <c r="B10" s="730"/>
      <c r="C10" s="730"/>
      <c r="D10" s="495"/>
      <c r="E10" s="501" t="s">
        <v>56</v>
      </c>
      <c r="F10" s="495"/>
      <c r="G10" s="496"/>
      <c r="H10" s="505"/>
    </row>
    <row r="11" spans="1:8" ht="15.75" customHeight="1" x14ac:dyDescent="0.25">
      <c r="A11" s="505"/>
      <c r="C11" s="730" t="s">
        <v>199</v>
      </c>
      <c r="D11" s="730"/>
      <c r="E11" s="538">
        <f>'June''18 AR Aging '!G8</f>
        <v>44001.31</v>
      </c>
      <c r="F11" s="497"/>
      <c r="G11" s="497"/>
      <c r="H11" s="505"/>
    </row>
    <row r="12" spans="1:8" ht="15.75" customHeight="1" x14ac:dyDescent="0.25">
      <c r="A12" s="505"/>
      <c r="C12" s="730" t="s">
        <v>230</v>
      </c>
      <c r="D12" s="730"/>
      <c r="E12" s="538">
        <f>'June''18 AR Aging '!G32</f>
        <v>69543.990000000005</v>
      </c>
      <c r="F12" s="497"/>
      <c r="G12" s="497"/>
      <c r="H12" s="505"/>
    </row>
    <row r="13" spans="1:8" ht="15.75" customHeight="1" x14ac:dyDescent="0.25">
      <c r="A13" s="505"/>
      <c r="C13" s="730" t="s">
        <v>231</v>
      </c>
      <c r="D13" s="730"/>
      <c r="E13" s="538">
        <f>'June''18 AR Aging '!G14</f>
        <v>124719.98</v>
      </c>
      <c r="F13" s="497"/>
      <c r="G13" s="497"/>
      <c r="H13" s="505"/>
    </row>
    <row r="14" spans="1:8" ht="15.75" customHeight="1" x14ac:dyDescent="0.25">
      <c r="A14" s="505"/>
      <c r="C14" s="730" t="s">
        <v>232</v>
      </c>
      <c r="D14" s="730"/>
      <c r="E14" s="538">
        <f>'June''18 AR Aging '!G23</f>
        <v>18486.86</v>
      </c>
      <c r="F14" s="497"/>
      <c r="G14" s="497"/>
      <c r="H14" s="505"/>
    </row>
    <row r="15" spans="1:8" ht="15.75" customHeight="1" x14ac:dyDescent="0.25">
      <c r="A15" s="505"/>
      <c r="C15" s="730" t="s">
        <v>233</v>
      </c>
      <c r="D15" s="730"/>
      <c r="E15" s="538">
        <f>'June''18 AR Aging '!G40</f>
        <v>22118</v>
      </c>
      <c r="F15" s="497"/>
      <c r="G15" s="497"/>
      <c r="H15" s="505"/>
    </row>
    <row r="16" spans="1:8" ht="15.75" customHeight="1" x14ac:dyDescent="0.25">
      <c r="A16" s="505"/>
      <c r="C16" s="730" t="s">
        <v>234</v>
      </c>
      <c r="D16" s="730"/>
      <c r="E16" s="538">
        <f>'June''18 AR Aging '!G48+'June''18 AR Aging '!G53+'June''18 AR Aging '!G55+'June''18 AR Aging '!G39+'June''18 AR Aging '!G59</f>
        <v>29050.22</v>
      </c>
      <c r="F16" s="497"/>
      <c r="G16" s="497"/>
      <c r="H16" s="505"/>
    </row>
    <row r="17" spans="1:12" ht="15.75" customHeight="1" x14ac:dyDescent="0.25">
      <c r="A17" s="505"/>
      <c r="C17" s="730" t="s">
        <v>206</v>
      </c>
      <c r="D17" s="730"/>
      <c r="E17" s="538">
        <f>'June''18 AR Aging '!G57</f>
        <v>3410.64</v>
      </c>
      <c r="F17" s="497"/>
      <c r="G17" s="497"/>
      <c r="H17" s="505"/>
    </row>
    <row r="18" spans="1:12" ht="16.5" thickBot="1" x14ac:dyDescent="0.3">
      <c r="A18" s="505"/>
      <c r="B18" s="730" t="s">
        <v>235</v>
      </c>
      <c r="C18" s="730"/>
      <c r="D18" s="502"/>
      <c r="E18" s="503">
        <f>SUM(E11:E17)</f>
        <v>311331</v>
      </c>
      <c r="F18" s="502"/>
      <c r="G18" s="502"/>
      <c r="H18" s="505"/>
    </row>
    <row r="19" spans="1:12" ht="38.25" customHeight="1" thickTop="1" x14ac:dyDescent="0.2">
      <c r="A19" s="623"/>
      <c r="B19" s="623"/>
      <c r="C19" s="623"/>
      <c r="D19" s="623"/>
      <c r="E19" s="623"/>
      <c r="F19" s="623"/>
      <c r="G19" s="623"/>
      <c r="H19" s="623"/>
    </row>
    <row r="20" spans="1:12" ht="88.5" customHeight="1" x14ac:dyDescent="0.2">
      <c r="A20" s="623"/>
      <c r="B20" s="623"/>
      <c r="C20" s="623"/>
      <c r="D20" s="623"/>
      <c r="E20" s="623"/>
      <c r="F20" s="623"/>
      <c r="G20" s="623"/>
      <c r="H20" s="623"/>
    </row>
    <row r="21" spans="1:12" ht="88.5" customHeight="1" x14ac:dyDescent="0.2">
      <c r="A21" s="623"/>
      <c r="B21" s="623"/>
      <c r="C21" s="623"/>
      <c r="D21" s="623"/>
      <c r="E21" s="623"/>
      <c r="F21" s="623"/>
      <c r="G21" s="623"/>
      <c r="H21" s="623"/>
    </row>
    <row r="22" spans="1:12" ht="88.5" customHeight="1" x14ac:dyDescent="0.2">
      <c r="A22" s="623"/>
      <c r="B22" s="623"/>
      <c r="C22" s="623"/>
      <c r="D22" s="623"/>
      <c r="E22" s="623"/>
      <c r="F22" s="623"/>
      <c r="G22" s="623"/>
      <c r="H22" s="623"/>
    </row>
    <row r="23" spans="1:12" ht="35.25" hidden="1" customHeight="1" x14ac:dyDescent="0.2">
      <c r="A23" s="725" t="s">
        <v>341</v>
      </c>
      <c r="B23" s="725"/>
      <c r="C23" s="725"/>
      <c r="D23" s="725"/>
      <c r="E23" s="725"/>
      <c r="F23" s="725"/>
      <c r="G23" s="725"/>
      <c r="H23" s="725"/>
    </row>
    <row r="24" spans="1:12" ht="15" customHeight="1" x14ac:dyDescent="0.2">
      <c r="A24" s="623"/>
      <c r="B24" s="623"/>
      <c r="C24" s="623"/>
      <c r="D24" s="623"/>
      <c r="E24" s="623"/>
      <c r="F24" s="623"/>
      <c r="G24" s="623"/>
      <c r="H24" s="623"/>
    </row>
    <row r="25" spans="1:12" ht="38.25" customHeight="1" x14ac:dyDescent="0.2">
      <c r="A25" s="725" t="s">
        <v>441</v>
      </c>
      <c r="B25" s="725"/>
      <c r="C25" s="725"/>
      <c r="D25" s="725"/>
      <c r="E25" s="725"/>
      <c r="F25" s="725"/>
      <c r="G25" s="725"/>
      <c r="H25" s="725"/>
    </row>
    <row r="26" spans="1:12" ht="17.25" customHeight="1" x14ac:dyDescent="0.25">
      <c r="A26" s="537"/>
      <c r="B26" s="677" t="s">
        <v>377</v>
      </c>
      <c r="C26" s="678" t="s">
        <v>378</v>
      </c>
      <c r="D26" s="540" t="s">
        <v>281</v>
      </c>
      <c r="E26" s="540" t="s">
        <v>386</v>
      </c>
      <c r="F26" s="679" t="s">
        <v>282</v>
      </c>
      <c r="G26" s="679" t="s">
        <v>283</v>
      </c>
      <c r="H26" s="679" t="s">
        <v>379</v>
      </c>
      <c r="I26" s="688"/>
      <c r="J26" s="689"/>
      <c r="K26" s="688"/>
    </row>
    <row r="27" spans="1:12" ht="15" x14ac:dyDescent="0.2">
      <c r="A27" s="537"/>
      <c r="B27" s="43"/>
      <c r="C27" s="680">
        <v>-0.03</v>
      </c>
      <c r="D27" s="680"/>
      <c r="E27" s="697">
        <v>-20</v>
      </c>
      <c r="F27" s="680"/>
      <c r="G27" s="698">
        <v>-19.97</v>
      </c>
      <c r="H27" s="594"/>
      <c r="I27" s="94"/>
      <c r="J27" s="18"/>
      <c r="K27" s="18"/>
    </row>
    <row r="28" spans="1:12" ht="15" x14ac:dyDescent="0.2">
      <c r="A28" s="537"/>
      <c r="B28" s="43" t="s">
        <v>284</v>
      </c>
      <c r="C28" s="717">
        <v>28578.99</v>
      </c>
      <c r="D28" s="717">
        <v>869.68</v>
      </c>
      <c r="E28" s="717">
        <v>12500</v>
      </c>
      <c r="F28" s="717">
        <v>-1399.02</v>
      </c>
      <c r="G28" s="717">
        <v>40553.65</v>
      </c>
      <c r="H28" s="681">
        <f>G28/G$35</f>
        <v>0.24593620182540404</v>
      </c>
      <c r="I28" s="690"/>
      <c r="J28" s="691"/>
      <c r="K28" s="692"/>
    </row>
    <row r="29" spans="1:12" ht="15" x14ac:dyDescent="0.25">
      <c r="A29" s="537"/>
      <c r="B29" s="43" t="s">
        <v>285</v>
      </c>
      <c r="C29" s="717">
        <v>24970.22</v>
      </c>
      <c r="D29" s="717">
        <v>159.72999999999999</v>
      </c>
      <c r="E29" s="717">
        <v>-10000</v>
      </c>
      <c r="F29" s="717">
        <v>-435.45</v>
      </c>
      <c r="G29" s="717">
        <v>14698.5</v>
      </c>
      <c r="H29" s="681">
        <f t="shared" ref="H29:H33" si="0">G29/G$35</f>
        <v>8.913854270899664E-2</v>
      </c>
      <c r="I29" s="693"/>
      <c r="J29" s="691"/>
      <c r="K29" s="692"/>
      <c r="L29" s="566"/>
    </row>
    <row r="30" spans="1:12" ht="15" x14ac:dyDescent="0.2">
      <c r="A30" s="537"/>
      <c r="B30" s="43" t="s">
        <v>286</v>
      </c>
      <c r="C30" s="717">
        <v>32561.09</v>
      </c>
      <c r="D30" s="717">
        <v>0</v>
      </c>
      <c r="E30" s="717">
        <v>14000</v>
      </c>
      <c r="F30" s="717">
        <v>1319.58</v>
      </c>
      <c r="G30" s="717">
        <v>47886.67</v>
      </c>
      <c r="H30" s="681">
        <f t="shared" si="0"/>
        <v>0.29040704690863883</v>
      </c>
      <c r="I30" s="690"/>
      <c r="J30" s="691"/>
      <c r="K30" s="692"/>
      <c r="L30" s="566"/>
    </row>
    <row r="31" spans="1:12" ht="15" x14ac:dyDescent="0.25">
      <c r="A31" s="537"/>
      <c r="B31" s="43" t="s">
        <v>287</v>
      </c>
      <c r="C31" s="717">
        <v>25065.79</v>
      </c>
      <c r="D31" s="717">
        <v>200.77</v>
      </c>
      <c r="E31" s="717">
        <v>-4000</v>
      </c>
      <c r="F31" s="717">
        <v>-161.58000000000001</v>
      </c>
      <c r="G31" s="717">
        <v>21106.98</v>
      </c>
      <c r="H31" s="681">
        <f t="shared" si="0"/>
        <v>0.12800254707541162</v>
      </c>
      <c r="I31" s="693"/>
      <c r="J31" s="691"/>
      <c r="K31" s="692"/>
      <c r="L31" s="566"/>
    </row>
    <row r="32" spans="1:12" ht="15" x14ac:dyDescent="0.25">
      <c r="A32" s="537"/>
      <c r="B32" s="43" t="s">
        <v>288</v>
      </c>
      <c r="C32" s="717">
        <v>26568.45</v>
      </c>
      <c r="D32" s="717">
        <v>296.66000000000003</v>
      </c>
      <c r="E32" s="717">
        <v>-5000</v>
      </c>
      <c r="F32" s="717">
        <v>-670.95</v>
      </c>
      <c r="G32" s="717">
        <v>21196.16</v>
      </c>
      <c r="H32" s="681">
        <f t="shared" si="0"/>
        <v>0.12854337608781347</v>
      </c>
      <c r="I32" s="693"/>
      <c r="J32" s="691"/>
      <c r="K32" s="692"/>
      <c r="L32" s="566"/>
    </row>
    <row r="33" spans="1:12" ht="15" x14ac:dyDescent="0.25">
      <c r="A33" s="537"/>
      <c r="B33" s="43" t="s">
        <v>289</v>
      </c>
      <c r="C33" s="717">
        <v>27193.3</v>
      </c>
      <c r="D33" s="717">
        <v>344.69</v>
      </c>
      <c r="E33" s="717">
        <v>-7500</v>
      </c>
      <c r="F33" s="717">
        <v>-567.48</v>
      </c>
      <c r="G33" s="717">
        <v>19472.509999999998</v>
      </c>
      <c r="H33" s="681">
        <f t="shared" si="0"/>
        <v>0.11809036053246004</v>
      </c>
      <c r="I33" s="693"/>
      <c r="J33" s="691"/>
      <c r="K33" s="692"/>
      <c r="L33" s="566"/>
    </row>
    <row r="34" spans="1:12" ht="9.75" customHeight="1" x14ac:dyDescent="0.2">
      <c r="A34" s="537"/>
      <c r="B34" s="43"/>
      <c r="C34" s="680"/>
      <c r="D34" s="594"/>
      <c r="E34" s="594"/>
      <c r="F34" s="680"/>
      <c r="G34" s="680"/>
      <c r="H34" s="594"/>
      <c r="I34" s="690"/>
      <c r="J34" s="691"/>
      <c r="K34" s="18"/>
      <c r="L34" s="566"/>
    </row>
    <row r="35" spans="1:12" ht="15" x14ac:dyDescent="0.25">
      <c r="A35" s="537"/>
      <c r="B35" s="682" t="s">
        <v>304</v>
      </c>
      <c r="C35" s="683">
        <f>SUM(C28:C34)</f>
        <v>164937.84</v>
      </c>
      <c r="D35" s="684">
        <f>SUM(D28:D34)</f>
        <v>1871.53</v>
      </c>
      <c r="E35" s="682">
        <f>SUM(E28:E34)</f>
        <v>0</v>
      </c>
      <c r="F35" s="683">
        <f>SUM(F28:F34)</f>
        <v>-1914.9</v>
      </c>
      <c r="G35" s="683">
        <f>SUM(G27:G34)+0.5</f>
        <v>164895</v>
      </c>
      <c r="H35" s="715">
        <f>SUM(H28:H34)</f>
        <v>1.0001180751387246</v>
      </c>
      <c r="I35" s="694"/>
      <c r="J35" s="695"/>
      <c r="K35" s="696"/>
    </row>
    <row r="36" spans="1:12" ht="15.75" thickBot="1" x14ac:dyDescent="0.25">
      <c r="A36" s="551"/>
      <c r="B36" s="18"/>
      <c r="C36" s="596"/>
      <c r="D36" s="595"/>
      <c r="E36" s="595"/>
      <c r="F36" s="596"/>
      <c r="G36" s="596"/>
      <c r="H36" s="568"/>
      <c r="I36" s="1"/>
      <c r="J36" s="1"/>
      <c r="K36" s="1"/>
    </row>
    <row r="37" spans="1:12" ht="15.75" thickTop="1" x14ac:dyDescent="0.2">
      <c r="A37" s="537"/>
      <c r="B37" s="537"/>
      <c r="C37" s="537"/>
      <c r="D37" s="537"/>
      <c r="E37" s="537"/>
      <c r="F37" s="537"/>
      <c r="G37" s="537"/>
      <c r="H37" s="537"/>
    </row>
    <row r="38" spans="1:12" ht="47.25" customHeight="1" x14ac:dyDescent="0.2">
      <c r="A38" s="537"/>
      <c r="B38" s="733" t="s">
        <v>295</v>
      </c>
      <c r="C38" s="734"/>
      <c r="D38" s="734"/>
      <c r="E38" s="734"/>
      <c r="F38" s="734"/>
      <c r="G38" s="734"/>
      <c r="H38" s="567"/>
    </row>
    <row r="39" spans="1:12" ht="47.25" customHeight="1" x14ac:dyDescent="0.2">
      <c r="A39" s="537"/>
      <c r="B39" s="733" t="s">
        <v>296</v>
      </c>
      <c r="C39" s="734"/>
      <c r="D39" s="734"/>
      <c r="E39" s="734"/>
      <c r="F39" s="734"/>
      <c r="G39" s="734"/>
      <c r="H39" s="567"/>
    </row>
    <row r="40" spans="1:12" ht="47.25" customHeight="1" x14ac:dyDescent="0.2">
      <c r="A40" s="537"/>
      <c r="B40" s="733" t="s">
        <v>297</v>
      </c>
      <c r="C40" s="734"/>
      <c r="D40" s="734"/>
      <c r="E40" s="734"/>
      <c r="F40" s="734"/>
      <c r="G40" s="734"/>
      <c r="H40" s="567"/>
    </row>
    <row r="41" spans="1:12" ht="47.25" customHeight="1" x14ac:dyDescent="0.2">
      <c r="A41" s="537"/>
      <c r="B41" s="735" t="s">
        <v>298</v>
      </c>
      <c r="C41" s="736"/>
      <c r="D41" s="736"/>
      <c r="E41" s="736"/>
      <c r="F41" s="736"/>
      <c r="G41" s="736"/>
      <c r="H41" s="567"/>
    </row>
    <row r="42" spans="1:12" ht="47.25" customHeight="1" x14ac:dyDescent="0.2">
      <c r="A42" s="537"/>
      <c r="B42" s="733" t="s">
        <v>301</v>
      </c>
      <c r="C42" s="734"/>
      <c r="D42" s="734"/>
      <c r="E42" s="734"/>
      <c r="F42" s="734"/>
      <c r="G42" s="734"/>
      <c r="H42" s="567"/>
    </row>
    <row r="43" spans="1:12" ht="47.25" customHeight="1" x14ac:dyDescent="0.2">
      <c r="A43" s="537"/>
      <c r="B43" s="733" t="s">
        <v>299</v>
      </c>
      <c r="C43" s="734"/>
      <c r="D43" s="734"/>
      <c r="E43" s="734"/>
      <c r="F43" s="734"/>
      <c r="G43" s="734"/>
      <c r="H43" s="567"/>
    </row>
    <row r="44" spans="1:12" ht="7.5" customHeight="1" x14ac:dyDescent="0.2">
      <c r="A44" s="537"/>
      <c r="B44" s="537"/>
      <c r="C44" s="537"/>
      <c r="D44" s="537"/>
      <c r="E44" s="537"/>
      <c r="F44" s="537"/>
      <c r="G44" s="537"/>
      <c r="H44" s="537"/>
    </row>
    <row r="45" spans="1:12" ht="25.5" customHeight="1" x14ac:dyDescent="0.25">
      <c r="A45" s="746" t="s">
        <v>412</v>
      </c>
      <c r="B45" s="746"/>
      <c r="C45" s="746"/>
      <c r="D45" s="746"/>
      <c r="E45" s="746"/>
      <c r="F45" s="746"/>
      <c r="G45" s="746"/>
      <c r="H45" s="746"/>
    </row>
    <row r="46" spans="1:12" ht="15" hidden="1" x14ac:dyDescent="0.25">
      <c r="A46" s="537"/>
      <c r="B46" s="539" t="s">
        <v>290</v>
      </c>
      <c r="C46" s="540" t="s">
        <v>291</v>
      </c>
      <c r="D46" s="539" t="s">
        <v>292</v>
      </c>
      <c r="E46" s="729" t="s">
        <v>26</v>
      </c>
      <c r="F46" s="729"/>
      <c r="G46" s="539" t="s">
        <v>293</v>
      </c>
      <c r="H46" s="537"/>
    </row>
    <row r="47" spans="1:12" ht="15" hidden="1" x14ac:dyDescent="0.2">
      <c r="A47" s="537"/>
      <c r="B47" s="541"/>
      <c r="C47" s="548"/>
      <c r="D47" s="619"/>
      <c r="E47" s="728"/>
      <c r="F47" s="728"/>
      <c r="G47" s="543"/>
      <c r="H47" s="537"/>
    </row>
    <row r="48" spans="1:12" ht="15" hidden="1" x14ac:dyDescent="0.2">
      <c r="A48" s="537"/>
      <c r="B48" s="541"/>
      <c r="C48" s="548"/>
      <c r="D48" s="542"/>
      <c r="E48" s="728"/>
      <c r="F48" s="728"/>
      <c r="G48" s="544"/>
      <c r="H48" s="537"/>
    </row>
    <row r="49" spans="1:8" ht="15" hidden="1" x14ac:dyDescent="0.2">
      <c r="A49" s="549"/>
      <c r="B49" s="541"/>
      <c r="C49" s="548"/>
      <c r="D49" s="542"/>
      <c r="E49" s="728"/>
      <c r="F49" s="728"/>
      <c r="G49" s="544"/>
      <c r="H49" s="549"/>
    </row>
    <row r="50" spans="1:8" ht="15" hidden="1" x14ac:dyDescent="0.2">
      <c r="A50" s="607"/>
      <c r="B50" s="610"/>
      <c r="C50" s="611"/>
      <c r="D50" s="612"/>
      <c r="E50" s="613"/>
      <c r="F50" s="546" t="s">
        <v>294</v>
      </c>
      <c r="G50" s="620">
        <f>SUM(G47:G49)</f>
        <v>0</v>
      </c>
      <c r="H50" s="607"/>
    </row>
    <row r="51" spans="1:8" ht="15" hidden="1" x14ac:dyDescent="0.2">
      <c r="A51" s="607"/>
      <c r="B51" s="610"/>
      <c r="C51" s="611"/>
      <c r="D51" s="612"/>
      <c r="E51" s="613"/>
      <c r="F51" s="546"/>
      <c r="G51" s="618"/>
      <c r="H51" s="607"/>
    </row>
    <row r="52" spans="1:8" ht="15" hidden="1" x14ac:dyDescent="0.2">
      <c r="A52" s="607"/>
      <c r="B52" s="614" t="s">
        <v>331</v>
      </c>
      <c r="C52" s="615" t="s">
        <v>334</v>
      </c>
      <c r="D52" s="616" t="s">
        <v>333</v>
      </c>
      <c r="E52" s="723" t="s">
        <v>26</v>
      </c>
      <c r="F52" s="724"/>
      <c r="G52" s="617" t="s">
        <v>332</v>
      </c>
      <c r="H52" s="607"/>
    </row>
    <row r="53" spans="1:8" ht="15" hidden="1" x14ac:dyDescent="0.2">
      <c r="A53" s="607"/>
      <c r="B53" s="541"/>
      <c r="C53" s="621"/>
      <c r="D53" s="542"/>
      <c r="E53" s="728"/>
      <c r="F53" s="728"/>
      <c r="G53" s="544"/>
      <c r="H53" s="607"/>
    </row>
    <row r="54" spans="1:8" ht="15" hidden="1" x14ac:dyDescent="0.2">
      <c r="A54" s="607"/>
      <c r="B54" s="541"/>
      <c r="C54" s="621"/>
      <c r="D54" s="542"/>
      <c r="E54" s="728"/>
      <c r="F54" s="728"/>
      <c r="G54" s="544"/>
      <c r="H54" s="607"/>
    </row>
    <row r="55" spans="1:8" ht="15" hidden="1" x14ac:dyDescent="0.2">
      <c r="A55" s="537"/>
      <c r="B55" s="545"/>
      <c r="C55" s="545"/>
      <c r="D55" s="545"/>
      <c r="E55" s="545"/>
      <c r="F55" s="546" t="s">
        <v>294</v>
      </c>
      <c r="G55" s="547">
        <f>G53+G54</f>
        <v>0</v>
      </c>
      <c r="H55" s="537"/>
    </row>
    <row r="56" spans="1:8" ht="15" x14ac:dyDescent="0.25">
      <c r="A56" s="699"/>
      <c r="B56" s="701" t="s">
        <v>290</v>
      </c>
      <c r="C56" s="540" t="s">
        <v>291</v>
      </c>
      <c r="D56" s="701" t="s">
        <v>292</v>
      </c>
      <c r="E56" s="729" t="s">
        <v>26</v>
      </c>
      <c r="F56" s="729"/>
      <c r="G56" s="701" t="s">
        <v>293</v>
      </c>
      <c r="H56" s="699"/>
    </row>
    <row r="57" spans="1:8" ht="30" customHeight="1" x14ac:dyDescent="0.2">
      <c r="A57" s="699"/>
      <c r="B57" s="541">
        <v>43160</v>
      </c>
      <c r="C57" s="548" t="s">
        <v>407</v>
      </c>
      <c r="D57" s="716" t="s">
        <v>406</v>
      </c>
      <c r="E57" s="728" t="s">
        <v>408</v>
      </c>
      <c r="F57" s="728"/>
      <c r="G57" s="543">
        <v>2094</v>
      </c>
      <c r="H57" s="699"/>
    </row>
    <row r="58" spans="1:8" ht="30" customHeight="1" x14ac:dyDescent="0.2">
      <c r="A58" s="699"/>
      <c r="B58" s="541">
        <v>43160</v>
      </c>
      <c r="C58" s="548" t="s">
        <v>407</v>
      </c>
      <c r="D58" s="716" t="s">
        <v>406</v>
      </c>
      <c r="E58" s="728" t="s">
        <v>409</v>
      </c>
      <c r="F58" s="728"/>
      <c r="G58" s="543">
        <v>1010</v>
      </c>
      <c r="H58" s="699"/>
    </row>
    <row r="59" spans="1:8" ht="30" customHeight="1" x14ac:dyDescent="0.2">
      <c r="A59" s="699"/>
      <c r="B59" s="541">
        <v>43160</v>
      </c>
      <c r="C59" s="548" t="s">
        <v>407</v>
      </c>
      <c r="D59" s="716" t="s">
        <v>406</v>
      </c>
      <c r="E59" s="728" t="s">
        <v>410</v>
      </c>
      <c r="F59" s="728"/>
      <c r="G59" s="543">
        <v>896</v>
      </c>
      <c r="H59" s="699"/>
    </row>
    <row r="60" spans="1:8" ht="30" customHeight="1" x14ac:dyDescent="0.2">
      <c r="A60" s="699"/>
      <c r="B60" s="541">
        <v>43191</v>
      </c>
      <c r="C60" s="548" t="s">
        <v>403</v>
      </c>
      <c r="D60" s="619" t="s">
        <v>404</v>
      </c>
      <c r="E60" s="728" t="s">
        <v>405</v>
      </c>
      <c r="F60" s="728"/>
      <c r="G60" s="543">
        <v>21893.75</v>
      </c>
      <c r="H60" s="699"/>
    </row>
    <row r="61" spans="1:8" ht="15" x14ac:dyDescent="0.2">
      <c r="A61" s="699"/>
      <c r="B61" s="610"/>
      <c r="C61" s="611"/>
      <c r="D61" s="612"/>
      <c r="E61" s="613"/>
      <c r="F61" s="546" t="s">
        <v>294</v>
      </c>
      <c r="G61" s="620">
        <f>SUM(G57:G60)</f>
        <v>25893.75</v>
      </c>
      <c r="H61" s="699"/>
    </row>
    <row r="62" spans="1:8" ht="15" x14ac:dyDescent="0.2">
      <c r="A62" s="699"/>
      <c r="B62" s="610"/>
      <c r="C62" s="611"/>
      <c r="D62" s="612"/>
      <c r="E62" s="613"/>
      <c r="F62" s="546"/>
      <c r="G62" s="618"/>
      <c r="H62" s="699"/>
    </row>
    <row r="63" spans="1:8" ht="15" hidden="1" x14ac:dyDescent="0.2">
      <c r="A63" s="699"/>
      <c r="B63" s="614" t="s">
        <v>331</v>
      </c>
      <c r="C63" s="615" t="s">
        <v>334</v>
      </c>
      <c r="D63" s="616" t="s">
        <v>333</v>
      </c>
      <c r="E63" s="723" t="s">
        <v>26</v>
      </c>
      <c r="F63" s="724"/>
      <c r="G63" s="617" t="s">
        <v>332</v>
      </c>
      <c r="H63" s="699"/>
    </row>
    <row r="64" spans="1:8" ht="15" hidden="1" x14ac:dyDescent="0.2">
      <c r="A64" s="699"/>
      <c r="B64" s="541"/>
      <c r="C64" s="621"/>
      <c r="D64" s="542"/>
      <c r="E64" s="728"/>
      <c r="F64" s="728"/>
      <c r="G64" s="544"/>
      <c r="H64" s="699"/>
    </row>
    <row r="65" spans="1:23" ht="15" hidden="1" x14ac:dyDescent="0.2">
      <c r="A65" s="699"/>
      <c r="B65" s="541"/>
      <c r="C65" s="621"/>
      <c r="D65" s="542"/>
      <c r="E65" s="728"/>
      <c r="F65" s="728"/>
      <c r="G65" s="544"/>
      <c r="H65" s="699"/>
    </row>
    <row r="66" spans="1:23" ht="15" hidden="1" x14ac:dyDescent="0.2">
      <c r="A66" s="699"/>
      <c r="B66" s="545"/>
      <c r="C66" s="545"/>
      <c r="D66" s="545"/>
      <c r="E66" s="545"/>
      <c r="F66" s="546" t="s">
        <v>294</v>
      </c>
      <c r="G66" s="547">
        <f>G64+G65</f>
        <v>0</v>
      </c>
      <c r="H66" s="699"/>
    </row>
    <row r="67" spans="1:23" ht="11.25" customHeight="1" x14ac:dyDescent="0.2">
      <c r="A67" s="537"/>
      <c r="B67" s="537"/>
      <c r="C67" s="537"/>
      <c r="D67" s="537"/>
      <c r="E67" s="537"/>
      <c r="F67" s="537"/>
      <c r="G67" s="537"/>
      <c r="H67" s="537"/>
    </row>
    <row r="68" spans="1:23" ht="52.5" customHeight="1" x14ac:dyDescent="0.2">
      <c r="A68" s="725" t="s">
        <v>442</v>
      </c>
      <c r="B68" s="725"/>
      <c r="C68" s="725"/>
      <c r="D68" s="725"/>
      <c r="E68" s="725"/>
      <c r="F68" s="725"/>
      <c r="G68" s="725"/>
      <c r="H68" s="725"/>
    </row>
    <row r="69" spans="1:23" ht="15.75" hidden="1" customHeight="1" x14ac:dyDescent="0.2">
      <c r="A69" s="498"/>
      <c r="C69" s="726" t="s">
        <v>329</v>
      </c>
      <c r="D69" s="726"/>
      <c r="E69" s="553">
        <v>1823.85</v>
      </c>
      <c r="F69" s="727" t="s">
        <v>335</v>
      </c>
      <c r="G69" s="727"/>
      <c r="H69" s="498"/>
    </row>
    <row r="70" spans="1:23" ht="15.75" hidden="1" customHeight="1" x14ac:dyDescent="0.2">
      <c r="A70" s="498"/>
      <c r="C70" s="726"/>
      <c r="D70" s="726"/>
      <c r="E70" s="553"/>
      <c r="F70" s="727"/>
      <c r="G70" s="727"/>
      <c r="H70" s="498"/>
    </row>
    <row r="71" spans="1:23" ht="15.75" hidden="1" customHeight="1" x14ac:dyDescent="0.2">
      <c r="A71" s="498"/>
      <c r="C71" s="726"/>
      <c r="D71" s="726"/>
      <c r="E71" s="553"/>
      <c r="F71" s="727"/>
      <c r="G71" s="727"/>
      <c r="H71" s="498"/>
    </row>
    <row r="72" spans="1:23" ht="15.75" hidden="1" customHeight="1" x14ac:dyDescent="0.2">
      <c r="A72" s="498"/>
      <c r="C72" s="726" t="s">
        <v>272</v>
      </c>
      <c r="D72" s="726"/>
      <c r="E72" s="553">
        <f>1689.92+2978.07</f>
        <v>4667.99</v>
      </c>
      <c r="F72" s="727" t="s">
        <v>336</v>
      </c>
      <c r="G72" s="727"/>
      <c r="H72" s="498"/>
    </row>
    <row r="73" spans="1:23" ht="16.5" hidden="1" thickBot="1" x14ac:dyDescent="0.25">
      <c r="A73" s="498"/>
      <c r="B73" s="507"/>
      <c r="C73" s="738" t="s">
        <v>245</v>
      </c>
      <c r="D73" s="738"/>
      <c r="E73" s="504">
        <f>SUM(E69:E72)</f>
        <v>6491.84</v>
      </c>
      <c r="F73" s="507"/>
      <c r="G73" s="507"/>
      <c r="H73" s="498"/>
    </row>
    <row r="74" spans="1:23" ht="9.75" customHeight="1" x14ac:dyDescent="0.2">
      <c r="A74" s="498"/>
      <c r="B74" s="608"/>
      <c r="C74" s="609"/>
      <c r="D74" s="609"/>
      <c r="E74" s="622"/>
      <c r="F74" s="608"/>
      <c r="G74" s="608"/>
      <c r="H74" s="498"/>
    </row>
    <row r="75" spans="1:23" ht="33" customHeight="1" x14ac:dyDescent="0.25">
      <c r="A75" s="746" t="s">
        <v>411</v>
      </c>
      <c r="B75" s="746"/>
      <c r="C75" s="746"/>
      <c r="D75" s="746"/>
      <c r="E75" s="746"/>
      <c r="F75" s="746"/>
      <c r="G75" s="746"/>
      <c r="H75" s="746"/>
    </row>
    <row r="76" spans="1:23" ht="15.75" x14ac:dyDescent="0.2">
      <c r="A76" s="498"/>
      <c r="B76" s="608"/>
      <c r="C76" s="609"/>
      <c r="D76" s="609"/>
      <c r="E76" s="622"/>
      <c r="F76" s="608"/>
      <c r="G76" s="608"/>
      <c r="H76" s="498"/>
    </row>
    <row r="77" spans="1:23" ht="97.5" customHeight="1" x14ac:dyDescent="0.2">
      <c r="A77" s="725" t="s">
        <v>445</v>
      </c>
      <c r="B77" s="725"/>
      <c r="C77" s="725"/>
      <c r="D77" s="725"/>
      <c r="E77" s="725"/>
      <c r="F77" s="725"/>
      <c r="G77" s="725"/>
      <c r="H77" s="725"/>
      <c r="V77" s="536"/>
      <c r="W77" s="535"/>
    </row>
    <row r="78" spans="1:23" ht="47.25" x14ac:dyDescent="0.2">
      <c r="A78" s="506"/>
      <c r="B78" s="740" t="s">
        <v>236</v>
      </c>
      <c r="C78" s="740"/>
      <c r="D78" s="509" t="s">
        <v>237</v>
      </c>
      <c r="E78" s="499" t="s">
        <v>238</v>
      </c>
      <c r="F78" s="509" t="s">
        <v>239</v>
      </c>
      <c r="G78" s="509" t="s">
        <v>443</v>
      </c>
      <c r="H78" s="506"/>
      <c r="V78" s="536"/>
      <c r="W78" s="535"/>
    </row>
    <row r="79" spans="1:23" ht="15.75" customHeight="1" x14ac:dyDescent="0.2">
      <c r="A79" s="506"/>
      <c r="B79" s="731" t="s">
        <v>13</v>
      </c>
      <c r="C79" s="731"/>
      <c r="D79" s="731"/>
      <c r="E79" s="508"/>
      <c r="F79" s="508"/>
      <c r="G79" s="508"/>
      <c r="H79" s="506"/>
      <c r="V79" s="536"/>
      <c r="W79" s="535"/>
    </row>
    <row r="80" spans="1:23" ht="15.75" customHeight="1" x14ac:dyDescent="0.2">
      <c r="A80" s="506"/>
      <c r="B80" s="732" t="s">
        <v>273</v>
      </c>
      <c r="C80" s="732"/>
      <c r="D80" s="508">
        <v>8727.77</v>
      </c>
      <c r="E80" s="508"/>
      <c r="F80" s="508">
        <f>-'June''18 Revenues &amp; Expenses'!H35</f>
        <v>-1496.75</v>
      </c>
      <c r="G80" s="508">
        <f>'June''18 Revenues &amp; Expenses'!K35+'June''18 Revenues &amp; Expenses'!K36</f>
        <v>7231.02</v>
      </c>
      <c r="H80" s="506"/>
      <c r="V80" s="536"/>
      <c r="W80" s="535"/>
    </row>
    <row r="81" spans="1:23" ht="15.75" customHeight="1" x14ac:dyDescent="0.2">
      <c r="A81" s="506"/>
      <c r="B81" s="732" t="s">
        <v>274</v>
      </c>
      <c r="C81" s="732"/>
      <c r="D81" s="508">
        <v>25000</v>
      </c>
      <c r="E81" s="508"/>
      <c r="F81" s="508">
        <f>G81-E81-D81</f>
        <v>-12408.42</v>
      </c>
      <c r="G81" s="508">
        <f>'June''18 Revenues &amp; Expenses'!K34</f>
        <v>12591.58</v>
      </c>
      <c r="H81" s="506"/>
      <c r="V81" s="536"/>
      <c r="W81" s="535"/>
    </row>
    <row r="82" spans="1:23" ht="15.75" customHeight="1" x14ac:dyDescent="0.2">
      <c r="A82" s="506"/>
      <c r="B82" s="732" t="s">
        <v>275</v>
      </c>
      <c r="C82" s="732"/>
      <c r="D82" s="508">
        <v>1745.88</v>
      </c>
      <c r="E82" s="508"/>
      <c r="F82" s="508">
        <v>-1745.88</v>
      </c>
      <c r="G82" s="508">
        <f t="shared" ref="G82" si="1">D82+E82+F82</f>
        <v>0</v>
      </c>
      <c r="H82" s="506"/>
      <c r="V82" s="536"/>
      <c r="W82" s="535"/>
    </row>
    <row r="83" spans="1:23" ht="15.75" customHeight="1" x14ac:dyDescent="0.2">
      <c r="A83" s="506"/>
      <c r="B83" s="742" t="s">
        <v>446</v>
      </c>
      <c r="C83" s="742"/>
      <c r="D83" s="718"/>
      <c r="E83" s="718">
        <v>18000</v>
      </c>
      <c r="F83" s="718">
        <v>-9000</v>
      </c>
      <c r="G83" s="718">
        <f>+E83+F83</f>
        <v>9000</v>
      </c>
      <c r="H83" s="506"/>
      <c r="V83" s="536"/>
      <c r="W83" s="535"/>
    </row>
    <row r="84" spans="1:23" ht="15.75" customHeight="1" x14ac:dyDescent="0.2">
      <c r="A84" s="506"/>
      <c r="B84" s="731" t="s">
        <v>19</v>
      </c>
      <c r="C84" s="731"/>
      <c r="D84" s="508"/>
      <c r="E84" s="508"/>
      <c r="F84" s="508"/>
      <c r="G84" s="508"/>
      <c r="H84" s="506"/>
      <c r="V84" s="536"/>
    </row>
    <row r="85" spans="1:23" ht="15.75" customHeight="1" x14ac:dyDescent="0.2">
      <c r="A85" s="506"/>
      <c r="B85" s="732" t="s">
        <v>273</v>
      </c>
      <c r="C85" s="732"/>
      <c r="D85" s="508">
        <f>'June''18 Revenues &amp; Expenses'!G38</f>
        <v>4081.3</v>
      </c>
      <c r="E85" s="508">
        <v>18000</v>
      </c>
      <c r="F85" s="508">
        <f>-D85-E85+G85</f>
        <v>-8291.25</v>
      </c>
      <c r="G85" s="508">
        <f>'June''18 Revenues &amp; Expenses'!K38</f>
        <v>13790.05</v>
      </c>
      <c r="H85" s="506"/>
      <c r="V85" s="536"/>
    </row>
    <row r="86" spans="1:23" ht="15.75" customHeight="1" x14ac:dyDescent="0.2">
      <c r="A86" s="506"/>
      <c r="B86" s="731" t="s">
        <v>276</v>
      </c>
      <c r="C86" s="731"/>
      <c r="D86" s="508"/>
      <c r="E86" s="508"/>
      <c r="F86" s="508"/>
      <c r="G86" s="508"/>
      <c r="H86" s="506"/>
      <c r="V86" s="536"/>
    </row>
    <row r="87" spans="1:23" ht="15.75" customHeight="1" x14ac:dyDescent="0.2">
      <c r="A87" s="506"/>
      <c r="B87" s="732" t="s">
        <v>232</v>
      </c>
      <c r="C87" s="732"/>
      <c r="D87" s="508">
        <v>2878.05</v>
      </c>
      <c r="E87" s="508"/>
      <c r="F87" s="550">
        <f>-D87</f>
        <v>-2878.05</v>
      </c>
      <c r="G87" s="508">
        <f>D87+E87+F87</f>
        <v>0</v>
      </c>
      <c r="H87" s="506"/>
      <c r="V87" s="536"/>
    </row>
    <row r="88" spans="1:23" ht="15.75" customHeight="1" x14ac:dyDescent="0.2">
      <c r="A88" s="506"/>
      <c r="B88" s="732" t="s">
        <v>277</v>
      </c>
      <c r="C88" s="732"/>
      <c r="D88" s="508">
        <v>38364.69</v>
      </c>
      <c r="E88" s="508"/>
      <c r="F88" s="508">
        <f>-D88</f>
        <v>-38364.69</v>
      </c>
      <c r="G88" s="508">
        <f>'June''18 Revenues &amp; Expenses'!K11</f>
        <v>0</v>
      </c>
      <c r="H88" s="506"/>
      <c r="V88" s="536"/>
    </row>
    <row r="89" spans="1:23" ht="7.5" customHeight="1" x14ac:dyDescent="0.2">
      <c r="A89" s="506"/>
      <c r="B89" s="741"/>
      <c r="C89" s="741"/>
      <c r="D89" s="508"/>
      <c r="E89" s="508"/>
      <c r="F89" s="508"/>
      <c r="G89" s="508"/>
      <c r="H89" s="506"/>
      <c r="V89" s="536"/>
    </row>
    <row r="90" spans="1:23" ht="15.75" customHeight="1" thickBot="1" x14ac:dyDescent="0.25">
      <c r="A90" s="506"/>
      <c r="B90" s="739" t="s">
        <v>278</v>
      </c>
      <c r="C90" s="739"/>
      <c r="D90" s="500">
        <f>SUM(D79:D89)</f>
        <v>80797.69</v>
      </c>
      <c r="E90" s="500">
        <f>SUM(E79:E89)</f>
        <v>36000</v>
      </c>
      <c r="F90" s="500">
        <f t="shared" ref="F90:G90" si="2">SUM(F79:F89)</f>
        <v>-74185.040000000008</v>
      </c>
      <c r="G90" s="500">
        <f t="shared" si="2"/>
        <v>42612.649999999994</v>
      </c>
      <c r="H90" s="506"/>
      <c r="V90" s="536"/>
    </row>
    <row r="91" spans="1:23" ht="11.25" customHeight="1" thickTop="1" x14ac:dyDescent="0.2">
      <c r="A91" s="506"/>
      <c r="B91" s="533"/>
      <c r="C91" s="533"/>
      <c r="D91" s="534"/>
      <c r="E91" s="534"/>
      <c r="F91" s="534"/>
      <c r="G91" s="534"/>
      <c r="H91" s="506"/>
      <c r="V91" s="536"/>
    </row>
    <row r="92" spans="1:23" ht="67.5" customHeight="1" x14ac:dyDescent="0.2">
      <c r="A92" s="725" t="s">
        <v>444</v>
      </c>
      <c r="B92" s="725"/>
      <c r="C92" s="725"/>
      <c r="D92" s="725"/>
      <c r="E92" s="725"/>
      <c r="F92" s="725"/>
      <c r="G92" s="725"/>
      <c r="H92" s="725"/>
    </row>
    <row r="93" spans="1:23" ht="47.25" x14ac:dyDescent="0.2">
      <c r="A93" s="506"/>
      <c r="B93" s="740" t="s">
        <v>236</v>
      </c>
      <c r="C93" s="740"/>
      <c r="D93" s="509" t="s">
        <v>237</v>
      </c>
      <c r="E93" s="499" t="s">
        <v>238</v>
      </c>
      <c r="F93" s="509" t="s">
        <v>239</v>
      </c>
      <c r="G93" s="700" t="s">
        <v>443</v>
      </c>
      <c r="H93" s="506"/>
    </row>
    <row r="94" spans="1:23" ht="15.75" customHeight="1" x14ac:dyDescent="0.2">
      <c r="A94" s="506"/>
      <c r="B94" s="737" t="s">
        <v>240</v>
      </c>
      <c r="C94" s="737"/>
      <c r="D94" s="508">
        <v>0</v>
      </c>
      <c r="E94" s="508">
        <v>50000</v>
      </c>
      <c r="F94" s="508">
        <f>-'June''18 Revenues &amp; Expenses'!J50</f>
        <v>-25000</v>
      </c>
      <c r="G94" s="508">
        <f t="shared" ref="G94:G100" si="3">D94+E94+F94</f>
        <v>25000</v>
      </c>
      <c r="H94" s="506"/>
    </row>
    <row r="95" spans="1:23" ht="15.75" customHeight="1" x14ac:dyDescent="0.2">
      <c r="A95" s="506"/>
      <c r="B95" s="737" t="s">
        <v>300</v>
      </c>
      <c r="C95" s="737"/>
      <c r="D95" s="508">
        <v>0</v>
      </c>
      <c r="E95" s="508">
        <v>19000</v>
      </c>
      <c r="F95" s="508">
        <f>-'June''18 Revenues &amp; Expenses'!J52</f>
        <v>-9500</v>
      </c>
      <c r="G95" s="508">
        <f t="shared" si="3"/>
        <v>9500</v>
      </c>
      <c r="H95" s="506"/>
    </row>
    <row r="96" spans="1:23" ht="15.75" customHeight="1" x14ac:dyDescent="0.2">
      <c r="A96" s="506"/>
      <c r="B96" s="737" t="s">
        <v>241</v>
      </c>
      <c r="C96" s="737"/>
      <c r="D96" s="508">
        <v>22810.080000000002</v>
      </c>
      <c r="E96" s="508">
        <f>'June''18 Revenues &amp; Expenses'!H55</f>
        <v>2750</v>
      </c>
      <c r="F96" s="508">
        <f>-'June''18 Revenues &amp; Expenses'!J55</f>
        <v>-4779.0600000000004</v>
      </c>
      <c r="G96" s="508">
        <f t="shared" si="3"/>
        <v>20781.02</v>
      </c>
      <c r="H96" s="506"/>
    </row>
    <row r="97" spans="1:8" ht="15.75" customHeight="1" x14ac:dyDescent="0.2">
      <c r="A97" s="506"/>
      <c r="B97" s="737" t="s">
        <v>242</v>
      </c>
      <c r="C97" s="737"/>
      <c r="D97" s="508">
        <v>9543.2900000000009</v>
      </c>
      <c r="E97" s="508">
        <f>'June''18 Revenues &amp; Expenses'!H56</f>
        <v>2040</v>
      </c>
      <c r="F97" s="508">
        <f>-'June''18 Revenues &amp; Expenses'!J56</f>
        <v>-2860.19</v>
      </c>
      <c r="G97" s="508">
        <f t="shared" si="3"/>
        <v>8723.1</v>
      </c>
      <c r="H97" s="506"/>
    </row>
    <row r="98" spans="1:8" ht="15.75" customHeight="1" x14ac:dyDescent="0.2">
      <c r="A98" s="506"/>
      <c r="B98" s="737" t="s">
        <v>387</v>
      </c>
      <c r="C98" s="737"/>
      <c r="D98" s="508">
        <v>5384.58</v>
      </c>
      <c r="E98" s="508"/>
      <c r="F98" s="508">
        <f>-'June''18 Revenues &amp; Expenses'!H39</f>
        <v>-675</v>
      </c>
      <c r="G98" s="508">
        <f t="shared" si="3"/>
        <v>4709.58</v>
      </c>
      <c r="H98" s="506"/>
    </row>
    <row r="99" spans="1:8" ht="15.75" x14ac:dyDescent="0.2">
      <c r="A99" s="506"/>
      <c r="B99" s="737" t="s">
        <v>243</v>
      </c>
      <c r="C99" s="737"/>
      <c r="D99" s="508">
        <v>1100.82</v>
      </c>
      <c r="E99" s="508"/>
      <c r="F99" s="508">
        <f>-'June''18 Revenues &amp; Expenses'!J54</f>
        <v>0</v>
      </c>
      <c r="G99" s="508">
        <f t="shared" si="3"/>
        <v>1100.82</v>
      </c>
      <c r="H99" s="506"/>
    </row>
    <row r="100" spans="1:8" ht="15.75" x14ac:dyDescent="0.2">
      <c r="A100" s="506"/>
      <c r="B100" s="737"/>
      <c r="C100" s="737"/>
      <c r="D100" s="508">
        <v>0</v>
      </c>
      <c r="E100" s="508"/>
      <c r="F100" s="508">
        <v>0</v>
      </c>
      <c r="G100" s="508">
        <f t="shared" si="3"/>
        <v>0</v>
      </c>
      <c r="H100" s="506"/>
    </row>
    <row r="101" spans="1:8" ht="15.75" customHeight="1" thickBot="1" x14ac:dyDescent="0.25">
      <c r="A101" s="506"/>
      <c r="B101" s="742" t="s">
        <v>244</v>
      </c>
      <c r="C101" s="742"/>
      <c r="D101" s="500">
        <f>SUM(D94:D100)</f>
        <v>38838.770000000004</v>
      </c>
      <c r="E101" s="500">
        <f>SUM(E94:E100)</f>
        <v>73790</v>
      </c>
      <c r="F101" s="500">
        <f>SUM(F94:F100)</f>
        <v>-42814.25</v>
      </c>
      <c r="G101" s="500">
        <f>SUM(G94:G100)</f>
        <v>69814.52</v>
      </c>
      <c r="H101" s="506"/>
    </row>
    <row r="102" spans="1:8" ht="16.5" thickTop="1" x14ac:dyDescent="0.2">
      <c r="A102" s="498"/>
      <c r="B102" s="507"/>
      <c r="C102" s="507"/>
      <c r="D102" s="507"/>
      <c r="E102" s="507"/>
      <c r="F102" s="507"/>
      <c r="G102" s="507"/>
      <c r="H102" s="498"/>
    </row>
    <row r="103" spans="1:8" ht="15.75" customHeight="1" x14ac:dyDescent="0.2"/>
    <row r="104" spans="1:8" ht="6.75" customHeight="1" x14ac:dyDescent="0.2"/>
    <row r="105" spans="1:8" ht="37.5" customHeight="1" x14ac:dyDescent="0.2"/>
  </sheetData>
  <mergeCells count="74">
    <mergeCell ref="B83:C83"/>
    <mergeCell ref="A1:H1"/>
    <mergeCell ref="A2:H2"/>
    <mergeCell ref="A3:H3"/>
    <mergeCell ref="C11:D11"/>
    <mergeCell ref="C12:D12"/>
    <mergeCell ref="B10:C10"/>
    <mergeCell ref="A4:H4"/>
    <mergeCell ref="A5:H5"/>
    <mergeCell ref="A9:H9"/>
    <mergeCell ref="A75:H75"/>
    <mergeCell ref="A23:H23"/>
    <mergeCell ref="A25:H25"/>
    <mergeCell ref="B82:C82"/>
    <mergeCell ref="E46:F46"/>
    <mergeCell ref="A45:H45"/>
    <mergeCell ref="B97:C97"/>
    <mergeCell ref="B98:C98"/>
    <mergeCell ref="B100:C100"/>
    <mergeCell ref="B101:C101"/>
    <mergeCell ref="B99:C99"/>
    <mergeCell ref="B94:C94"/>
    <mergeCell ref="B95:C95"/>
    <mergeCell ref="C73:D73"/>
    <mergeCell ref="B96:C96"/>
    <mergeCell ref="B88:C88"/>
    <mergeCell ref="B90:C90"/>
    <mergeCell ref="B86:C86"/>
    <mergeCell ref="B87:C87"/>
    <mergeCell ref="A77:H77"/>
    <mergeCell ref="B78:C78"/>
    <mergeCell ref="B80:C80"/>
    <mergeCell ref="B81:C81"/>
    <mergeCell ref="B93:C93"/>
    <mergeCell ref="B79:D79"/>
    <mergeCell ref="A92:H92"/>
    <mergeCell ref="B89:C89"/>
    <mergeCell ref="B84:C84"/>
    <mergeCell ref="B85:C85"/>
    <mergeCell ref="B38:G38"/>
    <mergeCell ref="B39:G39"/>
    <mergeCell ref="B40:G40"/>
    <mergeCell ref="B41:G41"/>
    <mergeCell ref="C72:D72"/>
    <mergeCell ref="F72:G72"/>
    <mergeCell ref="C70:D70"/>
    <mergeCell ref="F70:G70"/>
    <mergeCell ref="C71:D71"/>
    <mergeCell ref="F71:G71"/>
    <mergeCell ref="B42:G42"/>
    <mergeCell ref="B43:G43"/>
    <mergeCell ref="E48:F48"/>
    <mergeCell ref="E47:F47"/>
    <mergeCell ref="C13:D13"/>
    <mergeCell ref="C14:D14"/>
    <mergeCell ref="C15:D15"/>
    <mergeCell ref="B18:C18"/>
    <mergeCell ref="C16:D16"/>
    <mergeCell ref="C17:D17"/>
    <mergeCell ref="E52:F52"/>
    <mergeCell ref="A68:H68"/>
    <mergeCell ref="C69:D69"/>
    <mergeCell ref="F69:G69"/>
    <mergeCell ref="E49:F49"/>
    <mergeCell ref="E53:F53"/>
    <mergeCell ref="E54:F54"/>
    <mergeCell ref="E63:F63"/>
    <mergeCell ref="E60:F60"/>
    <mergeCell ref="E64:F64"/>
    <mergeCell ref="E65:F65"/>
    <mergeCell ref="E59:F59"/>
    <mergeCell ref="E57:F57"/>
    <mergeCell ref="E56:F56"/>
    <mergeCell ref="E58:F58"/>
  </mergeCells>
  <pageMargins left="0.75" right="0.25" top="0.75" bottom="0.75" header="0.3" footer="0.3"/>
  <pageSetup scale="77" fitToHeight="4" orientation="portrait" r:id="rId1"/>
  <headerFooter>
    <oddFooter>&amp;CPage #&amp;P of &amp;N</oddFooter>
  </headerFooter>
  <rowBreaks count="2" manualBreakCount="2">
    <brk id="23" max="7" man="1"/>
    <brk id="7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90"/>
  <sheetViews>
    <sheetView topLeftCell="A520" workbookViewId="0">
      <selection activeCell="H555" sqref="H555"/>
    </sheetView>
  </sheetViews>
  <sheetFormatPr defaultRowHeight="14.25" x14ac:dyDescent="0.2"/>
  <cols>
    <col min="1" max="1" width="22.875" style="593" customWidth="1"/>
    <col min="2" max="2" width="9" style="562"/>
    <col min="7" max="7" width="15" bestFit="1" customWidth="1"/>
    <col min="8" max="8" width="9.75" bestFit="1" customWidth="1"/>
  </cols>
  <sheetData>
    <row r="3" spans="1:2" ht="15" thickBot="1" x14ac:dyDescent="0.25">
      <c r="A3" s="590" t="s">
        <v>312</v>
      </c>
      <c r="B3" s="558" t="s">
        <v>313</v>
      </c>
    </row>
    <row r="4" spans="1:2" ht="15" thickTop="1" x14ac:dyDescent="0.2">
      <c r="A4" s="591">
        <v>42370</v>
      </c>
      <c r="B4" s="559">
        <v>316020.78000000003</v>
      </c>
    </row>
    <row r="5" spans="1:2" x14ac:dyDescent="0.2">
      <c r="A5" s="592">
        <v>42373</v>
      </c>
      <c r="B5" s="560">
        <v>315970.78000000003</v>
      </c>
    </row>
    <row r="6" spans="1:2" x14ac:dyDescent="0.2">
      <c r="A6" s="592">
        <v>42374</v>
      </c>
      <c r="B6" s="560">
        <v>320557.63</v>
      </c>
    </row>
    <row r="7" spans="1:2" x14ac:dyDescent="0.2">
      <c r="A7" s="592">
        <v>42375</v>
      </c>
      <c r="B7" s="560">
        <f>B6</f>
        <v>320557.63</v>
      </c>
    </row>
    <row r="8" spans="1:2" x14ac:dyDescent="0.2">
      <c r="A8" s="592">
        <v>42376</v>
      </c>
      <c r="B8" s="560">
        <v>323108.86</v>
      </c>
    </row>
    <row r="9" spans="1:2" x14ac:dyDescent="0.2">
      <c r="A9" s="592">
        <v>42377</v>
      </c>
      <c r="B9" s="560">
        <f>B8</f>
        <v>323108.86</v>
      </c>
    </row>
    <row r="10" spans="1:2" x14ac:dyDescent="0.2">
      <c r="A10" s="592">
        <v>42380</v>
      </c>
      <c r="B10" s="560">
        <v>323239.86</v>
      </c>
    </row>
    <row r="11" spans="1:2" x14ac:dyDescent="0.2">
      <c r="A11" s="592">
        <v>42381</v>
      </c>
      <c r="B11" s="560">
        <v>288792.71999999997</v>
      </c>
    </row>
    <row r="12" spans="1:2" x14ac:dyDescent="0.2">
      <c r="A12" s="592">
        <v>42382</v>
      </c>
      <c r="B12" s="560">
        <f>B11</f>
        <v>288792.71999999997</v>
      </c>
    </row>
    <row r="13" spans="1:2" x14ac:dyDescent="0.2">
      <c r="A13" s="592">
        <v>42383</v>
      </c>
      <c r="B13" s="560">
        <v>277881.3</v>
      </c>
    </row>
    <row r="14" spans="1:2" x14ac:dyDescent="0.2">
      <c r="A14" s="592">
        <v>42384</v>
      </c>
      <c r="B14" s="560">
        <v>293922.15000000002</v>
      </c>
    </row>
    <row r="15" spans="1:2" x14ac:dyDescent="0.2">
      <c r="A15" s="592">
        <v>42387</v>
      </c>
      <c r="B15" s="560">
        <f>B14</f>
        <v>293922.15000000002</v>
      </c>
    </row>
    <row r="16" spans="1:2" x14ac:dyDescent="0.2">
      <c r="A16" s="592">
        <v>42388</v>
      </c>
      <c r="B16" s="560">
        <f>B14</f>
        <v>293922.15000000002</v>
      </c>
    </row>
    <row r="17" spans="1:2" x14ac:dyDescent="0.2">
      <c r="A17" s="592">
        <v>42389</v>
      </c>
      <c r="B17" s="560">
        <v>294002.2</v>
      </c>
    </row>
    <row r="18" spans="1:2" x14ac:dyDescent="0.2">
      <c r="A18" s="592">
        <v>42390</v>
      </c>
      <c r="B18" s="560">
        <v>285645.33</v>
      </c>
    </row>
    <row r="19" spans="1:2" x14ac:dyDescent="0.2">
      <c r="A19" s="592">
        <v>42391</v>
      </c>
      <c r="B19" s="560">
        <f>B18</f>
        <v>285645.33</v>
      </c>
    </row>
    <row r="20" spans="1:2" x14ac:dyDescent="0.2">
      <c r="A20" s="592">
        <v>42394</v>
      </c>
      <c r="B20" s="560">
        <v>310939.57</v>
      </c>
    </row>
    <row r="21" spans="1:2" x14ac:dyDescent="0.2">
      <c r="A21" s="592">
        <v>42395</v>
      </c>
      <c r="B21" s="560">
        <v>285520.28000000003</v>
      </c>
    </row>
    <row r="22" spans="1:2" x14ac:dyDescent="0.2">
      <c r="A22" s="592">
        <v>42396</v>
      </c>
      <c r="B22" s="560">
        <f>B21</f>
        <v>285520.28000000003</v>
      </c>
    </row>
    <row r="23" spans="1:2" x14ac:dyDescent="0.2">
      <c r="A23" s="592">
        <v>42397</v>
      </c>
      <c r="B23" s="560">
        <v>282022.58</v>
      </c>
    </row>
    <row r="24" spans="1:2" x14ac:dyDescent="0.2">
      <c r="A24" s="592">
        <v>42398</v>
      </c>
      <c r="B24" s="560">
        <v>294848.15999999997</v>
      </c>
    </row>
    <row r="25" spans="1:2" x14ac:dyDescent="0.2">
      <c r="A25" s="592">
        <v>42401</v>
      </c>
      <c r="B25" s="560">
        <v>295971.7</v>
      </c>
    </row>
    <row r="26" spans="1:2" x14ac:dyDescent="0.2">
      <c r="A26" s="592">
        <v>42402</v>
      </c>
      <c r="B26" s="560">
        <v>342700.41</v>
      </c>
    </row>
    <row r="27" spans="1:2" x14ac:dyDescent="0.2">
      <c r="A27" s="592">
        <v>42403</v>
      </c>
      <c r="B27" s="560">
        <f>B26</f>
        <v>342700.41</v>
      </c>
    </row>
    <row r="28" spans="1:2" x14ac:dyDescent="0.2">
      <c r="A28" s="592">
        <v>42404</v>
      </c>
      <c r="B28" s="560">
        <v>337638.63</v>
      </c>
    </row>
    <row r="29" spans="1:2" x14ac:dyDescent="0.2">
      <c r="A29" s="592">
        <v>42405</v>
      </c>
      <c r="B29" s="560">
        <v>367843.39</v>
      </c>
    </row>
    <row r="30" spans="1:2" x14ac:dyDescent="0.2">
      <c r="A30" s="592">
        <v>42408</v>
      </c>
      <c r="B30" s="560">
        <v>367773.39</v>
      </c>
    </row>
    <row r="31" spans="1:2" x14ac:dyDescent="0.2">
      <c r="A31" s="592">
        <v>42409</v>
      </c>
      <c r="B31" s="560">
        <v>339527.33</v>
      </c>
    </row>
    <row r="32" spans="1:2" x14ac:dyDescent="0.2">
      <c r="A32" s="592">
        <v>42410</v>
      </c>
      <c r="B32" s="560">
        <f>B31</f>
        <v>339527.33</v>
      </c>
    </row>
    <row r="33" spans="1:2" x14ac:dyDescent="0.2">
      <c r="A33" s="592">
        <v>42411</v>
      </c>
      <c r="B33" s="560">
        <v>336968.79</v>
      </c>
    </row>
    <row r="34" spans="1:2" x14ac:dyDescent="0.2">
      <c r="A34" s="592">
        <v>42412</v>
      </c>
      <c r="B34" s="560">
        <v>337055.76</v>
      </c>
    </row>
    <row r="35" spans="1:2" x14ac:dyDescent="0.2">
      <c r="A35" s="592">
        <v>42415</v>
      </c>
      <c r="B35" s="560">
        <f>B34</f>
        <v>337055.76</v>
      </c>
    </row>
    <row r="36" spans="1:2" x14ac:dyDescent="0.2">
      <c r="A36" s="592">
        <v>42416</v>
      </c>
      <c r="B36" s="560">
        <f>B35</f>
        <v>337055.76</v>
      </c>
    </row>
    <row r="37" spans="1:2" x14ac:dyDescent="0.2">
      <c r="A37" s="592">
        <v>42417</v>
      </c>
      <c r="B37" s="560">
        <v>365266.06</v>
      </c>
    </row>
    <row r="38" spans="1:2" x14ac:dyDescent="0.2">
      <c r="A38" s="592">
        <v>42418</v>
      </c>
      <c r="B38" s="560">
        <v>360871.98</v>
      </c>
    </row>
    <row r="39" spans="1:2" x14ac:dyDescent="0.2">
      <c r="A39" s="592">
        <v>42419</v>
      </c>
      <c r="B39" s="560">
        <f>B38</f>
        <v>360871.98</v>
      </c>
    </row>
    <row r="40" spans="1:2" x14ac:dyDescent="0.2">
      <c r="A40" s="592">
        <v>42421</v>
      </c>
      <c r="B40" s="560">
        <f>B39</f>
        <v>360871.98</v>
      </c>
    </row>
    <row r="41" spans="1:2" x14ac:dyDescent="0.2">
      <c r="A41" s="592">
        <v>42423</v>
      </c>
      <c r="B41" s="560">
        <v>355845.62</v>
      </c>
    </row>
    <row r="42" spans="1:2" x14ac:dyDescent="0.2">
      <c r="A42" s="592">
        <v>42424</v>
      </c>
      <c r="B42" s="560">
        <f>B41</f>
        <v>355845.62</v>
      </c>
    </row>
    <row r="43" spans="1:2" x14ac:dyDescent="0.2">
      <c r="A43" s="592">
        <v>42425</v>
      </c>
      <c r="B43" s="560">
        <v>345399.7</v>
      </c>
    </row>
    <row r="44" spans="1:2" x14ac:dyDescent="0.2">
      <c r="A44" s="592">
        <v>42426</v>
      </c>
      <c r="B44" s="560">
        <v>370500.69</v>
      </c>
    </row>
    <row r="45" spans="1:2" x14ac:dyDescent="0.2">
      <c r="A45" s="592">
        <v>42429</v>
      </c>
      <c r="B45" s="560">
        <v>389846.49</v>
      </c>
    </row>
    <row r="46" spans="1:2" x14ac:dyDescent="0.2">
      <c r="A46" s="592">
        <v>42430</v>
      </c>
      <c r="B46" s="560">
        <f>B45</f>
        <v>389846.49</v>
      </c>
    </row>
    <row r="47" spans="1:2" x14ac:dyDescent="0.2">
      <c r="A47" s="592">
        <v>42431</v>
      </c>
      <c r="B47" s="560">
        <f>B46</f>
        <v>389846.49</v>
      </c>
    </row>
    <row r="48" spans="1:2" x14ac:dyDescent="0.2">
      <c r="A48" s="592">
        <v>42432</v>
      </c>
      <c r="B48" s="560">
        <v>378391.97</v>
      </c>
    </row>
    <row r="49" spans="1:2" x14ac:dyDescent="0.2">
      <c r="A49" s="592">
        <v>42433</v>
      </c>
      <c r="B49" s="560">
        <v>424034.23</v>
      </c>
    </row>
    <row r="50" spans="1:2" x14ac:dyDescent="0.2">
      <c r="A50" s="592">
        <v>42436</v>
      </c>
      <c r="B50" s="560">
        <f>B49</f>
        <v>424034.23</v>
      </c>
    </row>
    <row r="51" spans="1:2" x14ac:dyDescent="0.2">
      <c r="A51" s="592">
        <v>42437</v>
      </c>
      <c r="B51" s="560">
        <v>386665.73</v>
      </c>
    </row>
    <row r="52" spans="1:2" x14ac:dyDescent="0.2">
      <c r="A52" s="592">
        <v>42438</v>
      </c>
      <c r="B52" s="560">
        <f>B51</f>
        <v>386665.73</v>
      </c>
    </row>
    <row r="53" spans="1:2" x14ac:dyDescent="0.2">
      <c r="A53" s="592">
        <v>42439</v>
      </c>
      <c r="B53" s="560">
        <v>389219.85</v>
      </c>
    </row>
    <row r="54" spans="1:2" x14ac:dyDescent="0.2">
      <c r="A54" s="592">
        <v>42440</v>
      </c>
      <c r="B54" s="560">
        <v>406100.98</v>
      </c>
    </row>
    <row r="55" spans="1:2" x14ac:dyDescent="0.2">
      <c r="A55" s="592">
        <v>42443</v>
      </c>
      <c r="B55" s="560">
        <v>407873.33</v>
      </c>
    </row>
    <row r="56" spans="1:2" x14ac:dyDescent="0.2">
      <c r="A56" s="592">
        <v>42444</v>
      </c>
      <c r="B56" s="560">
        <v>407992.23</v>
      </c>
    </row>
    <row r="57" spans="1:2" x14ac:dyDescent="0.2">
      <c r="A57" s="592">
        <v>42445</v>
      </c>
      <c r="B57" s="560">
        <v>433808.81</v>
      </c>
    </row>
    <row r="58" spans="1:2" x14ac:dyDescent="0.2">
      <c r="A58" s="592">
        <v>42446</v>
      </c>
      <c r="B58" s="560">
        <v>422290.94</v>
      </c>
    </row>
    <row r="59" spans="1:2" x14ac:dyDescent="0.2">
      <c r="A59" s="592">
        <v>42447</v>
      </c>
      <c r="B59" s="560">
        <v>468026.54</v>
      </c>
    </row>
    <row r="60" spans="1:2" x14ac:dyDescent="0.2">
      <c r="A60" s="592">
        <v>42450</v>
      </c>
      <c r="B60" s="560">
        <v>348026.54</v>
      </c>
    </row>
    <row r="61" spans="1:2" x14ac:dyDescent="0.2">
      <c r="A61" s="592">
        <v>42451</v>
      </c>
      <c r="B61" s="560">
        <v>312876.71000000002</v>
      </c>
    </row>
    <row r="62" spans="1:2" x14ac:dyDescent="0.2">
      <c r="A62" s="592">
        <v>42452</v>
      </c>
      <c r="B62" s="560">
        <v>314939.26</v>
      </c>
    </row>
    <row r="63" spans="1:2" x14ac:dyDescent="0.2">
      <c r="A63" s="592">
        <v>42453</v>
      </c>
      <c r="B63" s="560">
        <v>309254.23</v>
      </c>
    </row>
    <row r="64" spans="1:2" x14ac:dyDescent="0.2">
      <c r="A64" s="592">
        <v>42454</v>
      </c>
      <c r="B64" s="560">
        <v>308314.94</v>
      </c>
    </row>
    <row r="65" spans="1:2" x14ac:dyDescent="0.2">
      <c r="A65" s="592">
        <v>42457</v>
      </c>
      <c r="B65" s="560">
        <f>B64</f>
        <v>308314.94</v>
      </c>
    </row>
    <row r="66" spans="1:2" x14ac:dyDescent="0.2">
      <c r="A66" s="592">
        <v>42458</v>
      </c>
      <c r="B66" s="560">
        <v>308501.75</v>
      </c>
    </row>
    <row r="67" spans="1:2" x14ac:dyDescent="0.2">
      <c r="A67" s="592">
        <v>42459</v>
      </c>
      <c r="B67" s="560">
        <f>B66</f>
        <v>308501.75</v>
      </c>
    </row>
    <row r="68" spans="1:2" x14ac:dyDescent="0.2">
      <c r="A68" s="592">
        <v>42460</v>
      </c>
      <c r="B68" s="560">
        <v>309191.53000000003</v>
      </c>
    </row>
    <row r="69" spans="1:2" x14ac:dyDescent="0.2">
      <c r="A69" s="592">
        <v>42461</v>
      </c>
      <c r="B69" s="560">
        <f>B68</f>
        <v>309191.53000000003</v>
      </c>
    </row>
    <row r="70" spans="1:2" x14ac:dyDescent="0.2">
      <c r="A70" s="592">
        <v>42464</v>
      </c>
      <c r="B70" s="560">
        <v>273521.59999999998</v>
      </c>
    </row>
    <row r="71" spans="1:2" x14ac:dyDescent="0.2">
      <c r="A71" s="592">
        <v>42465</v>
      </c>
      <c r="B71" s="560">
        <f>B70</f>
        <v>273521.59999999998</v>
      </c>
    </row>
    <row r="72" spans="1:2" x14ac:dyDescent="0.2">
      <c r="A72" s="592">
        <v>42466</v>
      </c>
      <c r="B72" s="560">
        <v>272690.59999999998</v>
      </c>
    </row>
    <row r="73" spans="1:2" x14ac:dyDescent="0.2">
      <c r="A73" s="592">
        <v>42467</v>
      </c>
      <c r="B73" s="560">
        <v>269582.73</v>
      </c>
    </row>
    <row r="74" spans="1:2" x14ac:dyDescent="0.2">
      <c r="A74" s="592">
        <v>42468</v>
      </c>
      <c r="B74" s="560">
        <f>B73</f>
        <v>269582.73</v>
      </c>
    </row>
    <row r="75" spans="1:2" x14ac:dyDescent="0.2">
      <c r="A75" s="592">
        <v>42471</v>
      </c>
      <c r="B75" s="560">
        <v>269763.98</v>
      </c>
    </row>
    <row r="76" spans="1:2" x14ac:dyDescent="0.2">
      <c r="A76" s="592">
        <v>42472</v>
      </c>
      <c r="B76" s="560">
        <f>B75</f>
        <v>269763.98</v>
      </c>
    </row>
    <row r="77" spans="1:2" x14ac:dyDescent="0.2">
      <c r="A77" s="592">
        <v>42473</v>
      </c>
      <c r="B77" s="560">
        <v>269925.98</v>
      </c>
    </row>
    <row r="78" spans="1:2" x14ac:dyDescent="0.2">
      <c r="A78" s="592">
        <v>42474</v>
      </c>
      <c r="B78" s="560">
        <v>262853.87</v>
      </c>
    </row>
    <row r="79" spans="1:2" x14ac:dyDescent="0.2">
      <c r="A79" s="592">
        <v>42475</v>
      </c>
      <c r="B79" s="560">
        <v>285492.90999999997</v>
      </c>
    </row>
    <row r="80" spans="1:2" x14ac:dyDescent="0.2">
      <c r="A80" s="592">
        <v>42478</v>
      </c>
      <c r="B80" s="560">
        <v>248936.49</v>
      </c>
    </row>
    <row r="81" spans="1:2" x14ac:dyDescent="0.2">
      <c r="A81" s="592">
        <v>42479</v>
      </c>
      <c r="B81" s="560">
        <v>299276.93</v>
      </c>
    </row>
    <row r="82" spans="1:2" x14ac:dyDescent="0.2">
      <c r="A82" s="592">
        <v>42480</v>
      </c>
      <c r="B82" s="560">
        <v>298671.93</v>
      </c>
    </row>
    <row r="83" spans="1:2" x14ac:dyDescent="0.2">
      <c r="A83" s="592">
        <v>42481</v>
      </c>
      <c r="B83" s="560">
        <v>300188.76</v>
      </c>
    </row>
    <row r="84" spans="1:2" x14ac:dyDescent="0.2">
      <c r="A84" s="592">
        <v>42482</v>
      </c>
      <c r="B84" s="560">
        <v>320014.86</v>
      </c>
    </row>
    <row r="85" spans="1:2" x14ac:dyDescent="0.2">
      <c r="A85" s="592">
        <v>42485</v>
      </c>
      <c r="B85" s="560">
        <v>316702.44</v>
      </c>
    </row>
    <row r="86" spans="1:2" x14ac:dyDescent="0.2">
      <c r="A86" s="592">
        <v>42486</v>
      </c>
      <c r="B86" s="560">
        <f>B85</f>
        <v>316702.44</v>
      </c>
    </row>
    <row r="87" spans="1:2" x14ac:dyDescent="0.2">
      <c r="A87" s="592">
        <v>42487</v>
      </c>
      <c r="B87" s="560">
        <v>316945.44</v>
      </c>
    </row>
    <row r="88" spans="1:2" x14ac:dyDescent="0.2">
      <c r="A88" s="592">
        <v>42488</v>
      </c>
      <c r="B88" s="560">
        <v>320979.96999999997</v>
      </c>
    </row>
    <row r="89" spans="1:2" x14ac:dyDescent="0.2">
      <c r="A89" s="592">
        <v>42489</v>
      </c>
      <c r="B89" s="560">
        <f>B88</f>
        <v>320979.96999999997</v>
      </c>
    </row>
    <row r="90" spans="1:2" x14ac:dyDescent="0.2">
      <c r="A90" s="592">
        <v>42492</v>
      </c>
      <c r="B90" s="560">
        <v>285992.84000000003</v>
      </c>
    </row>
    <row r="91" spans="1:2" x14ac:dyDescent="0.2">
      <c r="A91" s="592">
        <v>42493</v>
      </c>
      <c r="B91" s="560">
        <v>286063.08</v>
      </c>
    </row>
    <row r="92" spans="1:2" x14ac:dyDescent="0.2">
      <c r="A92" s="592">
        <v>42494</v>
      </c>
      <c r="B92" s="560">
        <v>314586.46000000002</v>
      </c>
    </row>
    <row r="93" spans="1:2" x14ac:dyDescent="0.2">
      <c r="A93" s="592">
        <v>42495</v>
      </c>
      <c r="B93" s="560">
        <v>317747.52</v>
      </c>
    </row>
    <row r="94" spans="1:2" x14ac:dyDescent="0.2">
      <c r="A94" s="592">
        <v>42496</v>
      </c>
      <c r="B94" s="560">
        <f>B93</f>
        <v>317747.52</v>
      </c>
    </row>
    <row r="95" spans="1:2" x14ac:dyDescent="0.2">
      <c r="A95" s="592">
        <v>42499</v>
      </c>
      <c r="B95" s="560">
        <v>317647.52</v>
      </c>
    </row>
    <row r="96" spans="1:2" x14ac:dyDescent="0.2">
      <c r="A96" s="592">
        <v>42500</v>
      </c>
      <c r="B96" s="560">
        <v>354645.16</v>
      </c>
    </row>
    <row r="97" spans="1:2" x14ac:dyDescent="0.2">
      <c r="A97" s="592">
        <v>42501</v>
      </c>
      <c r="B97" s="560">
        <f>B96</f>
        <v>354645.16</v>
      </c>
    </row>
    <row r="98" spans="1:2" x14ac:dyDescent="0.2">
      <c r="A98" s="592">
        <v>42502</v>
      </c>
      <c r="B98" s="560">
        <v>334676.08</v>
      </c>
    </row>
    <row r="99" spans="1:2" x14ac:dyDescent="0.2">
      <c r="A99" s="592">
        <v>42503</v>
      </c>
      <c r="B99" s="560">
        <v>335053.34999999998</v>
      </c>
    </row>
    <row r="100" spans="1:2" x14ac:dyDescent="0.2">
      <c r="A100" s="592">
        <v>42506</v>
      </c>
      <c r="B100" s="560">
        <v>299641.7</v>
      </c>
    </row>
    <row r="101" spans="1:2" x14ac:dyDescent="0.2">
      <c r="A101" s="592">
        <v>42507</v>
      </c>
      <c r="B101" s="560">
        <f>B100</f>
        <v>299641.7</v>
      </c>
    </row>
    <row r="102" spans="1:2" x14ac:dyDescent="0.2">
      <c r="A102" s="592">
        <v>42508</v>
      </c>
      <c r="B102" s="560">
        <v>316034.81</v>
      </c>
    </row>
    <row r="103" spans="1:2" x14ac:dyDescent="0.2">
      <c r="A103" s="592">
        <v>42509</v>
      </c>
      <c r="B103" s="560">
        <v>320069.11</v>
      </c>
    </row>
    <row r="104" spans="1:2" x14ac:dyDescent="0.2">
      <c r="A104" s="592">
        <v>42510</v>
      </c>
      <c r="B104" s="560">
        <v>328514.03000000003</v>
      </c>
    </row>
    <row r="105" spans="1:2" x14ac:dyDescent="0.2">
      <c r="A105" s="592">
        <v>42513</v>
      </c>
      <c r="B105" s="560">
        <f>B104</f>
        <v>328514.03000000003</v>
      </c>
    </row>
    <row r="106" spans="1:2" x14ac:dyDescent="0.2">
      <c r="A106" s="592">
        <v>42514</v>
      </c>
      <c r="B106" s="560">
        <v>334541.26</v>
      </c>
    </row>
    <row r="107" spans="1:2" x14ac:dyDescent="0.2">
      <c r="A107" s="592">
        <v>42515</v>
      </c>
      <c r="B107" s="561">
        <v>329880.45</v>
      </c>
    </row>
    <row r="108" spans="1:2" x14ac:dyDescent="0.2">
      <c r="A108" s="592">
        <v>42516</v>
      </c>
      <c r="B108" s="562">
        <v>337992.17</v>
      </c>
    </row>
    <row r="109" spans="1:2" x14ac:dyDescent="0.2">
      <c r="A109" s="592">
        <v>42517</v>
      </c>
      <c r="B109" s="562">
        <v>347755.4</v>
      </c>
    </row>
    <row r="110" spans="1:2" x14ac:dyDescent="0.2">
      <c r="A110" s="592">
        <v>42520</v>
      </c>
      <c r="B110" s="562">
        <v>347755.4</v>
      </c>
    </row>
    <row r="111" spans="1:2" x14ac:dyDescent="0.2">
      <c r="A111" s="592">
        <v>42521</v>
      </c>
      <c r="B111" s="562">
        <v>312817.88</v>
      </c>
    </row>
    <row r="112" spans="1:2" x14ac:dyDescent="0.2">
      <c r="A112" s="592">
        <v>42522</v>
      </c>
      <c r="B112" s="562">
        <v>314571.3</v>
      </c>
    </row>
    <row r="113" spans="1:2" x14ac:dyDescent="0.2">
      <c r="A113" s="592">
        <v>42523</v>
      </c>
      <c r="B113" s="562">
        <v>302515.78000000003</v>
      </c>
    </row>
    <row r="114" spans="1:2" x14ac:dyDescent="0.2">
      <c r="A114" s="592">
        <v>42524</v>
      </c>
      <c r="B114" s="562">
        <v>302516</v>
      </c>
    </row>
    <row r="115" spans="1:2" x14ac:dyDescent="0.2">
      <c r="A115" s="592">
        <v>42527</v>
      </c>
      <c r="B115" s="562">
        <v>302516</v>
      </c>
    </row>
    <row r="116" spans="1:2" x14ac:dyDescent="0.2">
      <c r="A116" s="592">
        <v>42528</v>
      </c>
      <c r="B116" s="562">
        <v>302516</v>
      </c>
    </row>
    <row r="117" spans="1:2" x14ac:dyDescent="0.2">
      <c r="A117" s="592">
        <v>42529</v>
      </c>
      <c r="B117" s="562">
        <v>279865.95</v>
      </c>
    </row>
    <row r="118" spans="1:2" x14ac:dyDescent="0.2">
      <c r="A118" s="592">
        <v>42530</v>
      </c>
      <c r="B118" s="562">
        <v>279866</v>
      </c>
    </row>
    <row r="119" spans="1:2" x14ac:dyDescent="0.2">
      <c r="A119" s="592">
        <v>42531</v>
      </c>
      <c r="B119" s="562">
        <v>279866</v>
      </c>
    </row>
    <row r="120" spans="1:2" x14ac:dyDescent="0.2">
      <c r="A120" s="592">
        <v>42534</v>
      </c>
      <c r="B120" s="562">
        <v>279866</v>
      </c>
    </row>
    <row r="121" spans="1:2" x14ac:dyDescent="0.2">
      <c r="A121" s="592">
        <v>42535</v>
      </c>
      <c r="B121" s="562">
        <v>279866</v>
      </c>
    </row>
    <row r="122" spans="1:2" x14ac:dyDescent="0.2">
      <c r="A122" s="592">
        <v>42536</v>
      </c>
      <c r="B122" s="562">
        <v>290096.01</v>
      </c>
    </row>
    <row r="123" spans="1:2" x14ac:dyDescent="0.2">
      <c r="A123" s="592">
        <v>42537</v>
      </c>
      <c r="B123" s="562">
        <v>247423.5</v>
      </c>
    </row>
    <row r="124" spans="1:2" x14ac:dyDescent="0.2">
      <c r="A124" s="592">
        <v>42538</v>
      </c>
      <c r="B124" s="562">
        <v>247424</v>
      </c>
    </row>
    <row r="125" spans="1:2" x14ac:dyDescent="0.2">
      <c r="A125" s="592">
        <v>42541</v>
      </c>
      <c r="B125" s="562">
        <v>247424</v>
      </c>
    </row>
    <row r="126" spans="1:2" x14ac:dyDescent="0.2">
      <c r="A126" s="592">
        <v>42542</v>
      </c>
      <c r="B126" s="562">
        <v>255459.85</v>
      </c>
    </row>
    <row r="127" spans="1:2" x14ac:dyDescent="0.2">
      <c r="A127" s="592">
        <v>42543</v>
      </c>
      <c r="B127" s="562">
        <v>255460</v>
      </c>
    </row>
    <row r="128" spans="1:2" x14ac:dyDescent="0.2">
      <c r="A128" s="563">
        <f>A127+1</f>
        <v>42544</v>
      </c>
      <c r="B128" s="562">
        <v>240780.4</v>
      </c>
    </row>
    <row r="129" spans="1:2" x14ac:dyDescent="0.2">
      <c r="A129" s="563">
        <f>A128+1</f>
        <v>42545</v>
      </c>
      <c r="B129" s="562">
        <v>240780</v>
      </c>
    </row>
    <row r="130" spans="1:2" x14ac:dyDescent="0.2">
      <c r="A130" s="563">
        <f>A125+7</f>
        <v>42548</v>
      </c>
      <c r="B130" s="562">
        <v>205735.12</v>
      </c>
    </row>
    <row r="131" spans="1:2" x14ac:dyDescent="0.2">
      <c r="A131" s="563">
        <f>A126+7</f>
        <v>42549</v>
      </c>
      <c r="B131" s="562">
        <v>207489.37</v>
      </c>
    </row>
    <row r="132" spans="1:2" x14ac:dyDescent="0.2">
      <c r="A132" s="563">
        <f t="shared" ref="A132:A195" si="0">A127+7</f>
        <v>42550</v>
      </c>
      <c r="B132" s="562">
        <v>213757.9</v>
      </c>
    </row>
    <row r="133" spans="1:2" x14ac:dyDescent="0.2">
      <c r="A133" s="563">
        <f t="shared" si="0"/>
        <v>42551</v>
      </c>
      <c r="B133" s="562">
        <v>220332.56</v>
      </c>
    </row>
    <row r="134" spans="1:2" x14ac:dyDescent="0.2">
      <c r="A134" s="563">
        <f t="shared" si="0"/>
        <v>42552</v>
      </c>
      <c r="B134" s="562">
        <v>212813.84</v>
      </c>
    </row>
    <row r="135" spans="1:2" x14ac:dyDescent="0.2">
      <c r="A135" s="563">
        <f t="shared" si="0"/>
        <v>42555</v>
      </c>
      <c r="B135" s="562">
        <v>212814</v>
      </c>
    </row>
    <row r="136" spans="1:2" x14ac:dyDescent="0.2">
      <c r="A136" s="563">
        <f t="shared" si="0"/>
        <v>42556</v>
      </c>
      <c r="B136" s="562">
        <v>236539.45</v>
      </c>
    </row>
    <row r="137" spans="1:2" x14ac:dyDescent="0.2">
      <c r="A137" s="563">
        <f t="shared" si="0"/>
        <v>42557</v>
      </c>
      <c r="B137" s="562">
        <v>234224.42</v>
      </c>
    </row>
    <row r="138" spans="1:2" x14ac:dyDescent="0.2">
      <c r="A138" s="563">
        <f t="shared" si="0"/>
        <v>42558</v>
      </c>
      <c r="B138" s="562">
        <v>234132.08</v>
      </c>
    </row>
    <row r="139" spans="1:2" x14ac:dyDescent="0.2">
      <c r="A139" s="563">
        <f t="shared" si="0"/>
        <v>42559</v>
      </c>
      <c r="B139" s="562">
        <v>234132.08</v>
      </c>
    </row>
    <row r="140" spans="1:2" x14ac:dyDescent="0.2">
      <c r="A140" s="563">
        <f t="shared" si="0"/>
        <v>42562</v>
      </c>
      <c r="B140" s="562">
        <v>199890.85</v>
      </c>
    </row>
    <row r="141" spans="1:2" x14ac:dyDescent="0.2">
      <c r="A141" s="563">
        <f t="shared" si="0"/>
        <v>42563</v>
      </c>
      <c r="B141" s="562">
        <v>221114.27</v>
      </c>
    </row>
    <row r="142" spans="1:2" x14ac:dyDescent="0.2">
      <c r="A142" s="563">
        <f t="shared" si="0"/>
        <v>42564</v>
      </c>
      <c r="B142" s="562">
        <v>221114</v>
      </c>
    </row>
    <row r="143" spans="1:2" x14ac:dyDescent="0.2">
      <c r="A143" s="563">
        <f t="shared" si="0"/>
        <v>42565</v>
      </c>
      <c r="B143" s="562">
        <v>214752.25</v>
      </c>
    </row>
    <row r="144" spans="1:2" x14ac:dyDescent="0.2">
      <c r="A144" s="563">
        <f t="shared" si="0"/>
        <v>42566</v>
      </c>
      <c r="B144" s="562">
        <v>294578.96999999997</v>
      </c>
    </row>
    <row r="145" spans="1:2" x14ac:dyDescent="0.2">
      <c r="A145" s="563">
        <f t="shared" si="0"/>
        <v>42569</v>
      </c>
      <c r="B145" s="562">
        <v>294579</v>
      </c>
    </row>
    <row r="146" spans="1:2" x14ac:dyDescent="0.2">
      <c r="A146" s="563">
        <f t="shared" si="0"/>
        <v>42570</v>
      </c>
      <c r="B146" s="562">
        <v>294579</v>
      </c>
    </row>
    <row r="147" spans="1:2" x14ac:dyDescent="0.2">
      <c r="A147" s="563">
        <f t="shared" si="0"/>
        <v>42571</v>
      </c>
      <c r="B147" s="562">
        <v>328195.42</v>
      </c>
    </row>
    <row r="148" spans="1:2" x14ac:dyDescent="0.2">
      <c r="A148" s="563">
        <f t="shared" si="0"/>
        <v>42572</v>
      </c>
      <c r="B148" s="562">
        <v>407865.86</v>
      </c>
    </row>
    <row r="149" spans="1:2" x14ac:dyDescent="0.2">
      <c r="A149" s="563">
        <f t="shared" si="0"/>
        <v>42573</v>
      </c>
      <c r="B149" s="562">
        <v>409053.93</v>
      </c>
    </row>
    <row r="150" spans="1:2" x14ac:dyDescent="0.2">
      <c r="A150" s="563">
        <f t="shared" si="0"/>
        <v>42576</v>
      </c>
      <c r="B150" s="562">
        <v>372421.56</v>
      </c>
    </row>
    <row r="151" spans="1:2" x14ac:dyDescent="0.2">
      <c r="A151" s="563">
        <f t="shared" si="0"/>
        <v>42577</v>
      </c>
      <c r="B151" s="562">
        <v>375562.78</v>
      </c>
    </row>
    <row r="152" spans="1:2" x14ac:dyDescent="0.2">
      <c r="A152" s="563">
        <f t="shared" si="0"/>
        <v>42578</v>
      </c>
      <c r="B152" s="562">
        <v>375563</v>
      </c>
    </row>
    <row r="153" spans="1:2" x14ac:dyDescent="0.2">
      <c r="A153" s="563">
        <f t="shared" si="0"/>
        <v>42579</v>
      </c>
      <c r="B153" s="562">
        <v>366510.98</v>
      </c>
    </row>
    <row r="154" spans="1:2" x14ac:dyDescent="0.2">
      <c r="A154" s="563">
        <f t="shared" si="0"/>
        <v>42580</v>
      </c>
      <c r="B154" s="562">
        <v>366609.48</v>
      </c>
    </row>
    <row r="155" spans="1:2" x14ac:dyDescent="0.2">
      <c r="A155" s="563">
        <f t="shared" si="0"/>
        <v>42583</v>
      </c>
      <c r="B155" s="562">
        <v>382689.69</v>
      </c>
    </row>
    <row r="156" spans="1:2" x14ac:dyDescent="0.2">
      <c r="A156" s="563">
        <f t="shared" si="0"/>
        <v>42584</v>
      </c>
      <c r="B156" s="562">
        <v>382690</v>
      </c>
    </row>
    <row r="157" spans="1:2" x14ac:dyDescent="0.2">
      <c r="A157" s="563">
        <f t="shared" si="0"/>
        <v>42585</v>
      </c>
      <c r="B157" s="562">
        <v>387013.59</v>
      </c>
    </row>
    <row r="158" spans="1:2" x14ac:dyDescent="0.2">
      <c r="A158" s="563">
        <f t="shared" si="0"/>
        <v>42586</v>
      </c>
      <c r="B158" s="562">
        <v>382543.7</v>
      </c>
    </row>
    <row r="159" spans="1:2" x14ac:dyDescent="0.2">
      <c r="A159" s="563">
        <f t="shared" si="0"/>
        <v>42587</v>
      </c>
      <c r="B159" s="562">
        <v>382544</v>
      </c>
    </row>
    <row r="160" spans="1:2" x14ac:dyDescent="0.2">
      <c r="A160" s="563">
        <f t="shared" si="0"/>
        <v>42590</v>
      </c>
      <c r="B160" s="562">
        <v>344510.17</v>
      </c>
    </row>
    <row r="161" spans="1:2" x14ac:dyDescent="0.2">
      <c r="A161" s="563">
        <f t="shared" si="0"/>
        <v>42591</v>
      </c>
      <c r="B161" s="562">
        <v>350095.94</v>
      </c>
    </row>
    <row r="162" spans="1:2" x14ac:dyDescent="0.2">
      <c r="A162" s="563">
        <f t="shared" si="0"/>
        <v>42592</v>
      </c>
      <c r="B162" s="562">
        <v>350096</v>
      </c>
    </row>
    <row r="163" spans="1:2" x14ac:dyDescent="0.2">
      <c r="A163" s="563">
        <f t="shared" si="0"/>
        <v>42593</v>
      </c>
      <c r="B163" s="562">
        <v>355079.15</v>
      </c>
    </row>
    <row r="164" spans="1:2" x14ac:dyDescent="0.2">
      <c r="A164" s="563">
        <f t="shared" si="0"/>
        <v>42594</v>
      </c>
      <c r="B164" s="562">
        <v>356502.11</v>
      </c>
    </row>
    <row r="165" spans="1:2" x14ac:dyDescent="0.2">
      <c r="A165" s="563">
        <f t="shared" si="0"/>
        <v>42597</v>
      </c>
      <c r="B165" s="562">
        <v>408622.46</v>
      </c>
    </row>
    <row r="166" spans="1:2" x14ac:dyDescent="0.2">
      <c r="A166" s="563">
        <f t="shared" si="0"/>
        <v>42598</v>
      </c>
      <c r="B166" s="562">
        <v>408622</v>
      </c>
    </row>
    <row r="167" spans="1:2" x14ac:dyDescent="0.2">
      <c r="A167" s="563">
        <f t="shared" si="0"/>
        <v>42599</v>
      </c>
      <c r="B167" s="562">
        <v>408622</v>
      </c>
    </row>
    <row r="168" spans="1:2" x14ac:dyDescent="0.2">
      <c r="A168" s="563">
        <f t="shared" si="0"/>
        <v>42600</v>
      </c>
      <c r="B168" s="562">
        <v>409931.67</v>
      </c>
    </row>
    <row r="169" spans="1:2" x14ac:dyDescent="0.2">
      <c r="A169" s="563">
        <f t="shared" si="0"/>
        <v>42601</v>
      </c>
      <c r="B169" s="562">
        <v>410189.3</v>
      </c>
    </row>
    <row r="170" spans="1:2" x14ac:dyDescent="0.2">
      <c r="A170" s="563">
        <f t="shared" si="0"/>
        <v>42604</v>
      </c>
      <c r="B170" s="562">
        <v>370399.56</v>
      </c>
    </row>
    <row r="171" spans="1:2" x14ac:dyDescent="0.2">
      <c r="A171" s="563">
        <f t="shared" si="0"/>
        <v>42605</v>
      </c>
      <c r="B171" s="562">
        <v>370399.56</v>
      </c>
    </row>
    <row r="172" spans="1:2" x14ac:dyDescent="0.2">
      <c r="A172" s="563">
        <f t="shared" si="0"/>
        <v>42606</v>
      </c>
      <c r="B172" s="562">
        <v>370400</v>
      </c>
    </row>
    <row r="173" spans="1:2" x14ac:dyDescent="0.2">
      <c r="A173" s="563">
        <f t="shared" si="0"/>
        <v>42607</v>
      </c>
      <c r="B173" s="562">
        <v>359591.19</v>
      </c>
    </row>
    <row r="174" spans="1:2" x14ac:dyDescent="0.2">
      <c r="A174" s="563">
        <f t="shared" si="0"/>
        <v>42608</v>
      </c>
      <c r="B174" s="562">
        <v>399163.14</v>
      </c>
    </row>
    <row r="175" spans="1:2" x14ac:dyDescent="0.2">
      <c r="A175" s="563">
        <f t="shared" si="0"/>
        <v>42611</v>
      </c>
      <c r="B175" s="562">
        <v>407196.62</v>
      </c>
    </row>
    <row r="176" spans="1:2" x14ac:dyDescent="0.2">
      <c r="A176" s="563">
        <f t="shared" si="0"/>
        <v>42612</v>
      </c>
      <c r="B176" s="562">
        <v>422526.97</v>
      </c>
    </row>
    <row r="177" spans="1:5" x14ac:dyDescent="0.2">
      <c r="A177" s="563">
        <f t="shared" si="0"/>
        <v>42613</v>
      </c>
      <c r="B177" s="562">
        <v>479216.05</v>
      </c>
    </row>
    <row r="178" spans="1:5" x14ac:dyDescent="0.2">
      <c r="A178" s="563">
        <f t="shared" si="0"/>
        <v>42614</v>
      </c>
      <c r="B178" s="562">
        <v>479216</v>
      </c>
    </row>
    <row r="179" spans="1:5" x14ac:dyDescent="0.2">
      <c r="A179" s="563">
        <f t="shared" si="0"/>
        <v>42615</v>
      </c>
      <c r="B179" s="562">
        <v>479216</v>
      </c>
    </row>
    <row r="180" spans="1:5" x14ac:dyDescent="0.2">
      <c r="A180" s="563">
        <f t="shared" si="0"/>
        <v>42618</v>
      </c>
      <c r="B180" s="562">
        <v>479216</v>
      </c>
    </row>
    <row r="181" spans="1:5" x14ac:dyDescent="0.2">
      <c r="A181" s="563">
        <f t="shared" si="0"/>
        <v>42619</v>
      </c>
      <c r="B181" s="562">
        <v>440784.82</v>
      </c>
    </row>
    <row r="182" spans="1:5" x14ac:dyDescent="0.2">
      <c r="A182" s="563">
        <f t="shared" si="0"/>
        <v>42620</v>
      </c>
      <c r="B182" s="562">
        <v>440785</v>
      </c>
      <c r="D182" s="564"/>
      <c r="E182" s="565"/>
    </row>
    <row r="183" spans="1:5" x14ac:dyDescent="0.2">
      <c r="A183" s="563">
        <f t="shared" si="0"/>
        <v>42621</v>
      </c>
      <c r="B183" s="562">
        <v>445373.31</v>
      </c>
    </row>
    <row r="184" spans="1:5" x14ac:dyDescent="0.2">
      <c r="A184" s="563">
        <f t="shared" si="0"/>
        <v>42622</v>
      </c>
      <c r="B184" s="562">
        <v>463896.46</v>
      </c>
      <c r="D184" s="564"/>
      <c r="E184" s="565"/>
    </row>
    <row r="185" spans="1:5" x14ac:dyDescent="0.2">
      <c r="A185" s="563">
        <f t="shared" si="0"/>
        <v>42625</v>
      </c>
      <c r="B185" s="562">
        <v>463296.46</v>
      </c>
      <c r="D185" s="564"/>
      <c r="E185" s="565"/>
    </row>
    <row r="186" spans="1:5" x14ac:dyDescent="0.2">
      <c r="A186" s="563">
        <f t="shared" si="0"/>
        <v>42626</v>
      </c>
      <c r="B186" s="562">
        <v>465024.54</v>
      </c>
      <c r="D186" s="564"/>
      <c r="E186" s="565"/>
    </row>
    <row r="187" spans="1:5" x14ac:dyDescent="0.2">
      <c r="A187" s="563">
        <f t="shared" si="0"/>
        <v>42627</v>
      </c>
      <c r="B187" s="562">
        <v>465025</v>
      </c>
      <c r="D187" s="564"/>
      <c r="E187" s="565"/>
    </row>
    <row r="188" spans="1:5" x14ac:dyDescent="0.2">
      <c r="A188" s="563">
        <f t="shared" si="0"/>
        <v>42628</v>
      </c>
      <c r="B188" s="562">
        <v>447444.34</v>
      </c>
      <c r="D188" s="564"/>
      <c r="E188" s="565"/>
    </row>
    <row r="189" spans="1:5" x14ac:dyDescent="0.2">
      <c r="A189" s="563">
        <f t="shared" si="0"/>
        <v>42629</v>
      </c>
      <c r="B189" s="562">
        <v>451135.42</v>
      </c>
      <c r="D189" s="564"/>
      <c r="E189" s="565"/>
    </row>
    <row r="190" spans="1:5" x14ac:dyDescent="0.2">
      <c r="A190" s="563">
        <f t="shared" si="0"/>
        <v>42632</v>
      </c>
      <c r="B190" s="562">
        <v>413924.51</v>
      </c>
      <c r="D190" s="564"/>
      <c r="E190" s="565"/>
    </row>
    <row r="191" spans="1:5" x14ac:dyDescent="0.2">
      <c r="A191" s="563">
        <f t="shared" si="0"/>
        <v>42633</v>
      </c>
      <c r="B191" s="562">
        <v>395080.96000000002</v>
      </c>
      <c r="D191" s="564"/>
      <c r="E191" s="565"/>
    </row>
    <row r="192" spans="1:5" x14ac:dyDescent="0.2">
      <c r="A192" s="563">
        <f t="shared" si="0"/>
        <v>42634</v>
      </c>
      <c r="B192" s="562">
        <v>393852.1</v>
      </c>
      <c r="D192" s="564"/>
      <c r="E192" s="565"/>
    </row>
    <row r="193" spans="1:5" x14ac:dyDescent="0.2">
      <c r="A193" s="563">
        <f t="shared" si="0"/>
        <v>42635</v>
      </c>
      <c r="B193" s="562">
        <v>397757.18</v>
      </c>
      <c r="D193" s="564"/>
      <c r="E193" s="565"/>
    </row>
    <row r="194" spans="1:5" x14ac:dyDescent="0.2">
      <c r="A194" s="563">
        <f t="shared" si="0"/>
        <v>42636</v>
      </c>
      <c r="B194" s="562">
        <v>397757</v>
      </c>
      <c r="D194" s="564"/>
      <c r="E194" s="565"/>
    </row>
    <row r="195" spans="1:5" x14ac:dyDescent="0.2">
      <c r="A195" s="563">
        <f t="shared" si="0"/>
        <v>42639</v>
      </c>
      <c r="B195" s="562">
        <v>397757</v>
      </c>
      <c r="D195" s="564"/>
      <c r="E195" s="565"/>
    </row>
    <row r="196" spans="1:5" x14ac:dyDescent="0.2">
      <c r="A196" s="563">
        <f t="shared" ref="A196:A259" si="1">A191+7</f>
        <v>42640</v>
      </c>
      <c r="B196" s="562">
        <v>403105.59</v>
      </c>
      <c r="D196" s="564"/>
      <c r="E196" s="565"/>
    </row>
    <row r="197" spans="1:5" x14ac:dyDescent="0.2">
      <c r="A197" s="563">
        <f t="shared" si="1"/>
        <v>42641</v>
      </c>
      <c r="B197" s="562">
        <v>394170.51</v>
      </c>
      <c r="D197" s="564"/>
      <c r="E197" s="565"/>
    </row>
    <row r="198" spans="1:5" x14ac:dyDescent="0.2">
      <c r="A198" s="563">
        <f t="shared" si="1"/>
        <v>42642</v>
      </c>
      <c r="B198" s="562">
        <v>397917.56</v>
      </c>
      <c r="D198" s="564"/>
      <c r="E198" s="565"/>
    </row>
    <row r="199" spans="1:5" x14ac:dyDescent="0.2">
      <c r="A199" s="563">
        <f t="shared" si="1"/>
        <v>42643</v>
      </c>
      <c r="B199" s="562">
        <v>397918</v>
      </c>
      <c r="D199" s="564"/>
      <c r="E199" s="565"/>
    </row>
    <row r="200" spans="1:5" x14ac:dyDescent="0.2">
      <c r="A200" s="563">
        <f t="shared" si="1"/>
        <v>42646</v>
      </c>
      <c r="B200" s="562">
        <v>361701.8</v>
      </c>
      <c r="D200" s="564"/>
      <c r="E200" s="565"/>
    </row>
    <row r="201" spans="1:5" x14ac:dyDescent="0.2">
      <c r="A201" s="563">
        <f t="shared" si="1"/>
        <v>42647</v>
      </c>
      <c r="B201" s="562">
        <v>362031.95</v>
      </c>
      <c r="D201" s="564"/>
      <c r="E201" s="565"/>
    </row>
    <row r="202" spans="1:5" x14ac:dyDescent="0.2">
      <c r="A202" s="563">
        <f t="shared" si="1"/>
        <v>42648</v>
      </c>
      <c r="B202" s="562">
        <v>362032</v>
      </c>
    </row>
    <row r="203" spans="1:5" x14ac:dyDescent="0.2">
      <c r="A203" s="563">
        <f t="shared" si="1"/>
        <v>42649</v>
      </c>
      <c r="B203" s="562">
        <v>360433.13</v>
      </c>
    </row>
    <row r="204" spans="1:5" x14ac:dyDescent="0.2">
      <c r="A204" s="563">
        <f t="shared" si="1"/>
        <v>42650</v>
      </c>
      <c r="B204" s="562">
        <v>361754.66</v>
      </c>
    </row>
    <row r="205" spans="1:5" x14ac:dyDescent="0.2">
      <c r="A205" s="563">
        <f t="shared" si="1"/>
        <v>42653</v>
      </c>
      <c r="B205" s="562">
        <v>361755</v>
      </c>
    </row>
    <row r="206" spans="1:5" x14ac:dyDescent="0.2">
      <c r="A206" s="563">
        <f t="shared" si="1"/>
        <v>42654</v>
      </c>
      <c r="B206" s="562">
        <v>361755</v>
      </c>
    </row>
    <row r="207" spans="1:5" x14ac:dyDescent="0.2">
      <c r="A207" s="563">
        <f t="shared" si="1"/>
        <v>42655</v>
      </c>
      <c r="B207" s="562">
        <v>365429.62</v>
      </c>
    </row>
    <row r="208" spans="1:5" x14ac:dyDescent="0.2">
      <c r="A208" s="563">
        <f t="shared" si="1"/>
        <v>42656</v>
      </c>
      <c r="B208" s="562">
        <v>375400.83</v>
      </c>
    </row>
    <row r="209" spans="1:2" x14ac:dyDescent="0.2">
      <c r="A209" s="563">
        <f t="shared" si="1"/>
        <v>42657</v>
      </c>
      <c r="B209" s="562">
        <v>375484.03</v>
      </c>
    </row>
    <row r="210" spans="1:2" x14ac:dyDescent="0.2">
      <c r="A210" s="563">
        <f t="shared" si="1"/>
        <v>42660</v>
      </c>
      <c r="B210" s="562">
        <v>339702.96</v>
      </c>
    </row>
    <row r="211" spans="1:2" x14ac:dyDescent="0.2">
      <c r="A211" s="563">
        <f t="shared" si="1"/>
        <v>42661</v>
      </c>
      <c r="B211" s="562">
        <v>343741.39</v>
      </c>
    </row>
    <row r="212" spans="1:2" x14ac:dyDescent="0.2">
      <c r="A212" s="563">
        <f t="shared" si="1"/>
        <v>42662</v>
      </c>
      <c r="B212" s="562">
        <v>343741</v>
      </c>
    </row>
    <row r="213" spans="1:2" x14ac:dyDescent="0.2">
      <c r="A213" s="563">
        <f t="shared" si="1"/>
        <v>42663</v>
      </c>
      <c r="B213" s="562">
        <v>332267.31</v>
      </c>
    </row>
    <row r="214" spans="1:2" x14ac:dyDescent="0.2">
      <c r="A214" s="563">
        <f t="shared" si="1"/>
        <v>42664</v>
      </c>
      <c r="B214" s="562">
        <v>332482.06</v>
      </c>
    </row>
    <row r="215" spans="1:2" x14ac:dyDescent="0.2">
      <c r="A215" s="563">
        <f t="shared" si="1"/>
        <v>42667</v>
      </c>
      <c r="B215" s="562">
        <v>332482</v>
      </c>
    </row>
    <row r="216" spans="1:2" x14ac:dyDescent="0.2">
      <c r="A216" s="563">
        <f t="shared" si="1"/>
        <v>42668</v>
      </c>
      <c r="B216" s="562">
        <v>337085.39</v>
      </c>
    </row>
    <row r="217" spans="1:2" x14ac:dyDescent="0.2">
      <c r="A217" s="563">
        <f t="shared" si="1"/>
        <v>42669</v>
      </c>
      <c r="B217" s="562">
        <v>337085</v>
      </c>
    </row>
    <row r="218" spans="1:2" x14ac:dyDescent="0.2">
      <c r="A218" s="563">
        <f t="shared" si="1"/>
        <v>42670</v>
      </c>
      <c r="B218" s="562">
        <v>333113.26</v>
      </c>
    </row>
    <row r="219" spans="1:2" x14ac:dyDescent="0.2">
      <c r="A219" s="563">
        <f t="shared" si="1"/>
        <v>42671</v>
      </c>
      <c r="B219" s="562">
        <v>360993.03</v>
      </c>
    </row>
    <row r="220" spans="1:2" x14ac:dyDescent="0.2">
      <c r="A220" s="563">
        <f t="shared" si="1"/>
        <v>42674</v>
      </c>
      <c r="B220" s="562">
        <v>350567.25</v>
      </c>
    </row>
    <row r="221" spans="1:2" x14ac:dyDescent="0.2">
      <c r="A221" s="563">
        <f t="shared" si="1"/>
        <v>42675</v>
      </c>
      <c r="B221" s="562">
        <v>350939.21</v>
      </c>
    </row>
    <row r="222" spans="1:2" x14ac:dyDescent="0.2">
      <c r="A222" s="563">
        <f t="shared" si="1"/>
        <v>42676</v>
      </c>
      <c r="B222" s="562">
        <v>350939</v>
      </c>
    </row>
    <row r="223" spans="1:2" x14ac:dyDescent="0.2">
      <c r="A223" s="563">
        <f t="shared" si="1"/>
        <v>42677</v>
      </c>
      <c r="B223" s="562">
        <v>344148.64</v>
      </c>
    </row>
    <row r="224" spans="1:2" x14ac:dyDescent="0.2">
      <c r="A224" s="563">
        <f t="shared" si="1"/>
        <v>42678</v>
      </c>
      <c r="B224" s="562">
        <v>399084.27</v>
      </c>
    </row>
    <row r="225" spans="1:2" x14ac:dyDescent="0.2">
      <c r="A225" s="563">
        <f t="shared" si="1"/>
        <v>42681</v>
      </c>
      <c r="B225" s="562">
        <v>399084</v>
      </c>
    </row>
    <row r="226" spans="1:2" x14ac:dyDescent="0.2">
      <c r="A226" s="563">
        <f t="shared" si="1"/>
        <v>42682</v>
      </c>
      <c r="B226" s="562">
        <v>403667.29</v>
      </c>
    </row>
    <row r="227" spans="1:2" x14ac:dyDescent="0.2">
      <c r="A227" s="563">
        <f t="shared" si="1"/>
        <v>42683</v>
      </c>
      <c r="B227" s="562">
        <v>403667</v>
      </c>
    </row>
    <row r="228" spans="1:2" x14ac:dyDescent="0.2">
      <c r="A228" s="563">
        <f t="shared" si="1"/>
        <v>42684</v>
      </c>
      <c r="B228" s="562">
        <v>383477.25</v>
      </c>
    </row>
    <row r="229" spans="1:2" x14ac:dyDescent="0.2">
      <c r="A229" s="563">
        <f t="shared" si="1"/>
        <v>42685</v>
      </c>
      <c r="B229" s="562">
        <v>383477</v>
      </c>
    </row>
    <row r="230" spans="1:2" x14ac:dyDescent="0.2">
      <c r="A230" s="563">
        <f t="shared" si="1"/>
        <v>42688</v>
      </c>
      <c r="B230" s="562">
        <v>347717.6</v>
      </c>
    </row>
    <row r="231" spans="1:2" x14ac:dyDescent="0.2">
      <c r="A231" s="563">
        <f t="shared" si="1"/>
        <v>42689</v>
      </c>
      <c r="B231" s="562">
        <v>347836.75</v>
      </c>
    </row>
    <row r="232" spans="1:2" x14ac:dyDescent="0.2">
      <c r="A232" s="563">
        <f t="shared" si="1"/>
        <v>42690</v>
      </c>
      <c r="B232" s="562">
        <v>347836.75</v>
      </c>
    </row>
    <row r="233" spans="1:2" x14ac:dyDescent="0.2">
      <c r="A233" s="563">
        <f t="shared" si="1"/>
        <v>42691</v>
      </c>
      <c r="B233" s="562">
        <v>350935.56</v>
      </c>
    </row>
    <row r="234" spans="1:2" x14ac:dyDescent="0.2">
      <c r="A234" s="563">
        <f t="shared" si="1"/>
        <v>42692</v>
      </c>
      <c r="B234" s="562">
        <v>350936</v>
      </c>
    </row>
    <row r="235" spans="1:2" x14ac:dyDescent="0.2">
      <c r="A235" s="563">
        <f t="shared" si="1"/>
        <v>42695</v>
      </c>
      <c r="B235" s="562">
        <v>350936</v>
      </c>
    </row>
    <row r="236" spans="1:2" x14ac:dyDescent="0.2">
      <c r="A236" s="563">
        <f t="shared" si="1"/>
        <v>42696</v>
      </c>
      <c r="B236" s="562">
        <v>351588.06</v>
      </c>
    </row>
    <row r="237" spans="1:2" x14ac:dyDescent="0.2">
      <c r="A237" s="563">
        <f t="shared" si="1"/>
        <v>42697</v>
      </c>
      <c r="B237" s="562">
        <v>349477.96</v>
      </c>
    </row>
    <row r="238" spans="1:2" x14ac:dyDescent="0.2">
      <c r="A238" s="563">
        <f t="shared" si="1"/>
        <v>42698</v>
      </c>
      <c r="B238" s="562">
        <v>349478</v>
      </c>
    </row>
    <row r="239" spans="1:2" x14ac:dyDescent="0.2">
      <c r="A239" s="563">
        <f t="shared" si="1"/>
        <v>42699</v>
      </c>
      <c r="B239" s="562">
        <v>368170.66</v>
      </c>
    </row>
    <row r="240" spans="1:2" x14ac:dyDescent="0.2">
      <c r="A240" s="563">
        <f t="shared" si="1"/>
        <v>42702</v>
      </c>
      <c r="B240" s="562">
        <v>368170.66</v>
      </c>
    </row>
    <row r="241" spans="1:2" x14ac:dyDescent="0.2">
      <c r="A241" s="563">
        <f t="shared" si="1"/>
        <v>42703</v>
      </c>
      <c r="B241" s="562">
        <v>328902.64</v>
      </c>
    </row>
    <row r="242" spans="1:2" x14ac:dyDescent="0.2">
      <c r="A242" s="563">
        <f t="shared" si="1"/>
        <v>42704</v>
      </c>
      <c r="B242" s="562">
        <v>338455.85</v>
      </c>
    </row>
    <row r="243" spans="1:2" x14ac:dyDescent="0.2">
      <c r="A243" s="563">
        <f t="shared" si="1"/>
        <v>42705</v>
      </c>
      <c r="B243" s="562">
        <v>336997.18</v>
      </c>
    </row>
    <row r="244" spans="1:2" x14ac:dyDescent="0.2">
      <c r="A244" s="563">
        <f t="shared" si="1"/>
        <v>42706</v>
      </c>
      <c r="B244" s="562">
        <v>342825.59</v>
      </c>
    </row>
    <row r="245" spans="1:2" x14ac:dyDescent="0.2">
      <c r="A245" s="563">
        <f t="shared" si="1"/>
        <v>42709</v>
      </c>
      <c r="B245" s="562">
        <v>342826</v>
      </c>
    </row>
    <row r="246" spans="1:2" x14ac:dyDescent="0.2">
      <c r="A246" s="563">
        <f t="shared" si="1"/>
        <v>42710</v>
      </c>
      <c r="B246" s="562">
        <v>344457.81</v>
      </c>
    </row>
    <row r="247" spans="1:2" x14ac:dyDescent="0.2">
      <c r="A247" s="563">
        <f t="shared" si="1"/>
        <v>42711</v>
      </c>
      <c r="B247" s="562">
        <v>366772.64</v>
      </c>
    </row>
    <row r="248" spans="1:2" x14ac:dyDescent="0.2">
      <c r="A248" s="563">
        <f t="shared" si="1"/>
        <v>42712</v>
      </c>
      <c r="B248" s="562">
        <v>366772.6</v>
      </c>
    </row>
    <row r="249" spans="1:2" x14ac:dyDescent="0.2">
      <c r="A249" s="563">
        <f t="shared" si="1"/>
        <v>42713</v>
      </c>
      <c r="B249" s="562">
        <v>366773</v>
      </c>
    </row>
    <row r="250" spans="1:2" x14ac:dyDescent="0.2">
      <c r="A250" s="563">
        <f t="shared" si="1"/>
        <v>42716</v>
      </c>
      <c r="B250" s="562">
        <v>366773</v>
      </c>
    </row>
    <row r="251" spans="1:2" x14ac:dyDescent="0.2">
      <c r="A251" s="563">
        <f t="shared" si="1"/>
        <v>42717</v>
      </c>
      <c r="B251" s="562">
        <v>346535.44</v>
      </c>
    </row>
    <row r="252" spans="1:2" x14ac:dyDescent="0.2">
      <c r="A252" s="563">
        <f t="shared" si="1"/>
        <v>42718</v>
      </c>
      <c r="B252" s="562">
        <v>346535</v>
      </c>
    </row>
    <row r="253" spans="1:2" x14ac:dyDescent="0.2">
      <c r="A253" s="563">
        <f t="shared" si="1"/>
        <v>42719</v>
      </c>
      <c r="B253" s="562">
        <v>335522.11</v>
      </c>
    </row>
    <row r="254" spans="1:2" x14ac:dyDescent="0.2">
      <c r="A254" s="563">
        <f t="shared" si="1"/>
        <v>42720</v>
      </c>
      <c r="B254" s="562">
        <v>335675.99</v>
      </c>
    </row>
    <row r="255" spans="1:2" x14ac:dyDescent="0.2">
      <c r="A255" s="563">
        <f t="shared" si="1"/>
        <v>42723</v>
      </c>
      <c r="B255" s="562">
        <v>357268.43</v>
      </c>
    </row>
    <row r="256" spans="1:2" x14ac:dyDescent="0.2">
      <c r="A256" s="563">
        <f t="shared" si="1"/>
        <v>42724</v>
      </c>
      <c r="B256" s="562">
        <v>357268</v>
      </c>
    </row>
    <row r="257" spans="1:2" x14ac:dyDescent="0.2">
      <c r="A257" s="563">
        <f t="shared" si="1"/>
        <v>42725</v>
      </c>
      <c r="B257" s="562">
        <v>366192.91</v>
      </c>
    </row>
    <row r="258" spans="1:2" x14ac:dyDescent="0.2">
      <c r="A258" s="563">
        <f t="shared" si="1"/>
        <v>42726</v>
      </c>
      <c r="B258" s="562">
        <v>377001.67</v>
      </c>
    </row>
    <row r="259" spans="1:2" x14ac:dyDescent="0.2">
      <c r="A259" s="563">
        <f t="shared" si="1"/>
        <v>42727</v>
      </c>
      <c r="B259" s="562">
        <v>377329.67</v>
      </c>
    </row>
    <row r="260" spans="1:2" x14ac:dyDescent="0.2">
      <c r="A260" s="563">
        <f t="shared" ref="A260:A264" si="2">A255+7</f>
        <v>42730</v>
      </c>
      <c r="B260" s="562">
        <v>377330</v>
      </c>
    </row>
    <row r="261" spans="1:2" x14ac:dyDescent="0.2">
      <c r="A261" s="563">
        <f t="shared" si="2"/>
        <v>42731</v>
      </c>
      <c r="B261" s="562">
        <v>339782.53</v>
      </c>
    </row>
    <row r="262" spans="1:2" x14ac:dyDescent="0.2">
      <c r="A262" s="563">
        <f t="shared" si="2"/>
        <v>42732</v>
      </c>
      <c r="B262" s="562">
        <v>339783</v>
      </c>
    </row>
    <row r="263" spans="1:2" x14ac:dyDescent="0.2">
      <c r="A263" s="563">
        <f t="shared" si="2"/>
        <v>42733</v>
      </c>
      <c r="B263" s="562">
        <v>337987.77</v>
      </c>
    </row>
    <row r="264" spans="1:2" x14ac:dyDescent="0.2">
      <c r="A264" s="563">
        <f t="shared" si="2"/>
        <v>42734</v>
      </c>
      <c r="B264" s="562">
        <v>354814.33</v>
      </c>
    </row>
    <row r="265" spans="1:2" x14ac:dyDescent="0.2">
      <c r="A265" s="588">
        <v>42737</v>
      </c>
      <c r="B265" s="589">
        <v>354814</v>
      </c>
    </row>
    <row r="266" spans="1:2" x14ac:dyDescent="0.2">
      <c r="A266" s="588">
        <v>42738</v>
      </c>
      <c r="B266" s="589">
        <v>361866.86</v>
      </c>
    </row>
    <row r="267" spans="1:2" x14ac:dyDescent="0.2">
      <c r="A267" s="588">
        <v>42739</v>
      </c>
      <c r="B267" s="589">
        <v>363519.32</v>
      </c>
    </row>
    <row r="268" spans="1:2" x14ac:dyDescent="0.2">
      <c r="A268" s="588">
        <v>42740</v>
      </c>
      <c r="B268" s="589">
        <v>361866.66</v>
      </c>
    </row>
    <row r="269" spans="1:2" x14ac:dyDescent="0.2">
      <c r="A269" s="588">
        <v>42741</v>
      </c>
      <c r="B269" s="589">
        <v>363519</v>
      </c>
    </row>
    <row r="270" spans="1:2" x14ac:dyDescent="0.2">
      <c r="A270" s="588">
        <v>42744</v>
      </c>
      <c r="B270" s="589">
        <v>363543.47</v>
      </c>
    </row>
    <row r="271" spans="1:2" x14ac:dyDescent="0.2">
      <c r="A271" s="588">
        <v>42745</v>
      </c>
      <c r="B271" s="589">
        <v>328707.83</v>
      </c>
    </row>
    <row r="272" spans="1:2" x14ac:dyDescent="0.2">
      <c r="A272" s="588">
        <v>42746</v>
      </c>
      <c r="B272" s="589">
        <v>328708</v>
      </c>
    </row>
    <row r="273" spans="1:2" x14ac:dyDescent="0.2">
      <c r="A273" s="588">
        <v>42747</v>
      </c>
      <c r="B273" s="589">
        <v>321086.01</v>
      </c>
    </row>
    <row r="274" spans="1:2" x14ac:dyDescent="0.2">
      <c r="A274" s="588">
        <v>42748</v>
      </c>
      <c r="B274" s="589">
        <v>334097.28000000003</v>
      </c>
    </row>
    <row r="275" spans="1:2" x14ac:dyDescent="0.2">
      <c r="A275" s="588">
        <v>42751</v>
      </c>
      <c r="B275" s="589">
        <v>334097</v>
      </c>
    </row>
    <row r="276" spans="1:2" x14ac:dyDescent="0.2">
      <c r="A276" s="588">
        <v>42752</v>
      </c>
      <c r="B276" s="589">
        <v>268850.96000000002</v>
      </c>
    </row>
    <row r="277" spans="1:2" x14ac:dyDescent="0.2">
      <c r="A277" s="588">
        <v>42753</v>
      </c>
      <c r="B277" s="589">
        <v>268851</v>
      </c>
    </row>
    <row r="278" spans="1:2" x14ac:dyDescent="0.2">
      <c r="A278" s="588">
        <v>42754</v>
      </c>
      <c r="B278" s="589">
        <v>269075.21000000002</v>
      </c>
    </row>
    <row r="279" spans="1:2" x14ac:dyDescent="0.2">
      <c r="A279" s="588">
        <v>42755</v>
      </c>
      <c r="B279" s="589">
        <v>270983.21000000002</v>
      </c>
    </row>
    <row r="280" spans="1:2" x14ac:dyDescent="0.2">
      <c r="A280" s="588">
        <v>42758</v>
      </c>
      <c r="B280" s="589">
        <v>270983</v>
      </c>
    </row>
    <row r="281" spans="1:2" x14ac:dyDescent="0.2">
      <c r="A281" s="588">
        <v>42759</v>
      </c>
      <c r="B281" s="589">
        <v>270723.98</v>
      </c>
    </row>
    <row r="282" spans="1:2" x14ac:dyDescent="0.2">
      <c r="A282" s="588">
        <v>42760</v>
      </c>
      <c r="B282" s="589">
        <v>281353.09999999998</v>
      </c>
    </row>
    <row r="283" spans="1:2" x14ac:dyDescent="0.2">
      <c r="A283" s="588">
        <v>42761</v>
      </c>
      <c r="B283" s="589">
        <v>274313.84999999998</v>
      </c>
    </row>
    <row r="284" spans="1:2" x14ac:dyDescent="0.2">
      <c r="A284" s="588">
        <v>42762</v>
      </c>
      <c r="B284" s="589">
        <v>296447.59999999998</v>
      </c>
    </row>
    <row r="285" spans="1:2" x14ac:dyDescent="0.2">
      <c r="A285" s="588">
        <v>42765</v>
      </c>
      <c r="B285" s="589">
        <v>295107.96000000002</v>
      </c>
    </row>
    <row r="286" spans="1:2" x14ac:dyDescent="0.2">
      <c r="A286" s="588">
        <v>42766</v>
      </c>
      <c r="B286" s="589">
        <v>314030.53000000003</v>
      </c>
    </row>
    <row r="287" spans="1:2" x14ac:dyDescent="0.2">
      <c r="A287" s="588">
        <v>42767</v>
      </c>
      <c r="B287" s="589">
        <v>314031</v>
      </c>
    </row>
    <row r="288" spans="1:2" x14ac:dyDescent="0.2">
      <c r="A288" s="588">
        <v>42768</v>
      </c>
      <c r="B288" s="589">
        <v>312808.53999999998</v>
      </c>
    </row>
    <row r="289" spans="1:2" x14ac:dyDescent="0.2">
      <c r="A289" s="588">
        <v>42769</v>
      </c>
      <c r="B289" s="589">
        <v>316461.53999999998</v>
      </c>
    </row>
    <row r="290" spans="1:2" x14ac:dyDescent="0.2">
      <c r="A290" s="588">
        <v>42772</v>
      </c>
      <c r="B290" s="589">
        <v>316462</v>
      </c>
    </row>
    <row r="291" spans="1:2" x14ac:dyDescent="0.2">
      <c r="A291" s="588">
        <v>42773</v>
      </c>
      <c r="B291" s="589">
        <v>289560.21999999997</v>
      </c>
    </row>
    <row r="292" spans="1:2" x14ac:dyDescent="0.2">
      <c r="A292" s="588">
        <v>42774</v>
      </c>
      <c r="B292" s="589">
        <v>297310.21999999997</v>
      </c>
    </row>
    <row r="293" spans="1:2" x14ac:dyDescent="0.2">
      <c r="A293" s="588">
        <v>42775</v>
      </c>
      <c r="B293" s="589">
        <v>352433.91</v>
      </c>
    </row>
    <row r="294" spans="1:2" x14ac:dyDescent="0.2">
      <c r="A294" s="588">
        <v>42776</v>
      </c>
      <c r="B294" s="589">
        <v>352434</v>
      </c>
    </row>
    <row r="295" spans="1:2" x14ac:dyDescent="0.2">
      <c r="A295" s="588">
        <v>42779</v>
      </c>
      <c r="B295" s="589">
        <v>352434</v>
      </c>
    </row>
    <row r="296" spans="1:2" x14ac:dyDescent="0.2">
      <c r="A296" s="588">
        <v>42780</v>
      </c>
      <c r="B296" s="589">
        <v>352434</v>
      </c>
    </row>
    <row r="297" spans="1:2" x14ac:dyDescent="0.2">
      <c r="A297" s="588">
        <v>42781</v>
      </c>
      <c r="B297" s="589">
        <v>352542.46</v>
      </c>
    </row>
    <row r="298" spans="1:2" x14ac:dyDescent="0.2">
      <c r="A298" s="588">
        <v>42782</v>
      </c>
      <c r="B298" s="589">
        <v>383231.99</v>
      </c>
    </row>
    <row r="299" spans="1:2" x14ac:dyDescent="0.2">
      <c r="A299" s="588">
        <v>42783</v>
      </c>
      <c r="B299" s="629">
        <v>404679.36</v>
      </c>
    </row>
    <row r="300" spans="1:2" x14ac:dyDescent="0.2">
      <c r="A300" s="588">
        <v>42785</v>
      </c>
      <c r="B300" s="589">
        <v>404679</v>
      </c>
    </row>
    <row r="301" spans="1:2" x14ac:dyDescent="0.2">
      <c r="A301" s="588">
        <v>42787</v>
      </c>
      <c r="B301" s="589">
        <v>368703.72</v>
      </c>
    </row>
    <row r="302" spans="1:2" x14ac:dyDescent="0.2">
      <c r="A302" s="588">
        <v>42788</v>
      </c>
      <c r="B302" s="589">
        <v>368203.72</v>
      </c>
    </row>
    <row r="303" spans="1:2" x14ac:dyDescent="0.2">
      <c r="A303" s="588">
        <v>42789</v>
      </c>
      <c r="B303" s="589">
        <v>349211.92</v>
      </c>
    </row>
    <row r="304" spans="1:2" x14ac:dyDescent="0.2">
      <c r="A304" s="588">
        <v>42790</v>
      </c>
      <c r="B304" s="589">
        <v>384176.45</v>
      </c>
    </row>
    <row r="305" spans="1:2" x14ac:dyDescent="0.2">
      <c r="A305" s="588">
        <v>42793</v>
      </c>
      <c r="B305" s="589">
        <v>384176</v>
      </c>
    </row>
    <row r="306" spans="1:2" x14ac:dyDescent="0.2">
      <c r="A306" s="588">
        <v>42794</v>
      </c>
      <c r="B306" s="589">
        <v>384176</v>
      </c>
    </row>
    <row r="307" spans="1:2" x14ac:dyDescent="0.2">
      <c r="A307" s="588">
        <v>42795</v>
      </c>
      <c r="B307" s="589">
        <v>384176</v>
      </c>
    </row>
    <row r="308" spans="1:2" x14ac:dyDescent="0.2">
      <c r="A308" s="588">
        <v>42796</v>
      </c>
      <c r="B308" s="589">
        <v>395396.43</v>
      </c>
    </row>
    <row r="309" spans="1:2" x14ac:dyDescent="0.2">
      <c r="A309" s="588">
        <v>42797</v>
      </c>
      <c r="B309" s="589">
        <v>395396</v>
      </c>
    </row>
    <row r="310" spans="1:2" x14ac:dyDescent="0.2">
      <c r="A310" s="588">
        <v>42800</v>
      </c>
      <c r="B310" s="589">
        <v>395396</v>
      </c>
    </row>
    <row r="311" spans="1:2" x14ac:dyDescent="0.2">
      <c r="A311" s="588">
        <v>42801</v>
      </c>
      <c r="B311" s="589">
        <v>361856.47</v>
      </c>
    </row>
    <row r="312" spans="1:2" x14ac:dyDescent="0.2">
      <c r="A312" s="588">
        <v>42802</v>
      </c>
      <c r="B312" s="589">
        <v>361856</v>
      </c>
    </row>
    <row r="313" spans="1:2" x14ac:dyDescent="0.2">
      <c r="A313" s="588">
        <v>42803</v>
      </c>
      <c r="B313" s="589">
        <v>349877.16</v>
      </c>
    </row>
    <row r="314" spans="1:2" x14ac:dyDescent="0.2">
      <c r="A314" s="588">
        <v>42804</v>
      </c>
      <c r="B314" s="589">
        <v>359297.81</v>
      </c>
    </row>
    <row r="315" spans="1:2" x14ac:dyDescent="0.2">
      <c r="A315" s="588">
        <v>42807</v>
      </c>
      <c r="B315" s="589">
        <v>361678.91</v>
      </c>
    </row>
    <row r="316" spans="1:2" x14ac:dyDescent="0.2">
      <c r="A316" s="588">
        <v>42808</v>
      </c>
      <c r="B316" s="589">
        <v>361679</v>
      </c>
    </row>
    <row r="317" spans="1:2" x14ac:dyDescent="0.2">
      <c r="A317" s="588">
        <v>42809</v>
      </c>
      <c r="B317" s="589">
        <v>370843.37</v>
      </c>
    </row>
    <row r="318" spans="1:2" x14ac:dyDescent="0.2">
      <c r="A318" s="588">
        <v>42810</v>
      </c>
      <c r="B318" s="589">
        <v>377566.07</v>
      </c>
    </row>
    <row r="319" spans="1:2" x14ac:dyDescent="0.2">
      <c r="A319" s="588">
        <v>42811</v>
      </c>
      <c r="B319" s="589">
        <v>370373.97</v>
      </c>
    </row>
    <row r="320" spans="1:2" x14ac:dyDescent="0.2">
      <c r="A320" s="588">
        <v>42814</v>
      </c>
      <c r="B320" s="589">
        <v>338340.3</v>
      </c>
    </row>
    <row r="321" spans="1:2" x14ac:dyDescent="0.2">
      <c r="A321" s="588">
        <v>42815</v>
      </c>
      <c r="B321" s="589">
        <v>338340</v>
      </c>
    </row>
    <row r="322" spans="1:2" x14ac:dyDescent="0.2">
      <c r="A322" s="588">
        <v>42816</v>
      </c>
      <c r="B322" s="589">
        <v>338340</v>
      </c>
    </row>
    <row r="323" spans="1:2" x14ac:dyDescent="0.2">
      <c r="A323" s="588">
        <v>42817</v>
      </c>
      <c r="B323" s="589">
        <f>25944.71+322493.66</f>
        <v>348438.37</v>
      </c>
    </row>
    <row r="324" spans="1:2" x14ac:dyDescent="0.2">
      <c r="A324" s="588">
        <v>42818</v>
      </c>
      <c r="B324" s="589">
        <v>348438</v>
      </c>
    </row>
    <row r="325" spans="1:2" x14ac:dyDescent="0.2">
      <c r="A325" s="588">
        <v>42821</v>
      </c>
      <c r="B325" s="589">
        <v>348360.51</v>
      </c>
    </row>
    <row r="326" spans="1:2" x14ac:dyDescent="0.2">
      <c r="A326" s="588">
        <v>42822</v>
      </c>
      <c r="B326" s="562">
        <v>348440.48</v>
      </c>
    </row>
    <row r="327" spans="1:2" x14ac:dyDescent="0.2">
      <c r="A327" s="588">
        <v>42823</v>
      </c>
      <c r="B327" s="562">
        <v>348440</v>
      </c>
    </row>
    <row r="328" spans="1:2" x14ac:dyDescent="0.2">
      <c r="A328" s="588">
        <v>42824</v>
      </c>
      <c r="B328" s="562">
        <v>350305.92</v>
      </c>
    </row>
    <row r="329" spans="1:2" x14ac:dyDescent="0.2">
      <c r="A329" s="588">
        <v>42825</v>
      </c>
      <c r="B329" s="562">
        <v>350306</v>
      </c>
    </row>
    <row r="330" spans="1:2" x14ac:dyDescent="0.2">
      <c r="A330" s="588">
        <v>42828</v>
      </c>
      <c r="B330" s="562">
        <v>350306</v>
      </c>
    </row>
    <row r="331" spans="1:2" x14ac:dyDescent="0.2">
      <c r="A331" s="588">
        <v>42829</v>
      </c>
      <c r="B331" s="562">
        <v>320389.65000000002</v>
      </c>
    </row>
    <row r="332" spans="1:2" x14ac:dyDescent="0.2">
      <c r="A332" s="588">
        <v>42830</v>
      </c>
      <c r="B332" s="562">
        <v>320390</v>
      </c>
    </row>
    <row r="333" spans="1:2" x14ac:dyDescent="0.2">
      <c r="A333" s="588">
        <v>42831</v>
      </c>
      <c r="B333" s="562">
        <v>313344</v>
      </c>
    </row>
    <row r="334" spans="1:2" x14ac:dyDescent="0.2">
      <c r="A334" s="588">
        <v>42832</v>
      </c>
      <c r="B334" s="562">
        <v>313344</v>
      </c>
    </row>
    <row r="335" spans="1:2" x14ac:dyDescent="0.2">
      <c r="A335" s="588">
        <v>42835</v>
      </c>
      <c r="B335" s="562">
        <v>306132.78000000003</v>
      </c>
    </row>
    <row r="336" spans="1:2" x14ac:dyDescent="0.2">
      <c r="A336" s="588">
        <v>42836</v>
      </c>
      <c r="B336" s="562">
        <v>286047.34999999998</v>
      </c>
    </row>
    <row r="337" spans="1:2" x14ac:dyDescent="0.2">
      <c r="A337" s="588">
        <v>42837</v>
      </c>
      <c r="B337" s="562">
        <v>286047</v>
      </c>
    </row>
    <row r="338" spans="1:2" x14ac:dyDescent="0.2">
      <c r="A338" s="588">
        <v>42838</v>
      </c>
      <c r="B338" s="562">
        <v>272128.99</v>
      </c>
    </row>
    <row r="339" spans="1:2" x14ac:dyDescent="0.2">
      <c r="A339" s="588">
        <v>42839</v>
      </c>
      <c r="B339" s="562">
        <v>272229.71000000002</v>
      </c>
    </row>
    <row r="340" spans="1:2" x14ac:dyDescent="0.2">
      <c r="A340" s="588">
        <v>42842</v>
      </c>
      <c r="B340" s="562">
        <v>236683.56</v>
      </c>
    </row>
    <row r="341" spans="1:2" x14ac:dyDescent="0.2">
      <c r="A341" s="588">
        <v>42843</v>
      </c>
      <c r="B341" s="562">
        <v>244114.64</v>
      </c>
    </row>
    <row r="342" spans="1:2" x14ac:dyDescent="0.2">
      <c r="A342" s="588">
        <v>42844</v>
      </c>
      <c r="B342" s="562">
        <v>244115</v>
      </c>
    </row>
    <row r="343" spans="1:2" x14ac:dyDescent="0.2">
      <c r="A343" s="588">
        <v>42845</v>
      </c>
      <c r="B343" s="562">
        <v>241798.76</v>
      </c>
    </row>
    <row r="344" spans="1:2" x14ac:dyDescent="0.2">
      <c r="A344" s="588">
        <v>42846</v>
      </c>
      <c r="B344" s="562">
        <v>241799</v>
      </c>
    </row>
    <row r="345" spans="1:2" x14ac:dyDescent="0.2">
      <c r="A345" s="588">
        <v>42849</v>
      </c>
      <c r="B345" s="562">
        <v>241973.76000000001</v>
      </c>
    </row>
    <row r="346" spans="1:2" x14ac:dyDescent="0.2">
      <c r="A346" s="588">
        <v>42850</v>
      </c>
      <c r="B346" s="562">
        <v>243364.2</v>
      </c>
    </row>
    <row r="347" spans="1:2" x14ac:dyDescent="0.2">
      <c r="A347" s="588">
        <v>42851</v>
      </c>
      <c r="B347" s="562">
        <v>243364</v>
      </c>
    </row>
    <row r="348" spans="1:2" x14ac:dyDescent="0.2">
      <c r="A348" s="588">
        <v>42852</v>
      </c>
      <c r="B348" s="562">
        <v>259265.45</v>
      </c>
    </row>
    <row r="349" spans="1:2" x14ac:dyDescent="0.2">
      <c r="A349" s="588">
        <v>42853</v>
      </c>
      <c r="B349" s="562">
        <v>290731.18</v>
      </c>
    </row>
    <row r="350" spans="1:2" x14ac:dyDescent="0.2">
      <c r="A350" s="588">
        <v>42856</v>
      </c>
      <c r="B350" s="562">
        <v>251486.17</v>
      </c>
    </row>
    <row r="351" spans="1:2" x14ac:dyDescent="0.2">
      <c r="A351" s="588">
        <v>42857</v>
      </c>
      <c r="B351" s="562">
        <v>253188.17</v>
      </c>
    </row>
    <row r="352" spans="1:2" x14ac:dyDescent="0.2">
      <c r="A352" s="588">
        <v>42858</v>
      </c>
      <c r="B352" s="562">
        <v>253188</v>
      </c>
    </row>
    <row r="353" spans="1:2" x14ac:dyDescent="0.2">
      <c r="A353" s="588">
        <v>42859</v>
      </c>
      <c r="B353" s="562">
        <v>232739.33</v>
      </c>
    </row>
    <row r="354" spans="1:2" x14ac:dyDescent="0.2">
      <c r="A354" s="588">
        <v>42860</v>
      </c>
      <c r="B354" s="562">
        <v>234049.33</v>
      </c>
    </row>
    <row r="355" spans="1:2" x14ac:dyDescent="0.2">
      <c r="A355" s="588">
        <v>42863</v>
      </c>
      <c r="B355" s="562">
        <v>314317.77</v>
      </c>
    </row>
    <row r="356" spans="1:2" x14ac:dyDescent="0.2">
      <c r="A356" s="588">
        <v>42864</v>
      </c>
      <c r="B356" s="562">
        <v>314318</v>
      </c>
    </row>
    <row r="357" spans="1:2" x14ac:dyDescent="0.2">
      <c r="A357" s="588">
        <v>42865</v>
      </c>
      <c r="B357" s="562">
        <v>314318</v>
      </c>
    </row>
    <row r="358" spans="1:2" x14ac:dyDescent="0.2">
      <c r="A358" s="588">
        <v>42866</v>
      </c>
      <c r="B358" s="562">
        <v>313971.28000000003</v>
      </c>
    </row>
    <row r="359" spans="1:2" x14ac:dyDescent="0.2">
      <c r="A359" s="588">
        <v>42867</v>
      </c>
      <c r="B359" s="562">
        <v>313971</v>
      </c>
    </row>
    <row r="360" spans="1:2" x14ac:dyDescent="0.2">
      <c r="A360" s="588">
        <v>42870</v>
      </c>
      <c r="B360" s="562">
        <v>271063.69</v>
      </c>
    </row>
    <row r="361" spans="1:2" x14ac:dyDescent="0.2">
      <c r="A361" s="588">
        <v>42871</v>
      </c>
      <c r="B361" s="562">
        <v>271064</v>
      </c>
    </row>
    <row r="362" spans="1:2" x14ac:dyDescent="0.2">
      <c r="A362" s="588">
        <v>42872</v>
      </c>
      <c r="B362" s="562">
        <v>271064</v>
      </c>
    </row>
    <row r="363" spans="1:2" x14ac:dyDescent="0.2">
      <c r="A363" s="588">
        <v>42873</v>
      </c>
      <c r="B363" s="562">
        <v>261497.73</v>
      </c>
    </row>
    <row r="364" spans="1:2" x14ac:dyDescent="0.2">
      <c r="A364" s="588">
        <v>42874</v>
      </c>
      <c r="B364" s="562">
        <v>311507.92</v>
      </c>
    </row>
    <row r="365" spans="1:2" x14ac:dyDescent="0.2">
      <c r="A365" s="588">
        <v>42877</v>
      </c>
      <c r="B365" s="562">
        <v>290080.52</v>
      </c>
    </row>
    <row r="366" spans="1:2" x14ac:dyDescent="0.2">
      <c r="A366" s="588">
        <v>42878</v>
      </c>
      <c r="B366" s="562">
        <v>290081</v>
      </c>
    </row>
    <row r="367" spans="1:2" x14ac:dyDescent="0.2">
      <c r="A367" s="588">
        <v>42879</v>
      </c>
      <c r="B367" s="562">
        <v>327080.46000000002</v>
      </c>
    </row>
    <row r="368" spans="1:2" x14ac:dyDescent="0.2">
      <c r="A368" s="588">
        <v>42880</v>
      </c>
      <c r="B368" s="562">
        <v>327080</v>
      </c>
    </row>
    <row r="369" spans="1:2" x14ac:dyDescent="0.2">
      <c r="A369" s="588">
        <v>42881</v>
      </c>
      <c r="B369" s="562">
        <v>336844.12</v>
      </c>
    </row>
    <row r="370" spans="1:2" x14ac:dyDescent="0.2">
      <c r="A370" s="588">
        <v>42884</v>
      </c>
      <c r="B370" s="562">
        <v>336844</v>
      </c>
    </row>
    <row r="371" spans="1:2" x14ac:dyDescent="0.2">
      <c r="A371" s="588">
        <v>42885</v>
      </c>
      <c r="B371" s="562">
        <v>300553.48</v>
      </c>
    </row>
    <row r="372" spans="1:2" x14ac:dyDescent="0.2">
      <c r="A372" s="588">
        <v>42886</v>
      </c>
      <c r="B372" s="562">
        <v>296887.5</v>
      </c>
    </row>
    <row r="373" spans="1:2" x14ac:dyDescent="0.2">
      <c r="A373" s="588">
        <v>42887</v>
      </c>
      <c r="B373" s="562">
        <v>297355.68</v>
      </c>
    </row>
    <row r="374" spans="1:2" x14ac:dyDescent="0.2">
      <c r="A374" s="588">
        <v>42888</v>
      </c>
      <c r="B374" s="562">
        <v>298760.68</v>
      </c>
    </row>
    <row r="375" spans="1:2" x14ac:dyDescent="0.2">
      <c r="A375" s="588">
        <v>42891</v>
      </c>
      <c r="B375" s="562">
        <v>279006.82</v>
      </c>
    </row>
    <row r="376" spans="1:2" x14ac:dyDescent="0.2">
      <c r="A376" s="588">
        <v>42892</v>
      </c>
      <c r="B376" s="562">
        <v>279007</v>
      </c>
    </row>
    <row r="377" spans="1:2" x14ac:dyDescent="0.2">
      <c r="A377" s="588">
        <v>42893</v>
      </c>
      <c r="B377" s="562">
        <v>279007</v>
      </c>
    </row>
    <row r="378" spans="1:2" x14ac:dyDescent="0.2">
      <c r="A378" s="588">
        <v>42894</v>
      </c>
      <c r="B378" s="562">
        <v>279112.07</v>
      </c>
    </row>
    <row r="379" spans="1:2" x14ac:dyDescent="0.2">
      <c r="A379" s="588">
        <v>42895</v>
      </c>
      <c r="B379" s="562">
        <v>279112</v>
      </c>
    </row>
    <row r="380" spans="1:2" x14ac:dyDescent="0.2">
      <c r="A380" s="588">
        <v>42898</v>
      </c>
      <c r="B380" s="562">
        <v>244072.02</v>
      </c>
    </row>
    <row r="381" spans="1:2" x14ac:dyDescent="0.2">
      <c r="A381" s="588">
        <v>42899</v>
      </c>
      <c r="B381" s="562">
        <v>249325.41</v>
      </c>
    </row>
    <row r="382" spans="1:2" x14ac:dyDescent="0.2">
      <c r="A382" s="588">
        <v>42900</v>
      </c>
      <c r="B382" s="562">
        <v>249325</v>
      </c>
    </row>
    <row r="383" spans="1:2" x14ac:dyDescent="0.2">
      <c r="A383" s="588">
        <v>42901</v>
      </c>
      <c r="B383" s="562">
        <v>252874.48</v>
      </c>
    </row>
    <row r="384" spans="1:2" x14ac:dyDescent="0.2">
      <c r="A384" s="588">
        <v>42902</v>
      </c>
      <c r="B384" s="562">
        <v>253128.65</v>
      </c>
    </row>
    <row r="385" spans="1:2" x14ac:dyDescent="0.2">
      <c r="A385" s="588">
        <v>42905</v>
      </c>
      <c r="B385" s="562">
        <v>255098.96</v>
      </c>
    </row>
    <row r="386" spans="1:2" x14ac:dyDescent="0.2">
      <c r="A386" s="588">
        <v>42906</v>
      </c>
      <c r="B386" s="562">
        <v>253521.42</v>
      </c>
    </row>
    <row r="387" spans="1:2" x14ac:dyDescent="0.2">
      <c r="A387" s="588">
        <v>42907</v>
      </c>
      <c r="B387" s="562">
        <v>253521</v>
      </c>
    </row>
    <row r="388" spans="1:2" x14ac:dyDescent="0.2">
      <c r="A388" s="588">
        <v>42908</v>
      </c>
      <c r="B388" s="562">
        <v>235912.36</v>
      </c>
    </row>
    <row r="389" spans="1:2" x14ac:dyDescent="0.2">
      <c r="A389" s="588">
        <v>42909</v>
      </c>
      <c r="B389" s="562">
        <v>235912</v>
      </c>
    </row>
    <row r="390" spans="1:2" x14ac:dyDescent="0.2">
      <c r="A390" s="588">
        <v>42912</v>
      </c>
      <c r="B390" s="630">
        <v>198879.76</v>
      </c>
    </row>
    <row r="391" spans="1:2" x14ac:dyDescent="0.2">
      <c r="A391" s="588">
        <v>42913</v>
      </c>
      <c r="B391" s="562">
        <v>199009.76</v>
      </c>
    </row>
    <row r="392" spans="1:2" x14ac:dyDescent="0.2">
      <c r="A392" s="588">
        <v>42914</v>
      </c>
      <c r="B392" s="562">
        <v>199010</v>
      </c>
    </row>
    <row r="393" spans="1:2" x14ac:dyDescent="0.2">
      <c r="A393" s="588">
        <v>42915</v>
      </c>
      <c r="B393" s="562">
        <v>210354</v>
      </c>
    </row>
    <row r="394" spans="1:2" x14ac:dyDescent="0.2">
      <c r="A394" s="588">
        <v>42916</v>
      </c>
      <c r="B394" s="562">
        <v>260779.62</v>
      </c>
    </row>
    <row r="395" spans="1:2" x14ac:dyDescent="0.2">
      <c r="A395" s="588">
        <v>42919</v>
      </c>
      <c r="B395" s="562">
        <v>260780</v>
      </c>
    </row>
    <row r="396" spans="1:2" x14ac:dyDescent="0.2">
      <c r="A396" s="588">
        <v>42920</v>
      </c>
      <c r="B396" s="562">
        <v>260780</v>
      </c>
    </row>
    <row r="397" spans="1:2" x14ac:dyDescent="0.2">
      <c r="A397" s="588">
        <v>42921</v>
      </c>
      <c r="B397" s="562">
        <v>260780</v>
      </c>
    </row>
    <row r="398" spans="1:2" x14ac:dyDescent="0.2">
      <c r="A398" s="588">
        <v>42922</v>
      </c>
      <c r="B398" s="562">
        <v>261774.11</v>
      </c>
    </row>
    <row r="399" spans="1:2" x14ac:dyDescent="0.2">
      <c r="A399" s="588">
        <v>42923</v>
      </c>
      <c r="B399" s="562">
        <v>261774</v>
      </c>
    </row>
    <row r="400" spans="1:2" x14ac:dyDescent="0.2">
      <c r="A400" s="588">
        <v>42926</v>
      </c>
      <c r="B400" s="562">
        <v>226950.89</v>
      </c>
    </row>
    <row r="401" spans="1:2" x14ac:dyDescent="0.2">
      <c r="A401" s="588">
        <v>42927</v>
      </c>
      <c r="B401" s="562">
        <v>226951</v>
      </c>
    </row>
    <row r="402" spans="1:2" x14ac:dyDescent="0.2">
      <c r="A402" s="588">
        <v>42928</v>
      </c>
      <c r="B402" s="562">
        <v>248711.94</v>
      </c>
    </row>
    <row r="403" spans="1:2" x14ac:dyDescent="0.2">
      <c r="A403" s="588">
        <v>42929</v>
      </c>
      <c r="B403" s="562">
        <v>256201.58</v>
      </c>
    </row>
    <row r="404" spans="1:2" x14ac:dyDescent="0.2">
      <c r="A404" s="588">
        <v>42930</v>
      </c>
      <c r="B404" s="562">
        <v>256272.97</v>
      </c>
    </row>
    <row r="405" spans="1:2" x14ac:dyDescent="0.2">
      <c r="A405" s="588">
        <v>42933</v>
      </c>
      <c r="B405" s="562">
        <v>256056.42</v>
      </c>
    </row>
    <row r="406" spans="1:2" x14ac:dyDescent="0.2">
      <c r="A406" s="588">
        <v>42934</v>
      </c>
      <c r="B406" s="562">
        <v>257213.96</v>
      </c>
    </row>
    <row r="407" spans="1:2" x14ac:dyDescent="0.2">
      <c r="A407" s="588">
        <v>42935</v>
      </c>
      <c r="B407" s="562">
        <v>257214</v>
      </c>
    </row>
    <row r="408" spans="1:2" x14ac:dyDescent="0.2">
      <c r="A408" s="588">
        <v>42936</v>
      </c>
      <c r="B408" s="562">
        <v>260075.5</v>
      </c>
    </row>
    <row r="409" spans="1:2" x14ac:dyDescent="0.2">
      <c r="A409" s="588">
        <v>42937</v>
      </c>
      <c r="B409" s="562">
        <v>339825.5</v>
      </c>
    </row>
    <row r="410" spans="1:2" x14ac:dyDescent="0.2">
      <c r="A410" s="588">
        <v>42940</v>
      </c>
      <c r="B410" s="562">
        <v>303182.65000000002</v>
      </c>
    </row>
    <row r="411" spans="1:2" x14ac:dyDescent="0.2">
      <c r="A411" s="588">
        <v>42941</v>
      </c>
      <c r="B411" s="562">
        <v>322340.12</v>
      </c>
    </row>
    <row r="412" spans="1:2" x14ac:dyDescent="0.2">
      <c r="A412" s="588">
        <v>42942</v>
      </c>
      <c r="B412" s="562">
        <v>322340</v>
      </c>
    </row>
    <row r="413" spans="1:2" x14ac:dyDescent="0.2">
      <c r="A413" s="588">
        <v>42943</v>
      </c>
      <c r="B413" s="562">
        <v>308772.78999999998</v>
      </c>
    </row>
    <row r="414" spans="1:2" x14ac:dyDescent="0.2">
      <c r="A414" s="588">
        <v>42944</v>
      </c>
      <c r="B414" s="562">
        <v>317343.40999999997</v>
      </c>
    </row>
    <row r="415" spans="1:2" x14ac:dyDescent="0.2">
      <c r="A415" s="588">
        <v>42947</v>
      </c>
      <c r="B415" s="562">
        <v>317343</v>
      </c>
    </row>
    <row r="416" spans="1:2" x14ac:dyDescent="0.2">
      <c r="A416" s="588">
        <v>42948</v>
      </c>
      <c r="B416" s="562">
        <v>369152.35</v>
      </c>
    </row>
    <row r="417" spans="1:2" x14ac:dyDescent="0.2">
      <c r="A417" s="588">
        <v>42949</v>
      </c>
      <c r="B417" s="562">
        <v>371061.94</v>
      </c>
    </row>
    <row r="418" spans="1:2" x14ac:dyDescent="0.2">
      <c r="A418" s="588">
        <v>42950</v>
      </c>
      <c r="B418" s="562">
        <v>372080.87</v>
      </c>
    </row>
    <row r="419" spans="1:2" x14ac:dyDescent="0.2">
      <c r="A419" s="588">
        <v>42951</v>
      </c>
      <c r="B419" s="562">
        <v>372080.87</v>
      </c>
    </row>
    <row r="420" spans="1:2" x14ac:dyDescent="0.2">
      <c r="A420" s="588">
        <v>42954</v>
      </c>
      <c r="B420" s="562">
        <v>336189.47</v>
      </c>
    </row>
    <row r="421" spans="1:2" x14ac:dyDescent="0.2">
      <c r="A421" s="588">
        <v>42955</v>
      </c>
      <c r="B421" s="562">
        <v>340998.07</v>
      </c>
    </row>
    <row r="422" spans="1:2" x14ac:dyDescent="0.2">
      <c r="A422" s="588">
        <v>42956</v>
      </c>
      <c r="B422" s="562">
        <v>332763.65000000002</v>
      </c>
    </row>
    <row r="423" spans="1:2" x14ac:dyDescent="0.2">
      <c r="A423" s="588">
        <v>42957</v>
      </c>
      <c r="B423" s="562">
        <v>375651.45</v>
      </c>
    </row>
    <row r="424" spans="1:2" x14ac:dyDescent="0.2">
      <c r="A424" s="588">
        <v>42958</v>
      </c>
      <c r="B424" s="562">
        <v>378293.21</v>
      </c>
    </row>
    <row r="425" spans="1:2" x14ac:dyDescent="0.2">
      <c r="A425" s="588">
        <v>42961</v>
      </c>
      <c r="B425" s="562">
        <v>378293</v>
      </c>
    </row>
    <row r="426" spans="1:2" x14ac:dyDescent="0.2">
      <c r="A426" s="588">
        <v>42962</v>
      </c>
      <c r="B426" s="562">
        <v>401190.06</v>
      </c>
    </row>
    <row r="427" spans="1:2" x14ac:dyDescent="0.2">
      <c r="A427" s="588">
        <v>42963</v>
      </c>
      <c r="B427" s="562">
        <v>401190</v>
      </c>
    </row>
    <row r="428" spans="1:2" x14ac:dyDescent="0.2">
      <c r="A428" s="588">
        <v>42964</v>
      </c>
      <c r="B428" s="562">
        <v>401569.72</v>
      </c>
    </row>
    <row r="429" spans="1:2" x14ac:dyDescent="0.2">
      <c r="A429" s="588">
        <v>42965</v>
      </c>
      <c r="B429" s="562">
        <v>403837.72</v>
      </c>
    </row>
    <row r="430" spans="1:2" x14ac:dyDescent="0.2">
      <c r="A430" s="588">
        <v>42968</v>
      </c>
      <c r="B430" s="562">
        <v>369495.17</v>
      </c>
    </row>
    <row r="431" spans="1:2" x14ac:dyDescent="0.2">
      <c r="A431" s="588">
        <v>42969</v>
      </c>
      <c r="B431" s="562">
        <v>379169.06</v>
      </c>
    </row>
    <row r="432" spans="1:2" x14ac:dyDescent="0.2">
      <c r="A432" s="588">
        <v>42970</v>
      </c>
      <c r="B432" s="562">
        <v>379169</v>
      </c>
    </row>
    <row r="433" spans="1:2" x14ac:dyDescent="0.2">
      <c r="A433" s="588">
        <v>42971</v>
      </c>
      <c r="B433" s="562">
        <v>372540.41</v>
      </c>
    </row>
    <row r="434" spans="1:2" x14ac:dyDescent="0.2">
      <c r="A434" s="588">
        <v>42972</v>
      </c>
      <c r="B434" s="562">
        <v>372540</v>
      </c>
    </row>
    <row r="435" spans="1:2" x14ac:dyDescent="0.2">
      <c r="A435" s="588">
        <v>42975</v>
      </c>
      <c r="B435" s="562">
        <v>372540</v>
      </c>
    </row>
    <row r="436" spans="1:2" x14ac:dyDescent="0.2">
      <c r="A436" s="588">
        <v>42976</v>
      </c>
      <c r="B436" s="562">
        <v>374625.25</v>
      </c>
    </row>
    <row r="437" spans="1:2" x14ac:dyDescent="0.2">
      <c r="A437" s="588">
        <v>42977</v>
      </c>
      <c r="B437" s="562">
        <v>382658.46</v>
      </c>
    </row>
    <row r="438" spans="1:2" x14ac:dyDescent="0.2">
      <c r="A438" s="588">
        <v>42978</v>
      </c>
      <c r="B438" s="562">
        <v>389160.26</v>
      </c>
    </row>
    <row r="439" spans="1:2" x14ac:dyDescent="0.2">
      <c r="A439" s="588">
        <v>42979</v>
      </c>
      <c r="B439" s="562">
        <v>389160</v>
      </c>
    </row>
    <row r="440" spans="1:2" x14ac:dyDescent="0.2">
      <c r="A440" s="588">
        <v>42982</v>
      </c>
      <c r="B440" s="562">
        <v>389160</v>
      </c>
    </row>
    <row r="441" spans="1:2" x14ac:dyDescent="0.2">
      <c r="A441" s="588">
        <v>42983</v>
      </c>
      <c r="B441" s="562">
        <v>352908.42</v>
      </c>
    </row>
    <row r="442" spans="1:2" x14ac:dyDescent="0.2">
      <c r="A442" s="588">
        <v>42984</v>
      </c>
      <c r="B442" s="562">
        <v>383959.41</v>
      </c>
    </row>
    <row r="443" spans="1:2" x14ac:dyDescent="0.2">
      <c r="A443" s="588">
        <v>42985</v>
      </c>
      <c r="B443" s="562">
        <v>403148.81</v>
      </c>
    </row>
    <row r="444" spans="1:2" x14ac:dyDescent="0.2">
      <c r="A444" s="588">
        <v>42986</v>
      </c>
      <c r="B444" s="562">
        <v>403344.11</v>
      </c>
    </row>
    <row r="445" spans="1:2" x14ac:dyDescent="0.2">
      <c r="A445" s="588">
        <v>42989</v>
      </c>
      <c r="B445" s="562">
        <v>403344</v>
      </c>
    </row>
    <row r="446" spans="1:2" x14ac:dyDescent="0.2">
      <c r="A446" s="588">
        <v>42990</v>
      </c>
      <c r="B446" s="562">
        <v>403344</v>
      </c>
    </row>
    <row r="447" spans="1:2" x14ac:dyDescent="0.2">
      <c r="A447" s="588">
        <v>42991</v>
      </c>
      <c r="B447" s="562">
        <v>403344</v>
      </c>
    </row>
    <row r="448" spans="1:2" x14ac:dyDescent="0.2">
      <c r="A448" s="588">
        <v>42992</v>
      </c>
      <c r="B448" s="562">
        <v>400016.8</v>
      </c>
    </row>
    <row r="449" spans="1:2" x14ac:dyDescent="0.2">
      <c r="A449" s="588">
        <v>42993</v>
      </c>
      <c r="B449" s="562">
        <v>400134.96</v>
      </c>
    </row>
    <row r="450" spans="1:2" x14ac:dyDescent="0.2">
      <c r="A450" s="588">
        <v>42996</v>
      </c>
      <c r="B450" s="562">
        <v>364805.11</v>
      </c>
    </row>
    <row r="451" spans="1:2" x14ac:dyDescent="0.2">
      <c r="A451" s="588">
        <v>42997</v>
      </c>
      <c r="B451" s="562">
        <v>364805</v>
      </c>
    </row>
    <row r="452" spans="1:2" x14ac:dyDescent="0.2">
      <c r="A452" s="588">
        <v>42998</v>
      </c>
      <c r="B452" s="562">
        <v>371804.33</v>
      </c>
    </row>
    <row r="453" spans="1:2" x14ac:dyDescent="0.2">
      <c r="A453" s="588">
        <v>42999</v>
      </c>
      <c r="B453" s="562">
        <v>370759.85</v>
      </c>
    </row>
    <row r="454" spans="1:2" x14ac:dyDescent="0.2">
      <c r="A454" s="588">
        <v>43000</v>
      </c>
      <c r="B454" s="562">
        <v>389878.66</v>
      </c>
    </row>
    <row r="455" spans="1:2" x14ac:dyDescent="0.2">
      <c r="A455" s="588">
        <v>43003</v>
      </c>
      <c r="B455" s="562">
        <v>393013.02</v>
      </c>
    </row>
    <row r="456" spans="1:2" x14ac:dyDescent="0.2">
      <c r="A456" s="588">
        <v>43004</v>
      </c>
      <c r="B456" s="562">
        <v>393593.22</v>
      </c>
    </row>
    <row r="457" spans="1:2" x14ac:dyDescent="0.2">
      <c r="A457" s="588">
        <v>43005</v>
      </c>
      <c r="B457" s="562">
        <v>393593</v>
      </c>
    </row>
    <row r="458" spans="1:2" x14ac:dyDescent="0.2">
      <c r="A458" s="588">
        <v>43006</v>
      </c>
      <c r="B458" s="562">
        <v>385433.95</v>
      </c>
    </row>
    <row r="459" spans="1:2" x14ac:dyDescent="0.2">
      <c r="A459" s="588">
        <v>43007</v>
      </c>
      <c r="B459" s="562">
        <v>385678.15</v>
      </c>
    </row>
    <row r="460" spans="1:2" x14ac:dyDescent="0.2">
      <c r="A460" s="588">
        <v>43010</v>
      </c>
      <c r="B460" s="562">
        <v>350949.28</v>
      </c>
    </row>
    <row r="461" spans="1:2" x14ac:dyDescent="0.2">
      <c r="A461" s="588">
        <v>43011</v>
      </c>
      <c r="B461" s="562">
        <v>352010.98</v>
      </c>
    </row>
    <row r="462" spans="1:2" x14ac:dyDescent="0.2">
      <c r="A462" s="588">
        <v>43012</v>
      </c>
      <c r="B462" s="562">
        <v>352011</v>
      </c>
    </row>
    <row r="463" spans="1:2" x14ac:dyDescent="0.2">
      <c r="A463" s="588">
        <v>43013</v>
      </c>
      <c r="B463" s="562">
        <v>348679</v>
      </c>
    </row>
    <row r="464" spans="1:2" x14ac:dyDescent="0.2">
      <c r="A464" s="588">
        <v>43014</v>
      </c>
      <c r="B464" s="562">
        <v>348679</v>
      </c>
    </row>
    <row r="465" spans="1:2" x14ac:dyDescent="0.2">
      <c r="A465" s="588">
        <v>43017</v>
      </c>
      <c r="B465" s="562">
        <v>348679</v>
      </c>
    </row>
    <row r="466" spans="1:2" x14ac:dyDescent="0.2">
      <c r="A466" s="588">
        <v>43018</v>
      </c>
      <c r="B466" s="562">
        <v>348679</v>
      </c>
    </row>
    <row r="467" spans="1:2" x14ac:dyDescent="0.2">
      <c r="A467" s="588">
        <v>43019</v>
      </c>
      <c r="B467" s="562">
        <v>348761.24</v>
      </c>
    </row>
    <row r="468" spans="1:2" x14ac:dyDescent="0.2">
      <c r="A468" s="588">
        <v>43020</v>
      </c>
      <c r="B468" s="562">
        <v>349998.26</v>
      </c>
    </row>
    <row r="469" spans="1:2" x14ac:dyDescent="0.2">
      <c r="A469" s="588">
        <v>43021</v>
      </c>
      <c r="B469" s="562">
        <v>370561.14</v>
      </c>
    </row>
    <row r="470" spans="1:2" x14ac:dyDescent="0.2">
      <c r="A470" s="588">
        <v>43024</v>
      </c>
      <c r="B470" s="562">
        <v>336220.14</v>
      </c>
    </row>
    <row r="471" spans="1:2" x14ac:dyDescent="0.2">
      <c r="A471" s="588">
        <v>43025</v>
      </c>
      <c r="B471" s="562">
        <v>336332.14</v>
      </c>
    </row>
    <row r="472" spans="1:2" x14ac:dyDescent="0.2">
      <c r="A472" s="588">
        <v>43026</v>
      </c>
      <c r="B472" s="562">
        <v>336332</v>
      </c>
    </row>
    <row r="473" spans="1:2" x14ac:dyDescent="0.2">
      <c r="A473" s="588">
        <v>43027</v>
      </c>
      <c r="B473" s="562">
        <v>339185.02</v>
      </c>
    </row>
    <row r="474" spans="1:2" x14ac:dyDescent="0.2">
      <c r="A474" s="588">
        <v>43028</v>
      </c>
      <c r="B474" s="562">
        <v>344936.35</v>
      </c>
    </row>
    <row r="475" spans="1:2" x14ac:dyDescent="0.2">
      <c r="A475" s="588">
        <v>43031</v>
      </c>
      <c r="B475" s="562">
        <v>344564.68</v>
      </c>
    </row>
    <row r="476" spans="1:2" x14ac:dyDescent="0.2">
      <c r="A476" s="588">
        <v>43032</v>
      </c>
      <c r="B476" s="562">
        <v>344565</v>
      </c>
    </row>
    <row r="477" spans="1:2" x14ac:dyDescent="0.2">
      <c r="A477" s="588">
        <v>43033</v>
      </c>
      <c r="B477" s="562">
        <v>344829.18</v>
      </c>
    </row>
    <row r="478" spans="1:2" x14ac:dyDescent="0.2">
      <c r="A478" s="588">
        <v>43034</v>
      </c>
      <c r="B478" s="562">
        <v>339942.05</v>
      </c>
    </row>
    <row r="479" spans="1:2" x14ac:dyDescent="0.2">
      <c r="A479" s="588">
        <v>43035</v>
      </c>
      <c r="B479" s="562">
        <v>360185.72</v>
      </c>
    </row>
    <row r="480" spans="1:2" x14ac:dyDescent="0.2">
      <c r="A480" s="588">
        <v>43038</v>
      </c>
      <c r="B480" s="562">
        <v>323067.73</v>
      </c>
    </row>
    <row r="481" spans="1:2" x14ac:dyDescent="0.2">
      <c r="A481" s="588">
        <v>43039</v>
      </c>
      <c r="B481" s="562">
        <v>323197.73</v>
      </c>
    </row>
    <row r="482" spans="1:2" x14ac:dyDescent="0.2">
      <c r="A482" s="588">
        <v>43040</v>
      </c>
      <c r="B482" s="562">
        <v>323198</v>
      </c>
    </row>
    <row r="483" spans="1:2" x14ac:dyDescent="0.2">
      <c r="A483" s="588">
        <v>43041</v>
      </c>
      <c r="B483" s="562">
        <v>341044.7</v>
      </c>
    </row>
    <row r="484" spans="1:2" x14ac:dyDescent="0.2">
      <c r="A484" s="588">
        <v>43042</v>
      </c>
      <c r="B484" s="562">
        <v>341676.17</v>
      </c>
    </row>
    <row r="485" spans="1:2" x14ac:dyDescent="0.2">
      <c r="A485" s="588">
        <v>43045</v>
      </c>
      <c r="B485" s="562">
        <v>341676</v>
      </c>
    </row>
    <row r="486" spans="1:2" x14ac:dyDescent="0.2">
      <c r="A486" s="588">
        <v>43046</v>
      </c>
      <c r="B486" s="562">
        <v>341676</v>
      </c>
    </row>
    <row r="487" spans="1:2" x14ac:dyDescent="0.2">
      <c r="A487" s="588">
        <v>43047</v>
      </c>
      <c r="B487" s="562">
        <v>379863.97</v>
      </c>
    </row>
    <row r="488" spans="1:2" x14ac:dyDescent="0.2">
      <c r="A488" s="588">
        <v>43048</v>
      </c>
      <c r="B488" s="562">
        <v>378842.06</v>
      </c>
    </row>
    <row r="489" spans="1:2" x14ac:dyDescent="0.2">
      <c r="A489" s="588">
        <v>43049</v>
      </c>
      <c r="B489" s="562">
        <v>378842</v>
      </c>
    </row>
    <row r="490" spans="1:2" x14ac:dyDescent="0.2">
      <c r="A490" s="588">
        <v>43052</v>
      </c>
      <c r="B490" s="562">
        <v>340784.14</v>
      </c>
    </row>
    <row r="491" spans="1:2" x14ac:dyDescent="0.2">
      <c r="A491" s="588">
        <v>43053</v>
      </c>
      <c r="B491" s="562">
        <v>340784</v>
      </c>
    </row>
    <row r="492" spans="1:2" x14ac:dyDescent="0.2">
      <c r="A492" s="588">
        <v>43054</v>
      </c>
      <c r="B492" s="562">
        <v>340895.76</v>
      </c>
    </row>
    <row r="493" spans="1:2" x14ac:dyDescent="0.2">
      <c r="A493" s="588">
        <v>43055</v>
      </c>
      <c r="B493" s="562">
        <v>354246.44</v>
      </c>
    </row>
    <row r="494" spans="1:2" x14ac:dyDescent="0.2">
      <c r="A494" s="588">
        <v>43056</v>
      </c>
      <c r="B494" s="562">
        <v>354246.44</v>
      </c>
    </row>
    <row r="495" spans="1:2" x14ac:dyDescent="0.2">
      <c r="A495" s="588">
        <v>43059</v>
      </c>
      <c r="B495" s="562">
        <v>354264.44</v>
      </c>
    </row>
    <row r="496" spans="1:2" x14ac:dyDescent="0.2">
      <c r="A496" s="588">
        <v>43060</v>
      </c>
      <c r="B496" s="562">
        <v>354264</v>
      </c>
    </row>
    <row r="497" spans="1:2" x14ac:dyDescent="0.2">
      <c r="A497" s="588">
        <v>43061</v>
      </c>
      <c r="B497" s="562">
        <v>357804.55</v>
      </c>
    </row>
    <row r="498" spans="1:2" x14ac:dyDescent="0.2">
      <c r="A498" s="588">
        <v>43062</v>
      </c>
      <c r="B498" s="562">
        <v>357805</v>
      </c>
    </row>
    <row r="499" spans="1:2" x14ac:dyDescent="0.2">
      <c r="A499" s="588">
        <v>43063</v>
      </c>
      <c r="B499" s="562">
        <v>361119.05</v>
      </c>
    </row>
    <row r="500" spans="1:2" x14ac:dyDescent="0.2">
      <c r="A500" s="588">
        <v>43066</v>
      </c>
      <c r="B500" s="562">
        <v>318415.71000000002</v>
      </c>
    </row>
    <row r="501" spans="1:2" x14ac:dyDescent="0.2">
      <c r="A501" s="588">
        <v>43067</v>
      </c>
      <c r="B501" s="562">
        <v>320237.53999999998</v>
      </c>
    </row>
    <row r="502" spans="1:2" x14ac:dyDescent="0.2">
      <c r="A502" s="588">
        <v>43068</v>
      </c>
      <c r="B502" s="562">
        <v>320237.53999999998</v>
      </c>
    </row>
    <row r="503" spans="1:2" x14ac:dyDescent="0.2">
      <c r="A503" s="588">
        <v>43069</v>
      </c>
      <c r="B503" s="562">
        <v>325286.46999999997</v>
      </c>
    </row>
    <row r="504" spans="1:2" x14ac:dyDescent="0.2">
      <c r="A504" s="588">
        <v>43070</v>
      </c>
      <c r="B504" s="562">
        <v>334247.03000000003</v>
      </c>
    </row>
    <row r="505" spans="1:2" x14ac:dyDescent="0.2">
      <c r="A505" s="588">
        <v>43073</v>
      </c>
      <c r="B505" s="562">
        <v>334247</v>
      </c>
    </row>
    <row r="506" spans="1:2" x14ac:dyDescent="0.2">
      <c r="A506" s="588">
        <v>43074</v>
      </c>
      <c r="B506" s="562">
        <v>334247.03000000003</v>
      </c>
    </row>
    <row r="507" spans="1:2" x14ac:dyDescent="0.2">
      <c r="A507" s="588">
        <v>43075</v>
      </c>
      <c r="B507" s="562">
        <v>334247</v>
      </c>
    </row>
    <row r="508" spans="1:2" x14ac:dyDescent="0.2">
      <c r="A508" s="588">
        <v>43076</v>
      </c>
      <c r="B508" s="562">
        <v>323171.46000000002</v>
      </c>
    </row>
    <row r="509" spans="1:2" x14ac:dyDescent="0.2">
      <c r="A509" s="588">
        <v>43077</v>
      </c>
      <c r="B509" s="562">
        <v>324229.90999999997</v>
      </c>
    </row>
    <row r="510" spans="1:2" x14ac:dyDescent="0.2">
      <c r="A510" s="588">
        <v>43080</v>
      </c>
      <c r="B510" s="562">
        <v>324230</v>
      </c>
    </row>
    <row r="511" spans="1:2" x14ac:dyDescent="0.2">
      <c r="A511" s="588">
        <v>43081</v>
      </c>
      <c r="B511" s="562">
        <v>286030.39</v>
      </c>
    </row>
    <row r="512" spans="1:2" x14ac:dyDescent="0.2">
      <c r="A512" s="588">
        <v>43082</v>
      </c>
      <c r="B512" s="562">
        <v>286197.44</v>
      </c>
    </row>
    <row r="513" spans="1:8" x14ac:dyDescent="0.2">
      <c r="A513" s="588">
        <v>43083</v>
      </c>
      <c r="B513" s="562">
        <v>280065.2</v>
      </c>
    </row>
    <row r="514" spans="1:8" x14ac:dyDescent="0.2">
      <c r="A514" s="588">
        <v>43084</v>
      </c>
      <c r="B514" s="562">
        <v>284409.09999999998</v>
      </c>
    </row>
    <row r="515" spans="1:8" x14ac:dyDescent="0.2">
      <c r="A515" s="588">
        <v>43087</v>
      </c>
      <c r="B515" s="562">
        <v>285119.09999999998</v>
      </c>
    </row>
    <row r="516" spans="1:8" x14ac:dyDescent="0.2">
      <c r="A516" s="588">
        <v>43088</v>
      </c>
      <c r="B516" s="562">
        <v>285395.49</v>
      </c>
    </row>
    <row r="517" spans="1:8" x14ac:dyDescent="0.2">
      <c r="A517" s="588">
        <v>43089</v>
      </c>
      <c r="B517" s="562">
        <v>285395</v>
      </c>
    </row>
    <row r="518" spans="1:8" x14ac:dyDescent="0.2">
      <c r="A518" s="588">
        <v>43090</v>
      </c>
      <c r="B518" s="562">
        <v>285542.49</v>
      </c>
    </row>
    <row r="519" spans="1:8" x14ac:dyDescent="0.2">
      <c r="A519" s="588">
        <v>43091</v>
      </c>
      <c r="B519" s="562">
        <v>285542</v>
      </c>
    </row>
    <row r="520" spans="1:8" x14ac:dyDescent="0.2">
      <c r="A520" s="588">
        <v>43094</v>
      </c>
      <c r="B520" s="562">
        <v>285542</v>
      </c>
    </row>
    <row r="521" spans="1:8" x14ac:dyDescent="0.2">
      <c r="A521" s="588">
        <v>43095</v>
      </c>
      <c r="B521" s="562">
        <v>248584.72</v>
      </c>
    </row>
    <row r="522" spans="1:8" x14ac:dyDescent="0.2">
      <c r="A522" s="588">
        <v>43096</v>
      </c>
      <c r="B522" s="562">
        <v>248585</v>
      </c>
    </row>
    <row r="523" spans="1:8" x14ac:dyDescent="0.2">
      <c r="A523" s="588">
        <v>43097</v>
      </c>
      <c r="B523" s="562">
        <v>270685.83</v>
      </c>
    </row>
    <row r="524" spans="1:8" x14ac:dyDescent="0.2">
      <c r="A524" s="588">
        <v>43098</v>
      </c>
      <c r="B524" s="562">
        <v>282558.58</v>
      </c>
    </row>
    <row r="525" spans="1:8" x14ac:dyDescent="0.2">
      <c r="A525" s="588">
        <v>43101</v>
      </c>
      <c r="B525" s="562">
        <v>282559</v>
      </c>
      <c r="F525" s="564"/>
      <c r="G525" t="s">
        <v>212</v>
      </c>
      <c r="H525" t="s">
        <v>248</v>
      </c>
    </row>
    <row r="526" spans="1:8" x14ac:dyDescent="0.2">
      <c r="A526" s="588">
        <v>43102</v>
      </c>
      <c r="B526" s="562">
        <v>282508.58</v>
      </c>
      <c r="F526" s="564">
        <v>42370</v>
      </c>
      <c r="G526" s="565">
        <v>369484</v>
      </c>
      <c r="H526" s="714">
        <v>31036</v>
      </c>
    </row>
    <row r="527" spans="1:8" x14ac:dyDescent="0.2">
      <c r="A527" s="588">
        <v>43103</v>
      </c>
      <c r="B527" s="562">
        <v>282509</v>
      </c>
      <c r="F527" s="564">
        <v>42401</v>
      </c>
      <c r="G527" s="565">
        <v>295493.53000000003</v>
      </c>
      <c r="H527" s="714">
        <v>31035.72</v>
      </c>
    </row>
    <row r="528" spans="1:8" x14ac:dyDescent="0.2">
      <c r="A528" s="588">
        <v>43104</v>
      </c>
      <c r="B528" s="562">
        <v>283213.14</v>
      </c>
      <c r="F528" s="564">
        <v>42430</v>
      </c>
      <c r="G528" s="565">
        <v>255865.07</v>
      </c>
      <c r="H528" s="714">
        <v>151035.72</v>
      </c>
    </row>
    <row r="529" spans="1:8" x14ac:dyDescent="0.2">
      <c r="A529" s="588">
        <v>43105</v>
      </c>
      <c r="B529" s="562">
        <v>297779.06</v>
      </c>
      <c r="F529" s="564">
        <v>42461</v>
      </c>
      <c r="G529" s="565">
        <v>294098.96000000002</v>
      </c>
      <c r="H529" s="714">
        <v>151036</v>
      </c>
    </row>
    <row r="530" spans="1:8" x14ac:dyDescent="0.2">
      <c r="A530" s="588">
        <v>43108</v>
      </c>
      <c r="B530" s="562">
        <v>263886.2</v>
      </c>
      <c r="F530" s="564">
        <v>42491</v>
      </c>
      <c r="G530" s="565">
        <v>333922.02</v>
      </c>
      <c r="H530" s="714">
        <v>151087.09</v>
      </c>
    </row>
    <row r="531" spans="1:8" x14ac:dyDescent="0.2">
      <c r="A531" s="588">
        <v>43109</v>
      </c>
      <c r="B531" s="562">
        <v>277030.96999999997</v>
      </c>
      <c r="F531" s="564">
        <v>42551</v>
      </c>
      <c r="G531" s="565">
        <v>384005.8</v>
      </c>
      <c r="H531" s="714">
        <v>151336.84</v>
      </c>
    </row>
    <row r="532" spans="1:8" x14ac:dyDescent="0.2">
      <c r="A532" s="588">
        <v>43110</v>
      </c>
      <c r="B532" s="562">
        <v>277031</v>
      </c>
      <c r="F532" s="564">
        <v>42582</v>
      </c>
      <c r="G532" s="565">
        <v>292004.15999999997</v>
      </c>
      <c r="H532" s="714">
        <v>151611.29999999999</v>
      </c>
    </row>
    <row r="533" spans="1:8" x14ac:dyDescent="0.2">
      <c r="A533" s="588">
        <v>43111</v>
      </c>
      <c r="B533" s="562">
        <v>281394.14</v>
      </c>
      <c r="F533" s="564">
        <v>42583</v>
      </c>
      <c r="G533" s="565">
        <v>182562.29</v>
      </c>
      <c r="H533" s="714">
        <v>151776.70000000001</v>
      </c>
    </row>
    <row r="534" spans="1:8" x14ac:dyDescent="0.2">
      <c r="A534" s="588">
        <v>43112</v>
      </c>
      <c r="B534" s="562">
        <v>281470.18</v>
      </c>
      <c r="F534" s="564">
        <v>42614</v>
      </c>
      <c r="G534" s="565">
        <v>242442.87</v>
      </c>
      <c r="H534" s="714">
        <v>151844.44</v>
      </c>
    </row>
    <row r="535" spans="1:8" x14ac:dyDescent="0.2">
      <c r="A535" s="588">
        <v>43115</v>
      </c>
      <c r="B535" s="562">
        <v>281470</v>
      </c>
      <c r="F535" s="564">
        <v>42644</v>
      </c>
      <c r="G535" s="565">
        <v>247104.37</v>
      </c>
      <c r="H535" s="714">
        <v>152036.04</v>
      </c>
    </row>
    <row r="536" spans="1:8" x14ac:dyDescent="0.2">
      <c r="A536" s="588">
        <v>43116</v>
      </c>
      <c r="B536" s="562">
        <v>284325.94</v>
      </c>
      <c r="F536" s="564">
        <v>42675</v>
      </c>
      <c r="G536" s="565">
        <v>246462.95</v>
      </c>
      <c r="H536" s="714">
        <v>152464.91</v>
      </c>
    </row>
    <row r="537" spans="1:8" x14ac:dyDescent="0.2">
      <c r="A537" s="588">
        <v>43117</v>
      </c>
      <c r="B537" s="562">
        <v>305911.78000000003</v>
      </c>
      <c r="F537" s="564">
        <v>42705</v>
      </c>
      <c r="G537" s="565">
        <v>249839.51</v>
      </c>
      <c r="H537" s="714">
        <v>154533.13</v>
      </c>
    </row>
    <row r="538" spans="1:8" x14ac:dyDescent="0.2">
      <c r="A538" s="588">
        <v>43118</v>
      </c>
      <c r="B538" s="562">
        <v>305752.93</v>
      </c>
      <c r="F538" s="564">
        <v>42736</v>
      </c>
      <c r="G538" s="565">
        <v>351420</v>
      </c>
      <c r="H538" s="714">
        <v>155633.59</v>
      </c>
    </row>
    <row r="539" spans="1:8" x14ac:dyDescent="0.2">
      <c r="A539" s="588">
        <v>43119</v>
      </c>
      <c r="B539" s="562">
        <v>332730.14</v>
      </c>
      <c r="F539" s="564">
        <v>42767</v>
      </c>
      <c r="G539" s="565">
        <v>253330</v>
      </c>
      <c r="H539" s="714">
        <v>158448.25</v>
      </c>
    </row>
    <row r="540" spans="1:8" x14ac:dyDescent="0.2">
      <c r="A540" s="588">
        <v>43122</v>
      </c>
      <c r="B540" s="562">
        <v>291419.49</v>
      </c>
      <c r="F540" s="564">
        <v>42795</v>
      </c>
      <c r="G540" s="565">
        <v>280744</v>
      </c>
      <c r="H540" s="714">
        <v>159113.29</v>
      </c>
    </row>
    <row r="541" spans="1:8" x14ac:dyDescent="0.2">
      <c r="A541" s="588">
        <v>43123</v>
      </c>
      <c r="B541" s="562">
        <v>293419.65000000002</v>
      </c>
      <c r="F541" s="564">
        <v>42826</v>
      </c>
      <c r="G541" s="565">
        <v>319478.15999999997</v>
      </c>
      <c r="H541" s="714">
        <v>159614.53</v>
      </c>
    </row>
    <row r="542" spans="1:8" x14ac:dyDescent="0.2">
      <c r="A542" s="588">
        <v>43124</v>
      </c>
      <c r="B542" s="562">
        <v>293420</v>
      </c>
      <c r="F542" s="564">
        <v>42856</v>
      </c>
      <c r="G542" s="565">
        <v>241828.1</v>
      </c>
      <c r="H542" s="714">
        <v>160436.21</v>
      </c>
    </row>
    <row r="543" spans="1:8" x14ac:dyDescent="0.2">
      <c r="A543" s="588">
        <v>43125</v>
      </c>
      <c r="B543" s="562">
        <v>301331.82</v>
      </c>
      <c r="F543" s="564">
        <v>42887</v>
      </c>
      <c r="G543" s="565">
        <v>248981.18</v>
      </c>
      <c r="H543" s="714">
        <v>160443.22</v>
      </c>
    </row>
    <row r="544" spans="1:8" x14ac:dyDescent="0.2">
      <c r="A544" s="588">
        <v>43126</v>
      </c>
      <c r="B544" s="562">
        <v>327084.28999999998</v>
      </c>
      <c r="F544" s="564">
        <v>42917</v>
      </c>
      <c r="G544" s="565">
        <v>268937.63</v>
      </c>
      <c r="H544" s="714">
        <v>161526.35999999999</v>
      </c>
    </row>
    <row r="545" spans="1:8" x14ac:dyDescent="0.2">
      <c r="A545" s="588">
        <v>43129</v>
      </c>
      <c r="B545" s="562">
        <v>327084</v>
      </c>
      <c r="F545" s="564">
        <v>42948</v>
      </c>
      <c r="G545" s="565">
        <v>198251.6</v>
      </c>
      <c r="H545" s="714">
        <v>162013.01</v>
      </c>
    </row>
    <row r="546" spans="1:8" x14ac:dyDescent="0.2">
      <c r="A546" s="588">
        <v>43130</v>
      </c>
      <c r="B546" s="562">
        <v>327084</v>
      </c>
      <c r="F546" s="564">
        <v>42979</v>
      </c>
      <c r="G546" s="565">
        <v>178964.63</v>
      </c>
      <c r="H546" s="714">
        <v>163493.49</v>
      </c>
    </row>
    <row r="547" spans="1:8" x14ac:dyDescent="0.2">
      <c r="A547" s="588">
        <v>43131</v>
      </c>
      <c r="B547" s="562">
        <v>337130.63</v>
      </c>
      <c r="F547" s="564">
        <v>43009</v>
      </c>
      <c r="G547" s="565">
        <v>199171.39</v>
      </c>
      <c r="H547" s="714">
        <v>164090.28</v>
      </c>
    </row>
    <row r="548" spans="1:8" x14ac:dyDescent="0.2">
      <c r="A548" s="588">
        <v>43132</v>
      </c>
      <c r="B548" s="562">
        <v>334292.59999999998</v>
      </c>
      <c r="F548" s="564">
        <v>43040</v>
      </c>
      <c r="G548" s="565">
        <v>180584.58</v>
      </c>
      <c r="H548" s="714">
        <v>164908.01</v>
      </c>
    </row>
    <row r="549" spans="1:8" x14ac:dyDescent="0.2">
      <c r="A549" s="588">
        <v>43133</v>
      </c>
      <c r="B549" s="562">
        <v>335977.23</v>
      </c>
      <c r="F549" s="564">
        <v>43070</v>
      </c>
      <c r="G549" s="565">
        <v>258260.86</v>
      </c>
      <c r="H549" s="714">
        <v>164937.87</v>
      </c>
    </row>
    <row r="550" spans="1:8" x14ac:dyDescent="0.2">
      <c r="A550" s="588">
        <v>43136</v>
      </c>
      <c r="B550" s="562">
        <v>300614.99</v>
      </c>
      <c r="F550" s="564">
        <v>43101</v>
      </c>
      <c r="G550" s="565">
        <v>297556.56</v>
      </c>
      <c r="H550" s="714">
        <v>167966.33</v>
      </c>
    </row>
    <row r="551" spans="1:8" x14ac:dyDescent="0.2">
      <c r="A551" s="588">
        <v>43137</v>
      </c>
      <c r="B551" s="562">
        <v>295509.53999999998</v>
      </c>
      <c r="F551" s="564">
        <v>43132</v>
      </c>
      <c r="G551" s="565">
        <v>287550</v>
      </c>
      <c r="H551" s="714">
        <v>164746.72</v>
      </c>
    </row>
    <row r="552" spans="1:8" x14ac:dyDescent="0.2">
      <c r="A552" s="588">
        <v>43138</v>
      </c>
      <c r="B552" s="562">
        <v>295510</v>
      </c>
      <c r="F552" s="564">
        <v>43160</v>
      </c>
      <c r="G552" s="565">
        <v>277699.34999999998</v>
      </c>
      <c r="H552" s="714">
        <v>163400.39000000001</v>
      </c>
    </row>
    <row r="553" spans="1:8" x14ac:dyDescent="0.2">
      <c r="A553" s="588">
        <v>43139</v>
      </c>
      <c r="B553" s="562">
        <v>295623.09999999998</v>
      </c>
      <c r="F553" s="564">
        <v>43191</v>
      </c>
      <c r="G553" s="565">
        <v>309160.14</v>
      </c>
      <c r="H553" s="714">
        <v>163874.63</v>
      </c>
    </row>
    <row r="554" spans="1:8" x14ac:dyDescent="0.2">
      <c r="A554" s="588">
        <v>43140</v>
      </c>
      <c r="B554" s="562">
        <v>295623</v>
      </c>
      <c r="F554" s="564">
        <v>43221</v>
      </c>
      <c r="G554" s="565">
        <v>335232.94</v>
      </c>
      <c r="H554" s="714">
        <v>165109.67000000001</v>
      </c>
    </row>
    <row r="555" spans="1:8" x14ac:dyDescent="0.2">
      <c r="A555" s="588">
        <v>43143</v>
      </c>
      <c r="B555" s="562">
        <v>299232.09999999998</v>
      </c>
      <c r="F555" s="564">
        <v>43252</v>
      </c>
      <c r="G555" s="565">
        <v>311330.84000000003</v>
      </c>
      <c r="H555" s="714">
        <v>164894.5</v>
      </c>
    </row>
    <row r="556" spans="1:8" x14ac:dyDescent="0.2">
      <c r="A556" s="588">
        <v>43144</v>
      </c>
      <c r="B556" s="562">
        <v>304422.01</v>
      </c>
    </row>
    <row r="557" spans="1:8" x14ac:dyDescent="0.2">
      <c r="A557" s="588">
        <v>43145</v>
      </c>
      <c r="B557" s="562">
        <v>330191.24</v>
      </c>
    </row>
    <row r="558" spans="1:8" x14ac:dyDescent="0.2">
      <c r="A558" s="588">
        <v>43146</v>
      </c>
      <c r="B558" s="562">
        <v>313471.64</v>
      </c>
    </row>
    <row r="559" spans="1:8" x14ac:dyDescent="0.2">
      <c r="A559" s="588">
        <v>43147</v>
      </c>
      <c r="B559" s="562">
        <v>313472</v>
      </c>
    </row>
    <row r="560" spans="1:8" x14ac:dyDescent="0.2">
      <c r="A560" s="588">
        <v>43150</v>
      </c>
      <c r="B560" s="562">
        <v>313472</v>
      </c>
    </row>
    <row r="561" spans="1:2" x14ac:dyDescent="0.2">
      <c r="A561" s="588">
        <v>43151</v>
      </c>
      <c r="B561" s="562">
        <v>277471.58</v>
      </c>
    </row>
    <row r="562" spans="1:2" x14ac:dyDescent="0.2">
      <c r="A562" s="588">
        <v>43152</v>
      </c>
      <c r="B562" s="562">
        <v>287526.92</v>
      </c>
    </row>
    <row r="563" spans="1:2" x14ac:dyDescent="0.2">
      <c r="A563" s="588">
        <v>43153</v>
      </c>
      <c r="B563" s="562">
        <v>296486.64</v>
      </c>
    </row>
    <row r="564" spans="1:2" x14ac:dyDescent="0.2">
      <c r="A564" s="588">
        <v>43154</v>
      </c>
      <c r="B564" s="562">
        <v>296487</v>
      </c>
    </row>
    <row r="565" spans="1:2" x14ac:dyDescent="0.2">
      <c r="A565" s="588">
        <v>43157</v>
      </c>
      <c r="B565" s="562">
        <v>296487</v>
      </c>
    </row>
    <row r="566" spans="1:2" x14ac:dyDescent="0.2">
      <c r="A566" s="588">
        <v>43158</v>
      </c>
      <c r="B566" s="562">
        <v>335911.5</v>
      </c>
    </row>
    <row r="567" spans="1:2" x14ac:dyDescent="0.2">
      <c r="A567" s="588">
        <v>43159</v>
      </c>
      <c r="B567" s="562">
        <v>335912</v>
      </c>
    </row>
    <row r="568" spans="1:2" x14ac:dyDescent="0.2">
      <c r="A568" s="588">
        <v>43160</v>
      </c>
      <c r="B568" s="562">
        <v>330042.21999999997</v>
      </c>
    </row>
    <row r="569" spans="1:2" x14ac:dyDescent="0.2">
      <c r="A569" s="588">
        <v>43161</v>
      </c>
      <c r="B569" s="562">
        <v>367034.5</v>
      </c>
    </row>
    <row r="570" spans="1:2" x14ac:dyDescent="0.2">
      <c r="A570" s="588">
        <v>43164</v>
      </c>
      <c r="B570" s="562">
        <v>330990.42</v>
      </c>
    </row>
    <row r="571" spans="1:2" x14ac:dyDescent="0.2">
      <c r="A571" s="588">
        <v>43165</v>
      </c>
      <c r="B571" s="562">
        <v>333065.89</v>
      </c>
    </row>
    <row r="572" spans="1:2" x14ac:dyDescent="0.2">
      <c r="A572" s="588">
        <v>43166</v>
      </c>
      <c r="B572" s="562">
        <v>331065.89</v>
      </c>
    </row>
    <row r="573" spans="1:2" x14ac:dyDescent="0.2">
      <c r="A573" s="588">
        <v>43167</v>
      </c>
      <c r="B573" s="562">
        <v>331092.17</v>
      </c>
    </row>
    <row r="574" spans="1:2" x14ac:dyDescent="0.2">
      <c r="A574" s="588">
        <v>43168</v>
      </c>
      <c r="B574" s="562">
        <v>311733.17</v>
      </c>
    </row>
    <row r="575" spans="1:2" x14ac:dyDescent="0.2">
      <c r="A575" s="588">
        <v>43171</v>
      </c>
      <c r="B575" s="562">
        <v>317116.19</v>
      </c>
    </row>
    <row r="576" spans="1:2" x14ac:dyDescent="0.2">
      <c r="A576" s="588">
        <v>43172</v>
      </c>
      <c r="B576" s="562">
        <v>317116</v>
      </c>
    </row>
    <row r="577" spans="1:4" x14ac:dyDescent="0.2">
      <c r="A577" s="588">
        <v>43173</v>
      </c>
      <c r="B577" s="562">
        <v>317496.19</v>
      </c>
    </row>
    <row r="578" spans="1:4" x14ac:dyDescent="0.2">
      <c r="A578" s="588">
        <v>43174</v>
      </c>
      <c r="B578" s="562">
        <v>317772.45</v>
      </c>
    </row>
    <row r="579" spans="1:4" x14ac:dyDescent="0.2">
      <c r="A579" s="588">
        <v>43175</v>
      </c>
      <c r="B579" s="562">
        <v>317772</v>
      </c>
      <c r="C579" s="588"/>
      <c r="D579" s="562"/>
    </row>
    <row r="580" spans="1:4" x14ac:dyDescent="0.2">
      <c r="A580" s="588">
        <v>43178</v>
      </c>
      <c r="B580" s="562">
        <v>279446.55</v>
      </c>
      <c r="C580" s="588"/>
      <c r="D580" s="562"/>
    </row>
    <row r="581" spans="1:4" x14ac:dyDescent="0.2">
      <c r="A581" s="588">
        <v>43179</v>
      </c>
      <c r="B581" s="562">
        <v>272785.62</v>
      </c>
      <c r="C581" s="588"/>
      <c r="D581" s="562"/>
    </row>
    <row r="582" spans="1:4" x14ac:dyDescent="0.2">
      <c r="A582" s="588">
        <v>43180</v>
      </c>
      <c r="B582" s="562">
        <v>288240.15999999997</v>
      </c>
      <c r="C582" s="588"/>
      <c r="D582" s="562"/>
    </row>
    <row r="583" spans="1:4" x14ac:dyDescent="0.2">
      <c r="A583" s="588">
        <v>43181</v>
      </c>
      <c r="B583" s="562">
        <v>278742.74</v>
      </c>
      <c r="C583" s="588"/>
      <c r="D583" s="562"/>
    </row>
    <row r="584" spans="1:4" x14ac:dyDescent="0.2">
      <c r="A584" s="588">
        <v>43182</v>
      </c>
      <c r="B584" s="562">
        <v>278840.24</v>
      </c>
      <c r="C584" s="588"/>
      <c r="D584" s="562"/>
    </row>
    <row r="585" spans="1:4" x14ac:dyDescent="0.2">
      <c r="A585" s="588">
        <v>43185</v>
      </c>
      <c r="B585" s="562">
        <v>278942.24</v>
      </c>
      <c r="C585" s="588"/>
      <c r="D585" s="562"/>
    </row>
    <row r="586" spans="1:4" x14ac:dyDescent="0.2">
      <c r="A586" s="588">
        <v>43186</v>
      </c>
      <c r="B586" s="562">
        <v>257048.49</v>
      </c>
      <c r="C586" s="588"/>
      <c r="D586" s="562"/>
    </row>
    <row r="587" spans="1:4" x14ac:dyDescent="0.2">
      <c r="A587" s="588">
        <v>43187</v>
      </c>
      <c r="B587" s="562">
        <v>252662.47</v>
      </c>
      <c r="C587" s="588"/>
      <c r="D587" s="562"/>
    </row>
    <row r="588" spans="1:4" x14ac:dyDescent="0.2">
      <c r="A588" s="588">
        <v>43188</v>
      </c>
      <c r="B588" s="562">
        <v>254708.73</v>
      </c>
      <c r="C588" s="588"/>
      <c r="D588" s="562"/>
    </row>
    <row r="589" spans="1:4" x14ac:dyDescent="0.2">
      <c r="A589" s="588">
        <v>43189</v>
      </c>
      <c r="B589" s="562">
        <v>281702.86</v>
      </c>
      <c r="C589" s="588"/>
      <c r="D589" s="562"/>
    </row>
    <row r="590" spans="1:4" x14ac:dyDescent="0.2">
      <c r="A590" s="588">
        <v>43192</v>
      </c>
      <c r="B590" s="562">
        <v>244220.77</v>
      </c>
      <c r="C590" s="588"/>
      <c r="D590" s="562"/>
    </row>
    <row r="591" spans="1:4" x14ac:dyDescent="0.2">
      <c r="A591" s="588">
        <v>43193</v>
      </c>
      <c r="B591" s="562">
        <v>244221</v>
      </c>
      <c r="C591" s="588"/>
      <c r="D591" s="562"/>
    </row>
    <row r="592" spans="1:4" x14ac:dyDescent="0.2">
      <c r="A592" s="588">
        <v>43194</v>
      </c>
      <c r="B592" s="562">
        <v>244221</v>
      </c>
      <c r="C592" s="588"/>
      <c r="D592" s="562"/>
    </row>
    <row r="593" spans="1:4" x14ac:dyDescent="0.2">
      <c r="A593" s="588">
        <v>43195</v>
      </c>
      <c r="B593" s="562">
        <v>225503.87</v>
      </c>
      <c r="C593" s="588"/>
      <c r="D593" s="562"/>
    </row>
    <row r="594" spans="1:4" x14ac:dyDescent="0.2">
      <c r="A594" s="588">
        <v>43196</v>
      </c>
      <c r="B594" s="562">
        <v>225504</v>
      </c>
      <c r="C594" s="588"/>
      <c r="D594" s="562"/>
    </row>
    <row r="595" spans="1:4" x14ac:dyDescent="0.2">
      <c r="A595" s="588">
        <v>43199</v>
      </c>
      <c r="B595" s="562">
        <v>225503.8</v>
      </c>
      <c r="C595" s="588"/>
      <c r="D595" s="562"/>
    </row>
    <row r="596" spans="1:4" x14ac:dyDescent="0.2">
      <c r="A596" s="588">
        <v>43200</v>
      </c>
      <c r="B596" s="562">
        <v>227389.96</v>
      </c>
      <c r="C596" s="588"/>
      <c r="D596" s="562"/>
    </row>
    <row r="597" spans="1:4" x14ac:dyDescent="0.2">
      <c r="A597" s="588">
        <v>43201</v>
      </c>
      <c r="B597" s="562">
        <v>235472.53</v>
      </c>
      <c r="C597" s="588"/>
      <c r="D597" s="562"/>
    </row>
    <row r="598" spans="1:4" x14ac:dyDescent="0.2">
      <c r="A598" s="588">
        <v>43202</v>
      </c>
      <c r="B598" s="562">
        <v>222207.84</v>
      </c>
      <c r="C598" s="588"/>
      <c r="D598" s="562"/>
    </row>
    <row r="599" spans="1:4" x14ac:dyDescent="0.2">
      <c r="A599" s="588">
        <v>43203</v>
      </c>
      <c r="B599" s="562">
        <v>222287.93</v>
      </c>
      <c r="C599" s="588"/>
      <c r="D599" s="562"/>
    </row>
    <row r="600" spans="1:4" x14ac:dyDescent="0.2">
      <c r="A600" s="588">
        <v>43206</v>
      </c>
      <c r="B600" s="562">
        <v>186664.28</v>
      </c>
      <c r="C600" s="588"/>
      <c r="D600" s="562"/>
    </row>
    <row r="601" spans="1:4" x14ac:dyDescent="0.2">
      <c r="A601" s="588">
        <v>43207</v>
      </c>
      <c r="B601" s="562">
        <v>188484.95</v>
      </c>
      <c r="C601" s="588"/>
      <c r="D601" s="562"/>
    </row>
    <row r="602" spans="1:4" x14ac:dyDescent="0.2">
      <c r="A602" s="588">
        <v>43208</v>
      </c>
      <c r="B602" s="562">
        <v>188485</v>
      </c>
      <c r="C602" s="588"/>
      <c r="D602" s="562"/>
    </row>
    <row r="603" spans="1:4" x14ac:dyDescent="0.2">
      <c r="A603" s="588">
        <v>43209</v>
      </c>
      <c r="B603" s="562">
        <v>180474.73</v>
      </c>
      <c r="C603" s="588"/>
      <c r="D603" s="562"/>
    </row>
    <row r="604" spans="1:4" x14ac:dyDescent="0.2">
      <c r="A604" s="588">
        <v>43210</v>
      </c>
      <c r="B604" s="562">
        <v>188207.38</v>
      </c>
      <c r="C604" s="588"/>
      <c r="D604" s="562"/>
    </row>
    <row r="605" spans="1:4" x14ac:dyDescent="0.2">
      <c r="A605" s="588">
        <v>43213</v>
      </c>
      <c r="B605" s="562">
        <v>198618.83</v>
      </c>
      <c r="C605" s="588"/>
      <c r="D605" s="562"/>
    </row>
    <row r="606" spans="1:4" x14ac:dyDescent="0.2">
      <c r="A606" s="588">
        <v>43214</v>
      </c>
      <c r="B606" s="562">
        <v>198619</v>
      </c>
      <c r="C606" s="588"/>
      <c r="D606" s="562"/>
    </row>
    <row r="607" spans="1:4" x14ac:dyDescent="0.2">
      <c r="A607" s="588">
        <v>43215</v>
      </c>
      <c r="B607" s="562">
        <v>198619</v>
      </c>
      <c r="C607" s="588"/>
      <c r="D607" s="562"/>
    </row>
    <row r="608" spans="1:4" x14ac:dyDescent="0.2">
      <c r="A608" s="588">
        <v>43216</v>
      </c>
      <c r="B608" s="562">
        <v>189089.55</v>
      </c>
      <c r="C608" s="588"/>
      <c r="D608" s="562"/>
    </row>
    <row r="609" spans="1:4" x14ac:dyDescent="0.2">
      <c r="A609" s="588">
        <v>43217</v>
      </c>
      <c r="B609" s="562">
        <v>216053.77</v>
      </c>
      <c r="C609" s="588"/>
      <c r="D609" s="562"/>
    </row>
    <row r="610" spans="1:4" x14ac:dyDescent="0.2">
      <c r="A610" s="588">
        <v>43220</v>
      </c>
      <c r="B610" s="562">
        <v>179849.52</v>
      </c>
      <c r="C610" s="588"/>
      <c r="D610" s="562"/>
    </row>
    <row r="611" spans="1:4" x14ac:dyDescent="0.2">
      <c r="A611" s="588">
        <v>43221</v>
      </c>
      <c r="B611" s="562">
        <v>179850</v>
      </c>
      <c r="C611" s="588"/>
      <c r="D611" s="562"/>
    </row>
    <row r="612" spans="1:4" x14ac:dyDescent="0.2">
      <c r="A612" s="588">
        <v>43222</v>
      </c>
      <c r="B612" s="562">
        <v>173749.01</v>
      </c>
      <c r="C612" s="588"/>
      <c r="D612" s="562"/>
    </row>
    <row r="613" spans="1:4" x14ac:dyDescent="0.2">
      <c r="A613" s="588">
        <v>43223</v>
      </c>
      <c r="B613" s="562">
        <v>200792.85</v>
      </c>
      <c r="C613" s="588"/>
      <c r="D613" s="562"/>
    </row>
    <row r="614" spans="1:4" x14ac:dyDescent="0.2">
      <c r="A614" s="588">
        <v>43224</v>
      </c>
      <c r="B614" s="562">
        <v>202331.91</v>
      </c>
      <c r="C614" s="588"/>
      <c r="D614" s="562"/>
    </row>
    <row r="615" spans="1:4" x14ac:dyDescent="0.2">
      <c r="A615" s="588">
        <v>43227</v>
      </c>
      <c r="B615" s="562">
        <v>203517.87</v>
      </c>
      <c r="C615" s="588"/>
      <c r="D615" s="562"/>
    </row>
    <row r="616" spans="1:4" x14ac:dyDescent="0.2">
      <c r="A616" s="588">
        <v>43228</v>
      </c>
      <c r="B616" s="562">
        <v>203518</v>
      </c>
      <c r="C616" s="588"/>
      <c r="D616" s="562"/>
    </row>
    <row r="617" spans="1:4" x14ac:dyDescent="0.2">
      <c r="A617" s="588">
        <v>43229</v>
      </c>
      <c r="B617" s="562">
        <v>203518</v>
      </c>
      <c r="C617" s="588"/>
      <c r="D617" s="562"/>
    </row>
    <row r="618" spans="1:4" x14ac:dyDescent="0.2">
      <c r="A618" s="588">
        <v>43230</v>
      </c>
      <c r="B618" s="562">
        <v>191114.58</v>
      </c>
      <c r="C618" s="588"/>
      <c r="D618" s="562"/>
    </row>
    <row r="619" spans="1:4" x14ac:dyDescent="0.2">
      <c r="A619" s="588">
        <v>43231</v>
      </c>
      <c r="B619" s="562">
        <v>153114.57999999999</v>
      </c>
      <c r="C619" s="588"/>
      <c r="D619" s="562"/>
    </row>
    <row r="620" spans="1:4" x14ac:dyDescent="0.2">
      <c r="A620" s="588">
        <v>43234</v>
      </c>
      <c r="B620" s="562">
        <v>153115</v>
      </c>
      <c r="C620" s="588"/>
      <c r="D620" s="562"/>
    </row>
    <row r="621" spans="1:4" x14ac:dyDescent="0.2">
      <c r="A621" s="588">
        <v>43235</v>
      </c>
      <c r="B621" s="562">
        <v>182792.08</v>
      </c>
      <c r="C621" s="588"/>
      <c r="D621" s="562"/>
    </row>
    <row r="622" spans="1:4" x14ac:dyDescent="0.2">
      <c r="A622" s="588">
        <v>43236</v>
      </c>
      <c r="B622" s="562">
        <v>182792</v>
      </c>
      <c r="C622" s="588"/>
      <c r="D622" s="562"/>
    </row>
    <row r="623" spans="1:4" x14ac:dyDescent="0.2">
      <c r="A623" s="588">
        <v>43237</v>
      </c>
      <c r="B623" s="562">
        <v>222152.66</v>
      </c>
      <c r="C623" s="588"/>
      <c r="D623" s="562"/>
    </row>
    <row r="624" spans="1:4" x14ac:dyDescent="0.2">
      <c r="A624" s="588">
        <v>43238</v>
      </c>
      <c r="B624" s="562">
        <v>222153</v>
      </c>
      <c r="C624" s="588"/>
      <c r="D624" s="562"/>
    </row>
    <row r="625" spans="1:4" x14ac:dyDescent="0.2">
      <c r="A625" s="588">
        <v>43241</v>
      </c>
      <c r="B625" s="562">
        <v>222153</v>
      </c>
      <c r="C625" s="588"/>
      <c r="D625" s="562"/>
    </row>
    <row r="626" spans="1:4" x14ac:dyDescent="0.2">
      <c r="A626" s="588">
        <v>43242</v>
      </c>
      <c r="B626" s="562">
        <v>222153</v>
      </c>
      <c r="C626" s="588"/>
      <c r="D626" s="562"/>
    </row>
    <row r="627" spans="1:4" x14ac:dyDescent="0.2">
      <c r="A627" s="588">
        <v>43243</v>
      </c>
      <c r="B627" s="562">
        <v>222152</v>
      </c>
      <c r="C627" s="588"/>
      <c r="D627" s="562"/>
    </row>
    <row r="628" spans="1:4" x14ac:dyDescent="0.2">
      <c r="A628" s="588">
        <v>43244</v>
      </c>
      <c r="B628" s="562">
        <v>211720.43</v>
      </c>
      <c r="C628" s="588"/>
      <c r="D628" s="562"/>
    </row>
    <row r="629" spans="1:4" x14ac:dyDescent="0.2">
      <c r="A629" s="588">
        <v>43245</v>
      </c>
      <c r="B629" s="562">
        <v>211720</v>
      </c>
      <c r="C629" s="588"/>
      <c r="D629" s="562"/>
    </row>
    <row r="630" spans="1:4" x14ac:dyDescent="0.2">
      <c r="A630" s="588">
        <v>43248</v>
      </c>
      <c r="B630" s="562">
        <v>211720</v>
      </c>
      <c r="C630" s="588"/>
      <c r="D630" s="562"/>
    </row>
    <row r="631" spans="1:4" x14ac:dyDescent="0.2">
      <c r="A631" s="588">
        <v>43249</v>
      </c>
      <c r="B631" s="562">
        <v>176327.95</v>
      </c>
      <c r="C631" s="588"/>
      <c r="D631" s="562"/>
    </row>
    <row r="632" spans="1:4" x14ac:dyDescent="0.2">
      <c r="A632" s="588">
        <v>43250</v>
      </c>
      <c r="B632" s="562">
        <v>176328</v>
      </c>
      <c r="C632" s="588"/>
      <c r="D632" s="562"/>
    </row>
    <row r="633" spans="1:4" x14ac:dyDescent="0.2">
      <c r="A633" s="588">
        <v>43251</v>
      </c>
      <c r="B633" s="562">
        <v>169004.5</v>
      </c>
      <c r="C633" s="588"/>
      <c r="D633" s="562"/>
    </row>
    <row r="634" spans="1:4" x14ac:dyDescent="0.2">
      <c r="A634" s="588">
        <v>43252</v>
      </c>
      <c r="B634" s="562">
        <v>261992.26</v>
      </c>
      <c r="C634" s="588"/>
      <c r="D634" s="562"/>
    </row>
    <row r="635" spans="1:4" x14ac:dyDescent="0.2">
      <c r="A635" s="588">
        <v>43255</v>
      </c>
      <c r="B635" s="562">
        <v>270521.09000000003</v>
      </c>
      <c r="C635" s="588"/>
      <c r="D635" s="562"/>
    </row>
    <row r="636" spans="1:4" x14ac:dyDescent="0.2">
      <c r="A636" s="588">
        <v>43256</v>
      </c>
      <c r="B636" s="562">
        <v>285365.09000000003</v>
      </c>
      <c r="C636" s="588"/>
      <c r="D636" s="562"/>
    </row>
    <row r="637" spans="1:4" x14ac:dyDescent="0.2">
      <c r="A637" s="588">
        <v>43257</v>
      </c>
      <c r="B637" s="562">
        <v>285365</v>
      </c>
      <c r="C637" s="588"/>
      <c r="D637" s="562"/>
    </row>
    <row r="638" spans="1:4" x14ac:dyDescent="0.2">
      <c r="A638" s="588">
        <v>43258</v>
      </c>
      <c r="B638" s="562">
        <v>287246.65999999997</v>
      </c>
      <c r="C638" s="588"/>
      <c r="D638" s="562"/>
    </row>
    <row r="639" spans="1:4" x14ac:dyDescent="0.2">
      <c r="A639" s="588">
        <v>43259</v>
      </c>
      <c r="B639" s="562">
        <v>287247</v>
      </c>
      <c r="C639" s="588"/>
      <c r="D639" s="562"/>
    </row>
    <row r="640" spans="1:4" x14ac:dyDescent="0.2">
      <c r="A640" s="588">
        <v>43262</v>
      </c>
      <c r="B640" s="562">
        <v>287247</v>
      </c>
      <c r="C640" s="588"/>
      <c r="D640" s="562"/>
    </row>
    <row r="641" spans="1:4" x14ac:dyDescent="0.2">
      <c r="A641" s="588">
        <v>43263</v>
      </c>
      <c r="B641" s="562">
        <v>253042.79</v>
      </c>
      <c r="C641" s="588"/>
      <c r="D641" s="562"/>
    </row>
    <row r="642" spans="1:4" x14ac:dyDescent="0.2">
      <c r="A642" s="588">
        <v>43264</v>
      </c>
      <c r="B642" s="562">
        <v>253043</v>
      </c>
      <c r="C642" s="588"/>
      <c r="D642" s="562"/>
    </row>
    <row r="643" spans="1:4" x14ac:dyDescent="0.2">
      <c r="A643" s="588">
        <v>43265</v>
      </c>
      <c r="B643" s="562">
        <v>246521.36</v>
      </c>
      <c r="C643" s="588"/>
      <c r="D643" s="562"/>
    </row>
    <row r="644" spans="1:4" x14ac:dyDescent="0.2">
      <c r="A644" s="588">
        <v>43266</v>
      </c>
      <c r="B644" s="562">
        <v>246593.56</v>
      </c>
      <c r="C644" s="588"/>
      <c r="D644" s="562"/>
    </row>
    <row r="645" spans="1:4" x14ac:dyDescent="0.2">
      <c r="A645" s="588">
        <v>43269</v>
      </c>
      <c r="B645" s="562">
        <v>246594</v>
      </c>
      <c r="C645" s="588"/>
      <c r="D645" s="562"/>
    </row>
    <row r="646" spans="1:4" x14ac:dyDescent="0.2">
      <c r="A646" s="588">
        <v>43270</v>
      </c>
      <c r="B646" s="562">
        <v>246594</v>
      </c>
      <c r="C646" s="588"/>
      <c r="D646" s="562"/>
    </row>
    <row r="647" spans="1:4" x14ac:dyDescent="0.2">
      <c r="A647" s="588">
        <v>43271</v>
      </c>
      <c r="B647" s="562">
        <v>246594</v>
      </c>
      <c r="C647" s="588"/>
      <c r="D647" s="562"/>
    </row>
    <row r="648" spans="1:4" x14ac:dyDescent="0.2">
      <c r="A648" s="588">
        <v>43272</v>
      </c>
      <c r="B648" s="562">
        <v>228395.48</v>
      </c>
      <c r="C648" s="588"/>
      <c r="D648" s="562"/>
    </row>
    <row r="649" spans="1:4" x14ac:dyDescent="0.2">
      <c r="A649" s="588">
        <v>43273</v>
      </c>
      <c r="B649" s="562">
        <v>228395</v>
      </c>
      <c r="C649" s="588"/>
      <c r="D649" s="562"/>
    </row>
    <row r="650" spans="1:4" x14ac:dyDescent="0.2">
      <c r="A650" s="588">
        <v>43276</v>
      </c>
      <c r="B650" s="562">
        <v>192627.9</v>
      </c>
      <c r="C650" s="588"/>
      <c r="D650" s="562"/>
    </row>
    <row r="651" spans="1:4" x14ac:dyDescent="0.2">
      <c r="A651" s="588">
        <v>43277</v>
      </c>
      <c r="B651" s="562">
        <v>192628</v>
      </c>
      <c r="C651" s="588"/>
      <c r="D651" s="562"/>
    </row>
    <row r="652" spans="1:4" x14ac:dyDescent="0.2">
      <c r="A652" s="588">
        <v>43278</v>
      </c>
      <c r="B652" s="562">
        <v>192628</v>
      </c>
      <c r="C652" s="588"/>
      <c r="D652" s="562"/>
    </row>
    <row r="653" spans="1:4" x14ac:dyDescent="0.2">
      <c r="A653" s="588">
        <v>43279</v>
      </c>
      <c r="B653" s="562">
        <v>193904.61</v>
      </c>
      <c r="C653" s="588"/>
      <c r="D653" s="562"/>
    </row>
    <row r="654" spans="1:4" x14ac:dyDescent="0.2">
      <c r="A654" s="588">
        <v>43280</v>
      </c>
      <c r="B654" s="562">
        <v>195328.48</v>
      </c>
      <c r="C654" s="588"/>
      <c r="D654" s="562"/>
    </row>
    <row r="655" spans="1:4" x14ac:dyDescent="0.2">
      <c r="A655" s="588">
        <v>43283</v>
      </c>
      <c r="B655" s="562">
        <v>199304.09</v>
      </c>
      <c r="C655" s="588"/>
      <c r="D655" s="562"/>
    </row>
    <row r="656" spans="1:4" x14ac:dyDescent="0.2">
      <c r="A656" s="588">
        <v>43284</v>
      </c>
      <c r="B656" s="562">
        <v>201071.11</v>
      </c>
      <c r="C656" s="588"/>
      <c r="D656" s="562"/>
    </row>
    <row r="657" spans="1:4" x14ac:dyDescent="0.2">
      <c r="A657" s="588">
        <v>43285</v>
      </c>
      <c r="B657" s="562">
        <v>201071</v>
      </c>
      <c r="C657" s="588"/>
      <c r="D657" s="562"/>
    </row>
    <row r="658" spans="1:4" x14ac:dyDescent="0.2">
      <c r="A658" s="588">
        <v>43286</v>
      </c>
      <c r="B658" s="562">
        <v>223298.16</v>
      </c>
      <c r="C658" s="588"/>
      <c r="D658" s="562"/>
    </row>
    <row r="659" spans="1:4" x14ac:dyDescent="0.2">
      <c r="A659" s="588">
        <v>43287</v>
      </c>
      <c r="B659" s="562">
        <v>238962.66</v>
      </c>
      <c r="C659" s="588"/>
      <c r="D659" s="562"/>
    </row>
    <row r="660" spans="1:4" x14ac:dyDescent="0.2">
      <c r="A660" s="588">
        <v>43290</v>
      </c>
      <c r="B660" s="562">
        <v>203086.22</v>
      </c>
      <c r="C660" s="588"/>
      <c r="D660" s="562"/>
    </row>
    <row r="661" spans="1:4" x14ac:dyDescent="0.2">
      <c r="A661" s="588">
        <v>43291</v>
      </c>
      <c r="B661" s="562">
        <v>226930.31</v>
      </c>
      <c r="C661" s="588"/>
      <c r="D661" s="562"/>
    </row>
    <row r="662" spans="1:4" x14ac:dyDescent="0.2">
      <c r="A662" s="588">
        <v>43292</v>
      </c>
      <c r="B662" s="562">
        <v>226930</v>
      </c>
      <c r="C662" s="588"/>
      <c r="D662" s="562"/>
    </row>
    <row r="663" spans="1:4" x14ac:dyDescent="0.2">
      <c r="A663" s="588">
        <v>43293</v>
      </c>
      <c r="B663" s="562">
        <v>220822.05</v>
      </c>
      <c r="C663" s="588"/>
      <c r="D663" s="562"/>
    </row>
    <row r="664" spans="1:4" x14ac:dyDescent="0.2">
      <c r="A664" s="588">
        <v>43294</v>
      </c>
      <c r="B664" s="562">
        <v>220883.3</v>
      </c>
      <c r="C664" s="588"/>
      <c r="D664" s="562"/>
    </row>
    <row r="665" spans="1:4" x14ac:dyDescent="0.2">
      <c r="A665" s="588">
        <v>43297</v>
      </c>
      <c r="C665" s="588"/>
      <c r="D665" s="562"/>
    </row>
    <row r="666" spans="1:4" x14ac:dyDescent="0.2">
      <c r="A666" s="588">
        <v>43298</v>
      </c>
      <c r="C666" s="588"/>
      <c r="D666" s="562"/>
    </row>
    <row r="667" spans="1:4" x14ac:dyDescent="0.2">
      <c r="A667" s="588">
        <v>43299</v>
      </c>
      <c r="C667" s="588"/>
      <c r="D667" s="562"/>
    </row>
    <row r="668" spans="1:4" x14ac:dyDescent="0.2">
      <c r="A668" s="588">
        <v>43300</v>
      </c>
      <c r="C668" s="588"/>
      <c r="D668" s="562"/>
    </row>
    <row r="669" spans="1:4" x14ac:dyDescent="0.2">
      <c r="A669" s="588">
        <v>43301</v>
      </c>
      <c r="C669" s="588"/>
      <c r="D669" s="562"/>
    </row>
    <row r="670" spans="1:4" x14ac:dyDescent="0.2">
      <c r="A670" s="588">
        <v>43304</v>
      </c>
      <c r="C670" s="588"/>
      <c r="D670" s="562"/>
    </row>
    <row r="671" spans="1:4" x14ac:dyDescent="0.2">
      <c r="A671" s="588">
        <v>43305</v>
      </c>
      <c r="C671" s="588"/>
      <c r="D671" s="562"/>
    </row>
    <row r="672" spans="1:4" x14ac:dyDescent="0.2">
      <c r="A672" s="588">
        <v>43306</v>
      </c>
      <c r="C672" s="588"/>
      <c r="D672" s="562"/>
    </row>
    <row r="673" spans="1:4" x14ac:dyDescent="0.2">
      <c r="A673" s="588">
        <v>43307</v>
      </c>
      <c r="C673" s="588"/>
      <c r="D673" s="562"/>
    </row>
    <row r="674" spans="1:4" x14ac:dyDescent="0.2">
      <c r="A674" s="588">
        <v>43308</v>
      </c>
      <c r="C674" s="588"/>
      <c r="D674" s="562"/>
    </row>
    <row r="675" spans="1:4" x14ac:dyDescent="0.2">
      <c r="A675" s="588">
        <v>43311</v>
      </c>
      <c r="C675" s="588"/>
      <c r="D675" s="562"/>
    </row>
    <row r="676" spans="1:4" x14ac:dyDescent="0.2">
      <c r="A676" s="588">
        <v>43312</v>
      </c>
      <c r="C676" s="588"/>
      <c r="D676" s="562"/>
    </row>
    <row r="677" spans="1:4" x14ac:dyDescent="0.2">
      <c r="A677" s="588">
        <v>43313</v>
      </c>
      <c r="C677" s="588"/>
      <c r="D677" s="562"/>
    </row>
    <row r="678" spans="1:4" x14ac:dyDescent="0.2">
      <c r="A678" s="588">
        <v>43314</v>
      </c>
      <c r="C678" s="588"/>
      <c r="D678" s="562"/>
    </row>
    <row r="679" spans="1:4" x14ac:dyDescent="0.2">
      <c r="A679" s="588">
        <v>43315</v>
      </c>
      <c r="C679" s="588"/>
      <c r="D679" s="562"/>
    </row>
    <row r="680" spans="1:4" x14ac:dyDescent="0.2">
      <c r="A680" s="588">
        <v>43318</v>
      </c>
      <c r="C680" s="588"/>
      <c r="D680" s="562"/>
    </row>
    <row r="681" spans="1:4" x14ac:dyDescent="0.2">
      <c r="A681" s="588">
        <v>43319</v>
      </c>
      <c r="C681" s="588"/>
      <c r="D681" s="562"/>
    </row>
    <row r="682" spans="1:4" x14ac:dyDescent="0.2">
      <c r="A682" s="588">
        <v>43320</v>
      </c>
      <c r="C682" s="588"/>
      <c r="D682" s="562"/>
    </row>
    <row r="683" spans="1:4" x14ac:dyDescent="0.2">
      <c r="A683" s="588">
        <v>43321</v>
      </c>
      <c r="C683" s="588"/>
      <c r="D683" s="562"/>
    </row>
    <row r="684" spans="1:4" x14ac:dyDescent="0.2">
      <c r="A684" s="588">
        <v>43322</v>
      </c>
      <c r="C684" s="588"/>
      <c r="D684" s="562"/>
    </row>
    <row r="685" spans="1:4" x14ac:dyDescent="0.2">
      <c r="A685" s="588">
        <v>43325</v>
      </c>
      <c r="C685" s="588"/>
      <c r="D685" s="562"/>
    </row>
    <row r="686" spans="1:4" x14ac:dyDescent="0.2">
      <c r="A686" s="588">
        <v>43326</v>
      </c>
      <c r="C686" s="588"/>
      <c r="D686" s="562"/>
    </row>
    <row r="689" spans="1:2" x14ac:dyDescent="0.2">
      <c r="A689" s="593" t="s">
        <v>327</v>
      </c>
      <c r="B689" s="562">
        <f>MAX(B525:B686)</f>
        <v>367034.5</v>
      </c>
    </row>
    <row r="690" spans="1:2" x14ac:dyDescent="0.2">
      <c r="A690" s="593" t="s">
        <v>328</v>
      </c>
      <c r="B690" s="562">
        <f>MIN(B525:B686)</f>
        <v>153114.57999999999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0"/>
  <sheetViews>
    <sheetView zoomScaleNormal="100" workbookViewId="0">
      <selection activeCell="H56" sqref="H56"/>
    </sheetView>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32</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431</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79" t="s">
        <v>174</v>
      </c>
      <c r="B5" s="280"/>
      <c r="C5" s="280"/>
      <c r="D5" s="280"/>
      <c r="E5" s="280"/>
      <c r="F5" s="280"/>
      <c r="G5" s="280"/>
      <c r="H5" s="280"/>
      <c r="I5" s="280"/>
      <c r="J5" s="280"/>
      <c r="K5" s="281"/>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702" t="s">
        <v>24</v>
      </c>
      <c r="B6" s="449" t="s">
        <v>14</v>
      </c>
      <c r="C6" s="668" t="s">
        <v>1</v>
      </c>
      <c r="D6" s="449" t="s">
        <v>2</v>
      </c>
      <c r="E6" s="668" t="s">
        <v>3</v>
      </c>
      <c r="F6" s="282" t="s">
        <v>11</v>
      </c>
      <c r="G6" s="282" t="s">
        <v>29</v>
      </c>
      <c r="H6" s="673" t="s">
        <v>225</v>
      </c>
      <c r="I6" s="282" t="s">
        <v>28</v>
      </c>
      <c r="J6" s="282" t="s">
        <v>21</v>
      </c>
      <c r="K6" s="282" t="s">
        <v>102</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703" t="s">
        <v>325</v>
      </c>
      <c r="B7" s="394" t="s">
        <v>16</v>
      </c>
      <c r="C7" s="6" t="s">
        <v>169</v>
      </c>
      <c r="D7" s="317">
        <v>42826</v>
      </c>
      <c r="E7" s="7">
        <v>43190</v>
      </c>
      <c r="F7" s="339">
        <v>189383</v>
      </c>
      <c r="G7" s="321">
        <f>I7-H7</f>
        <v>0</v>
      </c>
      <c r="H7" s="708"/>
      <c r="I7" s="321"/>
      <c r="J7" s="321"/>
      <c r="K7" s="332"/>
      <c r="L7" s="46"/>
      <c r="M7" s="29"/>
      <c r="N7" s="29"/>
    </row>
    <row r="8" spans="1:48" x14ac:dyDescent="0.2">
      <c r="A8" s="704" t="s">
        <v>382</v>
      </c>
      <c r="B8" s="395" t="s">
        <v>16</v>
      </c>
      <c r="C8" s="669" t="s">
        <v>169</v>
      </c>
      <c r="D8" s="336">
        <v>43191</v>
      </c>
      <c r="E8" s="671">
        <v>43465</v>
      </c>
      <c r="F8" s="720">
        <v>183868</v>
      </c>
      <c r="G8" s="338">
        <f>+(+I8-H8)</f>
        <v>0</v>
      </c>
      <c r="H8" s="674">
        <f>'June''18 AR Aging '!G7</f>
        <v>44001.31</v>
      </c>
      <c r="I8" s="338">
        <f>H8</f>
        <v>44001.31</v>
      </c>
      <c r="J8" s="337">
        <f>F8-I8</f>
        <v>139866.69</v>
      </c>
      <c r="K8" s="401"/>
      <c r="L8" s="272"/>
      <c r="M8" s="309"/>
      <c r="N8" s="29"/>
    </row>
    <row r="9" spans="1:48" hidden="1" x14ac:dyDescent="0.2">
      <c r="A9" s="703" t="s">
        <v>303</v>
      </c>
      <c r="B9" s="394" t="s">
        <v>15</v>
      </c>
      <c r="C9" s="6" t="s">
        <v>176</v>
      </c>
      <c r="D9" s="317">
        <v>42826</v>
      </c>
      <c r="E9" s="7">
        <v>43190</v>
      </c>
      <c r="F9" s="339"/>
      <c r="G9" s="321"/>
      <c r="H9" s="340"/>
      <c r="I9" s="321"/>
      <c r="J9" s="339"/>
      <c r="K9" s="321"/>
      <c r="L9" s="272"/>
      <c r="M9" s="309"/>
      <c r="N9" s="29"/>
    </row>
    <row r="10" spans="1:48" x14ac:dyDescent="0.2">
      <c r="A10" s="1" t="s">
        <v>340</v>
      </c>
      <c r="B10" s="394" t="s">
        <v>15</v>
      </c>
      <c r="C10" s="6" t="s">
        <v>176</v>
      </c>
      <c r="D10" s="317">
        <v>42917</v>
      </c>
      <c r="E10" s="7">
        <v>43281</v>
      </c>
      <c r="F10" s="339">
        <v>319000</v>
      </c>
      <c r="G10" s="321">
        <f>I10-H10</f>
        <v>193050.44</v>
      </c>
      <c r="H10" s="340">
        <f>'June''18 AR Aging '!G13</f>
        <v>124719.98</v>
      </c>
      <c r="I10" s="321">
        <v>317770.42</v>
      </c>
      <c r="J10" s="339">
        <f>F10-I10</f>
        <v>1229.5800000000163</v>
      </c>
      <c r="K10" s="332"/>
      <c r="L10" s="272"/>
      <c r="M10" s="309"/>
      <c r="N10" s="29"/>
    </row>
    <row r="11" spans="1:48" x14ac:dyDescent="0.2">
      <c r="A11" s="704" t="s">
        <v>399</v>
      </c>
      <c r="B11" s="395" t="s">
        <v>15</v>
      </c>
      <c r="C11" s="669" t="s">
        <v>176</v>
      </c>
      <c r="D11" s="336">
        <v>43282</v>
      </c>
      <c r="E11" s="671">
        <v>43646</v>
      </c>
      <c r="F11" s="337">
        <v>319000</v>
      </c>
      <c r="G11" s="338"/>
      <c r="H11" s="674"/>
      <c r="I11" s="338"/>
      <c r="J11" s="337"/>
      <c r="K11" s="401"/>
      <c r="L11" s="272"/>
      <c r="M11" s="309"/>
      <c r="N11" s="29"/>
    </row>
    <row r="12" spans="1:48" s="4" customFormat="1" x14ac:dyDescent="0.2">
      <c r="A12" s="703" t="s">
        <v>369</v>
      </c>
      <c r="B12" s="394" t="s">
        <v>15</v>
      </c>
      <c r="C12" s="6" t="s">
        <v>177</v>
      </c>
      <c r="D12" s="317">
        <v>43191</v>
      </c>
      <c r="E12" s="7">
        <v>43373</v>
      </c>
      <c r="F12" s="339">
        <v>66500</v>
      </c>
      <c r="G12" s="321"/>
      <c r="H12" s="340">
        <f>'June''18 AR Aging '!G19</f>
        <v>12315.75</v>
      </c>
      <c r="I12" s="321">
        <f>H12</f>
        <v>12315.75</v>
      </c>
      <c r="J12" s="339">
        <f>+F12-I12</f>
        <v>54184.25</v>
      </c>
      <c r="K12" s="321"/>
      <c r="L12" s="272"/>
      <c r="M12" s="309"/>
      <c r="N12" s="29"/>
      <c r="O12" s="29"/>
      <c r="P12" s="29"/>
      <c r="Q12" s="29"/>
      <c r="R12" s="29"/>
      <c r="S12" s="29"/>
      <c r="T12" s="29"/>
      <c r="U12" s="29"/>
      <c r="V12" s="29"/>
      <c r="W12" s="29"/>
      <c r="X12" s="29"/>
      <c r="Y12" s="29"/>
      <c r="Z12" s="29"/>
      <c r="AA12" s="29"/>
      <c r="AB12" s="11"/>
      <c r="AC12" s="11"/>
      <c r="AD12" s="11"/>
      <c r="AE12" s="11"/>
      <c r="AF12" s="11"/>
      <c r="AG12" s="11"/>
      <c r="AH12" s="11"/>
      <c r="AI12" s="11"/>
      <c r="AJ12" s="11"/>
      <c r="AK12" s="11"/>
      <c r="AL12" s="11"/>
      <c r="AM12" s="1"/>
      <c r="AN12" s="1"/>
      <c r="AO12" s="1"/>
      <c r="AP12" s="1"/>
      <c r="AQ12" s="1"/>
      <c r="AR12" s="1"/>
      <c r="AS12" s="1"/>
      <c r="AT12" s="1"/>
      <c r="AU12" s="1"/>
      <c r="AV12" s="1"/>
    </row>
    <row r="13" spans="1:48" s="4" customFormat="1" x14ac:dyDescent="0.2">
      <c r="A13" s="703" t="s">
        <v>200</v>
      </c>
      <c r="B13" s="394" t="s">
        <v>15</v>
      </c>
      <c r="C13" s="6" t="s">
        <v>178</v>
      </c>
      <c r="D13" s="317">
        <v>42826</v>
      </c>
      <c r="E13" s="7">
        <v>43190</v>
      </c>
      <c r="F13" s="427">
        <f>13332+1000</f>
        <v>14332</v>
      </c>
      <c r="G13" s="321">
        <f>+(+I13-H13)</f>
        <v>14123.06</v>
      </c>
      <c r="H13" s="340">
        <f>'June''18 AR Aging '!G20</f>
        <v>379.58</v>
      </c>
      <c r="I13" s="321">
        <f>15512.64-1181+171</f>
        <v>14502.64</v>
      </c>
      <c r="J13" s="339">
        <f t="shared" ref="J13" si="0">+F13-I13</f>
        <v>-170.63999999999942</v>
      </c>
      <c r="K13" s="321"/>
      <c r="L13" s="272"/>
      <c r="M13" s="309"/>
      <c r="N13" s="29"/>
      <c r="O13" s="29"/>
      <c r="P13" s="29"/>
      <c r="Q13" s="29"/>
      <c r="R13" s="29"/>
      <c r="S13" s="29"/>
      <c r="T13" s="29"/>
      <c r="U13" s="29"/>
      <c r="V13" s="29"/>
      <c r="W13" s="29"/>
      <c r="X13" s="29"/>
      <c r="Y13" s="29"/>
      <c r="Z13" s="29"/>
      <c r="AA13" s="29"/>
      <c r="AB13" s="11"/>
      <c r="AC13" s="11"/>
      <c r="AD13" s="11"/>
      <c r="AE13" s="11"/>
      <c r="AF13" s="11"/>
      <c r="AG13" s="11"/>
      <c r="AH13" s="11"/>
      <c r="AI13" s="11"/>
      <c r="AJ13" s="11"/>
      <c r="AK13" s="11"/>
      <c r="AL13" s="11"/>
      <c r="AM13" s="1"/>
      <c r="AN13" s="1"/>
      <c r="AO13" s="1"/>
      <c r="AP13" s="1"/>
      <c r="AQ13" s="1"/>
      <c r="AR13" s="1"/>
      <c r="AS13" s="1"/>
      <c r="AT13" s="1"/>
      <c r="AU13" s="1"/>
      <c r="AV13" s="1"/>
    </row>
    <row r="14" spans="1:48" s="4" customFormat="1" x14ac:dyDescent="0.2">
      <c r="A14" s="703" t="s">
        <v>368</v>
      </c>
      <c r="B14" s="394" t="s">
        <v>15</v>
      </c>
      <c r="C14" s="6" t="s">
        <v>178</v>
      </c>
      <c r="D14" s="317">
        <v>43191</v>
      </c>
      <c r="E14" s="7">
        <v>43373</v>
      </c>
      <c r="F14" s="427">
        <v>6910</v>
      </c>
      <c r="G14" s="321"/>
      <c r="H14" s="340">
        <f>'June''18 AR Aging '!G21</f>
        <v>5791.53</v>
      </c>
      <c r="I14" s="321">
        <v>7215.4</v>
      </c>
      <c r="J14" s="339">
        <f>+F14-I14</f>
        <v>-305.39999999999964</v>
      </c>
      <c r="K14" s="321"/>
      <c r="L14" s="272"/>
      <c r="M14" s="309"/>
      <c r="N14" s="29"/>
      <c r="O14" s="29"/>
      <c r="P14" s="29"/>
      <c r="Q14" s="29"/>
      <c r="R14" s="29"/>
      <c r="S14" s="29"/>
      <c r="T14" s="29"/>
      <c r="U14" s="29"/>
      <c r="V14" s="29"/>
      <c r="W14" s="29"/>
      <c r="X14" s="29"/>
      <c r="Y14" s="29"/>
      <c r="Z14" s="29"/>
      <c r="AA14" s="29"/>
      <c r="AB14" s="11"/>
      <c r="AC14" s="11"/>
      <c r="AD14" s="11"/>
      <c r="AE14" s="11"/>
      <c r="AF14" s="11"/>
      <c r="AG14" s="11"/>
      <c r="AH14" s="11"/>
      <c r="AI14" s="11"/>
      <c r="AJ14" s="11"/>
      <c r="AK14" s="11"/>
      <c r="AL14" s="11"/>
      <c r="AM14" s="1"/>
      <c r="AN14" s="1"/>
      <c r="AO14" s="1"/>
      <c r="AP14" s="1"/>
      <c r="AQ14" s="1"/>
      <c r="AR14" s="1"/>
      <c r="AS14" s="1"/>
      <c r="AT14" s="1"/>
      <c r="AU14" s="1"/>
      <c r="AV14" s="1"/>
    </row>
    <row r="15" spans="1:48" x14ac:dyDescent="0.2">
      <c r="A15" s="704" t="s">
        <v>201</v>
      </c>
      <c r="B15" s="395" t="s">
        <v>172</v>
      </c>
      <c r="C15" s="669" t="s">
        <v>375</v>
      </c>
      <c r="D15" s="336">
        <v>42916</v>
      </c>
      <c r="E15" s="671">
        <v>43280</v>
      </c>
      <c r="F15" s="479">
        <v>8545</v>
      </c>
      <c r="G15" s="338">
        <f>+(+I15-H15)</f>
        <v>8469.7999999999993</v>
      </c>
      <c r="H15" s="674">
        <f>'June''18 AR Aging '!G22</f>
        <v>0</v>
      </c>
      <c r="I15" s="338">
        <v>8469.7999999999993</v>
      </c>
      <c r="J15" s="479">
        <f>F15-I15</f>
        <v>75.200000000000728</v>
      </c>
      <c r="K15" s="338"/>
      <c r="L15" s="272"/>
      <c r="M15" s="309"/>
      <c r="N15" s="29"/>
    </row>
    <row r="16" spans="1:48" hidden="1" x14ac:dyDescent="0.2">
      <c r="A16" s="703" t="s">
        <v>307</v>
      </c>
      <c r="B16" s="394" t="s">
        <v>15</v>
      </c>
      <c r="C16" s="6" t="s">
        <v>170</v>
      </c>
      <c r="D16" s="399">
        <v>42644</v>
      </c>
      <c r="E16" s="7">
        <v>43008</v>
      </c>
      <c r="F16" s="339"/>
      <c r="G16" s="321"/>
      <c r="H16" s="340"/>
      <c r="I16" s="321"/>
      <c r="J16" s="339"/>
      <c r="K16" s="332"/>
      <c r="L16" s="272"/>
      <c r="M16" s="309"/>
      <c r="N16" s="29"/>
    </row>
    <row r="17" spans="1:48" x14ac:dyDescent="0.2">
      <c r="A17" s="1" t="s">
        <v>343</v>
      </c>
      <c r="B17" s="394" t="s">
        <v>15</v>
      </c>
      <c r="C17" s="6" t="s">
        <v>170</v>
      </c>
      <c r="D17" s="317">
        <v>43009</v>
      </c>
      <c r="E17" s="7">
        <v>43373</v>
      </c>
      <c r="F17" s="339">
        <v>315000</v>
      </c>
      <c r="G17" s="321">
        <f>I17-H17</f>
        <v>154117.59999999998</v>
      </c>
      <c r="H17" s="708">
        <f>'June''18 AR Aging '!G32</f>
        <v>69543.990000000005</v>
      </c>
      <c r="I17" s="321">
        <v>223661.59</v>
      </c>
      <c r="J17" s="339">
        <f>+F17-I17</f>
        <v>91338.41</v>
      </c>
      <c r="K17" s="321"/>
      <c r="L17" s="272"/>
      <c r="M17" s="309"/>
      <c r="N17" s="29"/>
    </row>
    <row r="18" spans="1:48" x14ac:dyDescent="0.2">
      <c r="A18" s="704" t="s">
        <v>432</v>
      </c>
      <c r="B18" s="395" t="s">
        <v>15</v>
      </c>
      <c r="C18" s="669" t="s">
        <v>170</v>
      </c>
      <c r="D18" s="336">
        <v>43374</v>
      </c>
      <c r="E18" s="671">
        <v>43585</v>
      </c>
      <c r="F18" s="337">
        <f>F17/12*7</f>
        <v>183750</v>
      </c>
      <c r="G18" s="338"/>
      <c r="H18" s="674"/>
      <c r="I18" s="338"/>
      <c r="J18" s="337"/>
      <c r="K18" s="338"/>
      <c r="L18" s="272"/>
      <c r="M18" s="309"/>
      <c r="N18" s="29"/>
    </row>
    <row r="19" spans="1:48" s="3" customFormat="1" hidden="1" x14ac:dyDescent="0.2">
      <c r="A19" s="703" t="s">
        <v>308</v>
      </c>
      <c r="B19" s="394" t="s">
        <v>18</v>
      </c>
      <c r="C19" s="6" t="s">
        <v>5</v>
      </c>
      <c r="D19" s="317"/>
      <c r="E19" s="7"/>
      <c r="F19" s="339"/>
      <c r="G19" s="321"/>
      <c r="H19" s="340"/>
      <c r="I19" s="321"/>
      <c r="J19" s="339"/>
      <c r="K19" s="321"/>
      <c r="L19" s="272"/>
      <c r="M19" s="309"/>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x14ac:dyDescent="0.2">
      <c r="A20" s="703" t="s">
        <v>367</v>
      </c>
      <c r="B20" s="394" t="s">
        <v>18</v>
      </c>
      <c r="C20" s="6" t="s">
        <v>5</v>
      </c>
      <c r="D20" s="317">
        <v>43101</v>
      </c>
      <c r="E20" s="7">
        <v>43465</v>
      </c>
      <c r="F20" s="339">
        <v>42500</v>
      </c>
      <c r="G20" s="321"/>
      <c r="H20" s="340">
        <f>'June''18 AR Aging '!G39</f>
        <v>3541.67</v>
      </c>
      <c r="I20" s="321">
        <f>42500/12*6</f>
        <v>21250</v>
      </c>
      <c r="J20" s="339">
        <f>F20-I20</f>
        <v>21250</v>
      </c>
      <c r="K20" s="321"/>
      <c r="L20" s="272"/>
      <c r="M20" s="309"/>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x14ac:dyDescent="0.2">
      <c r="A21" s="703" t="s">
        <v>205</v>
      </c>
      <c r="B21" s="394" t="s">
        <v>18</v>
      </c>
      <c r="C21" s="6" t="s">
        <v>23</v>
      </c>
      <c r="D21" s="317">
        <v>43191</v>
      </c>
      <c r="E21" s="7">
        <v>43372</v>
      </c>
      <c r="F21" s="339">
        <v>3705</v>
      </c>
      <c r="G21" s="321">
        <f>I21-H21</f>
        <v>597.53</v>
      </c>
      <c r="H21" s="340">
        <f>'June''18 AR Aging '!G44</f>
        <v>1259.44</v>
      </c>
      <c r="I21" s="321">
        <v>1856.97</v>
      </c>
      <c r="J21" s="339">
        <f>+F21-I21</f>
        <v>1848.03</v>
      </c>
      <c r="K21" s="321"/>
      <c r="L21" s="272"/>
      <c r="M21" s="309"/>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idden="1" x14ac:dyDescent="0.2">
      <c r="A22" s="703" t="s">
        <v>306</v>
      </c>
      <c r="B22" s="394" t="s">
        <v>18</v>
      </c>
      <c r="C22" s="6" t="s">
        <v>23</v>
      </c>
      <c r="D22" s="317">
        <v>42644</v>
      </c>
      <c r="E22" s="7">
        <v>43008</v>
      </c>
      <c r="F22" s="339"/>
      <c r="G22" s="321"/>
      <c r="H22" s="707"/>
      <c r="I22" s="321"/>
      <c r="J22" s="339"/>
      <c r="K22" s="522"/>
      <c r="L22" s="272"/>
      <c r="M22" s="309"/>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x14ac:dyDescent="0.2">
      <c r="A23" s="704" t="s">
        <v>223</v>
      </c>
      <c r="B23" s="395" t="s">
        <v>18</v>
      </c>
      <c r="C23" s="669" t="s">
        <v>23</v>
      </c>
      <c r="D23" s="336">
        <v>43191</v>
      </c>
      <c r="E23" s="671">
        <v>43555</v>
      </c>
      <c r="F23" s="721">
        <v>141928</v>
      </c>
      <c r="G23" s="338">
        <f>+(+I23-H23)</f>
        <v>0</v>
      </c>
      <c r="H23" s="709">
        <f>'June''18 AR Aging '!G46</f>
        <v>20129.11</v>
      </c>
      <c r="I23" s="338">
        <v>20129.11</v>
      </c>
      <c r="J23" s="337">
        <f>F23-I23</f>
        <v>121798.89</v>
      </c>
      <c r="K23" s="338"/>
      <c r="L23" s="272"/>
      <c r="M23" s="309"/>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idden="1" x14ac:dyDescent="0.2">
      <c r="A24" s="703" t="s">
        <v>183</v>
      </c>
      <c r="B24" s="394" t="s">
        <v>390</v>
      </c>
      <c r="C24" s="6" t="s">
        <v>23</v>
      </c>
      <c r="D24" s="317">
        <v>42736</v>
      </c>
      <c r="E24" s="7">
        <v>43100</v>
      </c>
      <c r="F24" s="339"/>
      <c r="G24" s="321"/>
      <c r="H24" s="707"/>
      <c r="I24" s="321"/>
      <c r="J24" s="339"/>
      <c r="K24" s="321"/>
      <c r="L24" s="272"/>
      <c r="M24" s="309"/>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x14ac:dyDescent="0.2">
      <c r="A25" s="704" t="s">
        <v>183</v>
      </c>
      <c r="B25" s="395" t="s">
        <v>390</v>
      </c>
      <c r="C25" s="669" t="s">
        <v>23</v>
      </c>
      <c r="D25" s="336">
        <v>43101</v>
      </c>
      <c r="E25" s="671">
        <v>43465</v>
      </c>
      <c r="F25" s="337">
        <v>13000</v>
      </c>
      <c r="G25" s="338">
        <f>I25-H25</f>
        <v>3817.5</v>
      </c>
      <c r="H25" s="709">
        <f>'June''18 AR Aging '!G53</f>
        <v>4120</v>
      </c>
      <c r="I25" s="338">
        <v>7937.5</v>
      </c>
      <c r="J25" s="337">
        <f>+F25-I25</f>
        <v>5062.5</v>
      </c>
      <c r="K25" s="338"/>
      <c r="L25" s="272"/>
      <c r="M25" s="309"/>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ht="15" thickBot="1" x14ac:dyDescent="0.25">
      <c r="A26" s="705" t="s">
        <v>330</v>
      </c>
      <c r="B26" s="428" t="s">
        <v>151</v>
      </c>
      <c r="C26" s="670" t="s">
        <v>23</v>
      </c>
      <c r="D26" s="429">
        <v>43213</v>
      </c>
      <c r="E26" s="672">
        <v>43406</v>
      </c>
      <c r="F26" s="437">
        <v>25449</v>
      </c>
      <c r="G26" s="322">
        <f>+(+I26-H26)</f>
        <v>4602.17</v>
      </c>
      <c r="H26" s="710">
        <f>'June''18 AR Aging '!G57</f>
        <v>3410.64</v>
      </c>
      <c r="I26" s="322">
        <v>8012.81</v>
      </c>
      <c r="J26" s="333">
        <f t="shared" ref="J26" si="1">+F26-I26</f>
        <v>17436.189999999999</v>
      </c>
      <c r="K26" s="322"/>
      <c r="L26" s="272"/>
      <c r="M26" s="309"/>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17" customFormat="1" ht="16.5" thickBot="1" x14ac:dyDescent="0.3">
      <c r="A27" s="283" t="s">
        <v>39</v>
      </c>
      <c r="B27" s="284"/>
      <c r="C27" s="285"/>
      <c r="D27" s="286"/>
      <c r="E27" s="286"/>
      <c r="F27" s="311"/>
      <c r="G27" s="311">
        <f>SUM(G8:G26)</f>
        <v>378778.1</v>
      </c>
      <c r="H27" s="311">
        <f>SUM(H7:H26)</f>
        <v>289213</v>
      </c>
      <c r="I27" s="311">
        <f>SUM(I8:I26)</f>
        <v>687123.3</v>
      </c>
      <c r="J27" s="311">
        <f>SUM(J8:J26)</f>
        <v>453613.70000000007</v>
      </c>
      <c r="K27" s="311">
        <f>SUM(K8:K26)</f>
        <v>0</v>
      </c>
      <c r="L27" s="47"/>
      <c r="M27" s="37"/>
      <c r="N27" s="37"/>
      <c r="O27" s="37"/>
      <c r="P27" s="37"/>
      <c r="Q27" s="37"/>
      <c r="R27" s="37"/>
      <c r="S27" s="37"/>
      <c r="T27" s="37"/>
      <c r="U27" s="37"/>
      <c r="V27" s="37"/>
      <c r="W27" s="37"/>
      <c r="X27" s="37"/>
      <c r="Y27" s="37"/>
      <c r="Z27" s="37"/>
      <c r="AA27" s="37"/>
      <c r="AB27" s="38"/>
      <c r="AC27" s="38"/>
      <c r="AD27" s="38"/>
      <c r="AE27" s="38"/>
      <c r="AF27" s="38"/>
      <c r="AG27" s="38"/>
      <c r="AH27" s="38"/>
      <c r="AI27" s="38"/>
      <c r="AJ27" s="38"/>
      <c r="AK27" s="38"/>
      <c r="AL27" s="38"/>
      <c r="AM27" s="39"/>
      <c r="AN27" s="39"/>
      <c r="AO27" s="39"/>
      <c r="AP27" s="39"/>
      <c r="AQ27" s="39"/>
      <c r="AR27" s="39"/>
      <c r="AS27" s="39"/>
      <c r="AT27" s="39"/>
      <c r="AU27" s="39"/>
      <c r="AV27" s="39"/>
    </row>
    <row r="28" spans="1:48" s="18" customFormat="1" x14ac:dyDescent="0.2">
      <c r="A28" s="55"/>
      <c r="B28" s="55"/>
      <c r="C28" s="19"/>
      <c r="D28" s="55"/>
      <c r="E28" s="310"/>
      <c r="F28" s="29"/>
      <c r="G28" s="29"/>
      <c r="I28" s="29"/>
      <c r="J28" s="29"/>
      <c r="K28" s="29"/>
      <c r="L28" s="29"/>
      <c r="M28" s="29"/>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18" customFormat="1" ht="10.5" customHeight="1" thickBot="1" x14ac:dyDescent="0.25">
      <c r="A29" s="1"/>
      <c r="B29" s="44"/>
      <c r="C29" s="6"/>
      <c r="D29" s="6"/>
      <c r="E29" s="6"/>
      <c r="F29" s="29"/>
      <c r="G29" s="29"/>
      <c r="H29" s="29"/>
      <c r="I29" s="29"/>
      <c r="J29" s="29"/>
      <c r="K29" s="29"/>
      <c r="L29" s="29"/>
      <c r="M29" s="29"/>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22" customFormat="1" ht="16.5" thickBot="1" x14ac:dyDescent="0.3">
      <c r="A30" s="326" t="s">
        <v>41</v>
      </c>
      <c r="B30" s="158"/>
      <c r="C30" s="159"/>
      <c r="D30" s="159"/>
      <c r="E30" s="159"/>
      <c r="F30" s="160"/>
      <c r="G30" s="160"/>
      <c r="H30" s="160"/>
      <c r="I30" s="160"/>
      <c r="J30" s="160"/>
      <c r="K30" s="161"/>
      <c r="L30" s="29"/>
      <c r="M30" s="29"/>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20" customFormat="1" ht="45.75" thickBot="1" x14ac:dyDescent="0.25">
      <c r="A31" s="348" t="s">
        <v>24</v>
      </c>
      <c r="B31" s="747" t="s">
        <v>14</v>
      </c>
      <c r="C31" s="748"/>
      <c r="D31" s="348" t="s">
        <v>2</v>
      </c>
      <c r="E31" s="348" t="s">
        <v>3</v>
      </c>
      <c r="F31" s="353" t="s">
        <v>25</v>
      </c>
      <c r="G31" s="353" t="s">
        <v>383</v>
      </c>
      <c r="H31" s="353" t="s">
        <v>182</v>
      </c>
      <c r="I31" s="353" t="s">
        <v>21</v>
      </c>
      <c r="J31" s="353" t="s">
        <v>10</v>
      </c>
      <c r="K31" s="353" t="s">
        <v>4</v>
      </c>
      <c r="L31" s="35"/>
      <c r="M31" s="35"/>
      <c r="N31" s="35"/>
      <c r="O31" s="35"/>
      <c r="P31" s="35"/>
      <c r="Q31" s="35"/>
      <c r="R31" s="35"/>
      <c r="S31" s="35"/>
      <c r="T31" s="35"/>
      <c r="U31" s="6"/>
      <c r="V31" s="35"/>
      <c r="W31" s="35"/>
      <c r="X31" s="35"/>
      <c r="Y31" s="35"/>
      <c r="Z31" s="35"/>
      <c r="AA31" s="35"/>
      <c r="AB31" s="36"/>
      <c r="AC31" s="36"/>
      <c r="AD31" s="36"/>
      <c r="AE31" s="36"/>
      <c r="AF31" s="36"/>
      <c r="AG31" s="36"/>
      <c r="AH31" s="36"/>
      <c r="AI31" s="36"/>
      <c r="AJ31" s="36"/>
      <c r="AK31" s="36"/>
      <c r="AL31" s="36"/>
      <c r="AM31" s="6"/>
      <c r="AN31" s="6"/>
      <c r="AO31" s="6"/>
      <c r="AP31" s="6"/>
      <c r="AQ31" s="6"/>
      <c r="AR31" s="6"/>
      <c r="AS31" s="6"/>
      <c r="AT31" s="6"/>
      <c r="AU31" s="6"/>
      <c r="AV31" s="6"/>
    </row>
    <row r="32" spans="1:48" hidden="1" x14ac:dyDescent="0.2">
      <c r="A32" s="313" t="s">
        <v>17</v>
      </c>
      <c r="B32" s="753" t="s">
        <v>13</v>
      </c>
      <c r="C32" s="754"/>
      <c r="D32" s="346">
        <v>41275</v>
      </c>
      <c r="E32" s="317">
        <v>41639</v>
      </c>
      <c r="F32" s="321"/>
      <c r="G32" s="321">
        <v>0</v>
      </c>
      <c r="H32" s="321"/>
      <c r="I32" s="321">
        <f>F32-H32</f>
        <v>0</v>
      </c>
      <c r="J32" s="321">
        <v>0</v>
      </c>
      <c r="K32" s="321">
        <f t="shared" ref="K32:K38" si="2">I32</f>
        <v>0</v>
      </c>
      <c r="L32" s="29"/>
      <c r="M32" s="29"/>
      <c r="N32" s="29"/>
    </row>
    <row r="33" spans="1:48" hidden="1" x14ac:dyDescent="0.2">
      <c r="A33" s="313" t="s">
        <v>314</v>
      </c>
      <c r="B33" s="753" t="s">
        <v>13</v>
      </c>
      <c r="C33" s="754"/>
      <c r="D33" s="346">
        <v>42736</v>
      </c>
      <c r="E33" s="317">
        <v>43100</v>
      </c>
      <c r="F33" s="321"/>
      <c r="G33" s="321">
        <v>0</v>
      </c>
      <c r="H33" s="321">
        <v>25000</v>
      </c>
      <c r="I33" s="321">
        <f>25000-H33</f>
        <v>0</v>
      </c>
      <c r="J33" s="321"/>
      <c r="K33" s="426">
        <f t="shared" ref="K33" si="3">I33</f>
        <v>0</v>
      </c>
      <c r="L33" s="29"/>
      <c r="M33" s="29"/>
      <c r="N33" s="29"/>
    </row>
    <row r="34" spans="1:48" x14ac:dyDescent="0.2">
      <c r="A34" s="313" t="s">
        <v>370</v>
      </c>
      <c r="B34" s="753" t="s">
        <v>13</v>
      </c>
      <c r="C34" s="754"/>
      <c r="D34" s="346">
        <v>43101</v>
      </c>
      <c r="E34" s="317">
        <v>43465</v>
      </c>
      <c r="F34" s="321">
        <v>25000</v>
      </c>
      <c r="G34" s="321">
        <v>0</v>
      </c>
      <c r="H34" s="321">
        <v>12408.42</v>
      </c>
      <c r="I34" s="321">
        <f>25000-H34</f>
        <v>12591.58</v>
      </c>
      <c r="J34" s="321"/>
      <c r="K34" s="426">
        <f>I34</f>
        <v>12591.58</v>
      </c>
      <c r="L34" s="29"/>
      <c r="M34" s="29"/>
      <c r="N34" s="29"/>
    </row>
    <row r="35" spans="1:48" x14ac:dyDescent="0.2">
      <c r="A35" s="313" t="s">
        <v>202</v>
      </c>
      <c r="B35" s="753" t="s">
        <v>13</v>
      </c>
      <c r="C35" s="754"/>
      <c r="D35" s="346">
        <v>42248</v>
      </c>
      <c r="E35" s="317">
        <v>43465</v>
      </c>
      <c r="F35" s="321">
        <f>7125*2</f>
        <v>14250</v>
      </c>
      <c r="G35" s="321">
        <f>8727.77-G36</f>
        <v>1602.7700000000004</v>
      </c>
      <c r="H35" s="321">
        <v>1496.75</v>
      </c>
      <c r="I35" s="321">
        <f>G35-H35</f>
        <v>106.02000000000044</v>
      </c>
      <c r="J35" s="321">
        <v>0</v>
      </c>
      <c r="K35" s="321">
        <f t="shared" si="2"/>
        <v>106.02000000000044</v>
      </c>
      <c r="L35" s="29"/>
      <c r="M35" s="29"/>
      <c r="N35" s="29"/>
    </row>
    <row r="36" spans="1:48" x14ac:dyDescent="0.2">
      <c r="A36" s="313" t="s">
        <v>229</v>
      </c>
      <c r="B36" s="753" t="s">
        <v>13</v>
      </c>
      <c r="C36" s="754"/>
      <c r="D36" s="346">
        <v>42370</v>
      </c>
      <c r="E36" s="317">
        <v>43465</v>
      </c>
      <c r="F36" s="321">
        <v>7125</v>
      </c>
      <c r="G36" s="321">
        <v>7125</v>
      </c>
      <c r="H36" s="321"/>
      <c r="I36" s="321">
        <f t="shared" ref="I36" si="4">G36-H36</f>
        <v>7125</v>
      </c>
      <c r="J36" s="321"/>
      <c r="K36" s="321">
        <f t="shared" si="2"/>
        <v>7125</v>
      </c>
      <c r="L36" s="29"/>
      <c r="M36" s="29"/>
      <c r="N36" s="29"/>
    </row>
    <row r="37" spans="1:48" s="4" customFormat="1" x14ac:dyDescent="0.2">
      <c r="A37" s="313" t="s">
        <v>447</v>
      </c>
      <c r="B37" s="753" t="s">
        <v>13</v>
      </c>
      <c r="C37" s="754"/>
      <c r="D37" s="346">
        <v>43191</v>
      </c>
      <c r="E37" s="317">
        <v>43281</v>
      </c>
      <c r="F37" s="321">
        <v>18000</v>
      </c>
      <c r="G37" s="321"/>
      <c r="H37" s="321">
        <v>9000</v>
      </c>
      <c r="I37" s="321">
        <f>F37-H37</f>
        <v>9000</v>
      </c>
      <c r="J37" s="321"/>
      <c r="K37" s="426">
        <f>I37</f>
        <v>9000</v>
      </c>
      <c r="L37" s="29"/>
      <c r="M37" s="29"/>
      <c r="N37" s="29"/>
      <c r="O37" s="29"/>
      <c r="P37" s="29"/>
      <c r="Q37" s="29"/>
      <c r="R37" s="29"/>
      <c r="S37" s="29"/>
      <c r="T37" s="29"/>
      <c r="U37" s="1"/>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row>
    <row r="38" spans="1:48" s="4" customFormat="1" x14ac:dyDescent="0.2">
      <c r="A38" s="313" t="s">
        <v>196</v>
      </c>
      <c r="B38" s="763" t="s">
        <v>19</v>
      </c>
      <c r="C38" s="764"/>
      <c r="D38" s="346">
        <v>42736</v>
      </c>
      <c r="E38" s="317">
        <v>43465</v>
      </c>
      <c r="F38" s="321">
        <v>40000</v>
      </c>
      <c r="G38" s="321">
        <v>4081.3</v>
      </c>
      <c r="H38" s="321">
        <v>8291.25</v>
      </c>
      <c r="I38" s="321">
        <f>18000+G38-H38</f>
        <v>13790.05</v>
      </c>
      <c r="J38" s="321"/>
      <c r="K38" s="321">
        <f t="shared" si="2"/>
        <v>13790.05</v>
      </c>
      <c r="L38" s="29"/>
      <c r="M38" s="29"/>
      <c r="N38" s="29"/>
      <c r="O38" s="29"/>
      <c r="P38" s="29"/>
      <c r="Q38" s="29"/>
      <c r="R38" s="29"/>
      <c r="S38" s="29"/>
      <c r="T38" s="29"/>
      <c r="U38" s="1"/>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row>
    <row r="39" spans="1:48" s="2" customFormat="1" ht="15" thickBot="1" x14ac:dyDescent="0.25">
      <c r="A39" s="313" t="s">
        <v>20</v>
      </c>
      <c r="B39" s="749" t="s">
        <v>45</v>
      </c>
      <c r="C39" s="751"/>
      <c r="D39" s="346">
        <v>40226</v>
      </c>
      <c r="E39" s="318" t="s">
        <v>27</v>
      </c>
      <c r="F39" s="321">
        <f>8007.78+5000+50</f>
        <v>13057.779999999999</v>
      </c>
      <c r="G39" s="321">
        <v>5384.58</v>
      </c>
      <c r="H39" s="321">
        <v>675</v>
      </c>
      <c r="I39" s="321">
        <f>+G39-H39</f>
        <v>4709.58</v>
      </c>
      <c r="J39" s="321">
        <f>I39</f>
        <v>4709.58</v>
      </c>
      <c r="K39" s="321">
        <v>0</v>
      </c>
      <c r="L39" s="29"/>
      <c r="M39" s="29"/>
      <c r="N39" s="29"/>
      <c r="O39" s="29"/>
      <c r="P39" s="29"/>
      <c r="Q39" s="29"/>
      <c r="R39" s="29"/>
      <c r="S39" s="29"/>
      <c r="T39" s="29"/>
      <c r="U39" s="1"/>
      <c r="V39" s="29"/>
      <c r="W39" s="29"/>
      <c r="X39" s="29"/>
      <c r="Y39" s="29"/>
      <c r="Z39" s="29"/>
      <c r="AA39" s="29"/>
      <c r="AB39" s="11"/>
      <c r="AC39" s="11"/>
      <c r="AD39" s="11"/>
      <c r="AE39" s="11"/>
      <c r="AF39" s="11"/>
      <c r="AG39" s="11"/>
      <c r="AH39" s="11"/>
      <c r="AI39" s="11"/>
      <c r="AJ39" s="11"/>
      <c r="AK39" s="11"/>
      <c r="AL39" s="11"/>
      <c r="AM39" s="1"/>
      <c r="AN39" s="1"/>
      <c r="AO39" s="1"/>
      <c r="AP39" s="1"/>
      <c r="AQ39" s="1"/>
      <c r="AR39" s="1"/>
      <c r="AS39" s="1"/>
      <c r="AT39" s="1"/>
      <c r="AU39" s="1"/>
      <c r="AV39" s="1"/>
    </row>
    <row r="40" spans="1:48" s="2" customFormat="1" ht="15.75" thickBot="1" x14ac:dyDescent="0.3">
      <c r="A40" s="314"/>
      <c r="B40" s="755"/>
      <c r="C40" s="756"/>
      <c r="D40" s="347"/>
      <c r="E40" s="319"/>
      <c r="F40" s="322"/>
      <c r="G40" s="322"/>
      <c r="H40" s="322">
        <v>0</v>
      </c>
      <c r="I40" s="322"/>
      <c r="J40" s="322"/>
      <c r="K40" s="322">
        <v>0</v>
      </c>
      <c r="L40" s="278" t="s">
        <v>107</v>
      </c>
      <c r="M40" s="29"/>
      <c r="N40" s="29"/>
      <c r="O40" s="29"/>
      <c r="P40" s="29"/>
      <c r="Q40" s="29"/>
      <c r="R40" s="29"/>
      <c r="S40" s="29"/>
      <c r="T40" s="29"/>
      <c r="U40" s="1"/>
      <c r="V40" s="29"/>
      <c r="W40" s="29"/>
      <c r="X40" s="29"/>
      <c r="Y40" s="29"/>
      <c r="Z40" s="29"/>
      <c r="AA40" s="29"/>
      <c r="AB40" s="11"/>
      <c r="AC40" s="11"/>
      <c r="AD40" s="11"/>
      <c r="AE40" s="11"/>
      <c r="AF40" s="11"/>
      <c r="AG40" s="11"/>
      <c r="AH40" s="11"/>
      <c r="AI40" s="11"/>
      <c r="AJ40" s="11"/>
      <c r="AK40" s="11"/>
      <c r="AL40" s="11"/>
      <c r="AM40" s="1"/>
      <c r="AN40" s="1"/>
      <c r="AO40" s="1"/>
      <c r="AP40" s="1"/>
      <c r="AQ40" s="1"/>
      <c r="AR40" s="1"/>
      <c r="AS40" s="1"/>
      <c r="AT40" s="1"/>
      <c r="AU40" s="1"/>
      <c r="AV40" s="1"/>
    </row>
    <row r="41" spans="1:48" s="276" customFormat="1" ht="15.75" thickBot="1" x14ac:dyDescent="0.3">
      <c r="A41" s="312" t="s">
        <v>30</v>
      </c>
      <c r="B41" s="315"/>
      <c r="C41" s="315"/>
      <c r="D41" s="316"/>
      <c r="E41" s="316"/>
      <c r="F41" s="320">
        <f t="shared" ref="F41:K41" si="5">SUM(F32:F40)</f>
        <v>117432.78</v>
      </c>
      <c r="G41" s="323">
        <f t="shared" si="5"/>
        <v>18193.650000000001</v>
      </c>
      <c r="H41" s="320">
        <f t="shared" si="5"/>
        <v>56871.42</v>
      </c>
      <c r="I41" s="320">
        <f t="shared" si="5"/>
        <v>47322.229999999996</v>
      </c>
      <c r="J41" s="324">
        <f t="shared" si="5"/>
        <v>4709.58</v>
      </c>
      <c r="K41" s="325">
        <f t="shared" si="5"/>
        <v>42612.649999999994</v>
      </c>
      <c r="L41" s="492">
        <f>K27+K41</f>
        <v>42612.649999999994</v>
      </c>
      <c r="M41" s="274"/>
      <c r="N41" s="274"/>
      <c r="O41" s="274"/>
      <c r="P41" s="274"/>
      <c r="Q41" s="274"/>
      <c r="R41" s="274"/>
      <c r="S41" s="274"/>
      <c r="T41" s="274"/>
      <c r="U41" s="275"/>
      <c r="V41" s="274"/>
      <c r="W41" s="274"/>
      <c r="X41" s="274"/>
      <c r="Y41" s="274"/>
      <c r="Z41" s="274"/>
      <c r="AA41" s="274"/>
      <c r="AB41" s="274"/>
      <c r="AC41" s="274"/>
      <c r="AD41" s="274"/>
      <c r="AE41" s="274"/>
      <c r="AF41" s="274"/>
      <c r="AG41" s="274"/>
      <c r="AH41" s="274"/>
      <c r="AI41" s="274"/>
      <c r="AJ41" s="274"/>
      <c r="AK41" s="274"/>
      <c r="AL41" s="274"/>
      <c r="AM41" s="275"/>
      <c r="AN41" s="275"/>
      <c r="AO41" s="275"/>
      <c r="AP41" s="275"/>
      <c r="AQ41" s="275"/>
      <c r="AR41" s="275"/>
      <c r="AS41" s="275"/>
      <c r="AT41" s="275"/>
      <c r="AU41" s="275"/>
      <c r="AV41" s="275"/>
    </row>
    <row r="42" spans="1:48" s="18" customFormat="1" ht="15" thickBot="1" x14ac:dyDescent="0.25">
      <c r="B42" s="1"/>
      <c r="C42" s="6"/>
      <c r="D42" s="6"/>
      <c r="E42" s="6"/>
      <c r="F42" s="29"/>
      <c r="G42" s="29"/>
      <c r="H42" s="29"/>
      <c r="I42" s="29"/>
      <c r="J42" s="29"/>
      <c r="K42" s="29"/>
      <c r="L42" s="29"/>
      <c r="M42" s="29"/>
      <c r="N42" s="29"/>
      <c r="O42" s="29"/>
      <c r="P42" s="29"/>
      <c r="Q42" s="29"/>
      <c r="R42" s="29"/>
      <c r="S42" s="29"/>
      <c r="T42" s="29"/>
      <c r="U42" s="1"/>
      <c r="V42" s="29"/>
      <c r="W42" s="29"/>
      <c r="X42" s="29"/>
      <c r="Y42" s="29"/>
      <c r="Z42" s="29"/>
      <c r="AA42" s="29"/>
      <c r="AB42" s="11"/>
      <c r="AC42" s="11"/>
      <c r="AD42" s="11"/>
      <c r="AE42" s="11"/>
      <c r="AF42" s="11"/>
      <c r="AG42" s="11"/>
      <c r="AH42" s="11"/>
      <c r="AI42" s="11"/>
      <c r="AJ42" s="11"/>
      <c r="AK42" s="11"/>
      <c r="AL42" s="11"/>
      <c r="AM42" s="1"/>
      <c r="AN42" s="1"/>
      <c r="AO42" s="1"/>
      <c r="AP42" s="1"/>
      <c r="AQ42" s="1"/>
      <c r="AR42" s="1"/>
      <c r="AS42" s="1"/>
      <c r="AT42" s="1"/>
      <c r="AU42" s="1"/>
      <c r="AV42" s="1"/>
    </row>
    <row r="43" spans="1:48" s="21" customFormat="1" ht="18.75" thickBot="1" x14ac:dyDescent="0.3">
      <c r="A43" s="326" t="s">
        <v>150</v>
      </c>
      <c r="B43" s="327"/>
      <c r="C43" s="328"/>
      <c r="D43" s="328"/>
      <c r="E43" s="328"/>
      <c r="F43" s="331"/>
      <c r="G43" s="331"/>
      <c r="H43" s="331"/>
      <c r="I43" s="331"/>
      <c r="J43" s="331"/>
      <c r="K43" s="334"/>
      <c r="L43" s="331"/>
      <c r="M43" s="335"/>
      <c r="N43" s="40"/>
      <c r="O43" s="40"/>
      <c r="P43" s="40"/>
      <c r="Q43" s="40"/>
      <c r="R43" s="40"/>
      <c r="S43" s="40"/>
      <c r="T43" s="40"/>
      <c r="U43" s="41"/>
      <c r="V43" s="40"/>
      <c r="W43" s="40"/>
      <c r="X43" s="40"/>
      <c r="Y43" s="40"/>
      <c r="Z43" s="40"/>
      <c r="AA43" s="40"/>
      <c r="AB43" s="42"/>
      <c r="AC43" s="42"/>
      <c r="AD43" s="42"/>
      <c r="AE43" s="42"/>
      <c r="AF43" s="42"/>
      <c r="AG43" s="42"/>
      <c r="AH43" s="42"/>
      <c r="AI43" s="42"/>
      <c r="AJ43" s="42"/>
      <c r="AK43" s="42"/>
      <c r="AL43" s="42"/>
      <c r="AM43" s="41"/>
      <c r="AN43" s="41"/>
      <c r="AO43" s="41"/>
      <c r="AP43" s="41"/>
      <c r="AQ43" s="41"/>
      <c r="AR43" s="41"/>
      <c r="AS43" s="41"/>
      <c r="AT43" s="41"/>
      <c r="AU43" s="41"/>
      <c r="AV43" s="41"/>
    </row>
    <row r="44" spans="1:48" s="23" customFormat="1" ht="33" customHeight="1" thickBot="1" x14ac:dyDescent="0.25">
      <c r="A44" s="348" t="s">
        <v>33</v>
      </c>
      <c r="B44" s="747" t="s">
        <v>26</v>
      </c>
      <c r="C44" s="752"/>
      <c r="D44" s="752"/>
      <c r="E44" s="748"/>
      <c r="F44" s="352" t="s">
        <v>42</v>
      </c>
      <c r="G44" s="282" t="s">
        <v>383</v>
      </c>
      <c r="H44" s="282" t="s">
        <v>181</v>
      </c>
      <c r="I44" s="282" t="s">
        <v>224</v>
      </c>
      <c r="J44" s="282" t="s">
        <v>46</v>
      </c>
      <c r="K44" s="282" t="s">
        <v>12</v>
      </c>
      <c r="L44" s="282" t="s">
        <v>9</v>
      </c>
      <c r="M44" s="282" t="s">
        <v>4</v>
      </c>
      <c r="N44" s="35"/>
      <c r="O44" s="35"/>
      <c r="P44" s="35"/>
      <c r="Q44" s="35"/>
      <c r="R44" s="35"/>
      <c r="S44" s="35"/>
      <c r="T44" s="35"/>
      <c r="U44" s="6"/>
      <c r="V44" s="35"/>
      <c r="W44" s="35"/>
      <c r="X44" s="35"/>
      <c r="Y44" s="35"/>
      <c r="Z44" s="35"/>
      <c r="AA44" s="35"/>
      <c r="AB44" s="36"/>
      <c r="AC44" s="36"/>
      <c r="AD44" s="36"/>
      <c r="AE44" s="36"/>
      <c r="AF44" s="36"/>
      <c r="AG44" s="36"/>
      <c r="AH44" s="36"/>
      <c r="AI44" s="36"/>
      <c r="AJ44" s="36"/>
      <c r="AK44" s="36"/>
      <c r="AL44" s="36"/>
      <c r="AM44" s="6"/>
      <c r="AN44" s="6"/>
      <c r="AO44" s="6"/>
      <c r="AP44" s="6"/>
      <c r="AQ44" s="6"/>
      <c r="AR44" s="6"/>
      <c r="AS44" s="6"/>
      <c r="AT44" s="6"/>
      <c r="AU44" s="6"/>
      <c r="AV44" s="6"/>
    </row>
    <row r="45" spans="1:48" s="18" customFormat="1" hidden="1" x14ac:dyDescent="0.2">
      <c r="A45" s="313" t="s">
        <v>34</v>
      </c>
      <c r="B45" s="749" t="s">
        <v>37</v>
      </c>
      <c r="C45" s="750"/>
      <c r="D45" s="750"/>
      <c r="E45" s="751"/>
      <c r="F45" s="321"/>
      <c r="G45" s="321"/>
      <c r="H45" s="321">
        <v>0</v>
      </c>
      <c r="I45" s="321"/>
      <c r="J45" s="321"/>
      <c r="K45" s="321"/>
      <c r="L45" s="321"/>
      <c r="M45" s="321">
        <v>0</v>
      </c>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hidden="1" x14ac:dyDescent="0.2">
      <c r="A46" s="313" t="s">
        <v>35</v>
      </c>
      <c r="B46" s="749" t="s">
        <v>38</v>
      </c>
      <c r="C46" s="750"/>
      <c r="D46" s="750"/>
      <c r="E46" s="751"/>
      <c r="F46" s="321"/>
      <c r="G46" s="321"/>
      <c r="H46" s="321"/>
      <c r="I46" s="332"/>
      <c r="J46" s="321"/>
      <c r="K46" s="321"/>
      <c r="L46" s="321"/>
      <c r="M46" s="321">
        <v>0</v>
      </c>
      <c r="N46" s="29"/>
    </row>
    <row r="47" spans="1:48" ht="15" hidden="1" customHeight="1" x14ac:dyDescent="0.2">
      <c r="A47" s="313"/>
      <c r="B47" s="749"/>
      <c r="C47" s="750"/>
      <c r="D47" s="750"/>
      <c r="E47" s="751"/>
      <c r="F47" s="321"/>
      <c r="G47" s="321"/>
      <c r="H47" s="321"/>
      <c r="I47" s="578"/>
      <c r="J47" s="321"/>
      <c r="K47" s="426"/>
      <c r="L47" s="321"/>
      <c r="M47" s="321"/>
      <c r="N47" s="29"/>
    </row>
    <row r="48" spans="1:48" s="18" customFormat="1" hidden="1" x14ac:dyDescent="0.2">
      <c r="A48" s="313"/>
      <c r="B48" s="749"/>
      <c r="C48" s="750"/>
      <c r="D48" s="750"/>
      <c r="E48" s="751"/>
      <c r="F48" s="321"/>
      <c r="G48" s="321"/>
      <c r="H48" s="321"/>
      <c r="I48" s="321"/>
      <c r="J48" s="321"/>
      <c r="K48" s="426"/>
      <c r="L48" s="321"/>
      <c r="M48" s="321"/>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hidden="1" x14ac:dyDescent="0.2">
      <c r="A49" s="313" t="s">
        <v>315</v>
      </c>
      <c r="B49" s="749" t="s">
        <v>318</v>
      </c>
      <c r="C49" s="750"/>
      <c r="D49" s="750"/>
      <c r="E49" s="751"/>
      <c r="F49" s="321"/>
      <c r="G49" s="321"/>
      <c r="H49" s="321"/>
      <c r="I49" s="400"/>
      <c r="J49" s="339"/>
      <c r="K49" s="426"/>
      <c r="L49" s="321"/>
      <c r="M49" s="321"/>
      <c r="N49" s="29"/>
    </row>
    <row r="50" spans="1:48" x14ac:dyDescent="0.2">
      <c r="A50" s="313" t="s">
        <v>371</v>
      </c>
      <c r="B50" s="631" t="s">
        <v>372</v>
      </c>
      <c r="C50" s="632"/>
      <c r="D50" s="632"/>
      <c r="E50" s="633"/>
      <c r="F50" s="321">
        <v>50000</v>
      </c>
      <c r="G50" s="321">
        <v>0</v>
      </c>
      <c r="H50" s="321">
        <v>50000</v>
      </c>
      <c r="I50" s="685"/>
      <c r="J50" s="339">
        <f>H50/12*6</f>
        <v>25000</v>
      </c>
      <c r="K50" s="426">
        <f>H50-J50</f>
        <v>25000</v>
      </c>
      <c r="L50" s="321">
        <f>K50</f>
        <v>25000</v>
      </c>
      <c r="M50" s="321"/>
      <c r="N50" s="29"/>
    </row>
    <row r="51" spans="1:48" s="18" customFormat="1" hidden="1" x14ac:dyDescent="0.2">
      <c r="A51" s="313" t="s">
        <v>316</v>
      </c>
      <c r="B51" s="749" t="s">
        <v>317</v>
      </c>
      <c r="C51" s="750"/>
      <c r="D51" s="750"/>
      <c r="E51" s="751"/>
      <c r="F51" s="321"/>
      <c r="G51" s="321"/>
      <c r="H51" s="321"/>
      <c r="I51" s="321"/>
      <c r="J51" s="339"/>
      <c r="K51" s="426"/>
      <c r="L51" s="321">
        <f>K51</f>
        <v>0</v>
      </c>
      <c r="M51" s="321"/>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s="18" customFormat="1" x14ac:dyDescent="0.2">
      <c r="A52" s="313" t="s">
        <v>373</v>
      </c>
      <c r="B52" s="749" t="s">
        <v>374</v>
      </c>
      <c r="C52" s="750"/>
      <c r="D52" s="750"/>
      <c r="E52" s="751"/>
      <c r="F52" s="321">
        <f>6500+3500+2000+3500+3500</f>
        <v>19000</v>
      </c>
      <c r="G52" s="321"/>
      <c r="H52" s="321">
        <v>19000</v>
      </c>
      <c r="I52" s="321"/>
      <c r="J52" s="339">
        <f>19000/12*6</f>
        <v>9500</v>
      </c>
      <c r="K52" s="426">
        <f>H52-J52</f>
        <v>9500</v>
      </c>
      <c r="L52" s="321">
        <f>K52</f>
        <v>9500</v>
      </c>
      <c r="M52" s="321"/>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row>
    <row r="53" spans="1:48" x14ac:dyDescent="0.2">
      <c r="A53" s="313" t="s">
        <v>22</v>
      </c>
      <c r="B53" s="749" t="s">
        <v>152</v>
      </c>
      <c r="C53" s="750"/>
      <c r="D53" s="750"/>
      <c r="E53" s="751"/>
      <c r="F53" s="321"/>
      <c r="G53" s="321">
        <v>0</v>
      </c>
      <c r="H53" s="321">
        <v>6223</v>
      </c>
      <c r="I53" s="321"/>
      <c r="J53" s="339">
        <f>H53</f>
        <v>6223</v>
      </c>
      <c r="K53" s="426">
        <f>H53-J53</f>
        <v>0</v>
      </c>
      <c r="L53" s="321">
        <v>0</v>
      </c>
      <c r="M53" s="321">
        <v>0</v>
      </c>
      <c r="N53" s="29"/>
    </row>
    <row r="54" spans="1:48" x14ac:dyDescent="0.2">
      <c r="A54" s="313" t="s">
        <v>22</v>
      </c>
      <c r="B54" s="749" t="s">
        <v>6</v>
      </c>
      <c r="C54" s="750"/>
      <c r="D54" s="750"/>
      <c r="E54" s="751"/>
      <c r="F54" s="321"/>
      <c r="G54" s="321">
        <v>1100.82</v>
      </c>
      <c r="H54" s="321"/>
      <c r="I54" s="321"/>
      <c r="J54" s="339">
        <v>0</v>
      </c>
      <c r="K54" s="426">
        <v>1100.82</v>
      </c>
      <c r="L54" s="321">
        <f>K54</f>
        <v>1100.82</v>
      </c>
      <c r="M54" s="321">
        <v>0</v>
      </c>
      <c r="N54" s="29"/>
    </row>
    <row r="55" spans="1:48" x14ac:dyDescent="0.2">
      <c r="A55" s="313" t="s">
        <v>22</v>
      </c>
      <c r="B55" s="749" t="s">
        <v>7</v>
      </c>
      <c r="C55" s="750"/>
      <c r="D55" s="750"/>
      <c r="E55" s="751"/>
      <c r="F55" s="321"/>
      <c r="G55" s="321">
        <v>22810.080000000002</v>
      </c>
      <c r="H55" s="321">
        <f>200+50+2500</f>
        <v>2750</v>
      </c>
      <c r="I55" s="321"/>
      <c r="J55" s="339">
        <v>4779.0600000000004</v>
      </c>
      <c r="K55" s="426">
        <f>G55+H55-J55</f>
        <v>20781.02</v>
      </c>
      <c r="L55" s="321">
        <f>K55</f>
        <v>20781.02</v>
      </c>
      <c r="M55" s="321">
        <v>0</v>
      </c>
      <c r="N55" s="29"/>
    </row>
    <row r="56" spans="1:48" x14ac:dyDescent="0.2">
      <c r="A56" s="313" t="s">
        <v>22</v>
      </c>
      <c r="B56" s="749" t="s">
        <v>8</v>
      </c>
      <c r="C56" s="750"/>
      <c r="D56" s="750"/>
      <c r="E56" s="751"/>
      <c r="F56" s="321"/>
      <c r="G56" s="321">
        <v>9543.2900000000009</v>
      </c>
      <c r="H56" s="321">
        <f>1040+1000</f>
        <v>2040</v>
      </c>
      <c r="I56" s="321"/>
      <c r="J56" s="339">
        <v>2860.19</v>
      </c>
      <c r="K56" s="426">
        <f>G56+H56-J56</f>
        <v>8723.1</v>
      </c>
      <c r="L56" s="321">
        <f>K56</f>
        <v>8723.1</v>
      </c>
      <c r="M56" s="321">
        <v>0</v>
      </c>
      <c r="N56" s="29"/>
    </row>
    <row r="57" spans="1:48" s="25" customFormat="1" ht="15" thickBot="1" x14ac:dyDescent="0.25">
      <c r="A57" s="313"/>
      <c r="B57" s="749"/>
      <c r="C57" s="750"/>
      <c r="D57" s="750"/>
      <c r="E57" s="751"/>
      <c r="F57" s="321"/>
      <c r="G57" s="321"/>
      <c r="H57" s="321"/>
      <c r="I57" s="321"/>
      <c r="J57" s="321"/>
      <c r="K57" s="321"/>
      <c r="L57" s="321">
        <f>K57</f>
        <v>0</v>
      </c>
      <c r="M57" s="321">
        <v>0</v>
      </c>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s="25" customFormat="1" ht="15" hidden="1" thickBot="1" x14ac:dyDescent="0.25">
      <c r="A58" s="313" t="s">
        <v>22</v>
      </c>
      <c r="B58" s="329" t="s">
        <v>84</v>
      </c>
      <c r="C58" s="304"/>
      <c r="D58" s="304"/>
      <c r="E58" s="330"/>
      <c r="F58" s="321"/>
      <c r="G58" s="321"/>
      <c r="H58" s="321"/>
      <c r="I58" s="321"/>
      <c r="J58" s="321"/>
      <c r="K58" s="321"/>
      <c r="L58" s="321"/>
      <c r="M58" s="321"/>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s="18" customFormat="1" ht="15" hidden="1" customHeight="1" thickBot="1" x14ac:dyDescent="0.25">
      <c r="A59" s="314"/>
      <c r="B59" s="749"/>
      <c r="C59" s="750"/>
      <c r="D59" s="750"/>
      <c r="E59" s="751"/>
      <c r="F59" s="322"/>
      <c r="G59" s="322">
        <v>0</v>
      </c>
      <c r="H59" s="322"/>
      <c r="I59" s="333"/>
      <c r="J59" s="322"/>
      <c r="K59" s="322"/>
      <c r="L59" s="322"/>
      <c r="M59" s="322">
        <v>0</v>
      </c>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276" customFormat="1" ht="15.75" thickBot="1" x14ac:dyDescent="0.3">
      <c r="A60" s="349" t="s">
        <v>40</v>
      </c>
      <c r="B60" s="350"/>
      <c r="C60" s="350"/>
      <c r="D60" s="350"/>
      <c r="E60" s="351"/>
      <c r="F60" s="419">
        <f t="shared" ref="F60:M60" si="6">SUM(F45:F59)</f>
        <v>69000</v>
      </c>
      <c r="G60" s="420">
        <f t="shared" si="6"/>
        <v>33454.19</v>
      </c>
      <c r="H60" s="420">
        <f t="shared" si="6"/>
        <v>80013</v>
      </c>
      <c r="I60" s="420">
        <f t="shared" si="6"/>
        <v>0</v>
      </c>
      <c r="J60" s="420">
        <f t="shared" si="6"/>
        <v>48362.25</v>
      </c>
      <c r="K60" s="421">
        <f t="shared" si="6"/>
        <v>65104.939999999995</v>
      </c>
      <c r="L60" s="422">
        <f>SUM(L45:L59)</f>
        <v>65104.939999999995</v>
      </c>
      <c r="M60" s="421">
        <f t="shared" si="6"/>
        <v>0</v>
      </c>
      <c r="N60" s="274"/>
      <c r="O60" s="274"/>
      <c r="P60" s="274"/>
      <c r="Q60" s="274"/>
      <c r="R60" s="274"/>
      <c r="S60" s="274"/>
      <c r="T60" s="274"/>
      <c r="U60" s="275"/>
      <c r="V60" s="274"/>
      <c r="W60" s="274"/>
      <c r="X60" s="274"/>
      <c r="Y60" s="274"/>
      <c r="Z60" s="274"/>
      <c r="AA60" s="274"/>
      <c r="AB60" s="274"/>
      <c r="AC60" s="274"/>
      <c r="AD60" s="274"/>
      <c r="AE60" s="274"/>
      <c r="AF60" s="274"/>
      <c r="AG60" s="274"/>
      <c r="AH60" s="274"/>
      <c r="AI60" s="274"/>
      <c r="AJ60" s="274"/>
      <c r="AK60" s="274"/>
      <c r="AL60" s="274"/>
      <c r="AM60" s="275"/>
      <c r="AN60" s="275"/>
      <c r="AO60" s="275"/>
      <c r="AP60" s="275"/>
      <c r="AQ60" s="275"/>
      <c r="AR60" s="275"/>
      <c r="AS60" s="275"/>
      <c r="AT60" s="275"/>
      <c r="AU60" s="275"/>
      <c r="AV60" s="275"/>
    </row>
    <row r="61" spans="1:48" ht="15.75" thickBot="1" x14ac:dyDescent="0.3">
      <c r="H61" s="28"/>
      <c r="L61" s="277" t="s">
        <v>108</v>
      </c>
      <c r="N61" s="29"/>
    </row>
    <row r="62" spans="1:48" s="48" customFormat="1" ht="16.5" thickBot="1" x14ac:dyDescent="0.3">
      <c r="A62" s="52"/>
      <c r="B62" s="53"/>
      <c r="C62" s="53"/>
      <c r="D62" s="53"/>
      <c r="E62" s="53"/>
      <c r="F62" s="53"/>
      <c r="G62" s="53"/>
      <c r="H62" s="53"/>
      <c r="I62" s="53"/>
      <c r="J62" s="53"/>
      <c r="K62" s="53"/>
      <c r="L62" s="555">
        <f>L60+J41</f>
        <v>69814.51999999999</v>
      </c>
      <c r="M62" s="49"/>
      <c r="N62" s="29"/>
      <c r="O62" s="29"/>
      <c r="P62" s="29"/>
      <c r="Q62" s="29"/>
      <c r="R62" s="29"/>
      <c r="S62" s="29"/>
      <c r="T62" s="29"/>
      <c r="U62" s="29"/>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51" customFormat="1" ht="31.5" hidden="1" x14ac:dyDescent="0.25">
      <c r="A63" s="54"/>
      <c r="B63" s="50"/>
      <c r="C63" s="50"/>
      <c r="D63" s="50"/>
      <c r="E63" s="50"/>
      <c r="F63" s="50"/>
      <c r="G63" s="151" t="s">
        <v>191</v>
      </c>
      <c r="H63" s="152" t="s">
        <v>181</v>
      </c>
      <c r="I63" s="152" t="s">
        <v>106</v>
      </c>
      <c r="J63" s="152" t="s">
        <v>60</v>
      </c>
      <c r="K63" s="153" t="s">
        <v>48</v>
      </c>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row>
    <row r="64" spans="1:48" s="43" customFormat="1" ht="20.25" hidden="1" customHeight="1" x14ac:dyDescent="0.2">
      <c r="A64" s="369" t="s">
        <v>79</v>
      </c>
      <c r="B64" s="759" t="s">
        <v>47</v>
      </c>
      <c r="C64" s="759"/>
      <c r="D64" s="759"/>
      <c r="E64" s="759"/>
      <c r="F64" s="370"/>
      <c r="G64" s="370">
        <f>104647.76-J48-1250-1250</f>
        <v>102147.76</v>
      </c>
      <c r="H64" s="370">
        <f>90450.47-J64-H67</f>
        <v>68332.47</v>
      </c>
      <c r="I64" s="370">
        <f>H53</f>
        <v>6223</v>
      </c>
      <c r="J64" s="370">
        <f>'June''18 AR Aging '!G40</f>
        <v>22118</v>
      </c>
      <c r="K64" s="371">
        <f>+I64+J64+H64-G64</f>
        <v>-5474.2899999999936</v>
      </c>
      <c r="L64" s="46"/>
      <c r="M64" s="46"/>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25" customFormat="1" hidden="1" x14ac:dyDescent="0.2">
      <c r="A65" s="372" t="s">
        <v>36</v>
      </c>
      <c r="B65" s="758" t="s">
        <v>31</v>
      </c>
      <c r="C65" s="758"/>
      <c r="D65" s="758"/>
      <c r="E65" s="758"/>
      <c r="F65" s="367"/>
      <c r="G65" s="367"/>
      <c r="H65" s="367">
        <v>0</v>
      </c>
      <c r="I65" s="368"/>
      <c r="J65" s="367">
        <v>0</v>
      </c>
      <c r="K65" s="373"/>
      <c r="L65" s="340"/>
      <c r="M65" s="340">
        <v>0</v>
      </c>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row>
    <row r="66" spans="1:48" s="18" customFormat="1" hidden="1" x14ac:dyDescent="0.2">
      <c r="A66" s="372" t="s">
        <v>22</v>
      </c>
      <c r="B66" s="760" t="s">
        <v>161</v>
      </c>
      <c r="C66" s="761"/>
      <c r="D66" s="761"/>
      <c r="E66" s="762"/>
      <c r="F66" s="367"/>
      <c r="G66" s="367"/>
      <c r="H66" s="367"/>
      <c r="I66" s="368"/>
      <c r="J66" s="367"/>
      <c r="K66" s="373"/>
      <c r="L66" s="340"/>
      <c r="M66" s="340"/>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row>
    <row r="67" spans="1:48" s="18" customFormat="1" ht="15" hidden="1" thickBot="1" x14ac:dyDescent="0.25">
      <c r="A67" s="374" t="s">
        <v>160</v>
      </c>
      <c r="B67" s="757" t="s">
        <v>47</v>
      </c>
      <c r="C67" s="757"/>
      <c r="D67" s="757"/>
      <c r="E67" s="757"/>
      <c r="F67" s="375"/>
      <c r="G67" s="375"/>
      <c r="H67" s="375">
        <v>0</v>
      </c>
      <c r="I67" s="375"/>
      <c r="J67" s="375"/>
      <c r="K67" s="376"/>
      <c r="L67" s="46"/>
      <c r="M67" s="46"/>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x14ac:dyDescent="0.2">
      <c r="F68" s="250"/>
      <c r="G68" s="251"/>
      <c r="H68" s="250"/>
      <c r="I68" s="250"/>
      <c r="J68" s="250">
        <f>J64+I60+H27+J67</f>
        <v>311331</v>
      </c>
      <c r="K68" s="250" t="s">
        <v>53</v>
      </c>
      <c r="N68" s="29"/>
    </row>
    <row r="69" spans="1:48" x14ac:dyDescent="0.2">
      <c r="F69" s="250"/>
      <c r="G69" s="251"/>
      <c r="H69" s="250"/>
      <c r="I69" s="250"/>
      <c r="J69" s="271">
        <f>'June''18 AR Aging '!G61</f>
        <v>311330.99999999994</v>
      </c>
      <c r="K69" s="250" t="s">
        <v>433</v>
      </c>
      <c r="N69" s="29"/>
    </row>
    <row r="70" spans="1:48" ht="15" customHeight="1" x14ac:dyDescent="0.2">
      <c r="F70" s="250"/>
      <c r="G70" s="251"/>
      <c r="H70" s="250"/>
      <c r="I70" s="250"/>
      <c r="J70" s="571">
        <f>J69-J68</f>
        <v>0</v>
      </c>
      <c r="K70" s="250" t="s">
        <v>326</v>
      </c>
      <c r="N70" s="29"/>
    </row>
    <row r="71" spans="1:48" ht="15" customHeight="1" x14ac:dyDescent="0.2">
      <c r="C71" s="8"/>
      <c r="E71" s="9"/>
    </row>
    <row r="80" spans="1:48" x14ac:dyDescent="0.2">
      <c r="A80" s="10"/>
      <c r="B80" s="1"/>
      <c r="C80" s="6"/>
      <c r="D80" s="6"/>
      <c r="E80" s="7"/>
      <c r="F80" s="29"/>
      <c r="G80" s="29"/>
      <c r="I80" s="29"/>
      <c r="J80" s="29"/>
      <c r="K80" s="29"/>
      <c r="L80" s="29"/>
    </row>
  </sheetData>
  <mergeCells count="28">
    <mergeCell ref="B56:E56"/>
    <mergeCell ref="B37:C37"/>
    <mergeCell ref="B35:C35"/>
    <mergeCell ref="B36:C36"/>
    <mergeCell ref="B38:C38"/>
    <mergeCell ref="B52:E52"/>
    <mergeCell ref="B67:E67"/>
    <mergeCell ref="B57:E57"/>
    <mergeCell ref="B65:E65"/>
    <mergeCell ref="B59:E59"/>
    <mergeCell ref="B64:E64"/>
    <mergeCell ref="B66:E66"/>
    <mergeCell ref="B31:C31"/>
    <mergeCell ref="B55:E55"/>
    <mergeCell ref="B44:E44"/>
    <mergeCell ref="B33:C33"/>
    <mergeCell ref="B39:C39"/>
    <mergeCell ref="B40:C40"/>
    <mergeCell ref="B45:E45"/>
    <mergeCell ref="B46:E46"/>
    <mergeCell ref="B53:E53"/>
    <mergeCell ref="B54:E54"/>
    <mergeCell ref="B32:C32"/>
    <mergeCell ref="B34:C34"/>
    <mergeCell ref="B47:E47"/>
    <mergeCell ref="B48:E48"/>
    <mergeCell ref="B49:E49"/>
    <mergeCell ref="B51:E51"/>
  </mergeCells>
  <pageMargins left="0.45" right="0" top="0.75" bottom="0" header="0.3" footer="0.05"/>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25"/>
  <sheetViews>
    <sheetView zoomScale="75" zoomScaleNormal="75" workbookViewId="0">
      <selection activeCell="B62" sqref="B62"/>
    </sheetView>
  </sheetViews>
  <sheetFormatPr defaultRowHeight="14.25" x14ac:dyDescent="0.2"/>
  <cols>
    <col min="1" max="1" width="1.875" style="58" customWidth="1"/>
    <col min="2" max="2" width="54" style="58" customWidth="1"/>
    <col min="3" max="5" width="17.125" style="124" customWidth="1"/>
    <col min="6" max="6" width="18.75" style="124" customWidth="1"/>
    <col min="7" max="7" width="16.875" style="124" customWidth="1"/>
    <col min="8" max="8" width="11.75" style="1" customWidth="1"/>
    <col min="9"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2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416</v>
      </c>
      <c r="B2" s="16"/>
      <c r="C2" s="13"/>
      <c r="D2" s="13"/>
      <c r="E2" s="26"/>
      <c r="F2" s="26"/>
      <c r="G2" s="2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4" spans="1:2009" s="57" customFormat="1" ht="16.5" thickBot="1" x14ac:dyDescent="0.3">
      <c r="A4" s="56"/>
      <c r="B4" s="56"/>
      <c r="C4" s="93" t="s">
        <v>417</v>
      </c>
      <c r="D4" s="93" t="s">
        <v>420</v>
      </c>
      <c r="E4" s="93" t="s">
        <v>394</v>
      </c>
      <c r="F4" s="93" t="s">
        <v>424</v>
      </c>
      <c r="G4" s="93" t="s">
        <v>78</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765" t="s">
        <v>73</v>
      </c>
      <c r="B5" s="766"/>
      <c r="C5" s="149"/>
      <c r="D5" s="149"/>
      <c r="E5" s="157"/>
      <c r="F5" s="157"/>
      <c r="G5" s="14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66" customFormat="1" ht="24.95" hidden="1" customHeight="1" x14ac:dyDescent="0.25">
      <c r="A6" s="361"/>
      <c r="B6" s="125"/>
      <c r="C6" s="362"/>
      <c r="D6" s="164"/>
      <c r="E6" s="586"/>
      <c r="F6" s="363"/>
      <c r="G6" s="166">
        <f>ROUND(SUM(C6:F6),5)</f>
        <v>0</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c r="DF6" s="365"/>
      <c r="DG6" s="365"/>
      <c r="DH6" s="365"/>
      <c r="DI6" s="365"/>
      <c r="DJ6" s="365"/>
      <c r="DK6" s="365"/>
      <c r="DL6" s="365"/>
      <c r="DM6" s="365"/>
      <c r="DN6" s="365"/>
      <c r="DO6" s="365"/>
      <c r="DP6" s="365"/>
      <c r="DQ6" s="365"/>
      <c r="DR6" s="365"/>
      <c r="DS6" s="365"/>
      <c r="DT6" s="365"/>
      <c r="DU6" s="365"/>
      <c r="DV6" s="365"/>
      <c r="DW6" s="365"/>
      <c r="DX6" s="365"/>
      <c r="DY6" s="365"/>
      <c r="DZ6" s="365"/>
      <c r="EA6" s="365"/>
      <c r="EB6" s="365"/>
      <c r="EC6" s="365"/>
      <c r="ED6" s="365"/>
      <c r="EE6" s="365"/>
      <c r="EF6" s="365"/>
      <c r="EG6" s="365"/>
      <c r="EH6" s="365"/>
      <c r="EI6" s="365"/>
      <c r="EJ6" s="365"/>
      <c r="EK6" s="365"/>
      <c r="EL6" s="365"/>
      <c r="EM6" s="365"/>
      <c r="EN6" s="365"/>
      <c r="EO6" s="365"/>
      <c r="EP6" s="365"/>
      <c r="EQ6" s="365"/>
      <c r="ER6" s="365"/>
      <c r="ES6" s="365"/>
      <c r="ET6" s="365"/>
      <c r="EU6" s="365"/>
      <c r="EV6" s="365"/>
      <c r="EW6" s="365"/>
      <c r="EX6" s="365"/>
      <c r="EY6" s="365"/>
      <c r="EZ6" s="365"/>
      <c r="FA6" s="365"/>
      <c r="FB6" s="365"/>
      <c r="FC6" s="365"/>
      <c r="FD6" s="365"/>
      <c r="FE6" s="365"/>
      <c r="FF6" s="365"/>
      <c r="FG6" s="365"/>
      <c r="FH6" s="365"/>
      <c r="FI6" s="365"/>
      <c r="FJ6" s="365"/>
      <c r="FK6" s="365"/>
      <c r="FL6" s="365"/>
      <c r="FM6" s="365"/>
      <c r="FN6" s="365"/>
      <c r="FO6" s="365"/>
      <c r="FP6" s="365"/>
      <c r="FQ6" s="365"/>
      <c r="FR6" s="365"/>
      <c r="FS6" s="365"/>
      <c r="FT6" s="365"/>
      <c r="FU6" s="365"/>
      <c r="FV6" s="365"/>
      <c r="FW6" s="365"/>
      <c r="FX6" s="365"/>
      <c r="FY6" s="365"/>
      <c r="FZ6" s="365"/>
      <c r="GA6" s="365"/>
      <c r="GB6" s="365"/>
      <c r="GC6" s="365"/>
      <c r="GD6" s="365"/>
      <c r="GE6" s="365"/>
      <c r="GF6" s="365"/>
      <c r="GG6" s="365"/>
      <c r="GH6" s="365"/>
      <c r="GI6" s="365"/>
      <c r="GJ6" s="365"/>
      <c r="GK6" s="365"/>
      <c r="GL6" s="365"/>
      <c r="GM6" s="365"/>
      <c r="GN6" s="365"/>
      <c r="GO6" s="365"/>
      <c r="GP6" s="365"/>
      <c r="GQ6" s="365"/>
      <c r="GR6" s="365"/>
      <c r="GS6" s="365"/>
      <c r="GT6" s="365"/>
      <c r="GU6" s="365"/>
      <c r="GV6" s="365"/>
      <c r="GW6" s="365"/>
      <c r="GX6" s="365"/>
      <c r="GY6" s="365"/>
      <c r="GZ6" s="365"/>
      <c r="HA6" s="365"/>
      <c r="HB6" s="365"/>
      <c r="HC6" s="365"/>
      <c r="HD6" s="365"/>
      <c r="HE6" s="365"/>
      <c r="HF6" s="365"/>
      <c r="HG6" s="365"/>
      <c r="HH6" s="365"/>
      <c r="HI6" s="365"/>
      <c r="HJ6" s="365"/>
      <c r="HK6" s="365"/>
      <c r="HL6" s="365"/>
      <c r="HM6" s="365"/>
      <c r="HN6" s="365"/>
      <c r="HO6" s="365"/>
      <c r="HP6" s="365"/>
      <c r="HQ6" s="365"/>
      <c r="HR6" s="365"/>
      <c r="HS6" s="365"/>
      <c r="HT6" s="365"/>
      <c r="HU6" s="365"/>
      <c r="HV6" s="365"/>
      <c r="HW6" s="365"/>
      <c r="HX6" s="365"/>
      <c r="HY6" s="365"/>
      <c r="HZ6" s="365"/>
      <c r="IA6" s="365"/>
      <c r="IB6" s="365"/>
      <c r="IC6" s="365"/>
      <c r="ID6" s="365"/>
      <c r="IE6" s="365"/>
      <c r="IF6" s="365"/>
      <c r="IG6" s="365"/>
      <c r="IH6" s="365"/>
      <c r="II6" s="365"/>
      <c r="IJ6" s="365"/>
      <c r="IK6" s="365"/>
      <c r="IL6" s="365"/>
      <c r="IM6" s="365"/>
      <c r="IN6" s="365"/>
      <c r="IO6" s="365"/>
      <c r="IP6" s="365"/>
      <c r="IQ6" s="365"/>
      <c r="IR6" s="365"/>
      <c r="IS6" s="365"/>
      <c r="IT6" s="365"/>
      <c r="IU6" s="365"/>
      <c r="IV6" s="365"/>
      <c r="IW6" s="365"/>
      <c r="IX6" s="365"/>
      <c r="IY6" s="365"/>
      <c r="IZ6" s="365"/>
      <c r="JA6" s="365"/>
      <c r="JB6" s="365"/>
      <c r="JC6" s="365"/>
      <c r="JD6" s="365"/>
      <c r="JE6" s="365"/>
      <c r="JF6" s="365"/>
      <c r="JG6" s="365"/>
      <c r="JH6" s="365"/>
      <c r="JI6" s="365"/>
      <c r="JJ6" s="365"/>
      <c r="JK6" s="365"/>
      <c r="JL6" s="365"/>
      <c r="JM6" s="365"/>
      <c r="JN6" s="365"/>
      <c r="JO6" s="365"/>
      <c r="JP6" s="365"/>
      <c r="JQ6" s="365"/>
      <c r="JR6" s="365"/>
      <c r="JS6" s="365"/>
      <c r="JT6" s="365"/>
      <c r="JU6" s="365"/>
      <c r="JV6" s="365"/>
      <c r="JW6" s="365"/>
      <c r="JX6" s="365"/>
      <c r="JY6" s="365"/>
      <c r="JZ6" s="365"/>
      <c r="KA6" s="365"/>
      <c r="KB6" s="365"/>
      <c r="KC6" s="365"/>
      <c r="KD6" s="365"/>
      <c r="KE6" s="365"/>
      <c r="KF6" s="365"/>
      <c r="KG6" s="365"/>
      <c r="KH6" s="365"/>
      <c r="KI6" s="365"/>
      <c r="KJ6" s="365"/>
      <c r="KK6" s="365"/>
      <c r="KL6" s="365"/>
      <c r="KM6" s="365"/>
      <c r="KN6" s="365"/>
      <c r="KO6" s="365"/>
      <c r="KP6" s="365"/>
      <c r="KQ6" s="365"/>
      <c r="KR6" s="365"/>
      <c r="KS6" s="365"/>
      <c r="KT6" s="365"/>
      <c r="KU6" s="365"/>
      <c r="KV6" s="365"/>
      <c r="KW6" s="365"/>
      <c r="KX6" s="365"/>
      <c r="KY6" s="365"/>
      <c r="KZ6" s="365"/>
      <c r="LA6" s="365"/>
      <c r="LB6" s="365"/>
      <c r="LC6" s="365"/>
      <c r="LD6" s="365"/>
      <c r="LE6" s="365"/>
      <c r="LF6" s="365"/>
      <c r="LG6" s="365"/>
      <c r="LH6" s="365"/>
      <c r="LI6" s="365"/>
      <c r="LJ6" s="365"/>
      <c r="LK6" s="365"/>
      <c r="LL6" s="365"/>
      <c r="LM6" s="365"/>
      <c r="LN6" s="365"/>
      <c r="LO6" s="365"/>
      <c r="LP6" s="365"/>
      <c r="LQ6" s="365"/>
      <c r="LR6" s="365"/>
      <c r="LS6" s="365"/>
      <c r="LT6" s="365"/>
      <c r="LU6" s="365"/>
      <c r="LV6" s="365"/>
      <c r="LW6" s="365"/>
      <c r="LX6" s="365"/>
      <c r="LY6" s="365"/>
      <c r="LZ6" s="365"/>
      <c r="MA6" s="365"/>
      <c r="MB6" s="365"/>
      <c r="MC6" s="365"/>
      <c r="MD6" s="365"/>
      <c r="ME6" s="365"/>
      <c r="MF6" s="365"/>
      <c r="MG6" s="365"/>
      <c r="MH6" s="365"/>
      <c r="MI6" s="365"/>
      <c r="MJ6" s="365"/>
      <c r="MK6" s="365"/>
      <c r="ML6" s="365"/>
      <c r="MM6" s="365"/>
      <c r="MN6" s="365"/>
      <c r="MO6" s="365"/>
      <c r="MP6" s="365"/>
      <c r="MQ6" s="365"/>
      <c r="MR6" s="365"/>
      <c r="MS6" s="365"/>
      <c r="MT6" s="365"/>
      <c r="MU6" s="365"/>
      <c r="MV6" s="365"/>
      <c r="MW6" s="365"/>
      <c r="MX6" s="365"/>
      <c r="MY6" s="365"/>
      <c r="MZ6" s="365"/>
      <c r="NA6" s="365"/>
      <c r="NB6" s="365"/>
      <c r="NC6" s="365"/>
      <c r="ND6" s="365"/>
      <c r="NE6" s="365"/>
      <c r="NF6" s="365"/>
      <c r="NG6" s="365"/>
      <c r="NH6" s="365"/>
      <c r="NI6" s="365"/>
      <c r="NJ6" s="365"/>
      <c r="NK6" s="365"/>
      <c r="NL6" s="365"/>
      <c r="NM6" s="365"/>
      <c r="NN6" s="365"/>
      <c r="NO6" s="365"/>
      <c r="NP6" s="365"/>
      <c r="NQ6" s="365"/>
      <c r="NR6" s="365"/>
      <c r="NS6" s="365"/>
      <c r="NT6" s="365"/>
      <c r="NU6" s="365"/>
      <c r="NV6" s="365"/>
      <c r="NW6" s="365"/>
      <c r="NX6" s="365"/>
      <c r="NY6" s="365"/>
      <c r="NZ6" s="365"/>
      <c r="OA6" s="365"/>
      <c r="OB6" s="365"/>
      <c r="OC6" s="365"/>
      <c r="OD6" s="365"/>
      <c r="OE6" s="365"/>
      <c r="OF6" s="365"/>
      <c r="OG6" s="365"/>
      <c r="OH6" s="365"/>
      <c r="OI6" s="365"/>
      <c r="OJ6" s="365"/>
      <c r="OK6" s="365"/>
      <c r="OL6" s="365"/>
      <c r="OM6" s="365"/>
      <c r="ON6" s="365"/>
      <c r="OO6" s="365"/>
      <c r="OP6" s="365"/>
      <c r="OQ6" s="365"/>
      <c r="OR6" s="365"/>
      <c r="OS6" s="365"/>
      <c r="OT6" s="365"/>
      <c r="OU6" s="365"/>
      <c r="OV6" s="365"/>
      <c r="OW6" s="365"/>
      <c r="OX6" s="365"/>
      <c r="OY6" s="365"/>
      <c r="OZ6" s="365"/>
      <c r="PA6" s="365"/>
      <c r="PB6" s="365"/>
      <c r="PC6" s="365"/>
      <c r="PD6" s="365"/>
      <c r="PE6" s="365"/>
      <c r="PF6" s="365"/>
      <c r="PG6" s="365"/>
      <c r="PH6" s="365"/>
      <c r="PI6" s="365"/>
      <c r="PJ6" s="365"/>
      <c r="PK6" s="365"/>
      <c r="PL6" s="365"/>
      <c r="PM6" s="365"/>
      <c r="PN6" s="365"/>
      <c r="PO6" s="365"/>
      <c r="PP6" s="365"/>
      <c r="PQ6" s="365"/>
      <c r="PR6" s="365"/>
      <c r="PS6" s="365"/>
      <c r="PT6" s="365"/>
      <c r="PU6" s="365"/>
      <c r="PV6" s="365"/>
      <c r="PW6" s="365"/>
      <c r="PX6" s="365"/>
      <c r="PY6" s="365"/>
      <c r="PZ6" s="365"/>
      <c r="QA6" s="365"/>
      <c r="QB6" s="365"/>
      <c r="QC6" s="365"/>
      <c r="QD6" s="365"/>
      <c r="QE6" s="365"/>
      <c r="QF6" s="365"/>
      <c r="QG6" s="365"/>
      <c r="QH6" s="365"/>
      <c r="QI6" s="365"/>
      <c r="QJ6" s="365"/>
      <c r="QK6" s="365"/>
      <c r="QL6" s="365"/>
      <c r="QM6" s="365"/>
      <c r="QN6" s="365"/>
      <c r="QO6" s="365"/>
      <c r="QP6" s="365"/>
      <c r="QQ6" s="365"/>
      <c r="QR6" s="365"/>
      <c r="QS6" s="365"/>
      <c r="QT6" s="365"/>
      <c r="QU6" s="365"/>
      <c r="QV6" s="365"/>
      <c r="QW6" s="365"/>
      <c r="QX6" s="365"/>
      <c r="QY6" s="365"/>
      <c r="QZ6" s="365"/>
      <c r="RA6" s="365"/>
      <c r="RB6" s="365"/>
      <c r="RC6" s="365"/>
      <c r="RD6" s="365"/>
      <c r="RE6" s="365"/>
      <c r="RF6" s="365"/>
      <c r="RG6" s="365"/>
      <c r="RH6" s="365"/>
      <c r="RI6" s="365"/>
      <c r="RJ6" s="365"/>
      <c r="RK6" s="365"/>
      <c r="RL6" s="365"/>
      <c r="RM6" s="365"/>
      <c r="RN6" s="365"/>
      <c r="RO6" s="365"/>
      <c r="RP6" s="365"/>
      <c r="RQ6" s="365"/>
      <c r="RR6" s="365"/>
      <c r="RS6" s="365"/>
      <c r="RT6" s="365"/>
      <c r="RU6" s="365"/>
      <c r="RV6" s="365"/>
      <c r="RW6" s="365"/>
      <c r="RX6" s="365"/>
      <c r="RY6" s="365"/>
      <c r="RZ6" s="365"/>
      <c r="SA6" s="365"/>
      <c r="SB6" s="365"/>
      <c r="SC6" s="365"/>
      <c r="SD6" s="365"/>
      <c r="SE6" s="365"/>
      <c r="SF6" s="365"/>
      <c r="SG6" s="365"/>
      <c r="SH6" s="365"/>
      <c r="SI6" s="365"/>
      <c r="SJ6" s="365"/>
      <c r="SK6" s="365"/>
      <c r="SL6" s="365"/>
      <c r="SM6" s="365"/>
      <c r="SN6" s="365"/>
      <c r="SO6" s="365"/>
      <c r="SP6" s="365"/>
      <c r="SQ6" s="365"/>
      <c r="SR6" s="365"/>
      <c r="SS6" s="365"/>
      <c r="ST6" s="365"/>
      <c r="SU6" s="365"/>
      <c r="SV6" s="365"/>
      <c r="SW6" s="365"/>
      <c r="SX6" s="365"/>
      <c r="SY6" s="365"/>
      <c r="SZ6" s="365"/>
      <c r="TA6" s="365"/>
      <c r="TB6" s="365"/>
      <c r="TC6" s="365"/>
      <c r="TD6" s="365"/>
      <c r="TE6" s="365"/>
      <c r="TF6" s="365"/>
      <c r="TG6" s="365"/>
      <c r="TH6" s="365"/>
      <c r="TI6" s="365"/>
      <c r="TJ6" s="365"/>
      <c r="TK6" s="365"/>
      <c r="TL6" s="365"/>
      <c r="TM6" s="365"/>
      <c r="TN6" s="365"/>
      <c r="TO6" s="365"/>
      <c r="TP6" s="365"/>
      <c r="TQ6" s="365"/>
      <c r="TR6" s="365"/>
      <c r="TS6" s="365"/>
      <c r="TT6" s="365"/>
      <c r="TU6" s="365"/>
      <c r="TV6" s="365"/>
      <c r="TW6" s="365"/>
      <c r="TX6" s="365"/>
      <c r="TY6" s="365"/>
      <c r="TZ6" s="365"/>
      <c r="UA6" s="365"/>
      <c r="UB6" s="365"/>
      <c r="UC6" s="365"/>
      <c r="UD6" s="365"/>
      <c r="UE6" s="365"/>
      <c r="UF6" s="365"/>
      <c r="UG6" s="365"/>
      <c r="UH6" s="365"/>
      <c r="UI6" s="365"/>
      <c r="UJ6" s="365"/>
      <c r="UK6" s="365"/>
      <c r="UL6" s="365"/>
      <c r="UM6" s="365"/>
      <c r="UN6" s="365"/>
      <c r="UO6" s="365"/>
      <c r="UP6" s="365"/>
      <c r="UQ6" s="365"/>
      <c r="UR6" s="365"/>
      <c r="US6" s="365"/>
      <c r="UT6" s="365"/>
      <c r="UU6" s="365"/>
      <c r="UV6" s="365"/>
      <c r="UW6" s="365"/>
      <c r="UX6" s="365"/>
      <c r="UY6" s="365"/>
      <c r="UZ6" s="365"/>
      <c r="VA6" s="365"/>
      <c r="VB6" s="365"/>
      <c r="VC6" s="365"/>
      <c r="VD6" s="365"/>
      <c r="VE6" s="365"/>
      <c r="VF6" s="365"/>
      <c r="VG6" s="365"/>
      <c r="VH6" s="365"/>
      <c r="VI6" s="365"/>
      <c r="VJ6" s="365"/>
      <c r="VK6" s="365"/>
      <c r="VL6" s="365"/>
      <c r="VM6" s="365"/>
      <c r="VN6" s="365"/>
      <c r="VO6" s="365"/>
      <c r="VP6" s="365"/>
      <c r="VQ6" s="365"/>
      <c r="VR6" s="365"/>
      <c r="VS6" s="365"/>
      <c r="VT6" s="365"/>
      <c r="VU6" s="365"/>
      <c r="VV6" s="365"/>
      <c r="VW6" s="365"/>
      <c r="VX6" s="365"/>
      <c r="VY6" s="365"/>
      <c r="VZ6" s="365"/>
      <c r="WA6" s="365"/>
      <c r="WB6" s="365"/>
      <c r="WC6" s="365"/>
      <c r="WD6" s="365"/>
      <c r="WE6" s="365"/>
      <c r="WF6" s="365"/>
      <c r="WG6" s="365"/>
      <c r="WH6" s="365"/>
      <c r="WI6" s="365"/>
      <c r="WJ6" s="365"/>
      <c r="WK6" s="365"/>
      <c r="WL6" s="365"/>
      <c r="WM6" s="365"/>
      <c r="WN6" s="365"/>
      <c r="WO6" s="365"/>
      <c r="WP6" s="365"/>
      <c r="WQ6" s="365"/>
      <c r="WR6" s="365"/>
      <c r="WS6" s="365"/>
      <c r="WT6" s="365"/>
      <c r="WU6" s="365"/>
      <c r="WV6" s="365"/>
      <c r="WW6" s="365"/>
      <c r="WX6" s="365"/>
      <c r="WY6" s="365"/>
      <c r="WZ6" s="365"/>
      <c r="XA6" s="365"/>
      <c r="XB6" s="365"/>
      <c r="XC6" s="365"/>
      <c r="XD6" s="365"/>
      <c r="XE6" s="365"/>
      <c r="XF6" s="365"/>
      <c r="XG6" s="365"/>
      <c r="XH6" s="365"/>
      <c r="XI6" s="365"/>
      <c r="XJ6" s="365"/>
      <c r="XK6" s="365"/>
      <c r="XL6" s="365"/>
      <c r="XM6" s="365"/>
      <c r="XN6" s="365"/>
      <c r="XO6" s="365"/>
      <c r="XP6" s="365"/>
      <c r="XQ6" s="365"/>
      <c r="XR6" s="365"/>
      <c r="XS6" s="365"/>
      <c r="XT6" s="365"/>
      <c r="XU6" s="365"/>
      <c r="XV6" s="365"/>
      <c r="XW6" s="365"/>
      <c r="XX6" s="365"/>
      <c r="XY6" s="365"/>
      <c r="XZ6" s="365"/>
      <c r="YA6" s="365"/>
      <c r="YB6" s="365"/>
      <c r="YC6" s="365"/>
      <c r="YD6" s="365"/>
      <c r="YE6" s="365"/>
      <c r="YF6" s="365"/>
      <c r="YG6" s="365"/>
      <c r="YH6" s="365"/>
      <c r="YI6" s="365"/>
      <c r="YJ6" s="365"/>
      <c r="YK6" s="365"/>
      <c r="YL6" s="365"/>
      <c r="YM6" s="365"/>
      <c r="YN6" s="365"/>
      <c r="YO6" s="365"/>
      <c r="YP6" s="365"/>
      <c r="YQ6" s="365"/>
      <c r="YR6" s="365"/>
      <c r="YS6" s="365"/>
      <c r="YT6" s="365"/>
      <c r="YU6" s="365"/>
      <c r="YV6" s="365"/>
      <c r="YW6" s="365"/>
      <c r="YX6" s="365"/>
      <c r="YY6" s="365"/>
      <c r="YZ6" s="365"/>
      <c r="ZA6" s="365"/>
      <c r="ZB6" s="365"/>
      <c r="ZC6" s="365"/>
      <c r="ZD6" s="365"/>
      <c r="ZE6" s="365"/>
      <c r="ZF6" s="365"/>
      <c r="ZG6" s="365"/>
      <c r="ZH6" s="365"/>
      <c r="ZI6" s="365"/>
      <c r="ZJ6" s="365"/>
      <c r="ZK6" s="365"/>
      <c r="ZL6" s="365"/>
      <c r="ZM6" s="365"/>
      <c r="ZN6" s="365"/>
      <c r="ZO6" s="365"/>
      <c r="ZP6" s="365"/>
      <c r="ZQ6" s="365"/>
      <c r="ZR6" s="365"/>
      <c r="ZS6" s="365"/>
      <c r="ZT6" s="365"/>
      <c r="ZU6" s="365"/>
      <c r="ZV6" s="365"/>
      <c r="ZW6" s="365"/>
      <c r="ZX6" s="365"/>
      <c r="ZY6" s="365"/>
      <c r="ZZ6" s="365"/>
      <c r="AAA6" s="365"/>
      <c r="AAB6" s="365"/>
      <c r="AAC6" s="365"/>
      <c r="AAD6" s="365"/>
      <c r="AAE6" s="365"/>
      <c r="AAF6" s="365"/>
      <c r="AAG6" s="365"/>
      <c r="AAH6" s="365"/>
      <c r="AAI6" s="365"/>
      <c r="AAJ6" s="365"/>
      <c r="AAK6" s="365"/>
      <c r="AAL6" s="365"/>
      <c r="AAM6" s="365"/>
      <c r="AAN6" s="365"/>
      <c r="AAO6" s="365"/>
      <c r="AAP6" s="365"/>
      <c r="AAQ6" s="365"/>
      <c r="AAR6" s="365"/>
      <c r="AAS6" s="365"/>
      <c r="AAT6" s="365"/>
      <c r="AAU6" s="365"/>
      <c r="AAV6" s="365"/>
      <c r="AAW6" s="365"/>
      <c r="AAX6" s="365"/>
      <c r="AAY6" s="365"/>
      <c r="AAZ6" s="365"/>
      <c r="ABA6" s="365"/>
      <c r="ABB6" s="365"/>
      <c r="ABC6" s="365"/>
      <c r="ABD6" s="365"/>
      <c r="ABE6" s="365"/>
      <c r="ABF6" s="365"/>
      <c r="ABG6" s="365"/>
      <c r="ABH6" s="365"/>
      <c r="ABI6" s="365"/>
      <c r="ABJ6" s="365"/>
      <c r="ABK6" s="365"/>
      <c r="ABL6" s="365"/>
      <c r="ABM6" s="365"/>
      <c r="ABN6" s="365"/>
      <c r="ABO6" s="365"/>
      <c r="ABP6" s="365"/>
      <c r="ABQ6" s="365"/>
      <c r="ABR6" s="365"/>
      <c r="ABS6" s="365"/>
      <c r="ABT6" s="365"/>
      <c r="ABU6" s="365"/>
      <c r="ABV6" s="365"/>
      <c r="ABW6" s="365"/>
      <c r="ABX6" s="365"/>
      <c r="ABY6" s="365"/>
      <c r="ABZ6" s="365"/>
      <c r="ACA6" s="365"/>
      <c r="ACB6" s="365"/>
      <c r="ACC6" s="365"/>
      <c r="ACD6" s="365"/>
      <c r="ACE6" s="365"/>
      <c r="ACF6" s="365"/>
      <c r="ACG6" s="365"/>
      <c r="ACH6" s="365"/>
      <c r="ACI6" s="365"/>
      <c r="ACJ6" s="365"/>
      <c r="ACK6" s="365"/>
      <c r="ACL6" s="365"/>
      <c r="ACM6" s="365"/>
      <c r="ACN6" s="365"/>
      <c r="ACO6" s="365"/>
      <c r="ACP6" s="365"/>
      <c r="ACQ6" s="365"/>
      <c r="ACR6" s="365"/>
      <c r="ACS6" s="365"/>
      <c r="ACT6" s="365"/>
      <c r="ACU6" s="365"/>
      <c r="ACV6" s="365"/>
      <c r="ACW6" s="365"/>
      <c r="ACX6" s="365"/>
      <c r="ACY6" s="365"/>
      <c r="ACZ6" s="365"/>
      <c r="ADA6" s="365"/>
      <c r="ADB6" s="365"/>
      <c r="ADC6" s="365"/>
      <c r="ADD6" s="365"/>
      <c r="ADE6" s="365"/>
      <c r="ADF6" s="365"/>
      <c r="ADG6" s="365"/>
      <c r="ADH6" s="365"/>
      <c r="ADI6" s="365"/>
      <c r="ADJ6" s="365"/>
      <c r="ADK6" s="365"/>
      <c r="ADL6" s="365"/>
      <c r="ADM6" s="365"/>
      <c r="ADN6" s="365"/>
      <c r="ADO6" s="365"/>
      <c r="ADP6" s="365"/>
      <c r="ADQ6" s="365"/>
      <c r="ADR6" s="365"/>
      <c r="ADS6" s="365"/>
      <c r="ADT6" s="365"/>
      <c r="ADU6" s="365"/>
      <c r="ADV6" s="365"/>
      <c r="ADW6" s="365"/>
      <c r="ADX6" s="365"/>
      <c r="ADY6" s="365"/>
      <c r="ADZ6" s="365"/>
      <c r="AEA6" s="365"/>
      <c r="AEB6" s="365"/>
      <c r="AEC6" s="365"/>
      <c r="AED6" s="365"/>
      <c r="AEE6" s="365"/>
      <c r="AEF6" s="365"/>
      <c r="AEG6" s="365"/>
      <c r="AEH6" s="365"/>
      <c r="AEI6" s="365"/>
      <c r="AEJ6" s="365"/>
      <c r="AEK6" s="365"/>
      <c r="AEL6" s="365"/>
      <c r="AEM6" s="365"/>
      <c r="AEN6" s="365"/>
      <c r="AEO6" s="365"/>
      <c r="AEP6" s="365"/>
      <c r="AEQ6" s="365"/>
      <c r="AER6" s="365"/>
      <c r="AES6" s="365"/>
      <c r="AET6" s="365"/>
      <c r="AEU6" s="365"/>
      <c r="AEV6" s="365"/>
      <c r="AEW6" s="365"/>
      <c r="AEX6" s="365"/>
      <c r="AEY6" s="365"/>
      <c r="AEZ6" s="365"/>
      <c r="AFA6" s="365"/>
      <c r="AFB6" s="365"/>
      <c r="AFC6" s="365"/>
      <c r="AFD6" s="365"/>
      <c r="AFE6" s="365"/>
      <c r="AFF6" s="365"/>
      <c r="AFG6" s="365"/>
      <c r="AFH6" s="365"/>
      <c r="AFI6" s="365"/>
      <c r="AFJ6" s="365"/>
      <c r="AFK6" s="365"/>
      <c r="AFL6" s="365"/>
      <c r="AFM6" s="365"/>
      <c r="AFN6" s="365"/>
      <c r="AFO6" s="365"/>
      <c r="AFP6" s="365"/>
      <c r="AFQ6" s="365"/>
      <c r="AFR6" s="365"/>
      <c r="AFS6" s="365"/>
      <c r="AFT6" s="365"/>
      <c r="AFU6" s="365"/>
      <c r="AFV6" s="365"/>
      <c r="AFW6" s="365"/>
      <c r="AFX6" s="365"/>
      <c r="AFY6" s="365"/>
      <c r="AFZ6" s="365"/>
      <c r="AGA6" s="365"/>
      <c r="AGB6" s="365"/>
      <c r="AGC6" s="365"/>
      <c r="AGD6" s="365"/>
      <c r="AGE6" s="365"/>
      <c r="AGF6" s="365"/>
      <c r="AGG6" s="365"/>
      <c r="AGH6" s="365"/>
      <c r="AGI6" s="365"/>
      <c r="AGJ6" s="365"/>
      <c r="AGK6" s="365"/>
      <c r="AGL6" s="365"/>
      <c r="AGM6" s="365"/>
      <c r="AGN6" s="365"/>
      <c r="AGO6" s="365"/>
      <c r="AGP6" s="365"/>
      <c r="AGQ6" s="365"/>
      <c r="AGR6" s="365"/>
      <c r="AGS6" s="365"/>
      <c r="AGT6" s="365"/>
      <c r="AGU6" s="365"/>
      <c r="AGV6" s="365"/>
      <c r="AGW6" s="365"/>
      <c r="AGX6" s="365"/>
      <c r="AGY6" s="365"/>
      <c r="AGZ6" s="365"/>
      <c r="AHA6" s="365"/>
      <c r="AHB6" s="365"/>
      <c r="AHC6" s="365"/>
      <c r="AHD6" s="365"/>
      <c r="AHE6" s="365"/>
      <c r="AHF6" s="365"/>
      <c r="AHG6" s="365"/>
      <c r="AHH6" s="365"/>
      <c r="AHI6" s="365"/>
      <c r="AHJ6" s="365"/>
      <c r="AHK6" s="365"/>
      <c r="AHL6" s="365"/>
      <c r="AHM6" s="365"/>
      <c r="AHN6" s="365"/>
      <c r="AHO6" s="365"/>
      <c r="AHP6" s="365"/>
      <c r="AHQ6" s="365"/>
      <c r="AHR6" s="365"/>
      <c r="AHS6" s="365"/>
      <c r="AHT6" s="365"/>
      <c r="AHU6" s="365"/>
      <c r="AHV6" s="365"/>
      <c r="AHW6" s="365"/>
      <c r="AHX6" s="365"/>
      <c r="AHY6" s="365"/>
      <c r="AHZ6" s="365"/>
      <c r="AIA6" s="365"/>
      <c r="AIB6" s="365"/>
      <c r="AIC6" s="365"/>
      <c r="AID6" s="365"/>
      <c r="AIE6" s="365"/>
      <c r="AIF6" s="365"/>
      <c r="AIG6" s="365"/>
      <c r="AIH6" s="365"/>
      <c r="AII6" s="365"/>
      <c r="AIJ6" s="365"/>
      <c r="AIK6" s="365"/>
      <c r="AIL6" s="365"/>
      <c r="AIM6" s="365"/>
      <c r="AIN6" s="365"/>
      <c r="AIO6" s="365"/>
      <c r="AIP6" s="365"/>
      <c r="AIQ6" s="365"/>
      <c r="AIR6" s="365"/>
      <c r="AIS6" s="365"/>
      <c r="AIT6" s="365"/>
      <c r="AIU6" s="365"/>
      <c r="AIV6" s="365"/>
      <c r="AIW6" s="365"/>
      <c r="AIX6" s="365"/>
      <c r="AIY6" s="365"/>
      <c r="AIZ6" s="365"/>
      <c r="AJA6" s="365"/>
      <c r="AJB6" s="365"/>
      <c r="AJC6" s="365"/>
      <c r="AJD6" s="365"/>
      <c r="AJE6" s="365"/>
      <c r="AJF6" s="365"/>
      <c r="AJG6" s="365"/>
      <c r="AJH6" s="365"/>
      <c r="AJI6" s="365"/>
      <c r="AJJ6" s="365"/>
      <c r="AJK6" s="365"/>
      <c r="AJL6" s="365"/>
      <c r="AJM6" s="365"/>
      <c r="AJN6" s="365"/>
      <c r="AJO6" s="365"/>
      <c r="AJP6" s="365"/>
      <c r="AJQ6" s="365"/>
      <c r="AJR6" s="365"/>
      <c r="AJS6" s="365"/>
      <c r="AJT6" s="365"/>
      <c r="AJU6" s="365"/>
      <c r="AJV6" s="365"/>
      <c r="AJW6" s="365"/>
      <c r="AJX6" s="365"/>
      <c r="AJY6" s="365"/>
      <c r="AJZ6" s="365"/>
      <c r="AKA6" s="365"/>
      <c r="AKB6" s="365"/>
      <c r="AKC6" s="365"/>
      <c r="AKD6" s="365"/>
      <c r="AKE6" s="365"/>
      <c r="AKF6" s="365"/>
      <c r="AKG6" s="365"/>
      <c r="AKH6" s="365"/>
      <c r="AKI6" s="365"/>
      <c r="AKJ6" s="365"/>
      <c r="AKK6" s="365"/>
      <c r="AKL6" s="365"/>
      <c r="AKM6" s="365"/>
      <c r="AKN6" s="365"/>
      <c r="AKO6" s="365"/>
      <c r="AKP6" s="365"/>
      <c r="AKQ6" s="365"/>
      <c r="AKR6" s="365"/>
      <c r="AKS6" s="365"/>
      <c r="AKT6" s="365"/>
      <c r="AKU6" s="365"/>
      <c r="AKV6" s="365"/>
      <c r="AKW6" s="365"/>
      <c r="AKX6" s="365"/>
      <c r="AKY6" s="365"/>
      <c r="AKZ6" s="365"/>
      <c r="ALA6" s="365"/>
      <c r="ALB6" s="365"/>
      <c r="ALC6" s="365"/>
      <c r="ALD6" s="365"/>
      <c r="ALE6" s="365"/>
      <c r="ALF6" s="365"/>
      <c r="ALG6" s="365"/>
      <c r="ALH6" s="365"/>
      <c r="ALI6" s="365"/>
      <c r="ALJ6" s="365"/>
      <c r="ALK6" s="365"/>
      <c r="ALL6" s="365"/>
      <c r="ALM6" s="365"/>
      <c r="ALN6" s="365"/>
      <c r="ALO6" s="365"/>
      <c r="ALP6" s="365"/>
      <c r="ALQ6" s="365"/>
      <c r="ALR6" s="365"/>
      <c r="ALS6" s="365"/>
      <c r="ALT6" s="365"/>
      <c r="ALU6" s="365"/>
      <c r="ALV6" s="365"/>
      <c r="ALW6" s="365"/>
      <c r="ALX6" s="365"/>
      <c r="ALY6" s="365"/>
      <c r="ALZ6" s="365"/>
      <c r="AMA6" s="365"/>
      <c r="AMB6" s="365"/>
      <c r="AMC6" s="365"/>
      <c r="AMD6" s="365"/>
      <c r="AME6" s="365"/>
      <c r="AMF6" s="365"/>
      <c r="AMG6" s="365"/>
      <c r="AMH6" s="365"/>
      <c r="AMI6" s="365"/>
      <c r="AMJ6" s="365"/>
      <c r="AMK6" s="365"/>
      <c r="AML6" s="365"/>
      <c r="AMM6" s="365"/>
      <c r="AMN6" s="365"/>
      <c r="AMO6" s="365"/>
      <c r="AMP6" s="365"/>
      <c r="AMQ6" s="365"/>
      <c r="AMR6" s="365"/>
      <c r="AMS6" s="365"/>
      <c r="AMT6" s="365"/>
      <c r="AMU6" s="365"/>
      <c r="AMV6" s="365"/>
      <c r="AMW6" s="365"/>
      <c r="AMX6" s="365"/>
      <c r="AMY6" s="365"/>
      <c r="AMZ6" s="365"/>
      <c r="ANA6" s="365"/>
      <c r="ANB6" s="365"/>
      <c r="ANC6" s="365"/>
      <c r="AND6" s="365"/>
      <c r="ANE6" s="365"/>
      <c r="ANF6" s="365"/>
      <c r="ANG6" s="365"/>
      <c r="ANH6" s="365"/>
      <c r="ANI6" s="365"/>
      <c r="ANJ6" s="365"/>
      <c r="ANK6" s="365"/>
      <c r="ANL6" s="365"/>
      <c r="ANM6" s="365"/>
      <c r="ANN6" s="365"/>
      <c r="ANO6" s="365"/>
      <c r="ANP6" s="365"/>
      <c r="ANQ6" s="365"/>
      <c r="ANR6" s="365"/>
      <c r="ANS6" s="365"/>
      <c r="ANT6" s="365"/>
      <c r="ANU6" s="365"/>
      <c r="ANV6" s="365"/>
      <c r="ANW6" s="365"/>
      <c r="ANX6" s="365"/>
      <c r="ANY6" s="365"/>
      <c r="ANZ6" s="365"/>
      <c r="AOA6" s="365"/>
      <c r="AOB6" s="365"/>
      <c r="AOC6" s="365"/>
      <c r="AOD6" s="365"/>
      <c r="AOE6" s="365"/>
      <c r="AOF6" s="365"/>
      <c r="AOG6" s="365"/>
      <c r="AOH6" s="365"/>
      <c r="AOI6" s="365"/>
      <c r="AOJ6" s="365"/>
      <c r="AOK6" s="365"/>
      <c r="AOL6" s="365"/>
      <c r="AOM6" s="365"/>
      <c r="AON6" s="365"/>
      <c r="AOO6" s="365"/>
      <c r="AOP6" s="365"/>
      <c r="AOQ6" s="365"/>
      <c r="AOR6" s="365"/>
      <c r="AOS6" s="365"/>
      <c r="AOT6" s="365"/>
      <c r="AOU6" s="365"/>
      <c r="AOV6" s="365"/>
      <c r="AOW6" s="365"/>
      <c r="AOX6" s="365"/>
      <c r="AOY6" s="365"/>
      <c r="AOZ6" s="365"/>
      <c r="APA6" s="365"/>
      <c r="APB6" s="365"/>
      <c r="APC6" s="365"/>
      <c r="APD6" s="365"/>
      <c r="APE6" s="365"/>
      <c r="APF6" s="365"/>
      <c r="APG6" s="365"/>
      <c r="APH6" s="365"/>
      <c r="API6" s="365"/>
      <c r="APJ6" s="365"/>
      <c r="APK6" s="365"/>
      <c r="APL6" s="365"/>
      <c r="APM6" s="365"/>
      <c r="APN6" s="365"/>
      <c r="APO6" s="365"/>
      <c r="APP6" s="365"/>
      <c r="APQ6" s="365"/>
      <c r="APR6" s="365"/>
      <c r="APS6" s="365"/>
      <c r="APT6" s="365"/>
      <c r="APU6" s="365"/>
      <c r="APV6" s="365"/>
      <c r="APW6" s="365"/>
      <c r="APX6" s="365"/>
      <c r="APY6" s="365"/>
      <c r="APZ6" s="365"/>
      <c r="AQA6" s="365"/>
      <c r="AQB6" s="365"/>
      <c r="AQC6" s="365"/>
      <c r="AQD6" s="365"/>
      <c r="AQE6" s="365"/>
      <c r="AQF6" s="365"/>
      <c r="AQG6" s="365"/>
      <c r="AQH6" s="365"/>
      <c r="AQI6" s="365"/>
      <c r="AQJ6" s="365"/>
      <c r="AQK6" s="365"/>
      <c r="AQL6" s="365"/>
      <c r="AQM6" s="365"/>
      <c r="AQN6" s="365"/>
      <c r="AQO6" s="365"/>
      <c r="AQP6" s="365"/>
      <c r="AQQ6" s="365"/>
      <c r="AQR6" s="365"/>
      <c r="AQS6" s="365"/>
      <c r="AQT6" s="365"/>
      <c r="AQU6" s="365"/>
      <c r="AQV6" s="365"/>
      <c r="AQW6" s="365"/>
      <c r="AQX6" s="365"/>
      <c r="AQY6" s="365"/>
      <c r="AQZ6" s="365"/>
      <c r="ARA6" s="365"/>
      <c r="ARB6" s="365"/>
      <c r="ARC6" s="365"/>
      <c r="ARD6" s="365"/>
      <c r="ARE6" s="365"/>
      <c r="ARF6" s="365"/>
      <c r="ARG6" s="365"/>
      <c r="ARH6" s="365"/>
      <c r="ARI6" s="365"/>
      <c r="ARJ6" s="365"/>
      <c r="ARK6" s="365"/>
      <c r="ARL6" s="365"/>
      <c r="ARM6" s="365"/>
      <c r="ARN6" s="365"/>
      <c r="ARO6" s="365"/>
      <c r="ARP6" s="365"/>
      <c r="ARQ6" s="365"/>
      <c r="ARR6" s="365"/>
      <c r="ARS6" s="365"/>
      <c r="ART6" s="365"/>
      <c r="ARU6" s="365"/>
      <c r="ARV6" s="365"/>
      <c r="ARW6" s="365"/>
      <c r="ARX6" s="365"/>
      <c r="ARY6" s="365"/>
      <c r="ARZ6" s="365"/>
      <c r="ASA6" s="365"/>
      <c r="ASB6" s="365"/>
      <c r="ASC6" s="365"/>
      <c r="ASD6" s="365"/>
      <c r="ASE6" s="365"/>
      <c r="ASF6" s="365"/>
      <c r="ASG6" s="365"/>
      <c r="ASH6" s="365"/>
      <c r="ASI6" s="365"/>
      <c r="ASJ6" s="365"/>
      <c r="ASK6" s="365"/>
      <c r="ASL6" s="365"/>
      <c r="ASM6" s="365"/>
      <c r="ASN6" s="365"/>
      <c r="ASO6" s="365"/>
      <c r="ASP6" s="365"/>
      <c r="ASQ6" s="365"/>
      <c r="ASR6" s="365"/>
      <c r="ASS6" s="365"/>
      <c r="AST6" s="365"/>
      <c r="ASU6" s="365"/>
      <c r="ASV6" s="365"/>
      <c r="ASW6" s="365"/>
      <c r="ASX6" s="365"/>
      <c r="ASY6" s="365"/>
      <c r="ASZ6" s="365"/>
      <c r="ATA6" s="365"/>
      <c r="ATB6" s="365"/>
      <c r="ATC6" s="365"/>
      <c r="ATD6" s="365"/>
      <c r="ATE6" s="365"/>
      <c r="ATF6" s="365"/>
      <c r="ATG6" s="365"/>
      <c r="ATH6" s="365"/>
      <c r="ATI6" s="365"/>
      <c r="ATJ6" s="365"/>
      <c r="ATK6" s="365"/>
      <c r="ATL6" s="365"/>
      <c r="ATM6" s="365"/>
      <c r="ATN6" s="365"/>
      <c r="ATO6" s="365"/>
      <c r="ATP6" s="365"/>
      <c r="ATQ6" s="365"/>
      <c r="ATR6" s="365"/>
      <c r="ATS6" s="365"/>
      <c r="ATT6" s="365"/>
      <c r="ATU6" s="365"/>
      <c r="ATV6" s="365"/>
      <c r="ATW6" s="365"/>
      <c r="ATX6" s="365"/>
      <c r="ATY6" s="365"/>
      <c r="ATZ6" s="365"/>
      <c r="AUA6" s="365"/>
      <c r="AUB6" s="365"/>
      <c r="AUC6" s="365"/>
      <c r="AUD6" s="365"/>
      <c r="AUE6" s="365"/>
      <c r="AUF6" s="365"/>
      <c r="AUG6" s="365"/>
      <c r="AUH6" s="365"/>
      <c r="AUI6" s="365"/>
      <c r="AUJ6" s="365"/>
      <c r="AUK6" s="365"/>
      <c r="AUL6" s="365"/>
      <c r="AUM6" s="365"/>
      <c r="AUN6" s="365"/>
      <c r="AUO6" s="365"/>
      <c r="AUP6" s="365"/>
      <c r="AUQ6" s="365"/>
      <c r="AUR6" s="365"/>
      <c r="AUS6" s="365"/>
      <c r="AUT6" s="365"/>
      <c r="AUU6" s="365"/>
      <c r="AUV6" s="365"/>
      <c r="AUW6" s="365"/>
      <c r="AUX6" s="365"/>
      <c r="AUY6" s="365"/>
      <c r="AUZ6" s="365"/>
      <c r="AVA6" s="365"/>
      <c r="AVB6" s="365"/>
      <c r="AVC6" s="365"/>
      <c r="AVD6" s="365"/>
      <c r="AVE6" s="365"/>
      <c r="AVF6" s="365"/>
      <c r="AVG6" s="365"/>
      <c r="AVH6" s="365"/>
      <c r="AVI6" s="365"/>
      <c r="AVJ6" s="365"/>
      <c r="AVK6" s="365"/>
      <c r="AVL6" s="365"/>
      <c r="AVM6" s="365"/>
      <c r="AVN6" s="365"/>
      <c r="AVO6" s="365"/>
      <c r="AVP6" s="365"/>
      <c r="AVQ6" s="365"/>
      <c r="AVR6" s="365"/>
      <c r="AVS6" s="365"/>
      <c r="AVT6" s="365"/>
      <c r="AVU6" s="365"/>
      <c r="AVV6" s="365"/>
      <c r="AVW6" s="365"/>
      <c r="AVX6" s="365"/>
      <c r="AVY6" s="365"/>
      <c r="AVZ6" s="365"/>
      <c r="AWA6" s="365"/>
      <c r="AWB6" s="365"/>
      <c r="AWC6" s="365"/>
      <c r="AWD6" s="365"/>
      <c r="AWE6" s="365"/>
      <c r="AWF6" s="365"/>
      <c r="AWG6" s="365"/>
      <c r="AWH6" s="365"/>
      <c r="AWI6" s="365"/>
      <c r="AWJ6" s="365"/>
      <c r="AWK6" s="365"/>
      <c r="AWL6" s="365"/>
      <c r="AWM6" s="365"/>
      <c r="AWN6" s="365"/>
      <c r="AWO6" s="365"/>
      <c r="AWP6" s="365"/>
      <c r="AWQ6" s="365"/>
      <c r="AWR6" s="365"/>
      <c r="AWS6" s="365"/>
      <c r="AWT6" s="365"/>
      <c r="AWU6" s="365"/>
      <c r="AWV6" s="365"/>
      <c r="AWW6" s="365"/>
      <c r="AWX6" s="365"/>
      <c r="AWY6" s="365"/>
      <c r="AWZ6" s="365"/>
      <c r="AXA6" s="365"/>
      <c r="AXB6" s="365"/>
      <c r="AXC6" s="365"/>
      <c r="AXD6" s="365"/>
      <c r="AXE6" s="365"/>
      <c r="AXF6" s="365"/>
      <c r="AXG6" s="365"/>
      <c r="AXH6" s="365"/>
      <c r="AXI6" s="365"/>
      <c r="AXJ6" s="365"/>
      <c r="AXK6" s="365"/>
      <c r="AXL6" s="365"/>
      <c r="AXM6" s="365"/>
      <c r="AXN6" s="365"/>
      <c r="AXO6" s="365"/>
      <c r="AXP6" s="365"/>
      <c r="AXQ6" s="365"/>
      <c r="AXR6" s="365"/>
      <c r="AXS6" s="365"/>
      <c r="AXT6" s="365"/>
      <c r="AXU6" s="365"/>
      <c r="AXV6" s="365"/>
      <c r="AXW6" s="365"/>
      <c r="AXX6" s="365"/>
      <c r="AXY6" s="365"/>
      <c r="AXZ6" s="365"/>
      <c r="AYA6" s="365"/>
      <c r="AYB6" s="365"/>
      <c r="AYC6" s="365"/>
      <c r="AYD6" s="365"/>
      <c r="AYE6" s="365"/>
      <c r="AYF6" s="365"/>
      <c r="AYG6" s="365"/>
      <c r="AYH6" s="365"/>
      <c r="AYI6" s="365"/>
      <c r="AYJ6" s="365"/>
      <c r="AYK6" s="365"/>
      <c r="AYL6" s="365"/>
      <c r="AYM6" s="365"/>
      <c r="AYN6" s="365"/>
      <c r="AYO6" s="365"/>
      <c r="AYP6" s="365"/>
      <c r="AYQ6" s="365"/>
      <c r="AYR6" s="365"/>
      <c r="AYS6" s="365"/>
      <c r="AYT6" s="365"/>
      <c r="AYU6" s="365"/>
      <c r="AYV6" s="365"/>
      <c r="AYW6" s="365"/>
      <c r="AYX6" s="365"/>
      <c r="AYY6" s="365"/>
      <c r="AYZ6" s="365"/>
      <c r="AZA6" s="365"/>
      <c r="AZB6" s="365"/>
      <c r="AZC6" s="365"/>
      <c r="AZD6" s="365"/>
      <c r="AZE6" s="365"/>
      <c r="AZF6" s="365"/>
      <c r="AZG6" s="365"/>
      <c r="AZH6" s="365"/>
      <c r="AZI6" s="365"/>
      <c r="AZJ6" s="365"/>
      <c r="AZK6" s="365"/>
      <c r="AZL6" s="365"/>
      <c r="AZM6" s="365"/>
      <c r="AZN6" s="365"/>
      <c r="AZO6" s="365"/>
      <c r="AZP6" s="365"/>
      <c r="AZQ6" s="365"/>
      <c r="AZR6" s="365"/>
      <c r="AZS6" s="365"/>
      <c r="AZT6" s="365"/>
      <c r="AZU6" s="365"/>
      <c r="AZV6" s="365"/>
      <c r="AZW6" s="365"/>
      <c r="AZX6" s="365"/>
      <c r="AZY6" s="365"/>
      <c r="AZZ6" s="365"/>
      <c r="BAA6" s="365"/>
      <c r="BAB6" s="365"/>
      <c r="BAC6" s="365"/>
      <c r="BAD6" s="365"/>
      <c r="BAE6" s="365"/>
      <c r="BAF6" s="365"/>
      <c r="BAG6" s="365"/>
      <c r="BAH6" s="365"/>
      <c r="BAI6" s="365"/>
      <c r="BAJ6" s="365"/>
      <c r="BAK6" s="365"/>
      <c r="BAL6" s="365"/>
      <c r="BAM6" s="365"/>
      <c r="BAN6" s="365"/>
      <c r="BAO6" s="365"/>
      <c r="BAP6" s="365"/>
      <c r="BAQ6" s="365"/>
      <c r="BAR6" s="365"/>
      <c r="BAS6" s="365"/>
      <c r="BAT6" s="365"/>
      <c r="BAU6" s="365"/>
      <c r="BAV6" s="365"/>
      <c r="BAW6" s="365"/>
      <c r="BAX6" s="365"/>
      <c r="BAY6" s="365"/>
      <c r="BAZ6" s="365"/>
      <c r="BBA6" s="365"/>
      <c r="BBB6" s="365"/>
      <c r="BBC6" s="365"/>
      <c r="BBD6" s="365"/>
      <c r="BBE6" s="365"/>
      <c r="BBF6" s="365"/>
      <c r="BBG6" s="365"/>
      <c r="BBH6" s="365"/>
      <c r="BBI6" s="365"/>
      <c r="BBJ6" s="365"/>
      <c r="BBK6" s="365"/>
      <c r="BBL6" s="365"/>
      <c r="BBM6" s="365"/>
      <c r="BBN6" s="365"/>
      <c r="BBO6" s="365"/>
      <c r="BBP6" s="365"/>
      <c r="BBQ6" s="365"/>
      <c r="BBR6" s="365"/>
      <c r="BBS6" s="365"/>
      <c r="BBT6" s="365"/>
      <c r="BBU6" s="365"/>
      <c r="BBV6" s="365"/>
      <c r="BBW6" s="365"/>
      <c r="BBX6" s="365"/>
      <c r="BBY6" s="365"/>
      <c r="BBZ6" s="365"/>
      <c r="BCA6" s="365"/>
      <c r="BCB6" s="365"/>
      <c r="BCC6" s="365"/>
      <c r="BCD6" s="365"/>
      <c r="BCE6" s="365"/>
      <c r="BCF6" s="365"/>
      <c r="BCG6" s="365"/>
      <c r="BCH6" s="365"/>
      <c r="BCI6" s="365"/>
      <c r="BCJ6" s="365"/>
      <c r="BCK6" s="365"/>
      <c r="BCL6" s="365"/>
      <c r="BCM6" s="365"/>
      <c r="BCN6" s="365"/>
      <c r="BCO6" s="365"/>
      <c r="BCP6" s="365"/>
      <c r="BCQ6" s="365"/>
      <c r="BCR6" s="365"/>
      <c r="BCS6" s="365"/>
      <c r="BCT6" s="365"/>
      <c r="BCU6" s="365"/>
      <c r="BCV6" s="365"/>
      <c r="BCW6" s="365"/>
      <c r="BCX6" s="365"/>
      <c r="BCY6" s="365"/>
      <c r="BCZ6" s="365"/>
      <c r="BDA6" s="365"/>
      <c r="BDB6" s="365"/>
      <c r="BDC6" s="365"/>
      <c r="BDD6" s="365"/>
      <c r="BDE6" s="365"/>
      <c r="BDF6" s="365"/>
      <c r="BDG6" s="365"/>
      <c r="BDH6" s="365"/>
      <c r="BDI6" s="365"/>
      <c r="BDJ6" s="365"/>
      <c r="BDK6" s="365"/>
      <c r="BDL6" s="365"/>
      <c r="BDM6" s="365"/>
      <c r="BDN6" s="365"/>
      <c r="BDO6" s="365"/>
      <c r="BDP6" s="365"/>
      <c r="BDQ6" s="365"/>
      <c r="BDR6" s="365"/>
      <c r="BDS6" s="365"/>
      <c r="BDT6" s="365"/>
      <c r="BDU6" s="365"/>
      <c r="BDV6" s="365"/>
      <c r="BDW6" s="365"/>
      <c r="BDX6" s="365"/>
      <c r="BDY6" s="365"/>
      <c r="BDZ6" s="365"/>
      <c r="BEA6" s="365"/>
      <c r="BEB6" s="365"/>
      <c r="BEC6" s="365"/>
      <c r="BED6" s="365"/>
      <c r="BEE6" s="365"/>
      <c r="BEF6" s="365"/>
      <c r="BEG6" s="365"/>
      <c r="BEH6" s="365"/>
      <c r="BEI6" s="365"/>
      <c r="BEJ6" s="365"/>
      <c r="BEK6" s="365"/>
      <c r="BEL6" s="365"/>
      <c r="BEM6" s="365"/>
      <c r="BEN6" s="365"/>
      <c r="BEO6" s="365"/>
      <c r="BEP6" s="365"/>
      <c r="BEQ6" s="365"/>
      <c r="BER6" s="365"/>
      <c r="BES6" s="365"/>
      <c r="BET6" s="365"/>
      <c r="BEU6" s="365"/>
      <c r="BEV6" s="365"/>
      <c r="BEW6" s="365"/>
      <c r="BEX6" s="365"/>
      <c r="BEY6" s="365"/>
      <c r="BEZ6" s="365"/>
      <c r="BFA6" s="365"/>
      <c r="BFB6" s="365"/>
      <c r="BFC6" s="365"/>
      <c r="BFD6" s="365"/>
      <c r="BFE6" s="365"/>
      <c r="BFF6" s="365"/>
      <c r="BFG6" s="365"/>
      <c r="BFH6" s="365"/>
      <c r="BFI6" s="365"/>
      <c r="BFJ6" s="365"/>
      <c r="BFK6" s="365"/>
      <c r="BFL6" s="365"/>
      <c r="BFM6" s="365"/>
      <c r="BFN6" s="365"/>
      <c r="BFO6" s="365"/>
      <c r="BFP6" s="365"/>
      <c r="BFQ6" s="365"/>
      <c r="BFR6" s="365"/>
      <c r="BFS6" s="365"/>
      <c r="BFT6" s="365"/>
      <c r="BFU6" s="365"/>
      <c r="BFV6" s="365"/>
      <c r="BFW6" s="365"/>
      <c r="BFX6" s="365"/>
      <c r="BFY6" s="365"/>
      <c r="BFZ6" s="365"/>
      <c r="BGA6" s="365"/>
      <c r="BGB6" s="365"/>
      <c r="BGC6" s="365"/>
      <c r="BGD6" s="365"/>
      <c r="BGE6" s="365"/>
      <c r="BGF6" s="365"/>
      <c r="BGG6" s="365"/>
      <c r="BGH6" s="365"/>
      <c r="BGI6" s="365"/>
      <c r="BGJ6" s="365"/>
      <c r="BGK6" s="365"/>
      <c r="BGL6" s="365"/>
      <c r="BGM6" s="365"/>
      <c r="BGN6" s="365"/>
      <c r="BGO6" s="365"/>
      <c r="BGP6" s="365"/>
      <c r="BGQ6" s="365"/>
      <c r="BGR6" s="365"/>
      <c r="BGS6" s="365"/>
      <c r="BGT6" s="365"/>
      <c r="BGU6" s="365"/>
      <c r="BGV6" s="365"/>
      <c r="BGW6" s="365"/>
      <c r="BGX6" s="365"/>
      <c r="BGY6" s="365"/>
      <c r="BGZ6" s="365"/>
      <c r="BHA6" s="365"/>
      <c r="BHB6" s="365"/>
      <c r="BHC6" s="365"/>
      <c r="BHD6" s="365"/>
      <c r="BHE6" s="365"/>
      <c r="BHF6" s="365"/>
      <c r="BHG6" s="365"/>
      <c r="BHH6" s="365"/>
      <c r="BHI6" s="365"/>
      <c r="BHJ6" s="365"/>
      <c r="BHK6" s="365"/>
      <c r="BHL6" s="365"/>
      <c r="BHM6" s="365"/>
      <c r="BHN6" s="365"/>
      <c r="BHO6" s="365"/>
      <c r="BHP6" s="365"/>
      <c r="BHQ6" s="365"/>
      <c r="BHR6" s="365"/>
      <c r="BHS6" s="365"/>
      <c r="BHT6" s="365"/>
      <c r="BHU6" s="365"/>
      <c r="BHV6" s="365"/>
      <c r="BHW6" s="365"/>
      <c r="BHX6" s="365"/>
      <c r="BHY6" s="365"/>
      <c r="BHZ6" s="365"/>
      <c r="BIA6" s="365"/>
      <c r="BIB6" s="365"/>
      <c r="BIC6" s="365"/>
      <c r="BID6" s="365"/>
      <c r="BIE6" s="365"/>
      <c r="BIF6" s="365"/>
      <c r="BIG6" s="365"/>
      <c r="BIH6" s="365"/>
      <c r="BII6" s="365"/>
      <c r="BIJ6" s="365"/>
      <c r="BIK6" s="365"/>
      <c r="BIL6" s="365"/>
      <c r="BIM6" s="365"/>
      <c r="BIN6" s="365"/>
      <c r="BIO6" s="365"/>
      <c r="BIP6" s="365"/>
      <c r="BIQ6" s="365"/>
      <c r="BIR6" s="365"/>
      <c r="BIS6" s="365"/>
      <c r="BIT6" s="365"/>
      <c r="BIU6" s="365"/>
      <c r="BIV6" s="365"/>
      <c r="BIW6" s="365"/>
      <c r="BIX6" s="365"/>
      <c r="BIY6" s="365"/>
      <c r="BIZ6" s="365"/>
      <c r="BJA6" s="365"/>
      <c r="BJB6" s="365"/>
      <c r="BJC6" s="365"/>
      <c r="BJD6" s="365"/>
      <c r="BJE6" s="365"/>
      <c r="BJF6" s="365"/>
      <c r="BJG6" s="365"/>
      <c r="BJH6" s="365"/>
      <c r="BJI6" s="365"/>
      <c r="BJJ6" s="365"/>
      <c r="BJK6" s="365"/>
      <c r="BJL6" s="365"/>
      <c r="BJM6" s="365"/>
      <c r="BJN6" s="365"/>
      <c r="BJO6" s="365"/>
      <c r="BJP6" s="365"/>
      <c r="BJQ6" s="365"/>
      <c r="BJR6" s="365"/>
      <c r="BJS6" s="365"/>
      <c r="BJT6" s="365"/>
      <c r="BJU6" s="365"/>
      <c r="BJV6" s="365"/>
      <c r="BJW6" s="365"/>
      <c r="BJX6" s="365"/>
      <c r="BJY6" s="365"/>
      <c r="BJZ6" s="365"/>
      <c r="BKA6" s="365"/>
      <c r="BKB6" s="365"/>
      <c r="BKC6" s="365"/>
      <c r="BKD6" s="365"/>
      <c r="BKE6" s="365"/>
      <c r="BKF6" s="365"/>
      <c r="BKG6" s="365"/>
      <c r="BKH6" s="365"/>
      <c r="BKI6" s="365"/>
      <c r="BKJ6" s="365"/>
      <c r="BKK6" s="365"/>
      <c r="BKL6" s="365"/>
      <c r="BKM6" s="365"/>
      <c r="BKN6" s="365"/>
      <c r="BKO6" s="365"/>
      <c r="BKP6" s="365"/>
      <c r="BKQ6" s="365"/>
      <c r="BKR6" s="365"/>
      <c r="BKS6" s="365"/>
      <c r="BKT6" s="365"/>
      <c r="BKU6" s="365"/>
      <c r="BKV6" s="365"/>
      <c r="BKW6" s="365"/>
      <c r="BKX6" s="365"/>
      <c r="BKY6" s="365"/>
      <c r="BKZ6" s="365"/>
      <c r="BLA6" s="365"/>
      <c r="BLB6" s="365"/>
      <c r="BLC6" s="365"/>
      <c r="BLD6" s="365"/>
      <c r="BLE6" s="365"/>
      <c r="BLF6" s="365"/>
      <c r="BLG6" s="365"/>
      <c r="BLH6" s="365"/>
      <c r="BLI6" s="365"/>
      <c r="BLJ6" s="365"/>
      <c r="BLK6" s="365"/>
      <c r="BLL6" s="365"/>
      <c r="BLM6" s="365"/>
      <c r="BLN6" s="365"/>
      <c r="BLO6" s="365"/>
      <c r="BLP6" s="365"/>
      <c r="BLQ6" s="365"/>
      <c r="BLR6" s="365"/>
      <c r="BLS6" s="365"/>
      <c r="BLT6" s="365"/>
      <c r="BLU6" s="365"/>
      <c r="BLV6" s="365"/>
      <c r="BLW6" s="365"/>
      <c r="BLX6" s="365"/>
      <c r="BLY6" s="365"/>
      <c r="BLZ6" s="365"/>
      <c r="BMA6" s="365"/>
      <c r="BMB6" s="365"/>
      <c r="BMC6" s="365"/>
      <c r="BMD6" s="365"/>
      <c r="BME6" s="365"/>
      <c r="BMF6" s="365"/>
      <c r="BMG6" s="365"/>
      <c r="BMH6" s="365"/>
      <c r="BMI6" s="365"/>
      <c r="BMJ6" s="365"/>
      <c r="BMK6" s="365"/>
      <c r="BML6" s="365"/>
      <c r="BMM6" s="365"/>
      <c r="BMN6" s="365"/>
      <c r="BMO6" s="365"/>
      <c r="BMP6" s="365"/>
      <c r="BMQ6" s="365"/>
      <c r="BMR6" s="365"/>
      <c r="BMS6" s="365"/>
      <c r="BMT6" s="365"/>
      <c r="BMU6" s="365"/>
      <c r="BMV6" s="365"/>
      <c r="BMW6" s="365"/>
      <c r="BMX6" s="365"/>
      <c r="BMY6" s="365"/>
      <c r="BMZ6" s="365"/>
      <c r="BNA6" s="365"/>
      <c r="BNB6" s="365"/>
      <c r="BNC6" s="365"/>
      <c r="BND6" s="365"/>
      <c r="BNE6" s="365"/>
      <c r="BNF6" s="365"/>
      <c r="BNG6" s="365"/>
      <c r="BNH6" s="365"/>
      <c r="BNI6" s="365"/>
      <c r="BNJ6" s="365"/>
      <c r="BNK6" s="365"/>
      <c r="BNL6" s="365"/>
      <c r="BNM6" s="365"/>
      <c r="BNN6" s="365"/>
      <c r="BNO6" s="365"/>
      <c r="BNP6" s="365"/>
      <c r="BNQ6" s="365"/>
      <c r="BNR6" s="365"/>
      <c r="BNS6" s="365"/>
      <c r="BNT6" s="365"/>
      <c r="BNU6" s="365"/>
      <c r="BNV6" s="365"/>
      <c r="BNW6" s="365"/>
      <c r="BNX6" s="365"/>
      <c r="BNY6" s="365"/>
      <c r="BNZ6" s="365"/>
      <c r="BOA6" s="365"/>
      <c r="BOB6" s="365"/>
      <c r="BOC6" s="365"/>
      <c r="BOD6" s="365"/>
      <c r="BOE6" s="365"/>
      <c r="BOF6" s="365"/>
      <c r="BOG6" s="365"/>
      <c r="BOH6" s="365"/>
      <c r="BOI6" s="365"/>
      <c r="BOJ6" s="365"/>
      <c r="BOK6" s="365"/>
      <c r="BOL6" s="365"/>
      <c r="BOM6" s="365"/>
      <c r="BON6" s="365"/>
      <c r="BOO6" s="365"/>
      <c r="BOP6" s="365"/>
      <c r="BOQ6" s="365"/>
      <c r="BOR6" s="365"/>
      <c r="BOS6" s="365"/>
      <c r="BOT6" s="365"/>
      <c r="BOU6" s="365"/>
      <c r="BOV6" s="365"/>
      <c r="BOW6" s="365"/>
      <c r="BOX6" s="365"/>
      <c r="BOY6" s="365"/>
      <c r="BOZ6" s="365"/>
      <c r="BPA6" s="365"/>
      <c r="BPB6" s="365"/>
      <c r="BPC6" s="365"/>
      <c r="BPD6" s="365"/>
      <c r="BPE6" s="365"/>
      <c r="BPF6" s="365"/>
      <c r="BPG6" s="365"/>
      <c r="BPH6" s="365"/>
      <c r="BPI6" s="365"/>
      <c r="BPJ6" s="365"/>
      <c r="BPK6" s="365"/>
      <c r="BPL6" s="365"/>
      <c r="BPM6" s="365"/>
      <c r="BPN6" s="365"/>
      <c r="BPO6" s="365"/>
      <c r="BPP6" s="365"/>
      <c r="BPQ6" s="365"/>
      <c r="BPR6" s="365"/>
      <c r="BPS6" s="365"/>
      <c r="BPT6" s="365"/>
      <c r="BPU6" s="365"/>
      <c r="BPV6" s="365"/>
      <c r="BPW6" s="365"/>
      <c r="BPX6" s="365"/>
      <c r="BPY6" s="365"/>
      <c r="BPZ6" s="365"/>
      <c r="BQA6" s="365"/>
      <c r="BQB6" s="365"/>
      <c r="BQC6" s="365"/>
      <c r="BQD6" s="365"/>
      <c r="BQE6" s="365"/>
      <c r="BQF6" s="365"/>
      <c r="BQG6" s="365"/>
      <c r="BQH6" s="365"/>
      <c r="BQI6" s="365"/>
      <c r="BQJ6" s="365"/>
      <c r="BQK6" s="365"/>
      <c r="BQL6" s="365"/>
      <c r="BQM6" s="365"/>
      <c r="BQN6" s="365"/>
      <c r="BQO6" s="365"/>
      <c r="BQP6" s="365"/>
      <c r="BQQ6" s="365"/>
      <c r="BQR6" s="365"/>
      <c r="BQS6" s="365"/>
      <c r="BQT6" s="365"/>
      <c r="BQU6" s="365"/>
      <c r="BQV6" s="365"/>
      <c r="BQW6" s="365"/>
      <c r="BQX6" s="365"/>
      <c r="BQY6" s="365"/>
      <c r="BQZ6" s="365"/>
      <c r="BRA6" s="365"/>
      <c r="BRB6" s="365"/>
      <c r="BRC6" s="365"/>
      <c r="BRD6" s="365"/>
      <c r="BRE6" s="365"/>
      <c r="BRF6" s="365"/>
      <c r="BRG6" s="365"/>
      <c r="BRH6" s="365"/>
      <c r="BRI6" s="365"/>
      <c r="BRJ6" s="365"/>
      <c r="BRK6" s="365"/>
      <c r="BRL6" s="365"/>
      <c r="BRM6" s="365"/>
      <c r="BRN6" s="365"/>
      <c r="BRO6" s="365"/>
      <c r="BRP6" s="365"/>
      <c r="BRQ6" s="365"/>
      <c r="BRR6" s="365"/>
      <c r="BRS6" s="365"/>
      <c r="BRT6" s="365"/>
      <c r="BRU6" s="365"/>
      <c r="BRV6" s="365"/>
      <c r="BRW6" s="365"/>
      <c r="BRX6" s="365"/>
      <c r="BRY6" s="365"/>
      <c r="BRZ6" s="365"/>
      <c r="BSA6" s="365"/>
      <c r="BSB6" s="365"/>
      <c r="BSC6" s="365"/>
      <c r="BSD6" s="365"/>
      <c r="BSE6" s="365"/>
      <c r="BSF6" s="365"/>
      <c r="BSG6" s="365"/>
      <c r="BSH6" s="365"/>
      <c r="BSI6" s="365"/>
      <c r="BSJ6" s="365"/>
      <c r="BSK6" s="365"/>
      <c r="BSL6" s="365"/>
      <c r="BSM6" s="365"/>
      <c r="BSN6" s="365"/>
      <c r="BSO6" s="365"/>
      <c r="BSP6" s="365"/>
      <c r="BSQ6" s="365"/>
      <c r="BSR6" s="365"/>
      <c r="BSS6" s="365"/>
      <c r="BST6" s="365"/>
      <c r="BSU6" s="365"/>
      <c r="BSV6" s="365"/>
      <c r="BSW6" s="365"/>
      <c r="BSX6" s="365"/>
      <c r="BSY6" s="365"/>
      <c r="BSZ6" s="365"/>
      <c r="BTA6" s="365"/>
      <c r="BTB6" s="365"/>
      <c r="BTC6" s="365"/>
      <c r="BTD6" s="365"/>
      <c r="BTE6" s="365"/>
      <c r="BTF6" s="365"/>
      <c r="BTG6" s="365"/>
      <c r="BTH6" s="365"/>
      <c r="BTI6" s="365"/>
      <c r="BTJ6" s="365"/>
      <c r="BTK6" s="365"/>
      <c r="BTL6" s="365"/>
      <c r="BTM6" s="365"/>
      <c r="BTN6" s="365"/>
      <c r="BTO6" s="365"/>
      <c r="BTP6" s="365"/>
      <c r="BTQ6" s="365"/>
      <c r="BTR6" s="365"/>
      <c r="BTS6" s="365"/>
      <c r="BTT6" s="365"/>
      <c r="BTU6" s="365"/>
      <c r="BTV6" s="365"/>
      <c r="BTW6" s="365"/>
      <c r="BTX6" s="365"/>
      <c r="BTY6" s="365"/>
      <c r="BTZ6" s="365"/>
      <c r="BUA6" s="365"/>
      <c r="BUB6" s="365"/>
      <c r="BUC6" s="365"/>
      <c r="BUD6" s="365"/>
      <c r="BUE6" s="365"/>
      <c r="BUF6" s="365"/>
      <c r="BUG6" s="365"/>
      <c r="BUH6" s="365"/>
      <c r="BUI6" s="365"/>
      <c r="BUJ6" s="365"/>
      <c r="BUK6" s="365"/>
      <c r="BUL6" s="365"/>
      <c r="BUM6" s="365"/>
      <c r="BUN6" s="365"/>
      <c r="BUO6" s="365"/>
      <c r="BUP6" s="365"/>
      <c r="BUQ6" s="365"/>
      <c r="BUR6" s="365"/>
      <c r="BUS6" s="365"/>
      <c r="BUT6" s="365"/>
      <c r="BUU6" s="365"/>
      <c r="BUV6" s="365"/>
      <c r="BUW6" s="365"/>
      <c r="BUX6" s="365"/>
      <c r="BUY6" s="365"/>
      <c r="BUZ6" s="365"/>
      <c r="BVA6" s="365"/>
      <c r="BVB6" s="365"/>
      <c r="BVC6" s="365"/>
      <c r="BVD6" s="365"/>
      <c r="BVE6" s="365"/>
      <c r="BVF6" s="365"/>
      <c r="BVG6" s="365"/>
      <c r="BVH6" s="365"/>
      <c r="BVI6" s="365"/>
      <c r="BVJ6" s="365"/>
      <c r="BVK6" s="365"/>
      <c r="BVL6" s="365"/>
      <c r="BVM6" s="365"/>
      <c r="BVN6" s="365"/>
      <c r="BVO6" s="365"/>
      <c r="BVP6" s="365"/>
      <c r="BVQ6" s="365"/>
      <c r="BVR6" s="365"/>
      <c r="BVS6" s="365"/>
      <c r="BVT6" s="365"/>
      <c r="BVU6" s="365"/>
      <c r="BVV6" s="365"/>
      <c r="BVW6" s="365"/>
      <c r="BVX6" s="365"/>
      <c r="BVY6" s="365"/>
      <c r="BVZ6" s="365"/>
      <c r="BWA6" s="365"/>
      <c r="BWB6" s="365"/>
      <c r="BWC6" s="365"/>
      <c r="BWD6" s="365"/>
      <c r="BWE6" s="365"/>
      <c r="BWF6" s="365"/>
      <c r="BWG6" s="365"/>
      <c r="BWH6" s="365"/>
      <c r="BWI6" s="365"/>
      <c r="BWJ6" s="365"/>
      <c r="BWK6" s="365"/>
      <c r="BWL6" s="365"/>
      <c r="BWM6" s="365"/>
      <c r="BWN6" s="365"/>
      <c r="BWO6" s="365"/>
      <c r="BWP6" s="365"/>
      <c r="BWQ6" s="365"/>
      <c r="BWR6" s="365"/>
      <c r="BWS6" s="365"/>
      <c r="BWT6" s="365"/>
      <c r="BWU6" s="365"/>
      <c r="BWV6" s="365"/>
      <c r="BWW6" s="365"/>
      <c r="BWX6" s="365"/>
      <c r="BWY6" s="365"/>
      <c r="BWZ6" s="365"/>
      <c r="BXA6" s="365"/>
      <c r="BXB6" s="365"/>
      <c r="BXC6" s="365"/>
      <c r="BXD6" s="365"/>
      <c r="BXE6" s="365"/>
      <c r="BXF6" s="365"/>
      <c r="BXG6" s="365"/>
      <c r="BXH6" s="365"/>
      <c r="BXI6" s="365"/>
      <c r="BXJ6" s="365"/>
      <c r="BXK6" s="365"/>
      <c r="BXL6" s="365"/>
      <c r="BXM6" s="365"/>
      <c r="BXN6" s="365"/>
      <c r="BXO6" s="365"/>
      <c r="BXP6" s="365"/>
      <c r="BXQ6" s="365"/>
      <c r="BXR6" s="365"/>
      <c r="BXS6" s="365"/>
      <c r="BXT6" s="365"/>
      <c r="BXU6" s="365"/>
      <c r="BXV6" s="365"/>
      <c r="BXW6" s="365"/>
      <c r="BXX6" s="365"/>
      <c r="BXY6" s="365"/>
      <c r="BXZ6" s="365"/>
      <c r="BYA6" s="365"/>
      <c r="BYB6" s="365"/>
      <c r="BYC6" s="365"/>
      <c r="BYD6" s="365"/>
      <c r="BYE6" s="365"/>
      <c r="BYF6" s="365"/>
      <c r="BYG6" s="365"/>
    </row>
    <row r="7" spans="1:2009" s="97" customFormat="1" ht="24.95" customHeight="1" x14ac:dyDescent="0.25">
      <c r="A7" s="130"/>
      <c r="B7" s="125" t="s">
        <v>393</v>
      </c>
      <c r="C7" s="164">
        <v>44001.31</v>
      </c>
      <c r="D7" s="164"/>
      <c r="E7" s="164"/>
      <c r="F7" s="165"/>
      <c r="G7" s="166">
        <f>ROUND(SUM(C7:F7),5)</f>
        <v>44001.31</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213" customFormat="1" ht="24.95" customHeight="1" thickBot="1" x14ac:dyDescent="0.3">
      <c r="A8" s="207"/>
      <c r="B8" s="208" t="s">
        <v>168</v>
      </c>
      <c r="C8" s="209">
        <f>SUM(C7)</f>
        <v>44001.31</v>
      </c>
      <c r="D8" s="209"/>
      <c r="E8" s="209"/>
      <c r="F8" s="209"/>
      <c r="G8" s="210">
        <f>ROUND(SUM(G3:G7),5)</f>
        <v>44001.31</v>
      </c>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c r="IW8" s="212"/>
      <c r="IX8" s="212"/>
      <c r="IY8" s="212"/>
      <c r="IZ8" s="212"/>
      <c r="JA8" s="212"/>
      <c r="JB8" s="212"/>
      <c r="JC8" s="212"/>
      <c r="JD8" s="212"/>
      <c r="JE8" s="212"/>
      <c r="JF8" s="212"/>
      <c r="JG8" s="212"/>
      <c r="JH8" s="212"/>
      <c r="JI8" s="212"/>
      <c r="JJ8" s="212"/>
      <c r="JK8" s="212"/>
      <c r="JL8" s="212"/>
      <c r="JM8" s="212"/>
      <c r="JN8" s="212"/>
      <c r="JO8" s="212"/>
      <c r="JP8" s="212"/>
      <c r="JQ8" s="212"/>
      <c r="JR8" s="212"/>
      <c r="JS8" s="212"/>
      <c r="JT8" s="212"/>
      <c r="JU8" s="212"/>
      <c r="JV8" s="212"/>
      <c r="JW8" s="212"/>
      <c r="JX8" s="212"/>
      <c r="JY8" s="212"/>
      <c r="JZ8" s="212"/>
      <c r="KA8" s="212"/>
      <c r="KB8" s="212"/>
      <c r="KC8" s="212"/>
      <c r="KD8" s="212"/>
      <c r="KE8" s="212"/>
      <c r="KF8" s="212"/>
      <c r="KG8" s="212"/>
      <c r="KH8" s="212"/>
      <c r="KI8" s="212"/>
      <c r="KJ8" s="212"/>
      <c r="KK8" s="212"/>
      <c r="KL8" s="212"/>
      <c r="KM8" s="212"/>
      <c r="KN8" s="212"/>
      <c r="KO8" s="212"/>
      <c r="KP8" s="212"/>
      <c r="KQ8" s="212"/>
      <c r="KR8" s="212"/>
      <c r="KS8" s="212"/>
      <c r="KT8" s="212"/>
      <c r="KU8" s="212"/>
      <c r="KV8" s="212"/>
      <c r="KW8" s="212"/>
      <c r="KX8" s="212"/>
      <c r="KY8" s="212"/>
      <c r="KZ8" s="212"/>
      <c r="LA8" s="212"/>
      <c r="LB8" s="212"/>
      <c r="LC8" s="212"/>
      <c r="LD8" s="212"/>
      <c r="LE8" s="212"/>
      <c r="LF8" s="212"/>
      <c r="LG8" s="212"/>
      <c r="LH8" s="212"/>
      <c r="LI8" s="212"/>
      <c r="LJ8" s="212"/>
      <c r="LK8" s="212"/>
      <c r="LL8" s="212"/>
      <c r="LM8" s="212"/>
      <c r="LN8" s="212"/>
      <c r="LO8" s="212"/>
      <c r="LP8" s="212"/>
      <c r="LQ8" s="212"/>
      <c r="LR8" s="212"/>
      <c r="LS8" s="212"/>
      <c r="LT8" s="212"/>
      <c r="LU8" s="212"/>
      <c r="LV8" s="212"/>
      <c r="LW8" s="212"/>
      <c r="LX8" s="212"/>
      <c r="LY8" s="212"/>
      <c r="LZ8" s="212"/>
      <c r="MA8" s="212"/>
      <c r="MB8" s="212"/>
      <c r="MC8" s="212"/>
      <c r="MD8" s="212"/>
      <c r="ME8" s="212"/>
      <c r="MF8" s="212"/>
      <c r="MG8" s="212"/>
      <c r="MH8" s="212"/>
      <c r="MI8" s="212"/>
      <c r="MJ8" s="212"/>
      <c r="MK8" s="212"/>
      <c r="ML8" s="212"/>
      <c r="MM8" s="212"/>
      <c r="MN8" s="212"/>
      <c r="MO8" s="212"/>
      <c r="MP8" s="212"/>
      <c r="MQ8" s="212"/>
      <c r="MR8" s="212"/>
      <c r="MS8" s="212"/>
      <c r="MT8" s="212"/>
      <c r="MU8" s="212"/>
      <c r="MV8" s="212"/>
      <c r="MW8" s="212"/>
      <c r="MX8" s="212"/>
      <c r="MY8" s="212"/>
      <c r="MZ8" s="212"/>
      <c r="NA8" s="212"/>
      <c r="NB8" s="212"/>
      <c r="NC8" s="212"/>
      <c r="ND8" s="212"/>
      <c r="NE8" s="212"/>
      <c r="NF8" s="212"/>
      <c r="NG8" s="212"/>
      <c r="NH8" s="212"/>
      <c r="NI8" s="212"/>
      <c r="NJ8" s="212"/>
      <c r="NK8" s="212"/>
      <c r="NL8" s="212"/>
      <c r="NM8" s="212"/>
      <c r="NN8" s="212"/>
      <c r="NO8" s="212"/>
      <c r="NP8" s="212"/>
      <c r="NQ8" s="212"/>
      <c r="NR8" s="212"/>
      <c r="NS8" s="212"/>
      <c r="NT8" s="212"/>
      <c r="NU8" s="212"/>
      <c r="NV8" s="212"/>
      <c r="NW8" s="212"/>
      <c r="NX8" s="212"/>
      <c r="NY8" s="212"/>
      <c r="NZ8" s="212"/>
      <c r="OA8" s="212"/>
      <c r="OB8" s="212"/>
      <c r="OC8" s="212"/>
      <c r="OD8" s="212"/>
      <c r="OE8" s="212"/>
      <c r="OF8" s="212"/>
      <c r="OG8" s="212"/>
      <c r="OH8" s="212"/>
      <c r="OI8" s="212"/>
      <c r="OJ8" s="212"/>
      <c r="OK8" s="212"/>
      <c r="OL8" s="212"/>
      <c r="OM8" s="212"/>
      <c r="ON8" s="212"/>
      <c r="OO8" s="212"/>
      <c r="OP8" s="212"/>
      <c r="OQ8" s="212"/>
      <c r="OR8" s="212"/>
      <c r="OS8" s="212"/>
      <c r="OT8" s="212"/>
      <c r="OU8" s="212"/>
      <c r="OV8" s="212"/>
      <c r="OW8" s="212"/>
      <c r="OX8" s="212"/>
      <c r="OY8" s="212"/>
      <c r="OZ8" s="212"/>
      <c r="PA8" s="212"/>
      <c r="PB8" s="212"/>
      <c r="PC8" s="212"/>
      <c r="PD8" s="212"/>
      <c r="PE8" s="212"/>
      <c r="PF8" s="212"/>
      <c r="PG8" s="212"/>
      <c r="PH8" s="212"/>
      <c r="PI8" s="212"/>
      <c r="PJ8" s="212"/>
      <c r="PK8" s="212"/>
      <c r="PL8" s="212"/>
      <c r="PM8" s="212"/>
      <c r="PN8" s="212"/>
      <c r="PO8" s="212"/>
      <c r="PP8" s="212"/>
      <c r="PQ8" s="212"/>
      <c r="PR8" s="212"/>
      <c r="PS8" s="212"/>
      <c r="PT8" s="212"/>
      <c r="PU8" s="212"/>
      <c r="PV8" s="212"/>
      <c r="PW8" s="212"/>
      <c r="PX8" s="212"/>
      <c r="PY8" s="212"/>
      <c r="PZ8" s="212"/>
      <c r="QA8" s="212"/>
      <c r="QB8" s="212"/>
      <c r="QC8" s="212"/>
      <c r="QD8" s="212"/>
      <c r="QE8" s="212"/>
      <c r="QF8" s="212"/>
      <c r="QG8" s="212"/>
      <c r="QH8" s="212"/>
      <c r="QI8" s="212"/>
      <c r="QJ8" s="212"/>
      <c r="QK8" s="212"/>
      <c r="QL8" s="212"/>
      <c r="QM8" s="212"/>
      <c r="QN8" s="212"/>
      <c r="QO8" s="212"/>
      <c r="QP8" s="212"/>
      <c r="QQ8" s="212"/>
      <c r="QR8" s="212"/>
      <c r="QS8" s="212"/>
      <c r="QT8" s="212"/>
      <c r="QU8" s="212"/>
      <c r="QV8" s="212"/>
      <c r="QW8" s="212"/>
      <c r="QX8" s="212"/>
      <c r="QY8" s="212"/>
      <c r="QZ8" s="212"/>
      <c r="RA8" s="212"/>
      <c r="RB8" s="212"/>
      <c r="RC8" s="212"/>
      <c r="RD8" s="212"/>
      <c r="RE8" s="212"/>
      <c r="RF8" s="212"/>
      <c r="RG8" s="212"/>
      <c r="RH8" s="212"/>
      <c r="RI8" s="212"/>
      <c r="RJ8" s="212"/>
      <c r="RK8" s="212"/>
      <c r="RL8" s="212"/>
      <c r="RM8" s="212"/>
      <c r="RN8" s="212"/>
      <c r="RO8" s="212"/>
      <c r="RP8" s="212"/>
      <c r="RQ8" s="212"/>
      <c r="RR8" s="212"/>
      <c r="RS8" s="212"/>
      <c r="RT8" s="212"/>
      <c r="RU8" s="212"/>
      <c r="RV8" s="212"/>
      <c r="RW8" s="212"/>
      <c r="RX8" s="212"/>
      <c r="RY8" s="212"/>
      <c r="RZ8" s="212"/>
      <c r="SA8" s="212"/>
      <c r="SB8" s="212"/>
      <c r="SC8" s="212"/>
      <c r="SD8" s="212"/>
      <c r="SE8" s="212"/>
      <c r="SF8" s="212"/>
      <c r="SG8" s="212"/>
      <c r="SH8" s="212"/>
      <c r="SI8" s="212"/>
      <c r="SJ8" s="212"/>
      <c r="SK8" s="212"/>
      <c r="SL8" s="212"/>
      <c r="SM8" s="212"/>
      <c r="SN8" s="212"/>
      <c r="SO8" s="212"/>
      <c r="SP8" s="212"/>
      <c r="SQ8" s="212"/>
      <c r="SR8" s="212"/>
      <c r="SS8" s="212"/>
      <c r="ST8" s="212"/>
      <c r="SU8" s="212"/>
      <c r="SV8" s="212"/>
      <c r="SW8" s="212"/>
      <c r="SX8" s="212"/>
      <c r="SY8" s="212"/>
      <c r="SZ8" s="212"/>
      <c r="TA8" s="212"/>
      <c r="TB8" s="212"/>
      <c r="TC8" s="212"/>
      <c r="TD8" s="212"/>
      <c r="TE8" s="212"/>
      <c r="TF8" s="212"/>
      <c r="TG8" s="212"/>
      <c r="TH8" s="212"/>
      <c r="TI8" s="212"/>
      <c r="TJ8" s="212"/>
      <c r="TK8" s="212"/>
      <c r="TL8" s="212"/>
      <c r="TM8" s="212"/>
      <c r="TN8" s="212"/>
      <c r="TO8" s="212"/>
      <c r="TP8" s="212"/>
      <c r="TQ8" s="212"/>
      <c r="TR8" s="212"/>
      <c r="TS8" s="212"/>
      <c r="TT8" s="212"/>
      <c r="TU8" s="212"/>
      <c r="TV8" s="212"/>
      <c r="TW8" s="212"/>
      <c r="TX8" s="212"/>
      <c r="TY8" s="212"/>
      <c r="TZ8" s="212"/>
      <c r="UA8" s="212"/>
      <c r="UB8" s="212"/>
      <c r="UC8" s="212"/>
      <c r="UD8" s="212"/>
      <c r="UE8" s="212"/>
      <c r="UF8" s="212"/>
      <c r="UG8" s="212"/>
      <c r="UH8" s="212"/>
      <c r="UI8" s="212"/>
      <c r="UJ8" s="212"/>
      <c r="UK8" s="212"/>
      <c r="UL8" s="212"/>
      <c r="UM8" s="212"/>
      <c r="UN8" s="212"/>
      <c r="UO8" s="212"/>
      <c r="UP8" s="212"/>
      <c r="UQ8" s="212"/>
      <c r="UR8" s="212"/>
      <c r="US8" s="212"/>
      <c r="UT8" s="212"/>
      <c r="UU8" s="212"/>
      <c r="UV8" s="212"/>
      <c r="UW8" s="212"/>
      <c r="UX8" s="212"/>
      <c r="UY8" s="212"/>
      <c r="UZ8" s="212"/>
      <c r="VA8" s="212"/>
      <c r="VB8" s="212"/>
      <c r="VC8" s="212"/>
      <c r="VD8" s="212"/>
      <c r="VE8" s="212"/>
      <c r="VF8" s="212"/>
      <c r="VG8" s="212"/>
      <c r="VH8" s="212"/>
      <c r="VI8" s="212"/>
      <c r="VJ8" s="212"/>
      <c r="VK8" s="212"/>
      <c r="VL8" s="212"/>
      <c r="VM8" s="212"/>
      <c r="VN8" s="212"/>
      <c r="VO8" s="212"/>
      <c r="VP8" s="212"/>
      <c r="VQ8" s="212"/>
      <c r="VR8" s="212"/>
      <c r="VS8" s="212"/>
      <c r="VT8" s="212"/>
      <c r="VU8" s="212"/>
      <c r="VV8" s="212"/>
      <c r="VW8" s="212"/>
      <c r="VX8" s="212"/>
      <c r="VY8" s="212"/>
      <c r="VZ8" s="212"/>
      <c r="WA8" s="212"/>
      <c r="WB8" s="212"/>
      <c r="WC8" s="212"/>
      <c r="WD8" s="212"/>
      <c r="WE8" s="212"/>
      <c r="WF8" s="212"/>
      <c r="WG8" s="212"/>
      <c r="WH8" s="212"/>
      <c r="WI8" s="212"/>
      <c r="WJ8" s="212"/>
      <c r="WK8" s="212"/>
      <c r="WL8" s="212"/>
      <c r="WM8" s="212"/>
      <c r="WN8" s="212"/>
      <c r="WO8" s="212"/>
      <c r="WP8" s="212"/>
      <c r="WQ8" s="212"/>
      <c r="WR8" s="212"/>
      <c r="WS8" s="212"/>
      <c r="WT8" s="212"/>
      <c r="WU8" s="212"/>
      <c r="WV8" s="212"/>
      <c r="WW8" s="212"/>
      <c r="WX8" s="212"/>
      <c r="WY8" s="212"/>
      <c r="WZ8" s="212"/>
      <c r="XA8" s="212"/>
      <c r="XB8" s="212"/>
      <c r="XC8" s="212"/>
      <c r="XD8" s="212"/>
      <c r="XE8" s="212"/>
      <c r="XF8" s="212"/>
      <c r="XG8" s="212"/>
      <c r="XH8" s="212"/>
      <c r="XI8" s="212"/>
      <c r="XJ8" s="212"/>
      <c r="XK8" s="212"/>
      <c r="XL8" s="212"/>
      <c r="XM8" s="212"/>
      <c r="XN8" s="212"/>
      <c r="XO8" s="212"/>
      <c r="XP8" s="212"/>
      <c r="XQ8" s="212"/>
      <c r="XR8" s="212"/>
      <c r="XS8" s="212"/>
      <c r="XT8" s="212"/>
      <c r="XU8" s="212"/>
      <c r="XV8" s="212"/>
      <c r="XW8" s="212"/>
      <c r="XX8" s="212"/>
      <c r="XY8" s="212"/>
      <c r="XZ8" s="212"/>
      <c r="YA8" s="212"/>
      <c r="YB8" s="212"/>
      <c r="YC8" s="212"/>
      <c r="YD8" s="212"/>
      <c r="YE8" s="212"/>
      <c r="YF8" s="212"/>
      <c r="YG8" s="212"/>
      <c r="YH8" s="212"/>
      <c r="YI8" s="212"/>
      <c r="YJ8" s="212"/>
      <c r="YK8" s="212"/>
      <c r="YL8" s="212"/>
      <c r="YM8" s="212"/>
      <c r="YN8" s="212"/>
      <c r="YO8" s="212"/>
      <c r="YP8" s="212"/>
      <c r="YQ8" s="212"/>
      <c r="YR8" s="212"/>
      <c r="YS8" s="212"/>
      <c r="YT8" s="212"/>
      <c r="YU8" s="212"/>
      <c r="YV8" s="212"/>
      <c r="YW8" s="212"/>
      <c r="YX8" s="212"/>
      <c r="YY8" s="212"/>
      <c r="YZ8" s="212"/>
      <c r="ZA8" s="212"/>
      <c r="ZB8" s="212"/>
      <c r="ZC8" s="212"/>
      <c r="ZD8" s="212"/>
      <c r="ZE8" s="212"/>
      <c r="ZF8" s="212"/>
      <c r="ZG8" s="212"/>
      <c r="ZH8" s="212"/>
      <c r="ZI8" s="212"/>
      <c r="ZJ8" s="212"/>
      <c r="ZK8" s="212"/>
      <c r="ZL8" s="212"/>
      <c r="ZM8" s="212"/>
      <c r="ZN8" s="212"/>
      <c r="ZO8" s="212"/>
      <c r="ZP8" s="212"/>
      <c r="ZQ8" s="212"/>
      <c r="ZR8" s="212"/>
      <c r="ZS8" s="212"/>
      <c r="ZT8" s="212"/>
      <c r="ZU8" s="212"/>
      <c r="ZV8" s="212"/>
      <c r="ZW8" s="212"/>
      <c r="ZX8" s="212"/>
      <c r="ZY8" s="212"/>
      <c r="ZZ8" s="212"/>
      <c r="AAA8" s="212"/>
      <c r="AAB8" s="212"/>
      <c r="AAC8" s="212"/>
      <c r="AAD8" s="212"/>
      <c r="AAE8" s="212"/>
      <c r="AAF8" s="212"/>
      <c r="AAG8" s="212"/>
      <c r="AAH8" s="212"/>
      <c r="AAI8" s="212"/>
      <c r="AAJ8" s="212"/>
      <c r="AAK8" s="212"/>
      <c r="AAL8" s="212"/>
      <c r="AAM8" s="212"/>
      <c r="AAN8" s="212"/>
      <c r="AAO8" s="212"/>
      <c r="AAP8" s="212"/>
      <c r="AAQ8" s="212"/>
      <c r="AAR8" s="212"/>
      <c r="AAS8" s="212"/>
      <c r="AAT8" s="212"/>
      <c r="AAU8" s="212"/>
      <c r="AAV8" s="212"/>
      <c r="AAW8" s="212"/>
      <c r="AAX8" s="212"/>
      <c r="AAY8" s="212"/>
      <c r="AAZ8" s="212"/>
      <c r="ABA8" s="212"/>
      <c r="ABB8" s="212"/>
      <c r="ABC8" s="212"/>
      <c r="ABD8" s="212"/>
      <c r="ABE8" s="212"/>
      <c r="ABF8" s="212"/>
      <c r="ABG8" s="212"/>
      <c r="ABH8" s="212"/>
      <c r="ABI8" s="212"/>
      <c r="ABJ8" s="212"/>
      <c r="ABK8" s="212"/>
      <c r="ABL8" s="212"/>
      <c r="ABM8" s="212"/>
      <c r="ABN8" s="212"/>
      <c r="ABO8" s="212"/>
      <c r="ABP8" s="212"/>
      <c r="ABQ8" s="212"/>
      <c r="ABR8" s="212"/>
      <c r="ABS8" s="212"/>
      <c r="ABT8" s="212"/>
      <c r="ABU8" s="212"/>
      <c r="ABV8" s="212"/>
      <c r="ABW8" s="212"/>
      <c r="ABX8" s="212"/>
      <c r="ABY8" s="212"/>
      <c r="ABZ8" s="212"/>
      <c r="ACA8" s="212"/>
      <c r="ACB8" s="212"/>
      <c r="ACC8" s="212"/>
      <c r="ACD8" s="212"/>
      <c r="ACE8" s="212"/>
      <c r="ACF8" s="212"/>
      <c r="ACG8" s="212"/>
      <c r="ACH8" s="212"/>
      <c r="ACI8" s="212"/>
      <c r="ACJ8" s="212"/>
      <c r="ACK8" s="212"/>
      <c r="ACL8" s="212"/>
      <c r="ACM8" s="212"/>
      <c r="ACN8" s="212"/>
      <c r="ACO8" s="212"/>
      <c r="ACP8" s="212"/>
      <c r="ACQ8" s="212"/>
      <c r="ACR8" s="212"/>
      <c r="ACS8" s="212"/>
      <c r="ACT8" s="212"/>
      <c r="ACU8" s="212"/>
      <c r="ACV8" s="212"/>
      <c r="ACW8" s="212"/>
      <c r="ACX8" s="212"/>
      <c r="ACY8" s="212"/>
      <c r="ACZ8" s="212"/>
      <c r="ADA8" s="212"/>
      <c r="ADB8" s="212"/>
      <c r="ADC8" s="212"/>
      <c r="ADD8" s="212"/>
      <c r="ADE8" s="212"/>
      <c r="ADF8" s="212"/>
      <c r="ADG8" s="212"/>
      <c r="ADH8" s="212"/>
      <c r="ADI8" s="212"/>
      <c r="ADJ8" s="212"/>
      <c r="ADK8" s="212"/>
      <c r="ADL8" s="212"/>
      <c r="ADM8" s="212"/>
      <c r="ADN8" s="212"/>
      <c r="ADO8" s="212"/>
      <c r="ADP8" s="212"/>
      <c r="ADQ8" s="212"/>
      <c r="ADR8" s="212"/>
      <c r="ADS8" s="212"/>
      <c r="ADT8" s="212"/>
      <c r="ADU8" s="212"/>
      <c r="ADV8" s="212"/>
      <c r="ADW8" s="212"/>
      <c r="ADX8" s="212"/>
      <c r="ADY8" s="212"/>
      <c r="ADZ8" s="212"/>
      <c r="AEA8" s="212"/>
      <c r="AEB8" s="212"/>
      <c r="AEC8" s="212"/>
      <c r="AED8" s="212"/>
      <c r="AEE8" s="212"/>
      <c r="AEF8" s="212"/>
      <c r="AEG8" s="212"/>
      <c r="AEH8" s="212"/>
      <c r="AEI8" s="212"/>
      <c r="AEJ8" s="212"/>
      <c r="AEK8" s="212"/>
      <c r="AEL8" s="212"/>
      <c r="AEM8" s="212"/>
      <c r="AEN8" s="212"/>
      <c r="AEO8" s="212"/>
      <c r="AEP8" s="212"/>
      <c r="AEQ8" s="212"/>
      <c r="AER8" s="212"/>
      <c r="AES8" s="212"/>
      <c r="AET8" s="212"/>
      <c r="AEU8" s="212"/>
      <c r="AEV8" s="212"/>
      <c r="AEW8" s="212"/>
      <c r="AEX8" s="212"/>
      <c r="AEY8" s="212"/>
      <c r="AEZ8" s="212"/>
      <c r="AFA8" s="212"/>
      <c r="AFB8" s="212"/>
      <c r="AFC8" s="212"/>
      <c r="AFD8" s="212"/>
      <c r="AFE8" s="212"/>
      <c r="AFF8" s="212"/>
      <c r="AFG8" s="212"/>
      <c r="AFH8" s="212"/>
      <c r="AFI8" s="212"/>
      <c r="AFJ8" s="212"/>
      <c r="AFK8" s="212"/>
      <c r="AFL8" s="212"/>
      <c r="AFM8" s="212"/>
      <c r="AFN8" s="212"/>
      <c r="AFO8" s="212"/>
      <c r="AFP8" s="212"/>
      <c r="AFQ8" s="212"/>
      <c r="AFR8" s="212"/>
      <c r="AFS8" s="212"/>
      <c r="AFT8" s="212"/>
      <c r="AFU8" s="212"/>
      <c r="AFV8" s="212"/>
      <c r="AFW8" s="212"/>
      <c r="AFX8" s="212"/>
      <c r="AFY8" s="212"/>
      <c r="AFZ8" s="212"/>
      <c r="AGA8" s="212"/>
      <c r="AGB8" s="212"/>
      <c r="AGC8" s="212"/>
      <c r="AGD8" s="212"/>
      <c r="AGE8" s="212"/>
      <c r="AGF8" s="212"/>
      <c r="AGG8" s="212"/>
      <c r="AGH8" s="212"/>
      <c r="AGI8" s="212"/>
      <c r="AGJ8" s="212"/>
      <c r="AGK8" s="212"/>
      <c r="AGL8" s="212"/>
      <c r="AGM8" s="212"/>
      <c r="AGN8" s="212"/>
      <c r="AGO8" s="212"/>
      <c r="AGP8" s="212"/>
      <c r="AGQ8" s="212"/>
      <c r="AGR8" s="212"/>
      <c r="AGS8" s="212"/>
      <c r="AGT8" s="212"/>
      <c r="AGU8" s="212"/>
      <c r="AGV8" s="212"/>
      <c r="AGW8" s="212"/>
      <c r="AGX8" s="212"/>
      <c r="AGY8" s="212"/>
      <c r="AGZ8" s="212"/>
      <c r="AHA8" s="212"/>
      <c r="AHB8" s="212"/>
      <c r="AHC8" s="212"/>
      <c r="AHD8" s="212"/>
      <c r="AHE8" s="212"/>
      <c r="AHF8" s="212"/>
      <c r="AHG8" s="212"/>
      <c r="AHH8" s="212"/>
      <c r="AHI8" s="212"/>
      <c r="AHJ8" s="212"/>
      <c r="AHK8" s="212"/>
      <c r="AHL8" s="212"/>
      <c r="AHM8" s="212"/>
      <c r="AHN8" s="212"/>
      <c r="AHO8" s="212"/>
      <c r="AHP8" s="212"/>
      <c r="AHQ8" s="212"/>
      <c r="AHR8" s="212"/>
      <c r="AHS8" s="212"/>
      <c r="AHT8" s="212"/>
      <c r="AHU8" s="212"/>
      <c r="AHV8" s="212"/>
      <c r="AHW8" s="212"/>
      <c r="AHX8" s="212"/>
      <c r="AHY8" s="212"/>
      <c r="AHZ8" s="212"/>
      <c r="AIA8" s="212"/>
      <c r="AIB8" s="212"/>
      <c r="AIC8" s="212"/>
      <c r="AID8" s="212"/>
      <c r="AIE8" s="212"/>
      <c r="AIF8" s="212"/>
      <c r="AIG8" s="212"/>
      <c r="AIH8" s="212"/>
      <c r="AII8" s="212"/>
      <c r="AIJ8" s="212"/>
      <c r="AIK8" s="212"/>
      <c r="AIL8" s="212"/>
      <c r="AIM8" s="212"/>
      <c r="AIN8" s="212"/>
      <c r="AIO8" s="212"/>
      <c r="AIP8" s="212"/>
      <c r="AIQ8" s="212"/>
      <c r="AIR8" s="212"/>
      <c r="AIS8" s="212"/>
      <c r="AIT8" s="212"/>
      <c r="AIU8" s="212"/>
      <c r="AIV8" s="212"/>
      <c r="AIW8" s="212"/>
      <c r="AIX8" s="212"/>
      <c r="AIY8" s="212"/>
      <c r="AIZ8" s="212"/>
      <c r="AJA8" s="212"/>
      <c r="AJB8" s="212"/>
      <c r="AJC8" s="212"/>
      <c r="AJD8" s="212"/>
      <c r="AJE8" s="212"/>
      <c r="AJF8" s="212"/>
      <c r="AJG8" s="212"/>
      <c r="AJH8" s="212"/>
      <c r="AJI8" s="212"/>
      <c r="AJJ8" s="212"/>
      <c r="AJK8" s="212"/>
      <c r="AJL8" s="212"/>
      <c r="AJM8" s="212"/>
      <c r="AJN8" s="212"/>
      <c r="AJO8" s="212"/>
      <c r="AJP8" s="212"/>
      <c r="AJQ8" s="212"/>
      <c r="AJR8" s="212"/>
      <c r="AJS8" s="212"/>
      <c r="AJT8" s="212"/>
      <c r="AJU8" s="212"/>
      <c r="AJV8" s="212"/>
      <c r="AJW8" s="212"/>
      <c r="AJX8" s="212"/>
      <c r="AJY8" s="212"/>
      <c r="AJZ8" s="212"/>
      <c r="AKA8" s="212"/>
      <c r="AKB8" s="212"/>
      <c r="AKC8" s="212"/>
      <c r="AKD8" s="212"/>
      <c r="AKE8" s="212"/>
      <c r="AKF8" s="212"/>
      <c r="AKG8" s="212"/>
      <c r="AKH8" s="212"/>
      <c r="AKI8" s="212"/>
      <c r="AKJ8" s="212"/>
      <c r="AKK8" s="212"/>
      <c r="AKL8" s="212"/>
      <c r="AKM8" s="212"/>
      <c r="AKN8" s="212"/>
      <c r="AKO8" s="212"/>
      <c r="AKP8" s="212"/>
      <c r="AKQ8" s="212"/>
      <c r="AKR8" s="212"/>
      <c r="AKS8" s="212"/>
      <c r="AKT8" s="212"/>
      <c r="AKU8" s="212"/>
      <c r="AKV8" s="212"/>
      <c r="AKW8" s="212"/>
      <c r="AKX8" s="212"/>
      <c r="AKY8" s="212"/>
      <c r="AKZ8" s="212"/>
      <c r="ALA8" s="212"/>
      <c r="ALB8" s="212"/>
      <c r="ALC8" s="212"/>
      <c r="ALD8" s="212"/>
      <c r="ALE8" s="212"/>
      <c r="ALF8" s="212"/>
      <c r="ALG8" s="212"/>
      <c r="ALH8" s="212"/>
      <c r="ALI8" s="212"/>
      <c r="ALJ8" s="212"/>
      <c r="ALK8" s="212"/>
      <c r="ALL8" s="212"/>
      <c r="ALM8" s="212"/>
      <c r="ALN8" s="212"/>
      <c r="ALO8" s="212"/>
      <c r="ALP8" s="212"/>
      <c r="ALQ8" s="212"/>
      <c r="ALR8" s="212"/>
      <c r="ALS8" s="212"/>
      <c r="ALT8" s="212"/>
      <c r="ALU8" s="212"/>
      <c r="ALV8" s="212"/>
      <c r="ALW8" s="212"/>
      <c r="ALX8" s="212"/>
      <c r="ALY8" s="212"/>
      <c r="ALZ8" s="212"/>
      <c r="AMA8" s="212"/>
      <c r="AMB8" s="212"/>
      <c r="AMC8" s="212"/>
      <c r="AMD8" s="212"/>
      <c r="AME8" s="212"/>
      <c r="AMF8" s="212"/>
      <c r="AMG8" s="212"/>
      <c r="AMH8" s="212"/>
      <c r="AMI8" s="212"/>
      <c r="AMJ8" s="212"/>
      <c r="AMK8" s="212"/>
      <c r="AML8" s="212"/>
      <c r="AMM8" s="212"/>
      <c r="AMN8" s="212"/>
      <c r="AMO8" s="212"/>
      <c r="AMP8" s="212"/>
      <c r="AMQ8" s="212"/>
      <c r="AMR8" s="212"/>
      <c r="AMS8" s="212"/>
      <c r="AMT8" s="212"/>
      <c r="AMU8" s="212"/>
      <c r="AMV8" s="212"/>
      <c r="AMW8" s="212"/>
      <c r="AMX8" s="212"/>
      <c r="AMY8" s="212"/>
      <c r="AMZ8" s="212"/>
      <c r="ANA8" s="212"/>
      <c r="ANB8" s="212"/>
      <c r="ANC8" s="212"/>
      <c r="AND8" s="212"/>
      <c r="ANE8" s="212"/>
      <c r="ANF8" s="212"/>
      <c r="ANG8" s="212"/>
      <c r="ANH8" s="212"/>
      <c r="ANI8" s="212"/>
      <c r="ANJ8" s="212"/>
      <c r="ANK8" s="212"/>
      <c r="ANL8" s="212"/>
      <c r="ANM8" s="212"/>
      <c r="ANN8" s="212"/>
      <c r="ANO8" s="212"/>
      <c r="ANP8" s="212"/>
      <c r="ANQ8" s="212"/>
      <c r="ANR8" s="212"/>
      <c r="ANS8" s="212"/>
      <c r="ANT8" s="212"/>
      <c r="ANU8" s="212"/>
      <c r="ANV8" s="212"/>
      <c r="ANW8" s="212"/>
      <c r="ANX8" s="212"/>
      <c r="ANY8" s="212"/>
      <c r="ANZ8" s="212"/>
      <c r="AOA8" s="212"/>
      <c r="AOB8" s="212"/>
      <c r="AOC8" s="212"/>
      <c r="AOD8" s="212"/>
      <c r="AOE8" s="212"/>
      <c r="AOF8" s="212"/>
      <c r="AOG8" s="212"/>
      <c r="AOH8" s="212"/>
      <c r="AOI8" s="212"/>
      <c r="AOJ8" s="212"/>
      <c r="AOK8" s="212"/>
      <c r="AOL8" s="212"/>
      <c r="AOM8" s="212"/>
      <c r="AON8" s="212"/>
      <c r="AOO8" s="212"/>
      <c r="AOP8" s="212"/>
      <c r="AOQ8" s="212"/>
      <c r="AOR8" s="212"/>
      <c r="AOS8" s="212"/>
      <c r="AOT8" s="212"/>
      <c r="AOU8" s="212"/>
      <c r="AOV8" s="212"/>
      <c r="AOW8" s="212"/>
      <c r="AOX8" s="212"/>
      <c r="AOY8" s="212"/>
      <c r="AOZ8" s="212"/>
      <c r="APA8" s="212"/>
      <c r="APB8" s="212"/>
      <c r="APC8" s="212"/>
      <c r="APD8" s="212"/>
      <c r="APE8" s="212"/>
      <c r="APF8" s="212"/>
      <c r="APG8" s="212"/>
      <c r="APH8" s="212"/>
      <c r="API8" s="212"/>
      <c r="APJ8" s="212"/>
      <c r="APK8" s="212"/>
      <c r="APL8" s="212"/>
      <c r="APM8" s="212"/>
      <c r="APN8" s="212"/>
      <c r="APO8" s="212"/>
      <c r="APP8" s="212"/>
      <c r="APQ8" s="212"/>
      <c r="APR8" s="212"/>
      <c r="APS8" s="212"/>
      <c r="APT8" s="212"/>
      <c r="APU8" s="212"/>
      <c r="APV8" s="212"/>
      <c r="APW8" s="212"/>
      <c r="APX8" s="212"/>
      <c r="APY8" s="212"/>
      <c r="APZ8" s="212"/>
      <c r="AQA8" s="212"/>
      <c r="AQB8" s="212"/>
      <c r="AQC8" s="212"/>
      <c r="AQD8" s="212"/>
      <c r="AQE8" s="212"/>
      <c r="AQF8" s="212"/>
      <c r="AQG8" s="212"/>
      <c r="AQH8" s="212"/>
      <c r="AQI8" s="212"/>
      <c r="AQJ8" s="212"/>
      <c r="AQK8" s="212"/>
      <c r="AQL8" s="212"/>
      <c r="AQM8" s="212"/>
      <c r="AQN8" s="212"/>
      <c r="AQO8" s="212"/>
      <c r="AQP8" s="212"/>
      <c r="AQQ8" s="212"/>
      <c r="AQR8" s="212"/>
      <c r="AQS8" s="212"/>
      <c r="AQT8" s="212"/>
      <c r="AQU8" s="212"/>
      <c r="AQV8" s="212"/>
      <c r="AQW8" s="212"/>
      <c r="AQX8" s="212"/>
      <c r="AQY8" s="212"/>
      <c r="AQZ8" s="212"/>
      <c r="ARA8" s="212"/>
      <c r="ARB8" s="212"/>
      <c r="ARC8" s="212"/>
      <c r="ARD8" s="212"/>
      <c r="ARE8" s="212"/>
      <c r="ARF8" s="212"/>
      <c r="ARG8" s="212"/>
      <c r="ARH8" s="212"/>
      <c r="ARI8" s="212"/>
      <c r="ARJ8" s="212"/>
      <c r="ARK8" s="212"/>
      <c r="ARL8" s="212"/>
      <c r="ARM8" s="212"/>
      <c r="ARN8" s="212"/>
      <c r="ARO8" s="212"/>
      <c r="ARP8" s="212"/>
      <c r="ARQ8" s="212"/>
      <c r="ARR8" s="212"/>
      <c r="ARS8" s="212"/>
      <c r="ART8" s="212"/>
      <c r="ARU8" s="212"/>
      <c r="ARV8" s="212"/>
      <c r="ARW8" s="212"/>
      <c r="ARX8" s="212"/>
      <c r="ARY8" s="212"/>
      <c r="ARZ8" s="212"/>
      <c r="ASA8" s="212"/>
      <c r="ASB8" s="212"/>
      <c r="ASC8" s="212"/>
      <c r="ASD8" s="212"/>
      <c r="ASE8" s="212"/>
      <c r="ASF8" s="212"/>
      <c r="ASG8" s="212"/>
      <c r="ASH8" s="212"/>
      <c r="ASI8" s="212"/>
      <c r="ASJ8" s="212"/>
      <c r="ASK8" s="212"/>
      <c r="ASL8" s="212"/>
      <c r="ASM8" s="212"/>
      <c r="ASN8" s="212"/>
      <c r="ASO8" s="212"/>
      <c r="ASP8" s="212"/>
      <c r="ASQ8" s="212"/>
      <c r="ASR8" s="212"/>
      <c r="ASS8" s="212"/>
      <c r="AST8" s="212"/>
      <c r="ASU8" s="212"/>
      <c r="ASV8" s="212"/>
      <c r="ASW8" s="212"/>
      <c r="ASX8" s="212"/>
      <c r="ASY8" s="212"/>
      <c r="ASZ8" s="212"/>
      <c r="ATA8" s="212"/>
      <c r="ATB8" s="212"/>
      <c r="ATC8" s="212"/>
      <c r="ATD8" s="212"/>
      <c r="ATE8" s="212"/>
      <c r="ATF8" s="212"/>
      <c r="ATG8" s="212"/>
      <c r="ATH8" s="212"/>
      <c r="ATI8" s="212"/>
      <c r="ATJ8" s="212"/>
      <c r="ATK8" s="212"/>
      <c r="ATL8" s="212"/>
      <c r="ATM8" s="212"/>
      <c r="ATN8" s="212"/>
      <c r="ATO8" s="212"/>
      <c r="ATP8" s="212"/>
      <c r="ATQ8" s="212"/>
      <c r="ATR8" s="212"/>
      <c r="ATS8" s="212"/>
      <c r="ATT8" s="212"/>
      <c r="ATU8" s="212"/>
      <c r="ATV8" s="212"/>
      <c r="ATW8" s="212"/>
      <c r="ATX8" s="212"/>
      <c r="ATY8" s="212"/>
      <c r="ATZ8" s="212"/>
      <c r="AUA8" s="212"/>
      <c r="AUB8" s="212"/>
      <c r="AUC8" s="212"/>
      <c r="AUD8" s="212"/>
      <c r="AUE8" s="212"/>
      <c r="AUF8" s="212"/>
      <c r="AUG8" s="212"/>
      <c r="AUH8" s="212"/>
      <c r="AUI8" s="212"/>
      <c r="AUJ8" s="212"/>
      <c r="AUK8" s="212"/>
      <c r="AUL8" s="212"/>
      <c r="AUM8" s="212"/>
      <c r="AUN8" s="212"/>
      <c r="AUO8" s="212"/>
      <c r="AUP8" s="212"/>
      <c r="AUQ8" s="212"/>
      <c r="AUR8" s="212"/>
      <c r="AUS8" s="212"/>
      <c r="AUT8" s="212"/>
      <c r="AUU8" s="212"/>
      <c r="AUV8" s="212"/>
      <c r="AUW8" s="212"/>
      <c r="AUX8" s="212"/>
      <c r="AUY8" s="212"/>
      <c r="AUZ8" s="212"/>
      <c r="AVA8" s="212"/>
      <c r="AVB8" s="212"/>
      <c r="AVC8" s="212"/>
      <c r="AVD8" s="212"/>
      <c r="AVE8" s="212"/>
      <c r="AVF8" s="212"/>
      <c r="AVG8" s="212"/>
      <c r="AVH8" s="212"/>
      <c r="AVI8" s="212"/>
      <c r="AVJ8" s="212"/>
      <c r="AVK8" s="212"/>
      <c r="AVL8" s="212"/>
      <c r="AVM8" s="212"/>
      <c r="AVN8" s="212"/>
      <c r="AVO8" s="212"/>
      <c r="AVP8" s="212"/>
      <c r="AVQ8" s="212"/>
      <c r="AVR8" s="212"/>
      <c r="AVS8" s="212"/>
      <c r="AVT8" s="212"/>
      <c r="AVU8" s="212"/>
      <c r="AVV8" s="212"/>
      <c r="AVW8" s="212"/>
      <c r="AVX8" s="212"/>
      <c r="AVY8" s="212"/>
      <c r="AVZ8" s="212"/>
      <c r="AWA8" s="212"/>
      <c r="AWB8" s="212"/>
      <c r="AWC8" s="212"/>
      <c r="AWD8" s="212"/>
      <c r="AWE8" s="212"/>
      <c r="AWF8" s="212"/>
      <c r="AWG8" s="212"/>
      <c r="AWH8" s="212"/>
      <c r="AWI8" s="212"/>
      <c r="AWJ8" s="212"/>
      <c r="AWK8" s="212"/>
      <c r="AWL8" s="212"/>
      <c r="AWM8" s="212"/>
      <c r="AWN8" s="212"/>
      <c r="AWO8" s="212"/>
      <c r="AWP8" s="212"/>
      <c r="AWQ8" s="212"/>
      <c r="AWR8" s="212"/>
      <c r="AWS8" s="212"/>
      <c r="AWT8" s="212"/>
      <c r="AWU8" s="212"/>
      <c r="AWV8" s="212"/>
      <c r="AWW8" s="212"/>
      <c r="AWX8" s="212"/>
      <c r="AWY8" s="212"/>
      <c r="AWZ8" s="212"/>
      <c r="AXA8" s="212"/>
      <c r="AXB8" s="212"/>
      <c r="AXC8" s="212"/>
      <c r="AXD8" s="212"/>
      <c r="AXE8" s="212"/>
      <c r="AXF8" s="212"/>
      <c r="AXG8" s="212"/>
      <c r="AXH8" s="212"/>
      <c r="AXI8" s="212"/>
      <c r="AXJ8" s="212"/>
      <c r="AXK8" s="212"/>
      <c r="AXL8" s="212"/>
      <c r="AXM8" s="212"/>
      <c r="AXN8" s="212"/>
      <c r="AXO8" s="212"/>
      <c r="AXP8" s="212"/>
      <c r="AXQ8" s="212"/>
      <c r="AXR8" s="212"/>
      <c r="AXS8" s="212"/>
      <c r="AXT8" s="212"/>
      <c r="AXU8" s="212"/>
      <c r="AXV8" s="212"/>
      <c r="AXW8" s="212"/>
      <c r="AXX8" s="212"/>
      <c r="AXY8" s="212"/>
      <c r="AXZ8" s="212"/>
      <c r="AYA8" s="212"/>
      <c r="AYB8" s="212"/>
      <c r="AYC8" s="212"/>
      <c r="AYD8" s="212"/>
      <c r="AYE8" s="212"/>
      <c r="AYF8" s="212"/>
      <c r="AYG8" s="212"/>
      <c r="AYH8" s="212"/>
      <c r="AYI8" s="212"/>
      <c r="AYJ8" s="212"/>
      <c r="AYK8" s="212"/>
      <c r="AYL8" s="212"/>
      <c r="AYM8" s="212"/>
      <c r="AYN8" s="212"/>
      <c r="AYO8" s="212"/>
      <c r="AYP8" s="212"/>
      <c r="AYQ8" s="212"/>
      <c r="AYR8" s="212"/>
      <c r="AYS8" s="212"/>
      <c r="AYT8" s="212"/>
      <c r="AYU8" s="212"/>
      <c r="AYV8" s="212"/>
      <c r="AYW8" s="212"/>
      <c r="AYX8" s="212"/>
      <c r="AYY8" s="212"/>
      <c r="AYZ8" s="212"/>
      <c r="AZA8" s="212"/>
      <c r="AZB8" s="212"/>
      <c r="AZC8" s="212"/>
      <c r="AZD8" s="212"/>
      <c r="AZE8" s="212"/>
      <c r="AZF8" s="212"/>
      <c r="AZG8" s="212"/>
      <c r="AZH8" s="212"/>
      <c r="AZI8" s="212"/>
      <c r="AZJ8" s="212"/>
      <c r="AZK8" s="212"/>
      <c r="AZL8" s="212"/>
      <c r="AZM8" s="212"/>
      <c r="AZN8" s="212"/>
      <c r="AZO8" s="212"/>
      <c r="AZP8" s="212"/>
      <c r="AZQ8" s="212"/>
      <c r="AZR8" s="212"/>
      <c r="AZS8" s="212"/>
      <c r="AZT8" s="212"/>
      <c r="AZU8" s="212"/>
      <c r="AZV8" s="212"/>
      <c r="AZW8" s="212"/>
      <c r="AZX8" s="212"/>
      <c r="AZY8" s="212"/>
      <c r="AZZ8" s="212"/>
      <c r="BAA8" s="212"/>
      <c r="BAB8" s="212"/>
      <c r="BAC8" s="212"/>
      <c r="BAD8" s="212"/>
      <c r="BAE8" s="212"/>
      <c r="BAF8" s="212"/>
      <c r="BAG8" s="212"/>
      <c r="BAH8" s="212"/>
      <c r="BAI8" s="212"/>
      <c r="BAJ8" s="212"/>
      <c r="BAK8" s="212"/>
      <c r="BAL8" s="212"/>
      <c r="BAM8" s="212"/>
      <c r="BAN8" s="212"/>
      <c r="BAO8" s="212"/>
      <c r="BAP8" s="212"/>
      <c r="BAQ8" s="212"/>
      <c r="BAR8" s="212"/>
      <c r="BAS8" s="212"/>
      <c r="BAT8" s="212"/>
      <c r="BAU8" s="212"/>
      <c r="BAV8" s="212"/>
      <c r="BAW8" s="212"/>
      <c r="BAX8" s="212"/>
      <c r="BAY8" s="212"/>
      <c r="BAZ8" s="212"/>
      <c r="BBA8" s="212"/>
      <c r="BBB8" s="212"/>
      <c r="BBC8" s="212"/>
      <c r="BBD8" s="212"/>
      <c r="BBE8" s="212"/>
      <c r="BBF8" s="212"/>
      <c r="BBG8" s="212"/>
      <c r="BBH8" s="212"/>
      <c r="BBI8" s="212"/>
      <c r="BBJ8" s="212"/>
      <c r="BBK8" s="212"/>
      <c r="BBL8" s="212"/>
      <c r="BBM8" s="212"/>
      <c r="BBN8" s="212"/>
      <c r="BBO8" s="212"/>
      <c r="BBP8" s="212"/>
      <c r="BBQ8" s="212"/>
      <c r="BBR8" s="212"/>
      <c r="BBS8" s="212"/>
      <c r="BBT8" s="212"/>
      <c r="BBU8" s="212"/>
      <c r="BBV8" s="212"/>
      <c r="BBW8" s="212"/>
      <c r="BBX8" s="212"/>
      <c r="BBY8" s="212"/>
      <c r="BBZ8" s="212"/>
      <c r="BCA8" s="212"/>
      <c r="BCB8" s="212"/>
      <c r="BCC8" s="212"/>
      <c r="BCD8" s="212"/>
      <c r="BCE8" s="212"/>
      <c r="BCF8" s="212"/>
      <c r="BCG8" s="212"/>
      <c r="BCH8" s="212"/>
      <c r="BCI8" s="212"/>
      <c r="BCJ8" s="212"/>
      <c r="BCK8" s="212"/>
      <c r="BCL8" s="212"/>
      <c r="BCM8" s="212"/>
      <c r="BCN8" s="212"/>
      <c r="BCO8" s="212"/>
      <c r="BCP8" s="212"/>
      <c r="BCQ8" s="212"/>
      <c r="BCR8" s="212"/>
      <c r="BCS8" s="212"/>
      <c r="BCT8" s="212"/>
      <c r="BCU8" s="212"/>
      <c r="BCV8" s="212"/>
      <c r="BCW8" s="212"/>
      <c r="BCX8" s="212"/>
      <c r="BCY8" s="212"/>
      <c r="BCZ8" s="212"/>
      <c r="BDA8" s="212"/>
      <c r="BDB8" s="212"/>
      <c r="BDC8" s="212"/>
      <c r="BDD8" s="212"/>
      <c r="BDE8" s="212"/>
      <c r="BDF8" s="212"/>
      <c r="BDG8" s="212"/>
      <c r="BDH8" s="212"/>
      <c r="BDI8" s="212"/>
      <c r="BDJ8" s="212"/>
      <c r="BDK8" s="212"/>
      <c r="BDL8" s="212"/>
      <c r="BDM8" s="212"/>
      <c r="BDN8" s="212"/>
      <c r="BDO8" s="212"/>
      <c r="BDP8" s="212"/>
      <c r="BDQ8" s="212"/>
      <c r="BDR8" s="212"/>
      <c r="BDS8" s="212"/>
      <c r="BDT8" s="212"/>
      <c r="BDU8" s="212"/>
      <c r="BDV8" s="212"/>
      <c r="BDW8" s="212"/>
      <c r="BDX8" s="212"/>
      <c r="BDY8" s="212"/>
      <c r="BDZ8" s="212"/>
      <c r="BEA8" s="212"/>
      <c r="BEB8" s="212"/>
      <c r="BEC8" s="212"/>
      <c r="BED8" s="212"/>
      <c r="BEE8" s="212"/>
      <c r="BEF8" s="212"/>
      <c r="BEG8" s="212"/>
      <c r="BEH8" s="212"/>
      <c r="BEI8" s="212"/>
      <c r="BEJ8" s="212"/>
      <c r="BEK8" s="212"/>
      <c r="BEL8" s="212"/>
      <c r="BEM8" s="212"/>
      <c r="BEN8" s="212"/>
      <c r="BEO8" s="212"/>
      <c r="BEP8" s="212"/>
      <c r="BEQ8" s="212"/>
      <c r="BER8" s="212"/>
      <c r="BES8" s="212"/>
      <c r="BET8" s="212"/>
      <c r="BEU8" s="212"/>
      <c r="BEV8" s="212"/>
      <c r="BEW8" s="212"/>
      <c r="BEX8" s="212"/>
      <c r="BEY8" s="212"/>
      <c r="BEZ8" s="212"/>
      <c r="BFA8" s="212"/>
      <c r="BFB8" s="212"/>
      <c r="BFC8" s="212"/>
      <c r="BFD8" s="212"/>
      <c r="BFE8" s="212"/>
      <c r="BFF8" s="212"/>
      <c r="BFG8" s="212"/>
      <c r="BFH8" s="212"/>
      <c r="BFI8" s="212"/>
      <c r="BFJ8" s="212"/>
      <c r="BFK8" s="212"/>
      <c r="BFL8" s="212"/>
      <c r="BFM8" s="212"/>
      <c r="BFN8" s="212"/>
      <c r="BFO8" s="212"/>
      <c r="BFP8" s="212"/>
      <c r="BFQ8" s="212"/>
      <c r="BFR8" s="212"/>
      <c r="BFS8" s="212"/>
      <c r="BFT8" s="212"/>
      <c r="BFU8" s="212"/>
      <c r="BFV8" s="212"/>
      <c r="BFW8" s="212"/>
      <c r="BFX8" s="212"/>
      <c r="BFY8" s="212"/>
      <c r="BFZ8" s="212"/>
      <c r="BGA8" s="212"/>
      <c r="BGB8" s="212"/>
      <c r="BGC8" s="212"/>
      <c r="BGD8" s="212"/>
      <c r="BGE8" s="212"/>
      <c r="BGF8" s="212"/>
      <c r="BGG8" s="212"/>
      <c r="BGH8" s="212"/>
      <c r="BGI8" s="212"/>
      <c r="BGJ8" s="212"/>
      <c r="BGK8" s="212"/>
      <c r="BGL8" s="212"/>
      <c r="BGM8" s="212"/>
      <c r="BGN8" s="212"/>
      <c r="BGO8" s="212"/>
      <c r="BGP8" s="212"/>
      <c r="BGQ8" s="212"/>
      <c r="BGR8" s="212"/>
      <c r="BGS8" s="212"/>
      <c r="BGT8" s="212"/>
      <c r="BGU8" s="212"/>
      <c r="BGV8" s="212"/>
      <c r="BGW8" s="212"/>
      <c r="BGX8" s="212"/>
      <c r="BGY8" s="212"/>
      <c r="BGZ8" s="212"/>
      <c r="BHA8" s="212"/>
      <c r="BHB8" s="212"/>
      <c r="BHC8" s="212"/>
      <c r="BHD8" s="212"/>
      <c r="BHE8" s="212"/>
      <c r="BHF8" s="212"/>
      <c r="BHG8" s="212"/>
      <c r="BHH8" s="212"/>
      <c r="BHI8" s="212"/>
      <c r="BHJ8" s="212"/>
      <c r="BHK8" s="212"/>
      <c r="BHL8" s="212"/>
      <c r="BHM8" s="212"/>
      <c r="BHN8" s="212"/>
      <c r="BHO8" s="212"/>
      <c r="BHP8" s="212"/>
      <c r="BHQ8" s="212"/>
      <c r="BHR8" s="212"/>
      <c r="BHS8" s="212"/>
      <c r="BHT8" s="212"/>
      <c r="BHU8" s="212"/>
      <c r="BHV8" s="212"/>
      <c r="BHW8" s="212"/>
      <c r="BHX8" s="212"/>
      <c r="BHY8" s="212"/>
      <c r="BHZ8" s="212"/>
      <c r="BIA8" s="212"/>
      <c r="BIB8" s="212"/>
      <c r="BIC8" s="212"/>
      <c r="BID8" s="212"/>
      <c r="BIE8" s="212"/>
      <c r="BIF8" s="212"/>
      <c r="BIG8" s="212"/>
      <c r="BIH8" s="212"/>
      <c r="BII8" s="212"/>
      <c r="BIJ8" s="212"/>
      <c r="BIK8" s="212"/>
      <c r="BIL8" s="212"/>
      <c r="BIM8" s="212"/>
      <c r="BIN8" s="212"/>
      <c r="BIO8" s="212"/>
      <c r="BIP8" s="212"/>
      <c r="BIQ8" s="212"/>
      <c r="BIR8" s="212"/>
      <c r="BIS8" s="212"/>
      <c r="BIT8" s="212"/>
      <c r="BIU8" s="212"/>
      <c r="BIV8" s="212"/>
      <c r="BIW8" s="212"/>
      <c r="BIX8" s="212"/>
      <c r="BIY8" s="212"/>
      <c r="BIZ8" s="212"/>
      <c r="BJA8" s="212"/>
      <c r="BJB8" s="212"/>
      <c r="BJC8" s="212"/>
      <c r="BJD8" s="212"/>
      <c r="BJE8" s="212"/>
      <c r="BJF8" s="212"/>
      <c r="BJG8" s="212"/>
      <c r="BJH8" s="212"/>
      <c r="BJI8" s="212"/>
      <c r="BJJ8" s="212"/>
      <c r="BJK8" s="212"/>
      <c r="BJL8" s="212"/>
      <c r="BJM8" s="212"/>
      <c r="BJN8" s="212"/>
      <c r="BJO8" s="212"/>
      <c r="BJP8" s="212"/>
      <c r="BJQ8" s="212"/>
      <c r="BJR8" s="212"/>
      <c r="BJS8" s="212"/>
      <c r="BJT8" s="212"/>
      <c r="BJU8" s="212"/>
      <c r="BJV8" s="212"/>
      <c r="BJW8" s="212"/>
      <c r="BJX8" s="212"/>
      <c r="BJY8" s="212"/>
      <c r="BJZ8" s="212"/>
      <c r="BKA8" s="212"/>
      <c r="BKB8" s="212"/>
      <c r="BKC8" s="212"/>
      <c r="BKD8" s="212"/>
      <c r="BKE8" s="212"/>
      <c r="BKF8" s="212"/>
      <c r="BKG8" s="212"/>
      <c r="BKH8" s="212"/>
      <c r="BKI8" s="212"/>
      <c r="BKJ8" s="212"/>
      <c r="BKK8" s="212"/>
      <c r="BKL8" s="212"/>
      <c r="BKM8" s="212"/>
      <c r="BKN8" s="212"/>
      <c r="BKO8" s="212"/>
      <c r="BKP8" s="212"/>
      <c r="BKQ8" s="212"/>
      <c r="BKR8" s="212"/>
      <c r="BKS8" s="212"/>
      <c r="BKT8" s="212"/>
      <c r="BKU8" s="212"/>
      <c r="BKV8" s="212"/>
      <c r="BKW8" s="212"/>
      <c r="BKX8" s="212"/>
      <c r="BKY8" s="212"/>
      <c r="BKZ8" s="212"/>
      <c r="BLA8" s="212"/>
      <c r="BLB8" s="212"/>
      <c r="BLC8" s="212"/>
      <c r="BLD8" s="212"/>
      <c r="BLE8" s="212"/>
      <c r="BLF8" s="212"/>
      <c r="BLG8" s="212"/>
      <c r="BLH8" s="212"/>
      <c r="BLI8" s="212"/>
      <c r="BLJ8" s="212"/>
      <c r="BLK8" s="212"/>
      <c r="BLL8" s="212"/>
      <c r="BLM8" s="212"/>
      <c r="BLN8" s="212"/>
      <c r="BLO8" s="212"/>
      <c r="BLP8" s="212"/>
      <c r="BLQ8" s="212"/>
      <c r="BLR8" s="212"/>
      <c r="BLS8" s="212"/>
      <c r="BLT8" s="212"/>
      <c r="BLU8" s="212"/>
      <c r="BLV8" s="212"/>
      <c r="BLW8" s="212"/>
      <c r="BLX8" s="212"/>
      <c r="BLY8" s="212"/>
      <c r="BLZ8" s="212"/>
      <c r="BMA8" s="212"/>
      <c r="BMB8" s="212"/>
      <c r="BMC8" s="212"/>
      <c r="BMD8" s="212"/>
      <c r="BME8" s="212"/>
      <c r="BMF8" s="212"/>
      <c r="BMG8" s="212"/>
      <c r="BMH8" s="212"/>
      <c r="BMI8" s="212"/>
      <c r="BMJ8" s="212"/>
      <c r="BMK8" s="212"/>
      <c r="BML8" s="212"/>
      <c r="BMM8" s="212"/>
      <c r="BMN8" s="212"/>
      <c r="BMO8" s="212"/>
      <c r="BMP8" s="212"/>
      <c r="BMQ8" s="212"/>
      <c r="BMR8" s="212"/>
      <c r="BMS8" s="212"/>
      <c r="BMT8" s="212"/>
      <c r="BMU8" s="212"/>
      <c r="BMV8" s="212"/>
      <c r="BMW8" s="212"/>
      <c r="BMX8" s="212"/>
      <c r="BMY8" s="212"/>
      <c r="BMZ8" s="212"/>
      <c r="BNA8" s="212"/>
      <c r="BNB8" s="212"/>
      <c r="BNC8" s="212"/>
      <c r="BND8" s="212"/>
      <c r="BNE8" s="212"/>
      <c r="BNF8" s="212"/>
      <c r="BNG8" s="212"/>
      <c r="BNH8" s="212"/>
      <c r="BNI8" s="212"/>
      <c r="BNJ8" s="212"/>
      <c r="BNK8" s="212"/>
      <c r="BNL8" s="212"/>
      <c r="BNM8" s="212"/>
      <c r="BNN8" s="212"/>
      <c r="BNO8" s="212"/>
      <c r="BNP8" s="212"/>
      <c r="BNQ8" s="212"/>
      <c r="BNR8" s="212"/>
      <c r="BNS8" s="212"/>
      <c r="BNT8" s="212"/>
      <c r="BNU8" s="212"/>
      <c r="BNV8" s="212"/>
      <c r="BNW8" s="212"/>
      <c r="BNX8" s="212"/>
      <c r="BNY8" s="212"/>
      <c r="BNZ8" s="212"/>
      <c r="BOA8" s="212"/>
      <c r="BOB8" s="212"/>
      <c r="BOC8" s="212"/>
      <c r="BOD8" s="212"/>
      <c r="BOE8" s="212"/>
      <c r="BOF8" s="212"/>
      <c r="BOG8" s="212"/>
      <c r="BOH8" s="212"/>
      <c r="BOI8" s="212"/>
      <c r="BOJ8" s="212"/>
      <c r="BOK8" s="212"/>
      <c r="BOL8" s="212"/>
      <c r="BOM8" s="212"/>
      <c r="BON8" s="212"/>
      <c r="BOO8" s="212"/>
      <c r="BOP8" s="212"/>
      <c r="BOQ8" s="212"/>
      <c r="BOR8" s="212"/>
      <c r="BOS8" s="212"/>
      <c r="BOT8" s="212"/>
      <c r="BOU8" s="212"/>
      <c r="BOV8" s="212"/>
      <c r="BOW8" s="212"/>
      <c r="BOX8" s="212"/>
      <c r="BOY8" s="212"/>
      <c r="BOZ8" s="212"/>
      <c r="BPA8" s="212"/>
      <c r="BPB8" s="212"/>
      <c r="BPC8" s="212"/>
      <c r="BPD8" s="212"/>
      <c r="BPE8" s="212"/>
      <c r="BPF8" s="212"/>
      <c r="BPG8" s="212"/>
      <c r="BPH8" s="212"/>
      <c r="BPI8" s="212"/>
      <c r="BPJ8" s="212"/>
      <c r="BPK8" s="212"/>
      <c r="BPL8" s="212"/>
      <c r="BPM8" s="212"/>
      <c r="BPN8" s="212"/>
      <c r="BPO8" s="212"/>
      <c r="BPP8" s="212"/>
      <c r="BPQ8" s="212"/>
      <c r="BPR8" s="212"/>
      <c r="BPS8" s="212"/>
      <c r="BPT8" s="212"/>
      <c r="BPU8" s="212"/>
      <c r="BPV8" s="212"/>
      <c r="BPW8" s="212"/>
      <c r="BPX8" s="212"/>
      <c r="BPY8" s="212"/>
      <c r="BPZ8" s="212"/>
      <c r="BQA8" s="212"/>
      <c r="BQB8" s="212"/>
      <c r="BQC8" s="212"/>
      <c r="BQD8" s="212"/>
      <c r="BQE8" s="212"/>
      <c r="BQF8" s="212"/>
      <c r="BQG8" s="212"/>
      <c r="BQH8" s="212"/>
      <c r="BQI8" s="212"/>
      <c r="BQJ8" s="212"/>
      <c r="BQK8" s="212"/>
      <c r="BQL8" s="212"/>
      <c r="BQM8" s="212"/>
      <c r="BQN8" s="212"/>
      <c r="BQO8" s="212"/>
      <c r="BQP8" s="212"/>
      <c r="BQQ8" s="212"/>
      <c r="BQR8" s="212"/>
      <c r="BQS8" s="212"/>
      <c r="BQT8" s="212"/>
      <c r="BQU8" s="212"/>
      <c r="BQV8" s="212"/>
      <c r="BQW8" s="212"/>
      <c r="BQX8" s="212"/>
      <c r="BQY8" s="212"/>
      <c r="BQZ8" s="212"/>
      <c r="BRA8" s="212"/>
      <c r="BRB8" s="212"/>
      <c r="BRC8" s="212"/>
      <c r="BRD8" s="212"/>
      <c r="BRE8" s="212"/>
      <c r="BRF8" s="212"/>
      <c r="BRG8" s="212"/>
      <c r="BRH8" s="212"/>
      <c r="BRI8" s="212"/>
      <c r="BRJ8" s="212"/>
      <c r="BRK8" s="212"/>
      <c r="BRL8" s="212"/>
      <c r="BRM8" s="212"/>
      <c r="BRN8" s="212"/>
      <c r="BRO8" s="212"/>
      <c r="BRP8" s="212"/>
      <c r="BRQ8" s="212"/>
      <c r="BRR8" s="212"/>
      <c r="BRS8" s="212"/>
      <c r="BRT8" s="212"/>
      <c r="BRU8" s="212"/>
      <c r="BRV8" s="212"/>
      <c r="BRW8" s="212"/>
      <c r="BRX8" s="212"/>
      <c r="BRY8" s="212"/>
      <c r="BRZ8" s="212"/>
      <c r="BSA8" s="212"/>
      <c r="BSB8" s="212"/>
      <c r="BSC8" s="212"/>
      <c r="BSD8" s="212"/>
      <c r="BSE8" s="212"/>
      <c r="BSF8" s="212"/>
      <c r="BSG8" s="212"/>
      <c r="BSH8" s="212"/>
      <c r="BSI8" s="212"/>
      <c r="BSJ8" s="212"/>
      <c r="BSK8" s="212"/>
      <c r="BSL8" s="212"/>
      <c r="BSM8" s="212"/>
      <c r="BSN8" s="212"/>
      <c r="BSO8" s="212"/>
      <c r="BSP8" s="212"/>
      <c r="BSQ8" s="212"/>
      <c r="BSR8" s="212"/>
      <c r="BSS8" s="212"/>
      <c r="BST8" s="212"/>
      <c r="BSU8" s="212"/>
      <c r="BSV8" s="212"/>
      <c r="BSW8" s="212"/>
      <c r="BSX8" s="212"/>
      <c r="BSY8" s="212"/>
      <c r="BSZ8" s="212"/>
      <c r="BTA8" s="212"/>
      <c r="BTB8" s="212"/>
      <c r="BTC8" s="212"/>
      <c r="BTD8" s="212"/>
      <c r="BTE8" s="212"/>
      <c r="BTF8" s="212"/>
      <c r="BTG8" s="212"/>
      <c r="BTH8" s="212"/>
      <c r="BTI8" s="212"/>
      <c r="BTJ8" s="212"/>
      <c r="BTK8" s="212"/>
      <c r="BTL8" s="212"/>
      <c r="BTM8" s="212"/>
      <c r="BTN8" s="212"/>
      <c r="BTO8" s="212"/>
      <c r="BTP8" s="212"/>
      <c r="BTQ8" s="212"/>
      <c r="BTR8" s="212"/>
      <c r="BTS8" s="212"/>
      <c r="BTT8" s="212"/>
      <c r="BTU8" s="212"/>
      <c r="BTV8" s="212"/>
      <c r="BTW8" s="212"/>
      <c r="BTX8" s="212"/>
      <c r="BTY8" s="212"/>
      <c r="BTZ8" s="212"/>
      <c r="BUA8" s="212"/>
      <c r="BUB8" s="212"/>
      <c r="BUC8" s="212"/>
      <c r="BUD8" s="212"/>
      <c r="BUE8" s="212"/>
      <c r="BUF8" s="212"/>
      <c r="BUG8" s="212"/>
      <c r="BUH8" s="212"/>
      <c r="BUI8" s="212"/>
      <c r="BUJ8" s="212"/>
      <c r="BUK8" s="212"/>
      <c r="BUL8" s="212"/>
      <c r="BUM8" s="212"/>
      <c r="BUN8" s="212"/>
      <c r="BUO8" s="212"/>
      <c r="BUP8" s="212"/>
      <c r="BUQ8" s="212"/>
      <c r="BUR8" s="212"/>
      <c r="BUS8" s="212"/>
      <c r="BUT8" s="212"/>
      <c r="BUU8" s="212"/>
      <c r="BUV8" s="212"/>
      <c r="BUW8" s="212"/>
      <c r="BUX8" s="212"/>
      <c r="BUY8" s="212"/>
      <c r="BUZ8" s="212"/>
      <c r="BVA8" s="212"/>
      <c r="BVB8" s="212"/>
      <c r="BVC8" s="212"/>
      <c r="BVD8" s="212"/>
      <c r="BVE8" s="212"/>
      <c r="BVF8" s="212"/>
      <c r="BVG8" s="212"/>
      <c r="BVH8" s="212"/>
      <c r="BVI8" s="212"/>
      <c r="BVJ8" s="212"/>
      <c r="BVK8" s="212"/>
      <c r="BVL8" s="212"/>
      <c r="BVM8" s="212"/>
      <c r="BVN8" s="212"/>
      <c r="BVO8" s="212"/>
      <c r="BVP8" s="212"/>
      <c r="BVQ8" s="212"/>
      <c r="BVR8" s="212"/>
      <c r="BVS8" s="212"/>
      <c r="BVT8" s="212"/>
      <c r="BVU8" s="212"/>
      <c r="BVV8" s="212"/>
      <c r="BVW8" s="212"/>
      <c r="BVX8" s="212"/>
      <c r="BVY8" s="212"/>
      <c r="BVZ8" s="212"/>
      <c r="BWA8" s="212"/>
      <c r="BWB8" s="212"/>
      <c r="BWC8" s="212"/>
      <c r="BWD8" s="212"/>
      <c r="BWE8" s="212"/>
      <c r="BWF8" s="212"/>
      <c r="BWG8" s="212"/>
      <c r="BWH8" s="212"/>
      <c r="BWI8" s="212"/>
      <c r="BWJ8" s="212"/>
      <c r="BWK8" s="212"/>
      <c r="BWL8" s="212"/>
      <c r="BWM8" s="212"/>
      <c r="BWN8" s="212"/>
      <c r="BWO8" s="212"/>
      <c r="BWP8" s="212"/>
      <c r="BWQ8" s="212"/>
      <c r="BWR8" s="212"/>
      <c r="BWS8" s="212"/>
      <c r="BWT8" s="212"/>
      <c r="BWU8" s="212"/>
      <c r="BWV8" s="212"/>
      <c r="BWW8" s="212"/>
      <c r="BWX8" s="212"/>
      <c r="BWY8" s="212"/>
      <c r="BWZ8" s="212"/>
      <c r="BXA8" s="212"/>
      <c r="BXB8" s="212"/>
      <c r="BXC8" s="212"/>
      <c r="BXD8" s="212"/>
      <c r="BXE8" s="212"/>
      <c r="BXF8" s="212"/>
      <c r="BXG8" s="212"/>
      <c r="BXH8" s="212"/>
      <c r="BXI8" s="212"/>
      <c r="BXJ8" s="212"/>
      <c r="BXK8" s="212"/>
      <c r="BXL8" s="212"/>
      <c r="BXM8" s="212"/>
      <c r="BXN8" s="212"/>
      <c r="BXO8" s="212"/>
      <c r="BXP8" s="212"/>
      <c r="BXQ8" s="212"/>
      <c r="BXR8" s="212"/>
      <c r="BXS8" s="212"/>
      <c r="BXT8" s="212"/>
      <c r="BXU8" s="212"/>
      <c r="BXV8" s="212"/>
      <c r="BXW8" s="212"/>
      <c r="BXX8" s="212"/>
      <c r="BXY8" s="212"/>
      <c r="BXZ8" s="212"/>
      <c r="BYA8" s="212"/>
      <c r="BYB8" s="212"/>
      <c r="BYC8" s="212"/>
      <c r="BYD8" s="212"/>
      <c r="BYE8" s="212"/>
      <c r="BYF8" s="212"/>
      <c r="BYG8" s="212"/>
    </row>
    <row r="9" spans="1:2009" s="101" customFormat="1" ht="12.75" customHeight="1" thickBot="1" x14ac:dyDescent="0.3">
      <c r="A9" s="98"/>
      <c r="B9" s="98"/>
      <c r="C9" s="167"/>
      <c r="D9" s="167"/>
      <c r="E9" s="167"/>
      <c r="F9" s="167"/>
      <c r="G9" s="167"/>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74</v>
      </c>
      <c r="B10" s="132"/>
      <c r="C10" s="168"/>
      <c r="D10" s="168"/>
      <c r="E10" s="169"/>
      <c r="F10" s="169"/>
      <c r="G10" s="170"/>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49</v>
      </c>
      <c r="C11" s="171"/>
      <c r="D11" s="171"/>
      <c r="E11" s="172"/>
      <c r="F11" s="172"/>
      <c r="G11" s="173">
        <f>ROUND(SUM(C11:F11),5)</f>
        <v>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302</v>
      </c>
      <c r="C12" s="171"/>
      <c r="D12" s="171"/>
      <c r="E12" s="172"/>
      <c r="F12" s="172"/>
      <c r="G12" s="173">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337</v>
      </c>
      <c r="C13" s="171">
        <f>43806.77+1</f>
        <v>43807.77</v>
      </c>
      <c r="D13" s="171">
        <f>41586.97+1809-1</f>
        <v>43394.97</v>
      </c>
      <c r="E13" s="172">
        <f>24495.77-1809</f>
        <v>22686.77</v>
      </c>
      <c r="F13" s="172">
        <v>14830.47</v>
      </c>
      <c r="G13" s="173">
        <f>ROUND(SUM(C13:F13),5)</f>
        <v>124719.98</v>
      </c>
      <c r="H13" s="94"/>
      <c r="I13" s="62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18" customFormat="1" ht="24.95" customHeight="1" thickBot="1" x14ac:dyDescent="0.3">
      <c r="A14" s="214"/>
      <c r="B14" s="215" t="s">
        <v>148</v>
      </c>
      <c r="C14" s="216">
        <f>ROUND(SUM(C10:C13),5)</f>
        <v>43807.77</v>
      </c>
      <c r="D14" s="216">
        <f>SUM(D11:D13)</f>
        <v>43394.97</v>
      </c>
      <c r="E14" s="216">
        <f>SUM(E11:E13)</f>
        <v>22686.77</v>
      </c>
      <c r="F14" s="216">
        <f>SUM(F11:F13)</f>
        <v>14830.47</v>
      </c>
      <c r="G14" s="217">
        <f>ROUND(SUM(G10:G13),5)</f>
        <v>124719.98</v>
      </c>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c r="IR14" s="212"/>
      <c r="IS14" s="212"/>
      <c r="IT14" s="212"/>
      <c r="IU14" s="212"/>
      <c r="IV14" s="212"/>
      <c r="IW14" s="212"/>
      <c r="IX14" s="212"/>
      <c r="IY14" s="212"/>
      <c r="IZ14" s="212"/>
      <c r="JA14" s="212"/>
      <c r="JB14" s="212"/>
      <c r="JC14" s="212"/>
      <c r="JD14" s="212"/>
      <c r="JE14" s="212"/>
      <c r="JF14" s="212"/>
      <c r="JG14" s="212"/>
      <c r="JH14" s="212"/>
      <c r="JI14" s="212"/>
      <c r="JJ14" s="212"/>
      <c r="JK14" s="212"/>
      <c r="JL14" s="212"/>
      <c r="JM14" s="212"/>
      <c r="JN14" s="212"/>
      <c r="JO14" s="212"/>
      <c r="JP14" s="212"/>
      <c r="JQ14" s="212"/>
      <c r="JR14" s="212"/>
      <c r="JS14" s="212"/>
      <c r="JT14" s="212"/>
      <c r="JU14" s="212"/>
      <c r="JV14" s="212"/>
      <c r="JW14" s="212"/>
      <c r="JX14" s="212"/>
      <c r="JY14" s="212"/>
      <c r="JZ14" s="212"/>
      <c r="KA14" s="212"/>
      <c r="KB14" s="212"/>
      <c r="KC14" s="212"/>
      <c r="KD14" s="212"/>
      <c r="KE14" s="212"/>
      <c r="KF14" s="212"/>
      <c r="KG14" s="212"/>
      <c r="KH14" s="212"/>
      <c r="KI14" s="212"/>
      <c r="KJ14" s="212"/>
      <c r="KK14" s="212"/>
      <c r="KL14" s="212"/>
      <c r="KM14" s="212"/>
      <c r="KN14" s="212"/>
      <c r="KO14" s="212"/>
      <c r="KP14" s="212"/>
      <c r="KQ14" s="212"/>
      <c r="KR14" s="212"/>
      <c r="KS14" s="212"/>
      <c r="KT14" s="212"/>
      <c r="KU14" s="212"/>
      <c r="KV14" s="212"/>
      <c r="KW14" s="212"/>
      <c r="KX14" s="212"/>
      <c r="KY14" s="212"/>
      <c r="KZ14" s="212"/>
      <c r="LA14" s="212"/>
      <c r="LB14" s="212"/>
      <c r="LC14" s="212"/>
      <c r="LD14" s="212"/>
      <c r="LE14" s="212"/>
      <c r="LF14" s="212"/>
      <c r="LG14" s="212"/>
      <c r="LH14" s="212"/>
      <c r="LI14" s="212"/>
      <c r="LJ14" s="212"/>
      <c r="LK14" s="212"/>
      <c r="LL14" s="212"/>
      <c r="LM14" s="212"/>
      <c r="LN14" s="212"/>
      <c r="LO14" s="212"/>
      <c r="LP14" s="212"/>
      <c r="LQ14" s="212"/>
      <c r="LR14" s="212"/>
      <c r="LS14" s="212"/>
      <c r="LT14" s="212"/>
      <c r="LU14" s="212"/>
      <c r="LV14" s="212"/>
      <c r="LW14" s="212"/>
      <c r="LX14" s="212"/>
      <c r="LY14" s="212"/>
      <c r="LZ14" s="212"/>
      <c r="MA14" s="212"/>
      <c r="MB14" s="212"/>
      <c r="MC14" s="212"/>
      <c r="MD14" s="212"/>
      <c r="ME14" s="212"/>
      <c r="MF14" s="212"/>
      <c r="MG14" s="212"/>
      <c r="MH14" s="212"/>
      <c r="MI14" s="212"/>
      <c r="MJ14" s="212"/>
      <c r="MK14" s="212"/>
      <c r="ML14" s="212"/>
      <c r="MM14" s="212"/>
      <c r="MN14" s="212"/>
      <c r="MO14" s="212"/>
      <c r="MP14" s="212"/>
      <c r="MQ14" s="212"/>
      <c r="MR14" s="212"/>
      <c r="MS14" s="212"/>
      <c r="MT14" s="212"/>
      <c r="MU14" s="212"/>
      <c r="MV14" s="212"/>
      <c r="MW14" s="212"/>
      <c r="MX14" s="212"/>
      <c r="MY14" s="212"/>
      <c r="MZ14" s="212"/>
      <c r="NA14" s="212"/>
      <c r="NB14" s="212"/>
      <c r="NC14" s="212"/>
      <c r="ND14" s="212"/>
      <c r="NE14" s="212"/>
      <c r="NF14" s="212"/>
      <c r="NG14" s="212"/>
      <c r="NH14" s="212"/>
      <c r="NI14" s="212"/>
      <c r="NJ14" s="212"/>
      <c r="NK14" s="212"/>
      <c r="NL14" s="212"/>
      <c r="NM14" s="212"/>
      <c r="NN14" s="212"/>
      <c r="NO14" s="212"/>
      <c r="NP14" s="212"/>
      <c r="NQ14" s="212"/>
      <c r="NR14" s="212"/>
      <c r="NS14" s="212"/>
      <c r="NT14" s="212"/>
      <c r="NU14" s="212"/>
      <c r="NV14" s="212"/>
      <c r="NW14" s="212"/>
      <c r="NX14" s="212"/>
      <c r="NY14" s="212"/>
      <c r="NZ14" s="212"/>
      <c r="OA14" s="212"/>
      <c r="OB14" s="212"/>
      <c r="OC14" s="212"/>
      <c r="OD14" s="212"/>
      <c r="OE14" s="212"/>
      <c r="OF14" s="212"/>
      <c r="OG14" s="212"/>
      <c r="OH14" s="212"/>
      <c r="OI14" s="212"/>
      <c r="OJ14" s="212"/>
      <c r="OK14" s="212"/>
      <c r="OL14" s="212"/>
      <c r="OM14" s="212"/>
      <c r="ON14" s="212"/>
      <c r="OO14" s="212"/>
      <c r="OP14" s="212"/>
      <c r="OQ14" s="212"/>
      <c r="OR14" s="212"/>
      <c r="OS14" s="212"/>
      <c r="OT14" s="212"/>
      <c r="OU14" s="212"/>
      <c r="OV14" s="212"/>
      <c r="OW14" s="212"/>
      <c r="OX14" s="212"/>
      <c r="OY14" s="212"/>
      <c r="OZ14" s="212"/>
      <c r="PA14" s="212"/>
      <c r="PB14" s="212"/>
      <c r="PC14" s="212"/>
      <c r="PD14" s="212"/>
      <c r="PE14" s="212"/>
      <c r="PF14" s="212"/>
      <c r="PG14" s="212"/>
      <c r="PH14" s="212"/>
      <c r="PI14" s="212"/>
      <c r="PJ14" s="212"/>
      <c r="PK14" s="212"/>
      <c r="PL14" s="212"/>
      <c r="PM14" s="212"/>
      <c r="PN14" s="212"/>
      <c r="PO14" s="212"/>
      <c r="PP14" s="212"/>
      <c r="PQ14" s="212"/>
      <c r="PR14" s="212"/>
      <c r="PS14" s="212"/>
      <c r="PT14" s="212"/>
      <c r="PU14" s="212"/>
      <c r="PV14" s="212"/>
      <c r="PW14" s="212"/>
      <c r="PX14" s="212"/>
      <c r="PY14" s="212"/>
      <c r="PZ14" s="212"/>
      <c r="QA14" s="212"/>
      <c r="QB14" s="212"/>
      <c r="QC14" s="212"/>
      <c r="QD14" s="212"/>
      <c r="QE14" s="212"/>
      <c r="QF14" s="212"/>
      <c r="QG14" s="212"/>
      <c r="QH14" s="212"/>
      <c r="QI14" s="212"/>
      <c r="QJ14" s="212"/>
      <c r="QK14" s="212"/>
      <c r="QL14" s="212"/>
      <c r="QM14" s="212"/>
      <c r="QN14" s="212"/>
      <c r="QO14" s="212"/>
      <c r="QP14" s="212"/>
      <c r="QQ14" s="212"/>
      <c r="QR14" s="212"/>
      <c r="QS14" s="212"/>
      <c r="QT14" s="212"/>
      <c r="QU14" s="212"/>
      <c r="QV14" s="212"/>
      <c r="QW14" s="212"/>
      <c r="QX14" s="212"/>
      <c r="QY14" s="212"/>
      <c r="QZ14" s="212"/>
      <c r="RA14" s="212"/>
      <c r="RB14" s="212"/>
      <c r="RC14" s="212"/>
      <c r="RD14" s="212"/>
      <c r="RE14" s="212"/>
      <c r="RF14" s="212"/>
      <c r="RG14" s="212"/>
      <c r="RH14" s="212"/>
      <c r="RI14" s="212"/>
      <c r="RJ14" s="212"/>
      <c r="RK14" s="212"/>
      <c r="RL14" s="212"/>
      <c r="RM14" s="212"/>
      <c r="RN14" s="212"/>
      <c r="RO14" s="212"/>
      <c r="RP14" s="212"/>
      <c r="RQ14" s="212"/>
      <c r="RR14" s="212"/>
      <c r="RS14" s="212"/>
      <c r="RT14" s="212"/>
      <c r="RU14" s="212"/>
      <c r="RV14" s="212"/>
      <c r="RW14" s="212"/>
      <c r="RX14" s="212"/>
      <c r="RY14" s="212"/>
      <c r="RZ14" s="212"/>
      <c r="SA14" s="212"/>
      <c r="SB14" s="212"/>
      <c r="SC14" s="212"/>
      <c r="SD14" s="212"/>
      <c r="SE14" s="212"/>
      <c r="SF14" s="212"/>
      <c r="SG14" s="212"/>
      <c r="SH14" s="212"/>
      <c r="SI14" s="212"/>
      <c r="SJ14" s="212"/>
      <c r="SK14" s="212"/>
      <c r="SL14" s="212"/>
      <c r="SM14" s="212"/>
      <c r="SN14" s="212"/>
      <c r="SO14" s="212"/>
      <c r="SP14" s="212"/>
      <c r="SQ14" s="212"/>
      <c r="SR14" s="212"/>
      <c r="SS14" s="212"/>
      <c r="ST14" s="212"/>
      <c r="SU14" s="212"/>
      <c r="SV14" s="212"/>
      <c r="SW14" s="212"/>
      <c r="SX14" s="212"/>
      <c r="SY14" s="212"/>
      <c r="SZ14" s="212"/>
      <c r="TA14" s="212"/>
      <c r="TB14" s="212"/>
      <c r="TC14" s="212"/>
      <c r="TD14" s="212"/>
      <c r="TE14" s="212"/>
      <c r="TF14" s="212"/>
      <c r="TG14" s="212"/>
      <c r="TH14" s="212"/>
      <c r="TI14" s="212"/>
      <c r="TJ14" s="212"/>
      <c r="TK14" s="212"/>
      <c r="TL14" s="212"/>
      <c r="TM14" s="212"/>
      <c r="TN14" s="212"/>
      <c r="TO14" s="212"/>
      <c r="TP14" s="212"/>
      <c r="TQ14" s="212"/>
      <c r="TR14" s="212"/>
      <c r="TS14" s="212"/>
      <c r="TT14" s="212"/>
      <c r="TU14" s="212"/>
      <c r="TV14" s="212"/>
      <c r="TW14" s="212"/>
      <c r="TX14" s="212"/>
      <c r="TY14" s="212"/>
      <c r="TZ14" s="212"/>
      <c r="UA14" s="212"/>
      <c r="UB14" s="212"/>
      <c r="UC14" s="212"/>
      <c r="UD14" s="212"/>
      <c r="UE14" s="212"/>
      <c r="UF14" s="212"/>
      <c r="UG14" s="212"/>
      <c r="UH14" s="212"/>
      <c r="UI14" s="212"/>
      <c r="UJ14" s="212"/>
      <c r="UK14" s="212"/>
      <c r="UL14" s="212"/>
      <c r="UM14" s="212"/>
      <c r="UN14" s="212"/>
      <c r="UO14" s="212"/>
      <c r="UP14" s="212"/>
      <c r="UQ14" s="212"/>
      <c r="UR14" s="212"/>
      <c r="US14" s="212"/>
      <c r="UT14" s="212"/>
      <c r="UU14" s="212"/>
      <c r="UV14" s="212"/>
      <c r="UW14" s="212"/>
      <c r="UX14" s="212"/>
      <c r="UY14" s="212"/>
      <c r="UZ14" s="212"/>
      <c r="VA14" s="212"/>
      <c r="VB14" s="212"/>
      <c r="VC14" s="212"/>
      <c r="VD14" s="212"/>
      <c r="VE14" s="212"/>
      <c r="VF14" s="212"/>
      <c r="VG14" s="212"/>
      <c r="VH14" s="212"/>
      <c r="VI14" s="212"/>
      <c r="VJ14" s="212"/>
      <c r="VK14" s="212"/>
      <c r="VL14" s="212"/>
      <c r="VM14" s="212"/>
      <c r="VN14" s="212"/>
      <c r="VO14" s="212"/>
      <c r="VP14" s="212"/>
      <c r="VQ14" s="212"/>
      <c r="VR14" s="212"/>
      <c r="VS14" s="212"/>
      <c r="VT14" s="212"/>
      <c r="VU14" s="212"/>
      <c r="VV14" s="212"/>
      <c r="VW14" s="212"/>
      <c r="VX14" s="212"/>
      <c r="VY14" s="212"/>
      <c r="VZ14" s="212"/>
      <c r="WA14" s="212"/>
      <c r="WB14" s="212"/>
      <c r="WC14" s="212"/>
      <c r="WD14" s="212"/>
      <c r="WE14" s="212"/>
      <c r="WF14" s="212"/>
      <c r="WG14" s="212"/>
      <c r="WH14" s="212"/>
      <c r="WI14" s="212"/>
      <c r="WJ14" s="212"/>
      <c r="WK14" s="212"/>
      <c r="WL14" s="212"/>
      <c r="WM14" s="212"/>
      <c r="WN14" s="212"/>
      <c r="WO14" s="212"/>
      <c r="WP14" s="212"/>
      <c r="WQ14" s="212"/>
      <c r="WR14" s="212"/>
      <c r="WS14" s="212"/>
      <c r="WT14" s="212"/>
      <c r="WU14" s="212"/>
      <c r="WV14" s="212"/>
      <c r="WW14" s="212"/>
      <c r="WX14" s="212"/>
      <c r="WY14" s="212"/>
      <c r="WZ14" s="212"/>
      <c r="XA14" s="212"/>
      <c r="XB14" s="212"/>
      <c r="XC14" s="212"/>
      <c r="XD14" s="212"/>
      <c r="XE14" s="212"/>
      <c r="XF14" s="212"/>
      <c r="XG14" s="212"/>
      <c r="XH14" s="212"/>
      <c r="XI14" s="212"/>
      <c r="XJ14" s="212"/>
      <c r="XK14" s="212"/>
      <c r="XL14" s="212"/>
      <c r="XM14" s="212"/>
      <c r="XN14" s="212"/>
      <c r="XO14" s="212"/>
      <c r="XP14" s="212"/>
      <c r="XQ14" s="212"/>
      <c r="XR14" s="212"/>
      <c r="XS14" s="212"/>
      <c r="XT14" s="212"/>
      <c r="XU14" s="212"/>
      <c r="XV14" s="212"/>
      <c r="XW14" s="212"/>
      <c r="XX14" s="212"/>
      <c r="XY14" s="212"/>
      <c r="XZ14" s="212"/>
      <c r="YA14" s="212"/>
      <c r="YB14" s="212"/>
      <c r="YC14" s="212"/>
      <c r="YD14" s="212"/>
      <c r="YE14" s="212"/>
      <c r="YF14" s="212"/>
      <c r="YG14" s="212"/>
      <c r="YH14" s="212"/>
      <c r="YI14" s="212"/>
      <c r="YJ14" s="212"/>
      <c r="YK14" s="212"/>
      <c r="YL14" s="212"/>
      <c r="YM14" s="212"/>
      <c r="YN14" s="212"/>
      <c r="YO14" s="212"/>
      <c r="YP14" s="212"/>
      <c r="YQ14" s="212"/>
      <c r="YR14" s="212"/>
      <c r="YS14" s="212"/>
      <c r="YT14" s="212"/>
      <c r="YU14" s="212"/>
      <c r="YV14" s="212"/>
      <c r="YW14" s="212"/>
      <c r="YX14" s="212"/>
      <c r="YY14" s="212"/>
      <c r="YZ14" s="212"/>
      <c r="ZA14" s="212"/>
      <c r="ZB14" s="212"/>
      <c r="ZC14" s="212"/>
      <c r="ZD14" s="212"/>
      <c r="ZE14" s="212"/>
      <c r="ZF14" s="212"/>
      <c r="ZG14" s="212"/>
      <c r="ZH14" s="212"/>
      <c r="ZI14" s="212"/>
      <c r="ZJ14" s="212"/>
      <c r="ZK14" s="212"/>
      <c r="ZL14" s="212"/>
      <c r="ZM14" s="212"/>
      <c r="ZN14" s="212"/>
      <c r="ZO14" s="212"/>
      <c r="ZP14" s="212"/>
      <c r="ZQ14" s="212"/>
      <c r="ZR14" s="212"/>
      <c r="ZS14" s="212"/>
      <c r="ZT14" s="212"/>
      <c r="ZU14" s="212"/>
      <c r="ZV14" s="212"/>
      <c r="ZW14" s="212"/>
      <c r="ZX14" s="212"/>
      <c r="ZY14" s="212"/>
      <c r="ZZ14" s="212"/>
      <c r="AAA14" s="212"/>
      <c r="AAB14" s="212"/>
      <c r="AAC14" s="212"/>
      <c r="AAD14" s="212"/>
      <c r="AAE14" s="212"/>
      <c r="AAF14" s="212"/>
      <c r="AAG14" s="212"/>
      <c r="AAH14" s="212"/>
      <c r="AAI14" s="212"/>
      <c r="AAJ14" s="212"/>
      <c r="AAK14" s="212"/>
      <c r="AAL14" s="212"/>
      <c r="AAM14" s="212"/>
      <c r="AAN14" s="212"/>
      <c r="AAO14" s="212"/>
      <c r="AAP14" s="212"/>
      <c r="AAQ14" s="212"/>
      <c r="AAR14" s="212"/>
      <c r="AAS14" s="212"/>
      <c r="AAT14" s="212"/>
      <c r="AAU14" s="212"/>
      <c r="AAV14" s="212"/>
      <c r="AAW14" s="212"/>
      <c r="AAX14" s="212"/>
      <c r="AAY14" s="212"/>
      <c r="AAZ14" s="212"/>
      <c r="ABA14" s="212"/>
      <c r="ABB14" s="212"/>
      <c r="ABC14" s="212"/>
      <c r="ABD14" s="212"/>
      <c r="ABE14" s="212"/>
      <c r="ABF14" s="212"/>
      <c r="ABG14" s="212"/>
      <c r="ABH14" s="212"/>
      <c r="ABI14" s="212"/>
      <c r="ABJ14" s="212"/>
      <c r="ABK14" s="212"/>
      <c r="ABL14" s="212"/>
      <c r="ABM14" s="212"/>
      <c r="ABN14" s="212"/>
      <c r="ABO14" s="212"/>
      <c r="ABP14" s="212"/>
      <c r="ABQ14" s="212"/>
      <c r="ABR14" s="212"/>
      <c r="ABS14" s="212"/>
      <c r="ABT14" s="212"/>
      <c r="ABU14" s="212"/>
      <c r="ABV14" s="212"/>
      <c r="ABW14" s="212"/>
      <c r="ABX14" s="212"/>
      <c r="ABY14" s="212"/>
      <c r="ABZ14" s="212"/>
      <c r="ACA14" s="212"/>
      <c r="ACB14" s="212"/>
      <c r="ACC14" s="212"/>
      <c r="ACD14" s="212"/>
      <c r="ACE14" s="212"/>
      <c r="ACF14" s="212"/>
      <c r="ACG14" s="212"/>
      <c r="ACH14" s="212"/>
      <c r="ACI14" s="212"/>
      <c r="ACJ14" s="212"/>
      <c r="ACK14" s="212"/>
      <c r="ACL14" s="212"/>
      <c r="ACM14" s="212"/>
      <c r="ACN14" s="212"/>
      <c r="ACO14" s="212"/>
      <c r="ACP14" s="212"/>
      <c r="ACQ14" s="212"/>
      <c r="ACR14" s="212"/>
      <c r="ACS14" s="212"/>
      <c r="ACT14" s="212"/>
      <c r="ACU14" s="212"/>
      <c r="ACV14" s="212"/>
      <c r="ACW14" s="212"/>
      <c r="ACX14" s="212"/>
      <c r="ACY14" s="212"/>
      <c r="ACZ14" s="212"/>
      <c r="ADA14" s="212"/>
      <c r="ADB14" s="212"/>
      <c r="ADC14" s="212"/>
      <c r="ADD14" s="212"/>
      <c r="ADE14" s="212"/>
      <c r="ADF14" s="212"/>
      <c r="ADG14" s="212"/>
      <c r="ADH14" s="212"/>
      <c r="ADI14" s="212"/>
      <c r="ADJ14" s="212"/>
      <c r="ADK14" s="212"/>
      <c r="ADL14" s="212"/>
      <c r="ADM14" s="212"/>
      <c r="ADN14" s="212"/>
      <c r="ADO14" s="212"/>
      <c r="ADP14" s="212"/>
      <c r="ADQ14" s="212"/>
      <c r="ADR14" s="212"/>
      <c r="ADS14" s="212"/>
      <c r="ADT14" s="212"/>
      <c r="ADU14" s="212"/>
      <c r="ADV14" s="212"/>
      <c r="ADW14" s="212"/>
      <c r="ADX14" s="212"/>
      <c r="ADY14" s="212"/>
      <c r="ADZ14" s="212"/>
      <c r="AEA14" s="212"/>
      <c r="AEB14" s="212"/>
      <c r="AEC14" s="212"/>
      <c r="AED14" s="212"/>
      <c r="AEE14" s="212"/>
      <c r="AEF14" s="212"/>
      <c r="AEG14" s="212"/>
      <c r="AEH14" s="212"/>
      <c r="AEI14" s="212"/>
      <c r="AEJ14" s="212"/>
      <c r="AEK14" s="212"/>
      <c r="AEL14" s="212"/>
      <c r="AEM14" s="212"/>
      <c r="AEN14" s="212"/>
      <c r="AEO14" s="212"/>
      <c r="AEP14" s="212"/>
      <c r="AEQ14" s="212"/>
      <c r="AER14" s="212"/>
      <c r="AES14" s="212"/>
      <c r="AET14" s="212"/>
      <c r="AEU14" s="212"/>
      <c r="AEV14" s="212"/>
      <c r="AEW14" s="212"/>
      <c r="AEX14" s="212"/>
      <c r="AEY14" s="212"/>
      <c r="AEZ14" s="212"/>
      <c r="AFA14" s="212"/>
      <c r="AFB14" s="212"/>
      <c r="AFC14" s="212"/>
      <c r="AFD14" s="212"/>
      <c r="AFE14" s="212"/>
      <c r="AFF14" s="212"/>
      <c r="AFG14" s="212"/>
      <c r="AFH14" s="212"/>
      <c r="AFI14" s="212"/>
      <c r="AFJ14" s="212"/>
      <c r="AFK14" s="212"/>
      <c r="AFL14" s="212"/>
      <c r="AFM14" s="212"/>
      <c r="AFN14" s="212"/>
      <c r="AFO14" s="212"/>
      <c r="AFP14" s="212"/>
      <c r="AFQ14" s="212"/>
      <c r="AFR14" s="212"/>
      <c r="AFS14" s="212"/>
      <c r="AFT14" s="212"/>
      <c r="AFU14" s="212"/>
      <c r="AFV14" s="212"/>
      <c r="AFW14" s="212"/>
      <c r="AFX14" s="212"/>
      <c r="AFY14" s="212"/>
      <c r="AFZ14" s="212"/>
      <c r="AGA14" s="212"/>
      <c r="AGB14" s="212"/>
      <c r="AGC14" s="212"/>
      <c r="AGD14" s="212"/>
      <c r="AGE14" s="212"/>
      <c r="AGF14" s="212"/>
      <c r="AGG14" s="212"/>
      <c r="AGH14" s="212"/>
      <c r="AGI14" s="212"/>
      <c r="AGJ14" s="212"/>
      <c r="AGK14" s="212"/>
      <c r="AGL14" s="212"/>
      <c r="AGM14" s="212"/>
      <c r="AGN14" s="212"/>
      <c r="AGO14" s="212"/>
      <c r="AGP14" s="212"/>
      <c r="AGQ14" s="212"/>
      <c r="AGR14" s="212"/>
      <c r="AGS14" s="212"/>
      <c r="AGT14" s="212"/>
      <c r="AGU14" s="212"/>
      <c r="AGV14" s="212"/>
      <c r="AGW14" s="212"/>
      <c r="AGX14" s="212"/>
      <c r="AGY14" s="212"/>
      <c r="AGZ14" s="212"/>
      <c r="AHA14" s="212"/>
      <c r="AHB14" s="212"/>
      <c r="AHC14" s="212"/>
      <c r="AHD14" s="212"/>
      <c r="AHE14" s="212"/>
      <c r="AHF14" s="212"/>
      <c r="AHG14" s="212"/>
      <c r="AHH14" s="212"/>
      <c r="AHI14" s="212"/>
      <c r="AHJ14" s="212"/>
      <c r="AHK14" s="212"/>
      <c r="AHL14" s="212"/>
      <c r="AHM14" s="212"/>
      <c r="AHN14" s="212"/>
      <c r="AHO14" s="212"/>
      <c r="AHP14" s="212"/>
      <c r="AHQ14" s="212"/>
      <c r="AHR14" s="212"/>
      <c r="AHS14" s="212"/>
      <c r="AHT14" s="212"/>
      <c r="AHU14" s="212"/>
      <c r="AHV14" s="212"/>
      <c r="AHW14" s="212"/>
      <c r="AHX14" s="212"/>
      <c r="AHY14" s="212"/>
      <c r="AHZ14" s="212"/>
      <c r="AIA14" s="212"/>
      <c r="AIB14" s="212"/>
      <c r="AIC14" s="212"/>
      <c r="AID14" s="212"/>
      <c r="AIE14" s="212"/>
      <c r="AIF14" s="212"/>
      <c r="AIG14" s="212"/>
      <c r="AIH14" s="212"/>
      <c r="AII14" s="212"/>
      <c r="AIJ14" s="212"/>
      <c r="AIK14" s="212"/>
      <c r="AIL14" s="212"/>
      <c r="AIM14" s="212"/>
      <c r="AIN14" s="212"/>
      <c r="AIO14" s="212"/>
      <c r="AIP14" s="212"/>
      <c r="AIQ14" s="212"/>
      <c r="AIR14" s="212"/>
      <c r="AIS14" s="212"/>
      <c r="AIT14" s="212"/>
      <c r="AIU14" s="212"/>
      <c r="AIV14" s="212"/>
      <c r="AIW14" s="212"/>
      <c r="AIX14" s="212"/>
      <c r="AIY14" s="212"/>
      <c r="AIZ14" s="212"/>
      <c r="AJA14" s="212"/>
      <c r="AJB14" s="212"/>
      <c r="AJC14" s="212"/>
      <c r="AJD14" s="212"/>
      <c r="AJE14" s="212"/>
      <c r="AJF14" s="212"/>
      <c r="AJG14" s="212"/>
      <c r="AJH14" s="212"/>
      <c r="AJI14" s="212"/>
      <c r="AJJ14" s="212"/>
      <c r="AJK14" s="212"/>
      <c r="AJL14" s="212"/>
      <c r="AJM14" s="212"/>
      <c r="AJN14" s="212"/>
      <c r="AJO14" s="212"/>
      <c r="AJP14" s="212"/>
      <c r="AJQ14" s="212"/>
      <c r="AJR14" s="212"/>
      <c r="AJS14" s="212"/>
      <c r="AJT14" s="212"/>
      <c r="AJU14" s="212"/>
      <c r="AJV14" s="212"/>
      <c r="AJW14" s="212"/>
      <c r="AJX14" s="212"/>
      <c r="AJY14" s="212"/>
      <c r="AJZ14" s="212"/>
      <c r="AKA14" s="212"/>
      <c r="AKB14" s="212"/>
      <c r="AKC14" s="212"/>
      <c r="AKD14" s="212"/>
      <c r="AKE14" s="212"/>
      <c r="AKF14" s="212"/>
      <c r="AKG14" s="212"/>
      <c r="AKH14" s="212"/>
      <c r="AKI14" s="212"/>
      <c r="AKJ14" s="212"/>
      <c r="AKK14" s="212"/>
      <c r="AKL14" s="212"/>
      <c r="AKM14" s="212"/>
      <c r="AKN14" s="212"/>
      <c r="AKO14" s="212"/>
      <c r="AKP14" s="212"/>
      <c r="AKQ14" s="212"/>
      <c r="AKR14" s="212"/>
      <c r="AKS14" s="212"/>
      <c r="AKT14" s="212"/>
      <c r="AKU14" s="212"/>
      <c r="AKV14" s="212"/>
      <c r="AKW14" s="212"/>
      <c r="AKX14" s="212"/>
      <c r="AKY14" s="212"/>
      <c r="AKZ14" s="212"/>
      <c r="ALA14" s="212"/>
      <c r="ALB14" s="212"/>
      <c r="ALC14" s="212"/>
      <c r="ALD14" s="212"/>
      <c r="ALE14" s="212"/>
      <c r="ALF14" s="212"/>
      <c r="ALG14" s="212"/>
      <c r="ALH14" s="212"/>
      <c r="ALI14" s="212"/>
      <c r="ALJ14" s="212"/>
      <c r="ALK14" s="212"/>
      <c r="ALL14" s="212"/>
      <c r="ALM14" s="212"/>
      <c r="ALN14" s="212"/>
      <c r="ALO14" s="212"/>
      <c r="ALP14" s="212"/>
      <c r="ALQ14" s="212"/>
      <c r="ALR14" s="212"/>
      <c r="ALS14" s="212"/>
      <c r="ALT14" s="212"/>
      <c r="ALU14" s="212"/>
      <c r="ALV14" s="212"/>
      <c r="ALW14" s="212"/>
      <c r="ALX14" s="212"/>
      <c r="ALY14" s="212"/>
      <c r="ALZ14" s="212"/>
      <c r="AMA14" s="212"/>
      <c r="AMB14" s="212"/>
      <c r="AMC14" s="212"/>
      <c r="AMD14" s="212"/>
      <c r="AME14" s="212"/>
      <c r="AMF14" s="212"/>
      <c r="AMG14" s="212"/>
      <c r="AMH14" s="212"/>
      <c r="AMI14" s="212"/>
      <c r="AMJ14" s="212"/>
      <c r="AMK14" s="212"/>
      <c r="AML14" s="212"/>
      <c r="AMM14" s="212"/>
      <c r="AMN14" s="212"/>
      <c r="AMO14" s="212"/>
      <c r="AMP14" s="212"/>
      <c r="AMQ14" s="212"/>
      <c r="AMR14" s="212"/>
      <c r="AMS14" s="212"/>
      <c r="AMT14" s="212"/>
      <c r="AMU14" s="212"/>
      <c r="AMV14" s="212"/>
      <c r="AMW14" s="212"/>
      <c r="AMX14" s="212"/>
      <c r="AMY14" s="212"/>
      <c r="AMZ14" s="212"/>
      <c r="ANA14" s="212"/>
      <c r="ANB14" s="212"/>
      <c r="ANC14" s="212"/>
      <c r="AND14" s="212"/>
      <c r="ANE14" s="212"/>
      <c r="ANF14" s="212"/>
      <c r="ANG14" s="212"/>
      <c r="ANH14" s="212"/>
      <c r="ANI14" s="212"/>
      <c r="ANJ14" s="212"/>
      <c r="ANK14" s="212"/>
      <c r="ANL14" s="212"/>
      <c r="ANM14" s="212"/>
      <c r="ANN14" s="212"/>
      <c r="ANO14" s="212"/>
      <c r="ANP14" s="212"/>
      <c r="ANQ14" s="212"/>
      <c r="ANR14" s="212"/>
      <c r="ANS14" s="212"/>
      <c r="ANT14" s="212"/>
      <c r="ANU14" s="212"/>
      <c r="ANV14" s="212"/>
      <c r="ANW14" s="212"/>
      <c r="ANX14" s="212"/>
      <c r="ANY14" s="212"/>
      <c r="ANZ14" s="212"/>
      <c r="AOA14" s="212"/>
      <c r="AOB14" s="212"/>
      <c r="AOC14" s="212"/>
      <c r="AOD14" s="212"/>
      <c r="AOE14" s="212"/>
      <c r="AOF14" s="212"/>
      <c r="AOG14" s="212"/>
      <c r="AOH14" s="212"/>
      <c r="AOI14" s="212"/>
      <c r="AOJ14" s="212"/>
      <c r="AOK14" s="212"/>
      <c r="AOL14" s="212"/>
      <c r="AOM14" s="212"/>
      <c r="AON14" s="212"/>
      <c r="AOO14" s="212"/>
      <c r="AOP14" s="212"/>
      <c r="AOQ14" s="212"/>
      <c r="AOR14" s="212"/>
      <c r="AOS14" s="212"/>
      <c r="AOT14" s="212"/>
      <c r="AOU14" s="212"/>
      <c r="AOV14" s="212"/>
      <c r="AOW14" s="212"/>
      <c r="AOX14" s="212"/>
      <c r="AOY14" s="212"/>
      <c r="AOZ14" s="212"/>
      <c r="APA14" s="212"/>
      <c r="APB14" s="212"/>
      <c r="APC14" s="212"/>
      <c r="APD14" s="212"/>
      <c r="APE14" s="212"/>
      <c r="APF14" s="212"/>
      <c r="APG14" s="212"/>
      <c r="APH14" s="212"/>
      <c r="API14" s="212"/>
      <c r="APJ14" s="212"/>
      <c r="APK14" s="212"/>
      <c r="APL14" s="212"/>
      <c r="APM14" s="212"/>
      <c r="APN14" s="212"/>
      <c r="APO14" s="212"/>
      <c r="APP14" s="212"/>
      <c r="APQ14" s="212"/>
      <c r="APR14" s="212"/>
      <c r="APS14" s="212"/>
      <c r="APT14" s="212"/>
      <c r="APU14" s="212"/>
      <c r="APV14" s="212"/>
      <c r="APW14" s="212"/>
      <c r="APX14" s="212"/>
      <c r="APY14" s="212"/>
      <c r="APZ14" s="212"/>
      <c r="AQA14" s="212"/>
      <c r="AQB14" s="212"/>
      <c r="AQC14" s="212"/>
      <c r="AQD14" s="212"/>
      <c r="AQE14" s="212"/>
      <c r="AQF14" s="212"/>
      <c r="AQG14" s="212"/>
      <c r="AQH14" s="212"/>
      <c r="AQI14" s="212"/>
      <c r="AQJ14" s="212"/>
      <c r="AQK14" s="212"/>
      <c r="AQL14" s="212"/>
      <c r="AQM14" s="212"/>
      <c r="AQN14" s="212"/>
      <c r="AQO14" s="212"/>
      <c r="AQP14" s="212"/>
      <c r="AQQ14" s="212"/>
      <c r="AQR14" s="212"/>
      <c r="AQS14" s="212"/>
      <c r="AQT14" s="212"/>
      <c r="AQU14" s="212"/>
      <c r="AQV14" s="212"/>
      <c r="AQW14" s="212"/>
      <c r="AQX14" s="212"/>
      <c r="AQY14" s="212"/>
      <c r="AQZ14" s="212"/>
      <c r="ARA14" s="212"/>
      <c r="ARB14" s="212"/>
      <c r="ARC14" s="212"/>
      <c r="ARD14" s="212"/>
      <c r="ARE14" s="212"/>
      <c r="ARF14" s="212"/>
      <c r="ARG14" s="212"/>
      <c r="ARH14" s="212"/>
      <c r="ARI14" s="212"/>
      <c r="ARJ14" s="212"/>
      <c r="ARK14" s="212"/>
      <c r="ARL14" s="212"/>
      <c r="ARM14" s="212"/>
      <c r="ARN14" s="212"/>
      <c r="ARO14" s="212"/>
      <c r="ARP14" s="212"/>
      <c r="ARQ14" s="212"/>
      <c r="ARR14" s="212"/>
      <c r="ARS14" s="212"/>
      <c r="ART14" s="212"/>
      <c r="ARU14" s="212"/>
      <c r="ARV14" s="212"/>
      <c r="ARW14" s="212"/>
      <c r="ARX14" s="212"/>
      <c r="ARY14" s="212"/>
      <c r="ARZ14" s="212"/>
      <c r="ASA14" s="212"/>
      <c r="ASB14" s="212"/>
      <c r="ASC14" s="212"/>
      <c r="ASD14" s="212"/>
      <c r="ASE14" s="212"/>
      <c r="ASF14" s="212"/>
      <c r="ASG14" s="212"/>
      <c r="ASH14" s="212"/>
      <c r="ASI14" s="212"/>
      <c r="ASJ14" s="212"/>
      <c r="ASK14" s="212"/>
      <c r="ASL14" s="212"/>
      <c r="ASM14" s="212"/>
      <c r="ASN14" s="212"/>
      <c r="ASO14" s="212"/>
      <c r="ASP14" s="212"/>
      <c r="ASQ14" s="212"/>
      <c r="ASR14" s="212"/>
      <c r="ASS14" s="212"/>
      <c r="AST14" s="212"/>
      <c r="ASU14" s="212"/>
      <c r="ASV14" s="212"/>
      <c r="ASW14" s="212"/>
      <c r="ASX14" s="212"/>
      <c r="ASY14" s="212"/>
      <c r="ASZ14" s="212"/>
      <c r="ATA14" s="212"/>
      <c r="ATB14" s="212"/>
      <c r="ATC14" s="212"/>
      <c r="ATD14" s="212"/>
      <c r="ATE14" s="212"/>
      <c r="ATF14" s="212"/>
      <c r="ATG14" s="212"/>
      <c r="ATH14" s="212"/>
      <c r="ATI14" s="212"/>
      <c r="ATJ14" s="212"/>
      <c r="ATK14" s="212"/>
      <c r="ATL14" s="212"/>
      <c r="ATM14" s="212"/>
      <c r="ATN14" s="212"/>
      <c r="ATO14" s="212"/>
      <c r="ATP14" s="212"/>
      <c r="ATQ14" s="212"/>
      <c r="ATR14" s="212"/>
      <c r="ATS14" s="212"/>
      <c r="ATT14" s="212"/>
      <c r="ATU14" s="212"/>
      <c r="ATV14" s="212"/>
      <c r="ATW14" s="212"/>
      <c r="ATX14" s="212"/>
      <c r="ATY14" s="212"/>
      <c r="ATZ14" s="212"/>
      <c r="AUA14" s="212"/>
      <c r="AUB14" s="212"/>
      <c r="AUC14" s="212"/>
      <c r="AUD14" s="212"/>
      <c r="AUE14" s="212"/>
      <c r="AUF14" s="212"/>
      <c r="AUG14" s="212"/>
      <c r="AUH14" s="212"/>
      <c r="AUI14" s="212"/>
      <c r="AUJ14" s="212"/>
      <c r="AUK14" s="212"/>
      <c r="AUL14" s="212"/>
      <c r="AUM14" s="212"/>
      <c r="AUN14" s="212"/>
      <c r="AUO14" s="212"/>
      <c r="AUP14" s="212"/>
      <c r="AUQ14" s="212"/>
      <c r="AUR14" s="212"/>
      <c r="AUS14" s="212"/>
      <c r="AUT14" s="212"/>
      <c r="AUU14" s="212"/>
      <c r="AUV14" s="212"/>
      <c r="AUW14" s="212"/>
      <c r="AUX14" s="212"/>
      <c r="AUY14" s="212"/>
      <c r="AUZ14" s="212"/>
      <c r="AVA14" s="212"/>
      <c r="AVB14" s="212"/>
      <c r="AVC14" s="212"/>
      <c r="AVD14" s="212"/>
      <c r="AVE14" s="212"/>
      <c r="AVF14" s="212"/>
      <c r="AVG14" s="212"/>
      <c r="AVH14" s="212"/>
      <c r="AVI14" s="212"/>
      <c r="AVJ14" s="212"/>
      <c r="AVK14" s="212"/>
      <c r="AVL14" s="212"/>
      <c r="AVM14" s="212"/>
      <c r="AVN14" s="212"/>
      <c r="AVO14" s="212"/>
      <c r="AVP14" s="212"/>
      <c r="AVQ14" s="212"/>
      <c r="AVR14" s="212"/>
      <c r="AVS14" s="212"/>
      <c r="AVT14" s="212"/>
      <c r="AVU14" s="212"/>
      <c r="AVV14" s="212"/>
      <c r="AVW14" s="212"/>
      <c r="AVX14" s="212"/>
      <c r="AVY14" s="212"/>
      <c r="AVZ14" s="212"/>
      <c r="AWA14" s="212"/>
      <c r="AWB14" s="212"/>
      <c r="AWC14" s="212"/>
      <c r="AWD14" s="212"/>
      <c r="AWE14" s="212"/>
      <c r="AWF14" s="212"/>
      <c r="AWG14" s="212"/>
      <c r="AWH14" s="212"/>
      <c r="AWI14" s="212"/>
      <c r="AWJ14" s="212"/>
      <c r="AWK14" s="212"/>
      <c r="AWL14" s="212"/>
      <c r="AWM14" s="212"/>
      <c r="AWN14" s="212"/>
      <c r="AWO14" s="212"/>
      <c r="AWP14" s="212"/>
      <c r="AWQ14" s="212"/>
      <c r="AWR14" s="212"/>
      <c r="AWS14" s="212"/>
      <c r="AWT14" s="212"/>
      <c r="AWU14" s="212"/>
      <c r="AWV14" s="212"/>
      <c r="AWW14" s="212"/>
      <c r="AWX14" s="212"/>
      <c r="AWY14" s="212"/>
      <c r="AWZ14" s="212"/>
      <c r="AXA14" s="212"/>
      <c r="AXB14" s="212"/>
      <c r="AXC14" s="212"/>
      <c r="AXD14" s="212"/>
      <c r="AXE14" s="212"/>
      <c r="AXF14" s="212"/>
      <c r="AXG14" s="212"/>
      <c r="AXH14" s="212"/>
      <c r="AXI14" s="212"/>
      <c r="AXJ14" s="212"/>
      <c r="AXK14" s="212"/>
      <c r="AXL14" s="212"/>
      <c r="AXM14" s="212"/>
      <c r="AXN14" s="212"/>
      <c r="AXO14" s="212"/>
      <c r="AXP14" s="212"/>
      <c r="AXQ14" s="212"/>
      <c r="AXR14" s="212"/>
      <c r="AXS14" s="212"/>
      <c r="AXT14" s="212"/>
      <c r="AXU14" s="212"/>
      <c r="AXV14" s="212"/>
      <c r="AXW14" s="212"/>
      <c r="AXX14" s="212"/>
      <c r="AXY14" s="212"/>
      <c r="AXZ14" s="212"/>
      <c r="AYA14" s="212"/>
      <c r="AYB14" s="212"/>
      <c r="AYC14" s="212"/>
      <c r="AYD14" s="212"/>
      <c r="AYE14" s="212"/>
      <c r="AYF14" s="212"/>
      <c r="AYG14" s="212"/>
      <c r="AYH14" s="212"/>
      <c r="AYI14" s="212"/>
      <c r="AYJ14" s="212"/>
      <c r="AYK14" s="212"/>
      <c r="AYL14" s="212"/>
      <c r="AYM14" s="212"/>
      <c r="AYN14" s="212"/>
      <c r="AYO14" s="212"/>
      <c r="AYP14" s="212"/>
      <c r="AYQ14" s="212"/>
      <c r="AYR14" s="212"/>
      <c r="AYS14" s="212"/>
      <c r="AYT14" s="212"/>
      <c r="AYU14" s="212"/>
      <c r="AYV14" s="212"/>
      <c r="AYW14" s="212"/>
      <c r="AYX14" s="212"/>
      <c r="AYY14" s="212"/>
      <c r="AYZ14" s="212"/>
      <c r="AZA14" s="212"/>
      <c r="AZB14" s="212"/>
      <c r="AZC14" s="212"/>
      <c r="AZD14" s="212"/>
      <c r="AZE14" s="212"/>
      <c r="AZF14" s="212"/>
      <c r="AZG14" s="212"/>
      <c r="AZH14" s="212"/>
      <c r="AZI14" s="212"/>
      <c r="AZJ14" s="212"/>
      <c r="AZK14" s="212"/>
      <c r="AZL14" s="212"/>
      <c r="AZM14" s="212"/>
      <c r="AZN14" s="212"/>
      <c r="AZO14" s="212"/>
      <c r="AZP14" s="212"/>
      <c r="AZQ14" s="212"/>
      <c r="AZR14" s="212"/>
      <c r="AZS14" s="212"/>
      <c r="AZT14" s="212"/>
      <c r="AZU14" s="212"/>
      <c r="AZV14" s="212"/>
      <c r="AZW14" s="212"/>
      <c r="AZX14" s="212"/>
      <c r="AZY14" s="212"/>
      <c r="AZZ14" s="212"/>
      <c r="BAA14" s="212"/>
      <c r="BAB14" s="212"/>
      <c r="BAC14" s="212"/>
      <c r="BAD14" s="212"/>
      <c r="BAE14" s="212"/>
      <c r="BAF14" s="212"/>
      <c r="BAG14" s="212"/>
      <c r="BAH14" s="212"/>
      <c r="BAI14" s="212"/>
      <c r="BAJ14" s="212"/>
      <c r="BAK14" s="212"/>
      <c r="BAL14" s="212"/>
      <c r="BAM14" s="212"/>
      <c r="BAN14" s="212"/>
      <c r="BAO14" s="212"/>
      <c r="BAP14" s="212"/>
      <c r="BAQ14" s="212"/>
      <c r="BAR14" s="212"/>
      <c r="BAS14" s="212"/>
      <c r="BAT14" s="212"/>
      <c r="BAU14" s="212"/>
      <c r="BAV14" s="212"/>
      <c r="BAW14" s="212"/>
      <c r="BAX14" s="212"/>
      <c r="BAY14" s="212"/>
      <c r="BAZ14" s="212"/>
      <c r="BBA14" s="212"/>
      <c r="BBB14" s="212"/>
      <c r="BBC14" s="212"/>
      <c r="BBD14" s="212"/>
      <c r="BBE14" s="212"/>
      <c r="BBF14" s="212"/>
      <c r="BBG14" s="212"/>
      <c r="BBH14" s="212"/>
      <c r="BBI14" s="212"/>
      <c r="BBJ14" s="212"/>
      <c r="BBK14" s="212"/>
      <c r="BBL14" s="212"/>
      <c r="BBM14" s="212"/>
      <c r="BBN14" s="212"/>
      <c r="BBO14" s="212"/>
      <c r="BBP14" s="212"/>
      <c r="BBQ14" s="212"/>
      <c r="BBR14" s="212"/>
      <c r="BBS14" s="212"/>
      <c r="BBT14" s="212"/>
      <c r="BBU14" s="212"/>
      <c r="BBV14" s="212"/>
      <c r="BBW14" s="212"/>
      <c r="BBX14" s="212"/>
      <c r="BBY14" s="212"/>
      <c r="BBZ14" s="212"/>
      <c r="BCA14" s="212"/>
      <c r="BCB14" s="212"/>
      <c r="BCC14" s="212"/>
      <c r="BCD14" s="212"/>
      <c r="BCE14" s="212"/>
      <c r="BCF14" s="212"/>
      <c r="BCG14" s="212"/>
      <c r="BCH14" s="212"/>
      <c r="BCI14" s="212"/>
      <c r="BCJ14" s="212"/>
      <c r="BCK14" s="212"/>
      <c r="BCL14" s="212"/>
      <c r="BCM14" s="212"/>
      <c r="BCN14" s="212"/>
      <c r="BCO14" s="212"/>
      <c r="BCP14" s="212"/>
      <c r="BCQ14" s="212"/>
      <c r="BCR14" s="212"/>
      <c r="BCS14" s="212"/>
      <c r="BCT14" s="212"/>
      <c r="BCU14" s="212"/>
      <c r="BCV14" s="212"/>
      <c r="BCW14" s="212"/>
      <c r="BCX14" s="212"/>
      <c r="BCY14" s="212"/>
      <c r="BCZ14" s="212"/>
      <c r="BDA14" s="212"/>
      <c r="BDB14" s="212"/>
      <c r="BDC14" s="212"/>
      <c r="BDD14" s="212"/>
      <c r="BDE14" s="212"/>
      <c r="BDF14" s="212"/>
      <c r="BDG14" s="212"/>
      <c r="BDH14" s="212"/>
      <c r="BDI14" s="212"/>
      <c r="BDJ14" s="212"/>
      <c r="BDK14" s="212"/>
      <c r="BDL14" s="212"/>
      <c r="BDM14" s="212"/>
      <c r="BDN14" s="212"/>
      <c r="BDO14" s="212"/>
      <c r="BDP14" s="212"/>
      <c r="BDQ14" s="212"/>
      <c r="BDR14" s="212"/>
      <c r="BDS14" s="212"/>
      <c r="BDT14" s="212"/>
      <c r="BDU14" s="212"/>
      <c r="BDV14" s="212"/>
      <c r="BDW14" s="212"/>
      <c r="BDX14" s="212"/>
      <c r="BDY14" s="212"/>
      <c r="BDZ14" s="212"/>
      <c r="BEA14" s="212"/>
      <c r="BEB14" s="212"/>
      <c r="BEC14" s="212"/>
      <c r="BED14" s="212"/>
      <c r="BEE14" s="212"/>
      <c r="BEF14" s="212"/>
      <c r="BEG14" s="212"/>
      <c r="BEH14" s="212"/>
      <c r="BEI14" s="212"/>
      <c r="BEJ14" s="212"/>
      <c r="BEK14" s="212"/>
      <c r="BEL14" s="212"/>
      <c r="BEM14" s="212"/>
      <c r="BEN14" s="212"/>
      <c r="BEO14" s="212"/>
      <c r="BEP14" s="212"/>
      <c r="BEQ14" s="212"/>
      <c r="BER14" s="212"/>
      <c r="BES14" s="212"/>
      <c r="BET14" s="212"/>
      <c r="BEU14" s="212"/>
      <c r="BEV14" s="212"/>
      <c r="BEW14" s="212"/>
      <c r="BEX14" s="212"/>
      <c r="BEY14" s="212"/>
      <c r="BEZ14" s="212"/>
      <c r="BFA14" s="212"/>
      <c r="BFB14" s="212"/>
      <c r="BFC14" s="212"/>
      <c r="BFD14" s="212"/>
      <c r="BFE14" s="212"/>
      <c r="BFF14" s="212"/>
      <c r="BFG14" s="212"/>
      <c r="BFH14" s="212"/>
      <c r="BFI14" s="212"/>
      <c r="BFJ14" s="212"/>
      <c r="BFK14" s="212"/>
      <c r="BFL14" s="212"/>
      <c r="BFM14" s="212"/>
      <c r="BFN14" s="212"/>
      <c r="BFO14" s="212"/>
      <c r="BFP14" s="212"/>
      <c r="BFQ14" s="212"/>
      <c r="BFR14" s="212"/>
      <c r="BFS14" s="212"/>
      <c r="BFT14" s="212"/>
      <c r="BFU14" s="212"/>
      <c r="BFV14" s="212"/>
      <c r="BFW14" s="212"/>
      <c r="BFX14" s="212"/>
      <c r="BFY14" s="212"/>
      <c r="BFZ14" s="212"/>
      <c r="BGA14" s="212"/>
      <c r="BGB14" s="212"/>
      <c r="BGC14" s="212"/>
      <c r="BGD14" s="212"/>
      <c r="BGE14" s="212"/>
      <c r="BGF14" s="212"/>
      <c r="BGG14" s="212"/>
      <c r="BGH14" s="212"/>
      <c r="BGI14" s="212"/>
      <c r="BGJ14" s="212"/>
      <c r="BGK14" s="212"/>
      <c r="BGL14" s="212"/>
      <c r="BGM14" s="212"/>
      <c r="BGN14" s="212"/>
      <c r="BGO14" s="212"/>
      <c r="BGP14" s="212"/>
      <c r="BGQ14" s="212"/>
      <c r="BGR14" s="212"/>
      <c r="BGS14" s="212"/>
      <c r="BGT14" s="212"/>
      <c r="BGU14" s="212"/>
      <c r="BGV14" s="212"/>
      <c r="BGW14" s="212"/>
      <c r="BGX14" s="212"/>
      <c r="BGY14" s="212"/>
      <c r="BGZ14" s="212"/>
      <c r="BHA14" s="212"/>
      <c r="BHB14" s="212"/>
      <c r="BHC14" s="212"/>
      <c r="BHD14" s="212"/>
      <c r="BHE14" s="212"/>
      <c r="BHF14" s="212"/>
      <c r="BHG14" s="212"/>
      <c r="BHH14" s="212"/>
      <c r="BHI14" s="212"/>
      <c r="BHJ14" s="212"/>
      <c r="BHK14" s="212"/>
      <c r="BHL14" s="212"/>
      <c r="BHM14" s="212"/>
      <c r="BHN14" s="212"/>
      <c r="BHO14" s="212"/>
      <c r="BHP14" s="212"/>
      <c r="BHQ14" s="212"/>
      <c r="BHR14" s="212"/>
      <c r="BHS14" s="212"/>
      <c r="BHT14" s="212"/>
      <c r="BHU14" s="212"/>
      <c r="BHV14" s="212"/>
      <c r="BHW14" s="212"/>
      <c r="BHX14" s="212"/>
      <c r="BHY14" s="212"/>
      <c r="BHZ14" s="212"/>
      <c r="BIA14" s="212"/>
      <c r="BIB14" s="212"/>
      <c r="BIC14" s="212"/>
      <c r="BID14" s="212"/>
      <c r="BIE14" s="212"/>
      <c r="BIF14" s="212"/>
      <c r="BIG14" s="212"/>
      <c r="BIH14" s="212"/>
      <c r="BII14" s="212"/>
      <c r="BIJ14" s="212"/>
      <c r="BIK14" s="212"/>
      <c r="BIL14" s="212"/>
      <c r="BIM14" s="212"/>
      <c r="BIN14" s="212"/>
      <c r="BIO14" s="212"/>
      <c r="BIP14" s="212"/>
      <c r="BIQ14" s="212"/>
      <c r="BIR14" s="212"/>
      <c r="BIS14" s="212"/>
      <c r="BIT14" s="212"/>
      <c r="BIU14" s="212"/>
      <c r="BIV14" s="212"/>
      <c r="BIW14" s="212"/>
      <c r="BIX14" s="212"/>
      <c r="BIY14" s="212"/>
      <c r="BIZ14" s="212"/>
      <c r="BJA14" s="212"/>
      <c r="BJB14" s="212"/>
      <c r="BJC14" s="212"/>
      <c r="BJD14" s="212"/>
      <c r="BJE14" s="212"/>
      <c r="BJF14" s="212"/>
      <c r="BJG14" s="212"/>
      <c r="BJH14" s="212"/>
      <c r="BJI14" s="212"/>
      <c r="BJJ14" s="212"/>
      <c r="BJK14" s="212"/>
      <c r="BJL14" s="212"/>
      <c r="BJM14" s="212"/>
      <c r="BJN14" s="212"/>
      <c r="BJO14" s="212"/>
      <c r="BJP14" s="212"/>
      <c r="BJQ14" s="212"/>
      <c r="BJR14" s="212"/>
      <c r="BJS14" s="212"/>
      <c r="BJT14" s="212"/>
      <c r="BJU14" s="212"/>
      <c r="BJV14" s="212"/>
      <c r="BJW14" s="212"/>
      <c r="BJX14" s="212"/>
      <c r="BJY14" s="212"/>
      <c r="BJZ14" s="212"/>
      <c r="BKA14" s="212"/>
      <c r="BKB14" s="212"/>
      <c r="BKC14" s="212"/>
      <c r="BKD14" s="212"/>
      <c r="BKE14" s="212"/>
      <c r="BKF14" s="212"/>
      <c r="BKG14" s="212"/>
      <c r="BKH14" s="212"/>
      <c r="BKI14" s="212"/>
      <c r="BKJ14" s="212"/>
      <c r="BKK14" s="212"/>
      <c r="BKL14" s="212"/>
      <c r="BKM14" s="212"/>
      <c r="BKN14" s="212"/>
      <c r="BKO14" s="212"/>
      <c r="BKP14" s="212"/>
      <c r="BKQ14" s="212"/>
      <c r="BKR14" s="212"/>
      <c r="BKS14" s="212"/>
      <c r="BKT14" s="212"/>
      <c r="BKU14" s="212"/>
      <c r="BKV14" s="212"/>
      <c r="BKW14" s="212"/>
      <c r="BKX14" s="212"/>
      <c r="BKY14" s="212"/>
      <c r="BKZ14" s="212"/>
      <c r="BLA14" s="212"/>
      <c r="BLB14" s="212"/>
      <c r="BLC14" s="212"/>
      <c r="BLD14" s="212"/>
      <c r="BLE14" s="212"/>
      <c r="BLF14" s="212"/>
      <c r="BLG14" s="212"/>
      <c r="BLH14" s="212"/>
      <c r="BLI14" s="212"/>
      <c r="BLJ14" s="212"/>
      <c r="BLK14" s="212"/>
      <c r="BLL14" s="212"/>
      <c r="BLM14" s="212"/>
      <c r="BLN14" s="212"/>
      <c r="BLO14" s="212"/>
      <c r="BLP14" s="212"/>
      <c r="BLQ14" s="212"/>
      <c r="BLR14" s="212"/>
      <c r="BLS14" s="212"/>
      <c r="BLT14" s="212"/>
      <c r="BLU14" s="212"/>
      <c r="BLV14" s="212"/>
      <c r="BLW14" s="212"/>
      <c r="BLX14" s="212"/>
      <c r="BLY14" s="212"/>
      <c r="BLZ14" s="212"/>
      <c r="BMA14" s="212"/>
      <c r="BMB14" s="212"/>
      <c r="BMC14" s="212"/>
      <c r="BMD14" s="212"/>
      <c r="BME14" s="212"/>
      <c r="BMF14" s="212"/>
      <c r="BMG14" s="212"/>
      <c r="BMH14" s="212"/>
      <c r="BMI14" s="212"/>
      <c r="BMJ14" s="212"/>
      <c r="BMK14" s="212"/>
      <c r="BML14" s="212"/>
      <c r="BMM14" s="212"/>
      <c r="BMN14" s="212"/>
      <c r="BMO14" s="212"/>
      <c r="BMP14" s="212"/>
      <c r="BMQ14" s="212"/>
      <c r="BMR14" s="212"/>
      <c r="BMS14" s="212"/>
      <c r="BMT14" s="212"/>
      <c r="BMU14" s="212"/>
      <c r="BMV14" s="212"/>
      <c r="BMW14" s="212"/>
      <c r="BMX14" s="212"/>
      <c r="BMY14" s="212"/>
      <c r="BMZ14" s="212"/>
      <c r="BNA14" s="212"/>
      <c r="BNB14" s="212"/>
      <c r="BNC14" s="212"/>
      <c r="BND14" s="212"/>
      <c r="BNE14" s="212"/>
      <c r="BNF14" s="212"/>
      <c r="BNG14" s="212"/>
      <c r="BNH14" s="212"/>
      <c r="BNI14" s="212"/>
      <c r="BNJ14" s="212"/>
      <c r="BNK14" s="212"/>
      <c r="BNL14" s="212"/>
      <c r="BNM14" s="212"/>
      <c r="BNN14" s="212"/>
      <c r="BNO14" s="212"/>
      <c r="BNP14" s="212"/>
      <c r="BNQ14" s="212"/>
      <c r="BNR14" s="212"/>
      <c r="BNS14" s="212"/>
      <c r="BNT14" s="212"/>
      <c r="BNU14" s="212"/>
      <c r="BNV14" s="212"/>
      <c r="BNW14" s="212"/>
      <c r="BNX14" s="212"/>
      <c r="BNY14" s="212"/>
      <c r="BNZ14" s="212"/>
      <c r="BOA14" s="212"/>
      <c r="BOB14" s="212"/>
      <c r="BOC14" s="212"/>
      <c r="BOD14" s="212"/>
      <c r="BOE14" s="212"/>
      <c r="BOF14" s="212"/>
      <c r="BOG14" s="212"/>
      <c r="BOH14" s="212"/>
      <c r="BOI14" s="212"/>
      <c r="BOJ14" s="212"/>
      <c r="BOK14" s="212"/>
      <c r="BOL14" s="212"/>
      <c r="BOM14" s="212"/>
      <c r="BON14" s="212"/>
      <c r="BOO14" s="212"/>
      <c r="BOP14" s="212"/>
      <c r="BOQ14" s="212"/>
      <c r="BOR14" s="212"/>
      <c r="BOS14" s="212"/>
      <c r="BOT14" s="212"/>
      <c r="BOU14" s="212"/>
      <c r="BOV14" s="212"/>
      <c r="BOW14" s="212"/>
      <c r="BOX14" s="212"/>
      <c r="BOY14" s="212"/>
      <c r="BOZ14" s="212"/>
      <c r="BPA14" s="212"/>
      <c r="BPB14" s="212"/>
      <c r="BPC14" s="212"/>
      <c r="BPD14" s="212"/>
      <c r="BPE14" s="212"/>
      <c r="BPF14" s="212"/>
      <c r="BPG14" s="212"/>
      <c r="BPH14" s="212"/>
      <c r="BPI14" s="212"/>
      <c r="BPJ14" s="212"/>
      <c r="BPK14" s="212"/>
      <c r="BPL14" s="212"/>
      <c r="BPM14" s="212"/>
      <c r="BPN14" s="212"/>
      <c r="BPO14" s="212"/>
      <c r="BPP14" s="212"/>
      <c r="BPQ14" s="212"/>
      <c r="BPR14" s="212"/>
      <c r="BPS14" s="212"/>
      <c r="BPT14" s="212"/>
      <c r="BPU14" s="212"/>
      <c r="BPV14" s="212"/>
      <c r="BPW14" s="212"/>
      <c r="BPX14" s="212"/>
      <c r="BPY14" s="212"/>
      <c r="BPZ14" s="212"/>
      <c r="BQA14" s="212"/>
      <c r="BQB14" s="212"/>
      <c r="BQC14" s="212"/>
      <c r="BQD14" s="212"/>
      <c r="BQE14" s="212"/>
      <c r="BQF14" s="212"/>
      <c r="BQG14" s="212"/>
      <c r="BQH14" s="212"/>
      <c r="BQI14" s="212"/>
      <c r="BQJ14" s="212"/>
      <c r="BQK14" s="212"/>
      <c r="BQL14" s="212"/>
      <c r="BQM14" s="212"/>
      <c r="BQN14" s="212"/>
      <c r="BQO14" s="212"/>
      <c r="BQP14" s="212"/>
      <c r="BQQ14" s="212"/>
      <c r="BQR14" s="212"/>
      <c r="BQS14" s="212"/>
      <c r="BQT14" s="212"/>
      <c r="BQU14" s="212"/>
      <c r="BQV14" s="212"/>
      <c r="BQW14" s="212"/>
      <c r="BQX14" s="212"/>
      <c r="BQY14" s="212"/>
      <c r="BQZ14" s="212"/>
      <c r="BRA14" s="212"/>
      <c r="BRB14" s="212"/>
      <c r="BRC14" s="212"/>
      <c r="BRD14" s="212"/>
      <c r="BRE14" s="212"/>
      <c r="BRF14" s="212"/>
      <c r="BRG14" s="212"/>
      <c r="BRH14" s="212"/>
      <c r="BRI14" s="212"/>
      <c r="BRJ14" s="212"/>
      <c r="BRK14" s="212"/>
      <c r="BRL14" s="212"/>
      <c r="BRM14" s="212"/>
      <c r="BRN14" s="212"/>
      <c r="BRO14" s="212"/>
      <c r="BRP14" s="212"/>
      <c r="BRQ14" s="212"/>
      <c r="BRR14" s="212"/>
      <c r="BRS14" s="212"/>
      <c r="BRT14" s="212"/>
      <c r="BRU14" s="212"/>
      <c r="BRV14" s="212"/>
      <c r="BRW14" s="212"/>
      <c r="BRX14" s="212"/>
      <c r="BRY14" s="212"/>
      <c r="BRZ14" s="212"/>
      <c r="BSA14" s="212"/>
      <c r="BSB14" s="212"/>
      <c r="BSC14" s="212"/>
      <c r="BSD14" s="212"/>
      <c r="BSE14" s="212"/>
      <c r="BSF14" s="212"/>
      <c r="BSG14" s="212"/>
      <c r="BSH14" s="212"/>
      <c r="BSI14" s="212"/>
      <c r="BSJ14" s="212"/>
      <c r="BSK14" s="212"/>
      <c r="BSL14" s="212"/>
      <c r="BSM14" s="212"/>
      <c r="BSN14" s="212"/>
      <c r="BSO14" s="212"/>
      <c r="BSP14" s="212"/>
      <c r="BSQ14" s="212"/>
      <c r="BSR14" s="212"/>
      <c r="BSS14" s="212"/>
      <c r="BST14" s="212"/>
      <c r="BSU14" s="212"/>
      <c r="BSV14" s="212"/>
      <c r="BSW14" s="212"/>
      <c r="BSX14" s="212"/>
      <c r="BSY14" s="212"/>
      <c r="BSZ14" s="212"/>
      <c r="BTA14" s="212"/>
      <c r="BTB14" s="212"/>
      <c r="BTC14" s="212"/>
      <c r="BTD14" s="212"/>
      <c r="BTE14" s="212"/>
      <c r="BTF14" s="212"/>
      <c r="BTG14" s="212"/>
      <c r="BTH14" s="212"/>
      <c r="BTI14" s="212"/>
      <c r="BTJ14" s="212"/>
      <c r="BTK14" s="212"/>
      <c r="BTL14" s="212"/>
      <c r="BTM14" s="212"/>
      <c r="BTN14" s="212"/>
      <c r="BTO14" s="212"/>
      <c r="BTP14" s="212"/>
      <c r="BTQ14" s="212"/>
      <c r="BTR14" s="212"/>
      <c r="BTS14" s="212"/>
      <c r="BTT14" s="212"/>
      <c r="BTU14" s="212"/>
      <c r="BTV14" s="212"/>
      <c r="BTW14" s="212"/>
      <c r="BTX14" s="212"/>
      <c r="BTY14" s="212"/>
      <c r="BTZ14" s="212"/>
      <c r="BUA14" s="212"/>
      <c r="BUB14" s="212"/>
      <c r="BUC14" s="212"/>
      <c r="BUD14" s="212"/>
      <c r="BUE14" s="212"/>
      <c r="BUF14" s="212"/>
      <c r="BUG14" s="212"/>
      <c r="BUH14" s="212"/>
      <c r="BUI14" s="212"/>
      <c r="BUJ14" s="212"/>
      <c r="BUK14" s="212"/>
      <c r="BUL14" s="212"/>
      <c r="BUM14" s="212"/>
      <c r="BUN14" s="212"/>
      <c r="BUO14" s="212"/>
      <c r="BUP14" s="212"/>
      <c r="BUQ14" s="212"/>
      <c r="BUR14" s="212"/>
      <c r="BUS14" s="212"/>
      <c r="BUT14" s="212"/>
      <c r="BUU14" s="212"/>
      <c r="BUV14" s="212"/>
      <c r="BUW14" s="212"/>
      <c r="BUX14" s="212"/>
      <c r="BUY14" s="212"/>
      <c r="BUZ14" s="212"/>
      <c r="BVA14" s="212"/>
      <c r="BVB14" s="212"/>
      <c r="BVC14" s="212"/>
      <c r="BVD14" s="212"/>
      <c r="BVE14" s="212"/>
      <c r="BVF14" s="212"/>
      <c r="BVG14" s="212"/>
      <c r="BVH14" s="212"/>
      <c r="BVI14" s="212"/>
      <c r="BVJ14" s="212"/>
      <c r="BVK14" s="212"/>
      <c r="BVL14" s="212"/>
      <c r="BVM14" s="212"/>
      <c r="BVN14" s="212"/>
      <c r="BVO14" s="212"/>
      <c r="BVP14" s="212"/>
      <c r="BVQ14" s="212"/>
      <c r="BVR14" s="212"/>
      <c r="BVS14" s="212"/>
      <c r="BVT14" s="212"/>
      <c r="BVU14" s="212"/>
      <c r="BVV14" s="212"/>
      <c r="BVW14" s="212"/>
      <c r="BVX14" s="212"/>
      <c r="BVY14" s="212"/>
      <c r="BVZ14" s="212"/>
      <c r="BWA14" s="212"/>
      <c r="BWB14" s="212"/>
      <c r="BWC14" s="212"/>
      <c r="BWD14" s="212"/>
      <c r="BWE14" s="212"/>
      <c r="BWF14" s="212"/>
      <c r="BWG14" s="212"/>
      <c r="BWH14" s="212"/>
      <c r="BWI14" s="212"/>
      <c r="BWJ14" s="212"/>
      <c r="BWK14" s="212"/>
      <c r="BWL14" s="212"/>
      <c r="BWM14" s="212"/>
      <c r="BWN14" s="212"/>
      <c r="BWO14" s="212"/>
      <c r="BWP14" s="212"/>
      <c r="BWQ14" s="212"/>
      <c r="BWR14" s="212"/>
      <c r="BWS14" s="212"/>
      <c r="BWT14" s="212"/>
      <c r="BWU14" s="212"/>
      <c r="BWV14" s="212"/>
      <c r="BWW14" s="212"/>
      <c r="BWX14" s="212"/>
      <c r="BWY14" s="212"/>
      <c r="BWZ14" s="212"/>
      <c r="BXA14" s="212"/>
      <c r="BXB14" s="212"/>
      <c r="BXC14" s="212"/>
      <c r="BXD14" s="212"/>
      <c r="BXE14" s="212"/>
      <c r="BXF14" s="212"/>
      <c r="BXG14" s="212"/>
      <c r="BXH14" s="212"/>
      <c r="BXI14" s="212"/>
      <c r="BXJ14" s="212"/>
      <c r="BXK14" s="212"/>
      <c r="BXL14" s="212"/>
      <c r="BXM14" s="212"/>
      <c r="BXN14" s="212"/>
      <c r="BXO14" s="212"/>
      <c r="BXP14" s="212"/>
      <c r="BXQ14" s="212"/>
      <c r="BXR14" s="212"/>
      <c r="BXS14" s="212"/>
      <c r="BXT14" s="212"/>
      <c r="BXU14" s="212"/>
      <c r="BXV14" s="212"/>
      <c r="BXW14" s="212"/>
      <c r="BXX14" s="212"/>
      <c r="BXY14" s="212"/>
      <c r="BXZ14" s="212"/>
      <c r="BYA14" s="212"/>
      <c r="BYB14" s="212"/>
      <c r="BYC14" s="212"/>
      <c r="BYD14" s="212"/>
      <c r="BYE14" s="212"/>
      <c r="BYF14" s="212"/>
      <c r="BYG14" s="212"/>
    </row>
    <row r="15" spans="1:2009" s="101" customFormat="1" ht="12.75" customHeight="1" thickBot="1" x14ac:dyDescent="0.3">
      <c r="A15" s="98"/>
      <c r="B15" s="98"/>
      <c r="C15" s="174"/>
      <c r="D15" s="174"/>
      <c r="E15" s="174"/>
      <c r="F15" s="174"/>
      <c r="G15" s="174"/>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customHeight="1" x14ac:dyDescent="0.25">
      <c r="A16" s="134" t="s">
        <v>75</v>
      </c>
      <c r="B16" s="135"/>
      <c r="C16" s="176"/>
      <c r="D16" s="176"/>
      <c r="E16" s="177"/>
      <c r="F16" s="177"/>
      <c r="G16" s="178"/>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t="s">
        <v>226</v>
      </c>
      <c r="C17" s="179"/>
      <c r="D17" s="179"/>
      <c r="E17" s="180"/>
      <c r="F17" s="180"/>
      <c r="G17" s="181">
        <f t="shared" ref="G17:G22" si="0">ROUND(SUM(C17:F17),5)</f>
        <v>0</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322</v>
      </c>
      <c r="C18" s="179"/>
      <c r="D18" s="179"/>
      <c r="E18" s="180"/>
      <c r="F18" s="180"/>
      <c r="G18" s="181">
        <f t="shared" si="0"/>
        <v>0</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customHeight="1" x14ac:dyDescent="0.25">
      <c r="A19" s="136"/>
      <c r="B19" s="105" t="s">
        <v>395</v>
      </c>
      <c r="C19" s="179">
        <v>3776.21</v>
      </c>
      <c r="D19" s="179">
        <f>4219.94+344</f>
        <v>4563.9399999999996</v>
      </c>
      <c r="E19" s="180">
        <f>4319.6-344</f>
        <v>3975.6000000000004</v>
      </c>
      <c r="F19" s="180"/>
      <c r="G19" s="181">
        <f t="shared" si="0"/>
        <v>12315.75</v>
      </c>
      <c r="H19" s="94"/>
      <c r="I19" s="675"/>
      <c r="J19" s="94"/>
      <c r="K19" s="675"/>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customHeight="1" x14ac:dyDescent="0.25">
      <c r="A20" s="136"/>
      <c r="B20" s="105" t="s">
        <v>323</v>
      </c>
      <c r="C20" s="179"/>
      <c r="D20" s="179"/>
      <c r="E20" s="180">
        <v>379.58</v>
      </c>
      <c r="F20" s="180"/>
      <c r="G20" s="181">
        <f t="shared" si="0"/>
        <v>379.58</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customHeight="1" x14ac:dyDescent="0.25">
      <c r="A21" s="136"/>
      <c r="B21" s="105" t="s">
        <v>396</v>
      </c>
      <c r="C21" s="179">
        <v>4652.21</v>
      </c>
      <c r="D21" s="179">
        <v>1139.32</v>
      </c>
      <c r="E21" s="180"/>
      <c r="F21" s="180"/>
      <c r="G21" s="181">
        <f t="shared" si="0"/>
        <v>5791.53</v>
      </c>
      <c r="H21" s="94"/>
      <c r="I21" s="675"/>
      <c r="J21" s="94"/>
      <c r="K21" s="675"/>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customHeight="1" x14ac:dyDescent="0.25">
      <c r="A22" s="137"/>
      <c r="B22" s="126" t="s">
        <v>338</v>
      </c>
      <c r="C22" s="179"/>
      <c r="D22" s="179"/>
      <c r="E22" s="180"/>
      <c r="F22" s="180"/>
      <c r="G22" s="181">
        <f t="shared" si="0"/>
        <v>0</v>
      </c>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25" customFormat="1" ht="24.95" customHeight="1" thickBot="1" x14ac:dyDescent="0.3">
      <c r="A23" s="219"/>
      <c r="B23" s="220" t="s">
        <v>76</v>
      </c>
      <c r="C23" s="221">
        <f>SUM(C17:C22)</f>
        <v>8428.42</v>
      </c>
      <c r="D23" s="221">
        <f>SUM(D17:D22)</f>
        <v>5703.2599999999993</v>
      </c>
      <c r="E23" s="221">
        <f>SUM(E17:E22)</f>
        <v>4355.18</v>
      </c>
      <c r="F23" s="221"/>
      <c r="G23" s="222">
        <f>SUM(G17:G22)</f>
        <v>18486.86</v>
      </c>
      <c r="H23" s="223"/>
      <c r="I23" s="223"/>
      <c r="J23" s="223"/>
      <c r="K23" s="466"/>
      <c r="L23"/>
      <c r="M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c r="IN23" s="224"/>
      <c r="IO23" s="224"/>
      <c r="IP23" s="224"/>
      <c r="IQ23" s="224"/>
      <c r="IR23" s="224"/>
      <c r="IS23" s="224"/>
      <c r="IT23" s="224"/>
      <c r="IU23" s="224"/>
      <c r="IV23" s="224"/>
      <c r="IW23" s="224"/>
      <c r="IX23" s="224"/>
      <c r="IY23" s="224"/>
      <c r="IZ23" s="224"/>
      <c r="JA23" s="224"/>
      <c r="JB23" s="224"/>
      <c r="JC23" s="224"/>
      <c r="JD23" s="224"/>
      <c r="JE23" s="224"/>
      <c r="JF23" s="224"/>
      <c r="JG23" s="224"/>
      <c r="JH23" s="224"/>
      <c r="JI23" s="224"/>
      <c r="JJ23" s="224"/>
      <c r="JK23" s="224"/>
      <c r="JL23" s="224"/>
      <c r="JM23" s="224"/>
      <c r="JN23" s="224"/>
      <c r="JO23" s="224"/>
      <c r="JP23" s="224"/>
      <c r="JQ23" s="224"/>
      <c r="JR23" s="224"/>
      <c r="JS23" s="224"/>
      <c r="JT23" s="224"/>
      <c r="JU23" s="224"/>
      <c r="JV23" s="224"/>
      <c r="JW23" s="224"/>
      <c r="JX23" s="224"/>
      <c r="JY23" s="224"/>
      <c r="JZ23" s="224"/>
      <c r="KA23" s="224"/>
      <c r="KB23" s="224"/>
      <c r="KC23" s="224"/>
      <c r="KD23" s="224"/>
      <c r="KE23" s="224"/>
      <c r="KF23" s="224"/>
      <c r="KG23" s="224"/>
      <c r="KH23" s="224"/>
      <c r="KI23" s="224"/>
      <c r="KJ23" s="224"/>
      <c r="KK23" s="224"/>
      <c r="KL23" s="224"/>
      <c r="KM23" s="224"/>
      <c r="KN23" s="224"/>
      <c r="KO23" s="224"/>
      <c r="KP23" s="224"/>
      <c r="KQ23" s="224"/>
      <c r="KR23" s="224"/>
      <c r="KS23" s="224"/>
      <c r="KT23" s="224"/>
      <c r="KU23" s="224"/>
      <c r="KV23" s="224"/>
      <c r="KW23" s="224"/>
      <c r="KX23" s="224"/>
      <c r="KY23" s="224"/>
      <c r="KZ23" s="224"/>
      <c r="LA23" s="224"/>
      <c r="LB23" s="224"/>
      <c r="LC23" s="224"/>
      <c r="LD23" s="224"/>
      <c r="LE23" s="224"/>
      <c r="LF23" s="224"/>
      <c r="LG23" s="224"/>
      <c r="LH23" s="224"/>
      <c r="LI23" s="224"/>
      <c r="LJ23" s="224"/>
      <c r="LK23" s="224"/>
      <c r="LL23" s="224"/>
      <c r="LM23" s="224"/>
      <c r="LN23" s="224"/>
      <c r="LO23" s="224"/>
      <c r="LP23" s="224"/>
      <c r="LQ23" s="224"/>
      <c r="LR23" s="224"/>
      <c r="LS23" s="224"/>
      <c r="LT23" s="224"/>
      <c r="LU23" s="224"/>
      <c r="LV23" s="224"/>
      <c r="LW23" s="224"/>
      <c r="LX23" s="224"/>
      <c r="LY23" s="224"/>
      <c r="LZ23" s="224"/>
      <c r="MA23" s="224"/>
      <c r="MB23" s="224"/>
      <c r="MC23" s="224"/>
      <c r="MD23" s="224"/>
      <c r="ME23" s="224"/>
      <c r="MF23" s="224"/>
      <c r="MG23" s="224"/>
      <c r="MH23" s="224"/>
      <c r="MI23" s="224"/>
      <c r="MJ23" s="224"/>
      <c r="MK23" s="224"/>
      <c r="ML23" s="224"/>
      <c r="MM23" s="224"/>
      <c r="MN23" s="224"/>
      <c r="MO23" s="224"/>
      <c r="MP23" s="224"/>
      <c r="MQ23" s="224"/>
      <c r="MR23" s="224"/>
      <c r="MS23" s="224"/>
      <c r="MT23" s="224"/>
      <c r="MU23" s="224"/>
      <c r="MV23" s="224"/>
      <c r="MW23" s="224"/>
      <c r="MX23" s="224"/>
      <c r="MY23" s="224"/>
      <c r="MZ23" s="224"/>
      <c r="NA23" s="224"/>
      <c r="NB23" s="224"/>
      <c r="NC23" s="224"/>
      <c r="ND23" s="224"/>
      <c r="NE23" s="224"/>
      <c r="NF23" s="224"/>
      <c r="NG23" s="224"/>
      <c r="NH23" s="224"/>
      <c r="NI23" s="224"/>
      <c r="NJ23" s="224"/>
      <c r="NK23" s="224"/>
      <c r="NL23" s="224"/>
      <c r="NM23" s="224"/>
      <c r="NN23" s="224"/>
      <c r="NO23" s="224"/>
      <c r="NP23" s="224"/>
      <c r="NQ23" s="224"/>
      <c r="NR23" s="224"/>
      <c r="NS23" s="224"/>
      <c r="NT23" s="224"/>
      <c r="NU23" s="224"/>
      <c r="NV23" s="224"/>
      <c r="NW23" s="224"/>
      <c r="NX23" s="224"/>
      <c r="NY23" s="224"/>
      <c r="NZ23" s="224"/>
      <c r="OA23" s="224"/>
      <c r="OB23" s="224"/>
      <c r="OC23" s="224"/>
      <c r="OD23" s="224"/>
      <c r="OE23" s="224"/>
      <c r="OF23" s="224"/>
      <c r="OG23" s="224"/>
      <c r="OH23" s="224"/>
      <c r="OI23" s="224"/>
      <c r="OJ23" s="224"/>
      <c r="OK23" s="224"/>
      <c r="OL23" s="224"/>
      <c r="OM23" s="224"/>
      <c r="ON23" s="224"/>
      <c r="OO23" s="224"/>
      <c r="OP23" s="224"/>
      <c r="OQ23" s="224"/>
      <c r="OR23" s="224"/>
      <c r="OS23" s="224"/>
      <c r="OT23" s="224"/>
      <c r="OU23" s="224"/>
      <c r="OV23" s="224"/>
      <c r="OW23" s="224"/>
      <c r="OX23" s="224"/>
      <c r="OY23" s="224"/>
      <c r="OZ23" s="224"/>
      <c r="PA23" s="224"/>
      <c r="PB23" s="224"/>
      <c r="PC23" s="224"/>
      <c r="PD23" s="224"/>
      <c r="PE23" s="224"/>
      <c r="PF23" s="224"/>
      <c r="PG23" s="224"/>
      <c r="PH23" s="224"/>
      <c r="PI23" s="224"/>
      <c r="PJ23" s="224"/>
      <c r="PK23" s="224"/>
      <c r="PL23" s="224"/>
      <c r="PM23" s="224"/>
      <c r="PN23" s="224"/>
      <c r="PO23" s="224"/>
      <c r="PP23" s="224"/>
      <c r="PQ23" s="224"/>
      <c r="PR23" s="224"/>
      <c r="PS23" s="224"/>
      <c r="PT23" s="224"/>
      <c r="PU23" s="224"/>
      <c r="PV23" s="224"/>
      <c r="PW23" s="224"/>
      <c r="PX23" s="224"/>
      <c r="PY23" s="224"/>
      <c r="PZ23" s="224"/>
      <c r="QA23" s="224"/>
      <c r="QB23" s="224"/>
      <c r="QC23" s="224"/>
      <c r="QD23" s="224"/>
      <c r="QE23" s="224"/>
      <c r="QF23" s="224"/>
      <c r="QG23" s="224"/>
      <c r="QH23" s="224"/>
      <c r="QI23" s="224"/>
      <c r="QJ23" s="224"/>
      <c r="QK23" s="224"/>
      <c r="QL23" s="224"/>
      <c r="QM23" s="224"/>
      <c r="QN23" s="224"/>
      <c r="QO23" s="224"/>
      <c r="QP23" s="224"/>
      <c r="QQ23" s="224"/>
      <c r="QR23" s="224"/>
      <c r="QS23" s="224"/>
      <c r="QT23" s="224"/>
      <c r="QU23" s="224"/>
      <c r="QV23" s="224"/>
      <c r="QW23" s="224"/>
      <c r="QX23" s="224"/>
      <c r="QY23" s="224"/>
      <c r="QZ23" s="224"/>
      <c r="RA23" s="224"/>
      <c r="RB23" s="224"/>
      <c r="RC23" s="224"/>
      <c r="RD23" s="224"/>
      <c r="RE23" s="224"/>
      <c r="RF23" s="224"/>
      <c r="RG23" s="224"/>
      <c r="RH23" s="224"/>
      <c r="RI23" s="224"/>
      <c r="RJ23" s="224"/>
      <c r="RK23" s="224"/>
      <c r="RL23" s="224"/>
      <c r="RM23" s="224"/>
      <c r="RN23" s="224"/>
      <c r="RO23" s="224"/>
      <c r="RP23" s="224"/>
      <c r="RQ23" s="224"/>
      <c r="RR23" s="224"/>
      <c r="RS23" s="224"/>
      <c r="RT23" s="224"/>
      <c r="RU23" s="224"/>
      <c r="RV23" s="224"/>
      <c r="RW23" s="224"/>
      <c r="RX23" s="224"/>
      <c r="RY23" s="224"/>
      <c r="RZ23" s="224"/>
      <c r="SA23" s="224"/>
      <c r="SB23" s="224"/>
      <c r="SC23" s="224"/>
      <c r="SD23" s="224"/>
      <c r="SE23" s="224"/>
      <c r="SF23" s="224"/>
      <c r="SG23" s="224"/>
      <c r="SH23" s="224"/>
      <c r="SI23" s="224"/>
      <c r="SJ23" s="224"/>
      <c r="SK23" s="224"/>
      <c r="SL23" s="224"/>
      <c r="SM23" s="224"/>
      <c r="SN23" s="224"/>
      <c r="SO23" s="224"/>
      <c r="SP23" s="224"/>
      <c r="SQ23" s="224"/>
      <c r="SR23" s="224"/>
      <c r="SS23" s="224"/>
      <c r="ST23" s="224"/>
      <c r="SU23" s="224"/>
      <c r="SV23" s="224"/>
      <c r="SW23" s="224"/>
      <c r="SX23" s="224"/>
      <c r="SY23" s="224"/>
      <c r="SZ23" s="224"/>
      <c r="TA23" s="224"/>
      <c r="TB23" s="224"/>
      <c r="TC23" s="224"/>
      <c r="TD23" s="224"/>
      <c r="TE23" s="224"/>
      <c r="TF23" s="224"/>
      <c r="TG23" s="224"/>
      <c r="TH23" s="224"/>
      <c r="TI23" s="224"/>
      <c r="TJ23" s="224"/>
      <c r="TK23" s="224"/>
      <c r="TL23" s="224"/>
      <c r="TM23" s="224"/>
      <c r="TN23" s="224"/>
      <c r="TO23" s="224"/>
      <c r="TP23" s="224"/>
      <c r="TQ23" s="224"/>
      <c r="TR23" s="224"/>
      <c r="TS23" s="224"/>
      <c r="TT23" s="224"/>
      <c r="TU23" s="224"/>
      <c r="TV23" s="224"/>
      <c r="TW23" s="224"/>
      <c r="TX23" s="224"/>
      <c r="TY23" s="224"/>
      <c r="TZ23" s="224"/>
      <c r="UA23" s="224"/>
      <c r="UB23" s="224"/>
      <c r="UC23" s="224"/>
      <c r="UD23" s="224"/>
      <c r="UE23" s="224"/>
      <c r="UF23" s="224"/>
      <c r="UG23" s="224"/>
      <c r="UH23" s="224"/>
      <c r="UI23" s="224"/>
      <c r="UJ23" s="224"/>
      <c r="UK23" s="224"/>
      <c r="UL23" s="224"/>
      <c r="UM23" s="224"/>
      <c r="UN23" s="224"/>
      <c r="UO23" s="224"/>
      <c r="UP23" s="224"/>
      <c r="UQ23" s="224"/>
      <c r="UR23" s="224"/>
      <c r="US23" s="224"/>
      <c r="UT23" s="224"/>
      <c r="UU23" s="224"/>
      <c r="UV23" s="224"/>
      <c r="UW23" s="224"/>
      <c r="UX23" s="224"/>
      <c r="UY23" s="224"/>
      <c r="UZ23" s="224"/>
      <c r="VA23" s="224"/>
      <c r="VB23" s="224"/>
      <c r="VC23" s="224"/>
      <c r="VD23" s="224"/>
      <c r="VE23" s="224"/>
      <c r="VF23" s="224"/>
      <c r="VG23" s="224"/>
      <c r="VH23" s="224"/>
      <c r="VI23" s="224"/>
      <c r="VJ23" s="224"/>
      <c r="VK23" s="224"/>
      <c r="VL23" s="224"/>
      <c r="VM23" s="224"/>
      <c r="VN23" s="224"/>
      <c r="VO23" s="224"/>
      <c r="VP23" s="224"/>
      <c r="VQ23" s="224"/>
      <c r="VR23" s="224"/>
      <c r="VS23" s="224"/>
      <c r="VT23" s="224"/>
      <c r="VU23" s="224"/>
      <c r="VV23" s="224"/>
      <c r="VW23" s="224"/>
      <c r="VX23" s="224"/>
      <c r="VY23" s="224"/>
      <c r="VZ23" s="224"/>
      <c r="WA23" s="224"/>
      <c r="WB23" s="224"/>
      <c r="WC23" s="224"/>
      <c r="WD23" s="224"/>
      <c r="WE23" s="224"/>
      <c r="WF23" s="224"/>
      <c r="WG23" s="224"/>
      <c r="WH23" s="224"/>
      <c r="WI23" s="224"/>
      <c r="WJ23" s="224"/>
      <c r="WK23" s="224"/>
      <c r="WL23" s="224"/>
      <c r="WM23" s="224"/>
      <c r="WN23" s="224"/>
      <c r="WO23" s="224"/>
      <c r="WP23" s="224"/>
      <c r="WQ23" s="224"/>
      <c r="WR23" s="224"/>
      <c r="WS23" s="224"/>
      <c r="WT23" s="224"/>
      <c r="WU23" s="224"/>
      <c r="WV23" s="224"/>
      <c r="WW23" s="224"/>
      <c r="WX23" s="224"/>
      <c r="WY23" s="224"/>
      <c r="WZ23" s="224"/>
      <c r="XA23" s="224"/>
      <c r="XB23" s="224"/>
      <c r="XC23" s="224"/>
      <c r="XD23" s="224"/>
      <c r="XE23" s="224"/>
      <c r="XF23" s="224"/>
      <c r="XG23" s="224"/>
      <c r="XH23" s="224"/>
      <c r="XI23" s="224"/>
      <c r="XJ23" s="224"/>
      <c r="XK23" s="224"/>
      <c r="XL23" s="224"/>
      <c r="XM23" s="224"/>
      <c r="XN23" s="224"/>
      <c r="XO23" s="224"/>
      <c r="XP23" s="224"/>
      <c r="XQ23" s="224"/>
      <c r="XR23" s="224"/>
      <c r="XS23" s="224"/>
      <c r="XT23" s="224"/>
      <c r="XU23" s="224"/>
      <c r="XV23" s="224"/>
      <c r="XW23" s="224"/>
      <c r="XX23" s="224"/>
      <c r="XY23" s="224"/>
      <c r="XZ23" s="224"/>
      <c r="YA23" s="224"/>
      <c r="YB23" s="224"/>
      <c r="YC23" s="224"/>
      <c r="YD23" s="224"/>
      <c r="YE23" s="224"/>
      <c r="YF23" s="224"/>
      <c r="YG23" s="224"/>
      <c r="YH23" s="224"/>
      <c r="YI23" s="224"/>
      <c r="YJ23" s="224"/>
      <c r="YK23" s="224"/>
      <c r="YL23" s="224"/>
      <c r="YM23" s="224"/>
      <c r="YN23" s="224"/>
      <c r="YO23" s="224"/>
      <c r="YP23" s="224"/>
      <c r="YQ23" s="224"/>
      <c r="YR23" s="224"/>
      <c r="YS23" s="224"/>
      <c r="YT23" s="224"/>
      <c r="YU23" s="224"/>
      <c r="YV23" s="224"/>
      <c r="YW23" s="224"/>
      <c r="YX23" s="224"/>
      <c r="YY23" s="224"/>
      <c r="YZ23" s="224"/>
      <c r="ZA23" s="224"/>
      <c r="ZB23" s="224"/>
      <c r="ZC23" s="224"/>
      <c r="ZD23" s="224"/>
      <c r="ZE23" s="224"/>
      <c r="ZF23" s="224"/>
      <c r="ZG23" s="224"/>
      <c r="ZH23" s="224"/>
      <c r="ZI23" s="224"/>
      <c r="ZJ23" s="224"/>
      <c r="ZK23" s="224"/>
      <c r="ZL23" s="224"/>
      <c r="ZM23" s="224"/>
      <c r="ZN23" s="224"/>
      <c r="ZO23" s="224"/>
      <c r="ZP23" s="224"/>
      <c r="ZQ23" s="224"/>
      <c r="ZR23" s="224"/>
      <c r="ZS23" s="224"/>
      <c r="ZT23" s="224"/>
      <c r="ZU23" s="224"/>
      <c r="ZV23" s="224"/>
      <c r="ZW23" s="224"/>
      <c r="ZX23" s="224"/>
      <c r="ZY23" s="224"/>
      <c r="ZZ23" s="224"/>
      <c r="AAA23" s="224"/>
      <c r="AAB23" s="224"/>
      <c r="AAC23" s="224"/>
      <c r="AAD23" s="224"/>
      <c r="AAE23" s="224"/>
      <c r="AAF23" s="224"/>
      <c r="AAG23" s="224"/>
      <c r="AAH23" s="224"/>
      <c r="AAI23" s="224"/>
      <c r="AAJ23" s="224"/>
      <c r="AAK23" s="224"/>
      <c r="AAL23" s="224"/>
      <c r="AAM23" s="224"/>
      <c r="AAN23" s="224"/>
      <c r="AAO23" s="224"/>
      <c r="AAP23" s="224"/>
      <c r="AAQ23" s="224"/>
      <c r="AAR23" s="224"/>
      <c r="AAS23" s="224"/>
      <c r="AAT23" s="224"/>
      <c r="AAU23" s="224"/>
      <c r="AAV23" s="224"/>
      <c r="AAW23" s="224"/>
      <c r="AAX23" s="224"/>
      <c r="AAY23" s="224"/>
      <c r="AAZ23" s="224"/>
      <c r="ABA23" s="224"/>
      <c r="ABB23" s="224"/>
      <c r="ABC23" s="224"/>
      <c r="ABD23" s="224"/>
      <c r="ABE23" s="224"/>
      <c r="ABF23" s="224"/>
      <c r="ABG23" s="224"/>
      <c r="ABH23" s="224"/>
      <c r="ABI23" s="224"/>
      <c r="ABJ23" s="224"/>
      <c r="ABK23" s="224"/>
      <c r="ABL23" s="224"/>
      <c r="ABM23" s="224"/>
      <c r="ABN23" s="224"/>
      <c r="ABO23" s="224"/>
      <c r="ABP23" s="224"/>
      <c r="ABQ23" s="224"/>
      <c r="ABR23" s="224"/>
      <c r="ABS23" s="224"/>
      <c r="ABT23" s="224"/>
      <c r="ABU23" s="224"/>
      <c r="ABV23" s="224"/>
      <c r="ABW23" s="224"/>
      <c r="ABX23" s="224"/>
      <c r="ABY23" s="224"/>
      <c r="ABZ23" s="224"/>
      <c r="ACA23" s="224"/>
      <c r="ACB23" s="224"/>
      <c r="ACC23" s="224"/>
      <c r="ACD23" s="224"/>
      <c r="ACE23" s="224"/>
      <c r="ACF23" s="224"/>
      <c r="ACG23" s="224"/>
      <c r="ACH23" s="224"/>
      <c r="ACI23" s="224"/>
      <c r="ACJ23" s="224"/>
      <c r="ACK23" s="224"/>
      <c r="ACL23" s="224"/>
      <c r="ACM23" s="224"/>
      <c r="ACN23" s="224"/>
      <c r="ACO23" s="224"/>
      <c r="ACP23" s="224"/>
      <c r="ACQ23" s="224"/>
      <c r="ACR23" s="224"/>
      <c r="ACS23" s="224"/>
      <c r="ACT23" s="224"/>
      <c r="ACU23" s="224"/>
      <c r="ACV23" s="224"/>
      <c r="ACW23" s="224"/>
      <c r="ACX23" s="224"/>
      <c r="ACY23" s="224"/>
      <c r="ACZ23" s="224"/>
      <c r="ADA23" s="224"/>
      <c r="ADB23" s="224"/>
      <c r="ADC23" s="224"/>
      <c r="ADD23" s="224"/>
      <c r="ADE23" s="224"/>
      <c r="ADF23" s="224"/>
      <c r="ADG23" s="224"/>
      <c r="ADH23" s="224"/>
      <c r="ADI23" s="224"/>
      <c r="ADJ23" s="224"/>
      <c r="ADK23" s="224"/>
      <c r="ADL23" s="224"/>
      <c r="ADM23" s="224"/>
      <c r="ADN23" s="224"/>
      <c r="ADO23" s="224"/>
      <c r="ADP23" s="224"/>
      <c r="ADQ23" s="224"/>
      <c r="ADR23" s="224"/>
      <c r="ADS23" s="224"/>
      <c r="ADT23" s="224"/>
      <c r="ADU23" s="224"/>
      <c r="ADV23" s="224"/>
      <c r="ADW23" s="224"/>
      <c r="ADX23" s="224"/>
      <c r="ADY23" s="224"/>
      <c r="ADZ23" s="224"/>
      <c r="AEA23" s="224"/>
      <c r="AEB23" s="224"/>
      <c r="AEC23" s="224"/>
      <c r="AED23" s="224"/>
      <c r="AEE23" s="224"/>
      <c r="AEF23" s="224"/>
      <c r="AEG23" s="224"/>
      <c r="AEH23" s="224"/>
      <c r="AEI23" s="224"/>
      <c r="AEJ23" s="224"/>
      <c r="AEK23" s="224"/>
      <c r="AEL23" s="224"/>
      <c r="AEM23" s="224"/>
      <c r="AEN23" s="224"/>
      <c r="AEO23" s="224"/>
      <c r="AEP23" s="224"/>
      <c r="AEQ23" s="224"/>
      <c r="AER23" s="224"/>
      <c r="AES23" s="224"/>
      <c r="AET23" s="224"/>
      <c r="AEU23" s="224"/>
      <c r="AEV23" s="224"/>
      <c r="AEW23" s="224"/>
      <c r="AEX23" s="224"/>
      <c r="AEY23" s="224"/>
      <c r="AEZ23" s="224"/>
      <c r="AFA23" s="224"/>
      <c r="AFB23" s="224"/>
      <c r="AFC23" s="224"/>
      <c r="AFD23" s="224"/>
      <c r="AFE23" s="224"/>
      <c r="AFF23" s="224"/>
      <c r="AFG23" s="224"/>
      <c r="AFH23" s="224"/>
      <c r="AFI23" s="224"/>
      <c r="AFJ23" s="224"/>
      <c r="AFK23" s="224"/>
      <c r="AFL23" s="224"/>
      <c r="AFM23" s="224"/>
      <c r="AFN23" s="224"/>
      <c r="AFO23" s="224"/>
      <c r="AFP23" s="224"/>
      <c r="AFQ23" s="224"/>
      <c r="AFR23" s="224"/>
      <c r="AFS23" s="224"/>
      <c r="AFT23" s="224"/>
      <c r="AFU23" s="224"/>
      <c r="AFV23" s="224"/>
      <c r="AFW23" s="224"/>
      <c r="AFX23" s="224"/>
      <c r="AFY23" s="224"/>
      <c r="AFZ23" s="224"/>
      <c r="AGA23" s="224"/>
      <c r="AGB23" s="224"/>
      <c r="AGC23" s="224"/>
      <c r="AGD23" s="224"/>
      <c r="AGE23" s="224"/>
      <c r="AGF23" s="224"/>
      <c r="AGG23" s="224"/>
      <c r="AGH23" s="224"/>
      <c r="AGI23" s="224"/>
      <c r="AGJ23" s="224"/>
      <c r="AGK23" s="224"/>
      <c r="AGL23" s="224"/>
      <c r="AGM23" s="224"/>
      <c r="AGN23" s="224"/>
      <c r="AGO23" s="224"/>
      <c r="AGP23" s="224"/>
      <c r="AGQ23" s="224"/>
      <c r="AGR23" s="224"/>
      <c r="AGS23" s="224"/>
      <c r="AGT23" s="224"/>
      <c r="AGU23" s="224"/>
      <c r="AGV23" s="224"/>
      <c r="AGW23" s="224"/>
      <c r="AGX23" s="224"/>
      <c r="AGY23" s="224"/>
      <c r="AGZ23" s="224"/>
      <c r="AHA23" s="224"/>
      <c r="AHB23" s="224"/>
      <c r="AHC23" s="224"/>
      <c r="AHD23" s="224"/>
      <c r="AHE23" s="224"/>
      <c r="AHF23" s="224"/>
      <c r="AHG23" s="224"/>
      <c r="AHH23" s="224"/>
      <c r="AHI23" s="224"/>
      <c r="AHJ23" s="224"/>
      <c r="AHK23" s="224"/>
      <c r="AHL23" s="224"/>
      <c r="AHM23" s="224"/>
      <c r="AHN23" s="224"/>
      <c r="AHO23" s="224"/>
      <c r="AHP23" s="224"/>
      <c r="AHQ23" s="224"/>
      <c r="AHR23" s="224"/>
      <c r="AHS23" s="224"/>
      <c r="AHT23" s="224"/>
      <c r="AHU23" s="224"/>
      <c r="AHV23" s="224"/>
      <c r="AHW23" s="224"/>
      <c r="AHX23" s="224"/>
      <c r="AHY23" s="224"/>
      <c r="AHZ23" s="224"/>
      <c r="AIA23" s="224"/>
      <c r="AIB23" s="224"/>
      <c r="AIC23" s="224"/>
      <c r="AID23" s="224"/>
      <c r="AIE23" s="224"/>
      <c r="AIF23" s="224"/>
      <c r="AIG23" s="224"/>
      <c r="AIH23" s="224"/>
      <c r="AII23" s="224"/>
      <c r="AIJ23" s="224"/>
      <c r="AIK23" s="224"/>
      <c r="AIL23" s="224"/>
      <c r="AIM23" s="224"/>
      <c r="AIN23" s="224"/>
      <c r="AIO23" s="224"/>
      <c r="AIP23" s="224"/>
      <c r="AIQ23" s="224"/>
      <c r="AIR23" s="224"/>
      <c r="AIS23" s="224"/>
      <c r="AIT23" s="224"/>
      <c r="AIU23" s="224"/>
      <c r="AIV23" s="224"/>
      <c r="AIW23" s="224"/>
      <c r="AIX23" s="224"/>
      <c r="AIY23" s="224"/>
      <c r="AIZ23" s="224"/>
      <c r="AJA23" s="224"/>
      <c r="AJB23" s="224"/>
      <c r="AJC23" s="224"/>
      <c r="AJD23" s="224"/>
      <c r="AJE23" s="224"/>
      <c r="AJF23" s="224"/>
      <c r="AJG23" s="224"/>
      <c r="AJH23" s="224"/>
      <c r="AJI23" s="224"/>
      <c r="AJJ23" s="224"/>
      <c r="AJK23" s="224"/>
      <c r="AJL23" s="224"/>
      <c r="AJM23" s="224"/>
      <c r="AJN23" s="224"/>
      <c r="AJO23" s="224"/>
      <c r="AJP23" s="224"/>
      <c r="AJQ23" s="224"/>
      <c r="AJR23" s="224"/>
      <c r="AJS23" s="224"/>
      <c r="AJT23" s="224"/>
      <c r="AJU23" s="224"/>
      <c r="AJV23" s="224"/>
      <c r="AJW23" s="224"/>
      <c r="AJX23" s="224"/>
      <c r="AJY23" s="224"/>
      <c r="AJZ23" s="224"/>
      <c r="AKA23" s="224"/>
      <c r="AKB23" s="224"/>
      <c r="AKC23" s="224"/>
      <c r="AKD23" s="224"/>
      <c r="AKE23" s="224"/>
      <c r="AKF23" s="224"/>
      <c r="AKG23" s="224"/>
      <c r="AKH23" s="224"/>
      <c r="AKI23" s="224"/>
      <c r="AKJ23" s="224"/>
      <c r="AKK23" s="224"/>
      <c r="AKL23" s="224"/>
      <c r="AKM23" s="224"/>
      <c r="AKN23" s="224"/>
      <c r="AKO23" s="224"/>
      <c r="AKP23" s="224"/>
      <c r="AKQ23" s="224"/>
      <c r="AKR23" s="224"/>
      <c r="AKS23" s="224"/>
      <c r="AKT23" s="224"/>
      <c r="AKU23" s="224"/>
      <c r="AKV23" s="224"/>
      <c r="AKW23" s="224"/>
      <c r="AKX23" s="224"/>
      <c r="AKY23" s="224"/>
      <c r="AKZ23" s="224"/>
      <c r="ALA23" s="224"/>
      <c r="ALB23" s="224"/>
      <c r="ALC23" s="224"/>
      <c r="ALD23" s="224"/>
      <c r="ALE23" s="224"/>
      <c r="ALF23" s="224"/>
      <c r="ALG23" s="224"/>
      <c r="ALH23" s="224"/>
      <c r="ALI23" s="224"/>
      <c r="ALJ23" s="224"/>
      <c r="ALK23" s="224"/>
      <c r="ALL23" s="224"/>
      <c r="ALM23" s="224"/>
      <c r="ALN23" s="224"/>
      <c r="ALO23" s="224"/>
      <c r="ALP23" s="224"/>
      <c r="ALQ23" s="224"/>
      <c r="ALR23" s="224"/>
      <c r="ALS23" s="224"/>
      <c r="ALT23" s="224"/>
      <c r="ALU23" s="224"/>
      <c r="ALV23" s="224"/>
      <c r="ALW23" s="224"/>
      <c r="ALX23" s="224"/>
      <c r="ALY23" s="224"/>
      <c r="ALZ23" s="224"/>
      <c r="AMA23" s="224"/>
      <c r="AMB23" s="224"/>
      <c r="AMC23" s="224"/>
      <c r="AMD23" s="224"/>
      <c r="AME23" s="224"/>
      <c r="AMF23" s="224"/>
      <c r="AMG23" s="224"/>
      <c r="AMH23" s="224"/>
      <c r="AMI23" s="224"/>
      <c r="AMJ23" s="224"/>
      <c r="AMK23" s="224"/>
      <c r="AML23" s="224"/>
      <c r="AMM23" s="224"/>
      <c r="AMN23" s="224"/>
      <c r="AMO23" s="224"/>
      <c r="AMP23" s="224"/>
      <c r="AMQ23" s="224"/>
      <c r="AMR23" s="224"/>
      <c r="AMS23" s="224"/>
      <c r="AMT23" s="224"/>
      <c r="AMU23" s="224"/>
      <c r="AMV23" s="224"/>
      <c r="AMW23" s="224"/>
      <c r="AMX23" s="224"/>
      <c r="AMY23" s="224"/>
      <c r="AMZ23" s="224"/>
      <c r="ANA23" s="224"/>
      <c r="ANB23" s="224"/>
      <c r="ANC23" s="224"/>
      <c r="AND23" s="224"/>
      <c r="ANE23" s="224"/>
      <c r="ANF23" s="224"/>
      <c r="ANG23" s="224"/>
      <c r="ANH23" s="224"/>
      <c r="ANI23" s="224"/>
      <c r="ANJ23" s="224"/>
      <c r="ANK23" s="224"/>
      <c r="ANL23" s="224"/>
      <c r="ANM23" s="224"/>
      <c r="ANN23" s="224"/>
      <c r="ANO23" s="224"/>
      <c r="ANP23" s="224"/>
      <c r="ANQ23" s="224"/>
      <c r="ANR23" s="224"/>
      <c r="ANS23" s="224"/>
      <c r="ANT23" s="224"/>
      <c r="ANU23" s="224"/>
      <c r="ANV23" s="224"/>
      <c r="ANW23" s="224"/>
      <c r="ANX23" s="224"/>
      <c r="ANY23" s="224"/>
      <c r="ANZ23" s="224"/>
      <c r="AOA23" s="224"/>
      <c r="AOB23" s="224"/>
      <c r="AOC23" s="224"/>
      <c r="AOD23" s="224"/>
      <c r="AOE23" s="224"/>
      <c r="AOF23" s="224"/>
      <c r="AOG23" s="224"/>
      <c r="AOH23" s="224"/>
      <c r="AOI23" s="224"/>
      <c r="AOJ23" s="224"/>
      <c r="AOK23" s="224"/>
      <c r="AOL23" s="224"/>
      <c r="AOM23" s="224"/>
      <c r="AON23" s="224"/>
      <c r="AOO23" s="224"/>
      <c r="AOP23" s="224"/>
      <c r="AOQ23" s="224"/>
      <c r="AOR23" s="224"/>
      <c r="AOS23" s="224"/>
      <c r="AOT23" s="224"/>
      <c r="AOU23" s="224"/>
      <c r="AOV23" s="224"/>
      <c r="AOW23" s="224"/>
      <c r="AOX23" s="224"/>
      <c r="AOY23" s="224"/>
      <c r="AOZ23" s="224"/>
      <c r="APA23" s="224"/>
      <c r="APB23" s="224"/>
      <c r="APC23" s="224"/>
      <c r="APD23" s="224"/>
      <c r="APE23" s="224"/>
      <c r="APF23" s="224"/>
      <c r="APG23" s="224"/>
      <c r="APH23" s="224"/>
      <c r="API23" s="224"/>
      <c r="APJ23" s="224"/>
      <c r="APK23" s="224"/>
      <c r="APL23" s="224"/>
      <c r="APM23" s="224"/>
      <c r="APN23" s="224"/>
      <c r="APO23" s="224"/>
      <c r="APP23" s="224"/>
      <c r="APQ23" s="224"/>
      <c r="APR23" s="224"/>
      <c r="APS23" s="224"/>
      <c r="APT23" s="224"/>
      <c r="APU23" s="224"/>
      <c r="APV23" s="224"/>
      <c r="APW23" s="224"/>
      <c r="APX23" s="224"/>
      <c r="APY23" s="224"/>
      <c r="APZ23" s="224"/>
      <c r="AQA23" s="224"/>
      <c r="AQB23" s="224"/>
      <c r="AQC23" s="224"/>
      <c r="AQD23" s="224"/>
      <c r="AQE23" s="224"/>
      <c r="AQF23" s="224"/>
      <c r="AQG23" s="224"/>
      <c r="AQH23" s="224"/>
      <c r="AQI23" s="224"/>
      <c r="AQJ23" s="224"/>
      <c r="AQK23" s="224"/>
      <c r="AQL23" s="224"/>
      <c r="AQM23" s="224"/>
      <c r="AQN23" s="224"/>
      <c r="AQO23" s="224"/>
      <c r="AQP23" s="224"/>
      <c r="AQQ23" s="224"/>
      <c r="AQR23" s="224"/>
      <c r="AQS23" s="224"/>
      <c r="AQT23" s="224"/>
      <c r="AQU23" s="224"/>
      <c r="AQV23" s="224"/>
      <c r="AQW23" s="224"/>
      <c r="AQX23" s="224"/>
      <c r="AQY23" s="224"/>
      <c r="AQZ23" s="224"/>
      <c r="ARA23" s="224"/>
      <c r="ARB23" s="224"/>
      <c r="ARC23" s="224"/>
      <c r="ARD23" s="224"/>
      <c r="ARE23" s="224"/>
      <c r="ARF23" s="224"/>
      <c r="ARG23" s="224"/>
      <c r="ARH23" s="224"/>
      <c r="ARI23" s="224"/>
      <c r="ARJ23" s="224"/>
      <c r="ARK23" s="224"/>
      <c r="ARL23" s="224"/>
      <c r="ARM23" s="224"/>
      <c r="ARN23" s="224"/>
      <c r="ARO23" s="224"/>
      <c r="ARP23" s="224"/>
      <c r="ARQ23" s="224"/>
      <c r="ARR23" s="224"/>
      <c r="ARS23" s="224"/>
      <c r="ART23" s="224"/>
      <c r="ARU23" s="224"/>
      <c r="ARV23" s="224"/>
      <c r="ARW23" s="224"/>
      <c r="ARX23" s="224"/>
      <c r="ARY23" s="224"/>
      <c r="ARZ23" s="224"/>
      <c r="ASA23" s="224"/>
      <c r="ASB23" s="224"/>
      <c r="ASC23" s="224"/>
      <c r="ASD23" s="224"/>
      <c r="ASE23" s="224"/>
      <c r="ASF23" s="224"/>
      <c r="ASG23" s="224"/>
      <c r="ASH23" s="224"/>
      <c r="ASI23" s="224"/>
      <c r="ASJ23" s="224"/>
      <c r="ASK23" s="224"/>
      <c r="ASL23" s="224"/>
      <c r="ASM23" s="224"/>
      <c r="ASN23" s="224"/>
      <c r="ASO23" s="224"/>
      <c r="ASP23" s="224"/>
      <c r="ASQ23" s="224"/>
      <c r="ASR23" s="224"/>
      <c r="ASS23" s="224"/>
      <c r="AST23" s="224"/>
      <c r="ASU23" s="224"/>
      <c r="ASV23" s="224"/>
      <c r="ASW23" s="224"/>
      <c r="ASX23" s="224"/>
      <c r="ASY23" s="224"/>
      <c r="ASZ23" s="224"/>
      <c r="ATA23" s="224"/>
      <c r="ATB23" s="224"/>
      <c r="ATC23" s="224"/>
      <c r="ATD23" s="224"/>
      <c r="ATE23" s="224"/>
      <c r="ATF23" s="224"/>
      <c r="ATG23" s="224"/>
      <c r="ATH23" s="224"/>
      <c r="ATI23" s="224"/>
      <c r="ATJ23" s="224"/>
      <c r="ATK23" s="224"/>
      <c r="ATL23" s="224"/>
      <c r="ATM23" s="224"/>
      <c r="ATN23" s="224"/>
      <c r="ATO23" s="224"/>
      <c r="ATP23" s="224"/>
      <c r="ATQ23" s="224"/>
      <c r="ATR23" s="224"/>
      <c r="ATS23" s="224"/>
      <c r="ATT23" s="224"/>
      <c r="ATU23" s="224"/>
      <c r="ATV23" s="224"/>
      <c r="ATW23" s="224"/>
      <c r="ATX23" s="224"/>
      <c r="ATY23" s="224"/>
      <c r="ATZ23" s="224"/>
      <c r="AUA23" s="224"/>
      <c r="AUB23" s="224"/>
      <c r="AUC23" s="224"/>
      <c r="AUD23" s="224"/>
      <c r="AUE23" s="224"/>
      <c r="AUF23" s="224"/>
      <c r="AUG23" s="224"/>
      <c r="AUH23" s="224"/>
      <c r="AUI23" s="224"/>
      <c r="AUJ23" s="224"/>
      <c r="AUK23" s="224"/>
      <c r="AUL23" s="224"/>
      <c r="AUM23" s="224"/>
      <c r="AUN23" s="224"/>
      <c r="AUO23" s="224"/>
      <c r="AUP23" s="224"/>
      <c r="AUQ23" s="224"/>
      <c r="AUR23" s="224"/>
      <c r="AUS23" s="224"/>
      <c r="AUT23" s="224"/>
      <c r="AUU23" s="224"/>
      <c r="AUV23" s="224"/>
      <c r="AUW23" s="224"/>
      <c r="AUX23" s="224"/>
      <c r="AUY23" s="224"/>
      <c r="AUZ23" s="224"/>
      <c r="AVA23" s="224"/>
      <c r="AVB23" s="224"/>
      <c r="AVC23" s="224"/>
      <c r="AVD23" s="224"/>
      <c r="AVE23" s="224"/>
      <c r="AVF23" s="224"/>
      <c r="AVG23" s="224"/>
      <c r="AVH23" s="224"/>
      <c r="AVI23" s="224"/>
      <c r="AVJ23" s="224"/>
      <c r="AVK23" s="224"/>
      <c r="AVL23" s="224"/>
      <c r="AVM23" s="224"/>
      <c r="AVN23" s="224"/>
      <c r="AVO23" s="224"/>
      <c r="AVP23" s="224"/>
      <c r="AVQ23" s="224"/>
      <c r="AVR23" s="224"/>
      <c r="AVS23" s="224"/>
      <c r="AVT23" s="224"/>
      <c r="AVU23" s="224"/>
      <c r="AVV23" s="224"/>
      <c r="AVW23" s="224"/>
      <c r="AVX23" s="224"/>
      <c r="AVY23" s="224"/>
      <c r="AVZ23" s="224"/>
      <c r="AWA23" s="224"/>
      <c r="AWB23" s="224"/>
      <c r="AWC23" s="224"/>
      <c r="AWD23" s="224"/>
      <c r="AWE23" s="224"/>
      <c r="AWF23" s="224"/>
      <c r="AWG23" s="224"/>
      <c r="AWH23" s="224"/>
      <c r="AWI23" s="224"/>
      <c r="AWJ23" s="224"/>
      <c r="AWK23" s="224"/>
      <c r="AWL23" s="224"/>
      <c r="AWM23" s="224"/>
      <c r="AWN23" s="224"/>
      <c r="AWO23" s="224"/>
      <c r="AWP23" s="224"/>
      <c r="AWQ23" s="224"/>
      <c r="AWR23" s="224"/>
      <c r="AWS23" s="224"/>
      <c r="AWT23" s="224"/>
      <c r="AWU23" s="224"/>
      <c r="AWV23" s="224"/>
      <c r="AWW23" s="224"/>
      <c r="AWX23" s="224"/>
      <c r="AWY23" s="224"/>
      <c r="AWZ23" s="224"/>
      <c r="AXA23" s="224"/>
      <c r="AXB23" s="224"/>
      <c r="AXC23" s="224"/>
      <c r="AXD23" s="224"/>
      <c r="AXE23" s="224"/>
      <c r="AXF23" s="224"/>
      <c r="AXG23" s="224"/>
      <c r="AXH23" s="224"/>
      <c r="AXI23" s="224"/>
      <c r="AXJ23" s="224"/>
      <c r="AXK23" s="224"/>
      <c r="AXL23" s="224"/>
      <c r="AXM23" s="224"/>
      <c r="AXN23" s="224"/>
      <c r="AXO23" s="224"/>
      <c r="AXP23" s="224"/>
      <c r="AXQ23" s="224"/>
      <c r="AXR23" s="224"/>
      <c r="AXS23" s="224"/>
      <c r="AXT23" s="224"/>
      <c r="AXU23" s="224"/>
      <c r="AXV23" s="224"/>
      <c r="AXW23" s="224"/>
      <c r="AXX23" s="224"/>
      <c r="AXY23" s="224"/>
      <c r="AXZ23" s="224"/>
      <c r="AYA23" s="224"/>
      <c r="AYB23" s="224"/>
      <c r="AYC23" s="224"/>
      <c r="AYD23" s="224"/>
      <c r="AYE23" s="224"/>
      <c r="AYF23" s="224"/>
      <c r="AYG23" s="224"/>
      <c r="AYH23" s="224"/>
      <c r="AYI23" s="224"/>
      <c r="AYJ23" s="224"/>
      <c r="AYK23" s="224"/>
      <c r="AYL23" s="224"/>
      <c r="AYM23" s="224"/>
      <c r="AYN23" s="224"/>
      <c r="AYO23" s="224"/>
      <c r="AYP23" s="224"/>
      <c r="AYQ23" s="224"/>
      <c r="AYR23" s="224"/>
      <c r="AYS23" s="224"/>
      <c r="AYT23" s="224"/>
      <c r="AYU23" s="224"/>
      <c r="AYV23" s="224"/>
      <c r="AYW23" s="224"/>
      <c r="AYX23" s="224"/>
      <c r="AYY23" s="224"/>
      <c r="AYZ23" s="224"/>
      <c r="AZA23" s="224"/>
      <c r="AZB23" s="224"/>
      <c r="AZC23" s="224"/>
      <c r="AZD23" s="224"/>
      <c r="AZE23" s="224"/>
      <c r="AZF23" s="224"/>
      <c r="AZG23" s="224"/>
      <c r="AZH23" s="224"/>
      <c r="AZI23" s="224"/>
      <c r="AZJ23" s="224"/>
      <c r="AZK23" s="224"/>
      <c r="AZL23" s="224"/>
      <c r="AZM23" s="224"/>
      <c r="AZN23" s="224"/>
      <c r="AZO23" s="224"/>
      <c r="AZP23" s="224"/>
      <c r="AZQ23" s="224"/>
      <c r="AZR23" s="224"/>
      <c r="AZS23" s="224"/>
      <c r="AZT23" s="224"/>
      <c r="AZU23" s="224"/>
      <c r="AZV23" s="224"/>
      <c r="AZW23" s="224"/>
      <c r="AZX23" s="224"/>
      <c r="AZY23" s="224"/>
      <c r="AZZ23" s="224"/>
      <c r="BAA23" s="224"/>
      <c r="BAB23" s="224"/>
      <c r="BAC23" s="224"/>
      <c r="BAD23" s="224"/>
      <c r="BAE23" s="224"/>
      <c r="BAF23" s="224"/>
      <c r="BAG23" s="224"/>
      <c r="BAH23" s="224"/>
      <c r="BAI23" s="224"/>
      <c r="BAJ23" s="224"/>
      <c r="BAK23" s="224"/>
      <c r="BAL23" s="224"/>
      <c r="BAM23" s="224"/>
      <c r="BAN23" s="224"/>
      <c r="BAO23" s="224"/>
      <c r="BAP23" s="224"/>
      <c r="BAQ23" s="224"/>
      <c r="BAR23" s="224"/>
      <c r="BAS23" s="224"/>
      <c r="BAT23" s="224"/>
      <c r="BAU23" s="224"/>
      <c r="BAV23" s="224"/>
      <c r="BAW23" s="224"/>
      <c r="BAX23" s="224"/>
      <c r="BAY23" s="224"/>
      <c r="BAZ23" s="224"/>
      <c r="BBA23" s="224"/>
      <c r="BBB23" s="224"/>
      <c r="BBC23" s="224"/>
      <c r="BBD23" s="224"/>
      <c r="BBE23" s="224"/>
      <c r="BBF23" s="224"/>
      <c r="BBG23" s="224"/>
      <c r="BBH23" s="224"/>
      <c r="BBI23" s="224"/>
      <c r="BBJ23" s="224"/>
      <c r="BBK23" s="224"/>
      <c r="BBL23" s="224"/>
      <c r="BBM23" s="224"/>
      <c r="BBN23" s="224"/>
      <c r="BBO23" s="224"/>
      <c r="BBP23" s="224"/>
      <c r="BBQ23" s="224"/>
      <c r="BBR23" s="224"/>
      <c r="BBS23" s="224"/>
      <c r="BBT23" s="224"/>
      <c r="BBU23" s="224"/>
      <c r="BBV23" s="224"/>
      <c r="BBW23" s="224"/>
      <c r="BBX23" s="224"/>
      <c r="BBY23" s="224"/>
      <c r="BBZ23" s="224"/>
      <c r="BCA23" s="224"/>
      <c r="BCB23" s="224"/>
      <c r="BCC23" s="224"/>
      <c r="BCD23" s="224"/>
      <c r="BCE23" s="224"/>
      <c r="BCF23" s="224"/>
      <c r="BCG23" s="224"/>
      <c r="BCH23" s="224"/>
      <c r="BCI23" s="224"/>
      <c r="BCJ23" s="224"/>
      <c r="BCK23" s="224"/>
      <c r="BCL23" s="224"/>
      <c r="BCM23" s="224"/>
      <c r="BCN23" s="224"/>
      <c r="BCO23" s="224"/>
      <c r="BCP23" s="224"/>
      <c r="BCQ23" s="224"/>
      <c r="BCR23" s="224"/>
      <c r="BCS23" s="224"/>
      <c r="BCT23" s="224"/>
      <c r="BCU23" s="224"/>
      <c r="BCV23" s="224"/>
      <c r="BCW23" s="224"/>
      <c r="BCX23" s="224"/>
      <c r="BCY23" s="224"/>
      <c r="BCZ23" s="224"/>
      <c r="BDA23" s="224"/>
      <c r="BDB23" s="224"/>
      <c r="BDC23" s="224"/>
      <c r="BDD23" s="224"/>
      <c r="BDE23" s="224"/>
      <c r="BDF23" s="224"/>
      <c r="BDG23" s="224"/>
      <c r="BDH23" s="224"/>
      <c r="BDI23" s="224"/>
      <c r="BDJ23" s="224"/>
      <c r="BDK23" s="224"/>
      <c r="BDL23" s="224"/>
      <c r="BDM23" s="224"/>
      <c r="BDN23" s="224"/>
      <c r="BDO23" s="224"/>
      <c r="BDP23" s="224"/>
      <c r="BDQ23" s="224"/>
      <c r="BDR23" s="224"/>
      <c r="BDS23" s="224"/>
      <c r="BDT23" s="224"/>
      <c r="BDU23" s="224"/>
      <c r="BDV23" s="224"/>
      <c r="BDW23" s="224"/>
      <c r="BDX23" s="224"/>
      <c r="BDY23" s="224"/>
      <c r="BDZ23" s="224"/>
      <c r="BEA23" s="224"/>
      <c r="BEB23" s="224"/>
      <c r="BEC23" s="224"/>
      <c r="BED23" s="224"/>
      <c r="BEE23" s="224"/>
      <c r="BEF23" s="224"/>
      <c r="BEG23" s="224"/>
      <c r="BEH23" s="224"/>
      <c r="BEI23" s="224"/>
      <c r="BEJ23" s="224"/>
      <c r="BEK23" s="224"/>
      <c r="BEL23" s="224"/>
      <c r="BEM23" s="224"/>
      <c r="BEN23" s="224"/>
      <c r="BEO23" s="224"/>
      <c r="BEP23" s="224"/>
      <c r="BEQ23" s="224"/>
      <c r="BER23" s="224"/>
      <c r="BES23" s="224"/>
      <c r="BET23" s="224"/>
      <c r="BEU23" s="224"/>
      <c r="BEV23" s="224"/>
      <c r="BEW23" s="224"/>
      <c r="BEX23" s="224"/>
      <c r="BEY23" s="224"/>
      <c r="BEZ23" s="224"/>
      <c r="BFA23" s="224"/>
      <c r="BFB23" s="224"/>
      <c r="BFC23" s="224"/>
      <c r="BFD23" s="224"/>
      <c r="BFE23" s="224"/>
      <c r="BFF23" s="224"/>
      <c r="BFG23" s="224"/>
      <c r="BFH23" s="224"/>
      <c r="BFI23" s="224"/>
      <c r="BFJ23" s="224"/>
      <c r="BFK23" s="224"/>
      <c r="BFL23" s="224"/>
      <c r="BFM23" s="224"/>
      <c r="BFN23" s="224"/>
      <c r="BFO23" s="224"/>
      <c r="BFP23" s="224"/>
      <c r="BFQ23" s="224"/>
      <c r="BFR23" s="224"/>
      <c r="BFS23" s="224"/>
      <c r="BFT23" s="224"/>
      <c r="BFU23" s="224"/>
      <c r="BFV23" s="224"/>
      <c r="BFW23" s="224"/>
      <c r="BFX23" s="224"/>
      <c r="BFY23" s="224"/>
      <c r="BFZ23" s="224"/>
      <c r="BGA23" s="224"/>
      <c r="BGB23" s="224"/>
      <c r="BGC23" s="224"/>
      <c r="BGD23" s="224"/>
      <c r="BGE23" s="224"/>
      <c r="BGF23" s="224"/>
      <c r="BGG23" s="224"/>
      <c r="BGH23" s="224"/>
      <c r="BGI23" s="224"/>
      <c r="BGJ23" s="224"/>
      <c r="BGK23" s="224"/>
      <c r="BGL23" s="224"/>
      <c r="BGM23" s="224"/>
      <c r="BGN23" s="224"/>
      <c r="BGO23" s="224"/>
      <c r="BGP23" s="224"/>
      <c r="BGQ23" s="224"/>
      <c r="BGR23" s="224"/>
      <c r="BGS23" s="224"/>
      <c r="BGT23" s="224"/>
      <c r="BGU23" s="224"/>
      <c r="BGV23" s="224"/>
      <c r="BGW23" s="224"/>
      <c r="BGX23" s="224"/>
      <c r="BGY23" s="224"/>
      <c r="BGZ23" s="224"/>
      <c r="BHA23" s="224"/>
      <c r="BHB23" s="224"/>
      <c r="BHC23" s="224"/>
      <c r="BHD23" s="224"/>
      <c r="BHE23" s="224"/>
      <c r="BHF23" s="224"/>
      <c r="BHG23" s="224"/>
      <c r="BHH23" s="224"/>
      <c r="BHI23" s="224"/>
      <c r="BHJ23" s="224"/>
      <c r="BHK23" s="224"/>
      <c r="BHL23" s="224"/>
      <c r="BHM23" s="224"/>
      <c r="BHN23" s="224"/>
      <c r="BHO23" s="224"/>
      <c r="BHP23" s="224"/>
      <c r="BHQ23" s="224"/>
      <c r="BHR23" s="224"/>
      <c r="BHS23" s="224"/>
      <c r="BHT23" s="224"/>
      <c r="BHU23" s="224"/>
      <c r="BHV23" s="224"/>
      <c r="BHW23" s="224"/>
      <c r="BHX23" s="224"/>
      <c r="BHY23" s="224"/>
      <c r="BHZ23" s="224"/>
      <c r="BIA23" s="224"/>
      <c r="BIB23" s="224"/>
      <c r="BIC23" s="224"/>
      <c r="BID23" s="224"/>
      <c r="BIE23" s="224"/>
      <c r="BIF23" s="224"/>
      <c r="BIG23" s="224"/>
      <c r="BIH23" s="224"/>
      <c r="BII23" s="224"/>
      <c r="BIJ23" s="224"/>
      <c r="BIK23" s="224"/>
      <c r="BIL23" s="224"/>
      <c r="BIM23" s="224"/>
      <c r="BIN23" s="224"/>
      <c r="BIO23" s="224"/>
      <c r="BIP23" s="224"/>
      <c r="BIQ23" s="224"/>
      <c r="BIR23" s="224"/>
      <c r="BIS23" s="224"/>
      <c r="BIT23" s="224"/>
      <c r="BIU23" s="224"/>
      <c r="BIV23" s="224"/>
      <c r="BIW23" s="224"/>
      <c r="BIX23" s="224"/>
      <c r="BIY23" s="224"/>
      <c r="BIZ23" s="224"/>
      <c r="BJA23" s="224"/>
      <c r="BJB23" s="224"/>
      <c r="BJC23" s="224"/>
      <c r="BJD23" s="224"/>
      <c r="BJE23" s="224"/>
      <c r="BJF23" s="224"/>
      <c r="BJG23" s="224"/>
      <c r="BJH23" s="224"/>
      <c r="BJI23" s="224"/>
      <c r="BJJ23" s="224"/>
      <c r="BJK23" s="224"/>
      <c r="BJL23" s="224"/>
      <c r="BJM23" s="224"/>
      <c r="BJN23" s="224"/>
      <c r="BJO23" s="224"/>
      <c r="BJP23" s="224"/>
      <c r="BJQ23" s="224"/>
      <c r="BJR23" s="224"/>
      <c r="BJS23" s="224"/>
      <c r="BJT23" s="224"/>
      <c r="BJU23" s="224"/>
      <c r="BJV23" s="224"/>
      <c r="BJW23" s="224"/>
      <c r="BJX23" s="224"/>
      <c r="BJY23" s="224"/>
      <c r="BJZ23" s="224"/>
      <c r="BKA23" s="224"/>
      <c r="BKB23" s="224"/>
      <c r="BKC23" s="224"/>
      <c r="BKD23" s="224"/>
      <c r="BKE23" s="224"/>
      <c r="BKF23" s="224"/>
      <c r="BKG23" s="224"/>
      <c r="BKH23" s="224"/>
      <c r="BKI23" s="224"/>
      <c r="BKJ23" s="224"/>
      <c r="BKK23" s="224"/>
      <c r="BKL23" s="224"/>
      <c r="BKM23" s="224"/>
      <c r="BKN23" s="224"/>
      <c r="BKO23" s="224"/>
      <c r="BKP23" s="224"/>
      <c r="BKQ23" s="224"/>
      <c r="BKR23" s="224"/>
      <c r="BKS23" s="224"/>
      <c r="BKT23" s="224"/>
      <c r="BKU23" s="224"/>
      <c r="BKV23" s="224"/>
      <c r="BKW23" s="224"/>
      <c r="BKX23" s="224"/>
      <c r="BKY23" s="224"/>
      <c r="BKZ23" s="224"/>
      <c r="BLA23" s="224"/>
      <c r="BLB23" s="224"/>
      <c r="BLC23" s="224"/>
      <c r="BLD23" s="224"/>
      <c r="BLE23" s="224"/>
      <c r="BLF23" s="224"/>
      <c r="BLG23" s="224"/>
      <c r="BLH23" s="224"/>
      <c r="BLI23" s="224"/>
      <c r="BLJ23" s="224"/>
      <c r="BLK23" s="224"/>
      <c r="BLL23" s="224"/>
      <c r="BLM23" s="224"/>
      <c r="BLN23" s="224"/>
      <c r="BLO23" s="224"/>
      <c r="BLP23" s="224"/>
      <c r="BLQ23" s="224"/>
      <c r="BLR23" s="224"/>
      <c r="BLS23" s="224"/>
      <c r="BLT23" s="224"/>
      <c r="BLU23" s="224"/>
      <c r="BLV23" s="224"/>
      <c r="BLW23" s="224"/>
      <c r="BLX23" s="224"/>
      <c r="BLY23" s="224"/>
      <c r="BLZ23" s="224"/>
      <c r="BMA23" s="224"/>
      <c r="BMB23" s="224"/>
      <c r="BMC23" s="224"/>
      <c r="BMD23" s="224"/>
      <c r="BME23" s="224"/>
      <c r="BMF23" s="224"/>
      <c r="BMG23" s="224"/>
      <c r="BMH23" s="224"/>
      <c r="BMI23" s="224"/>
      <c r="BMJ23" s="224"/>
      <c r="BMK23" s="224"/>
      <c r="BML23" s="224"/>
      <c r="BMM23" s="224"/>
      <c r="BMN23" s="224"/>
      <c r="BMO23" s="224"/>
      <c r="BMP23" s="224"/>
      <c r="BMQ23" s="224"/>
      <c r="BMR23" s="224"/>
      <c r="BMS23" s="224"/>
      <c r="BMT23" s="224"/>
      <c r="BMU23" s="224"/>
      <c r="BMV23" s="224"/>
      <c r="BMW23" s="224"/>
      <c r="BMX23" s="224"/>
      <c r="BMY23" s="224"/>
      <c r="BMZ23" s="224"/>
      <c r="BNA23" s="224"/>
      <c r="BNB23" s="224"/>
      <c r="BNC23" s="224"/>
      <c r="BND23" s="224"/>
      <c r="BNE23" s="224"/>
      <c r="BNF23" s="224"/>
      <c r="BNG23" s="224"/>
      <c r="BNH23" s="224"/>
      <c r="BNI23" s="224"/>
      <c r="BNJ23" s="224"/>
      <c r="BNK23" s="224"/>
      <c r="BNL23" s="224"/>
      <c r="BNM23" s="224"/>
      <c r="BNN23" s="224"/>
      <c r="BNO23" s="224"/>
      <c r="BNP23" s="224"/>
      <c r="BNQ23" s="224"/>
      <c r="BNR23" s="224"/>
      <c r="BNS23" s="224"/>
      <c r="BNT23" s="224"/>
      <c r="BNU23" s="224"/>
      <c r="BNV23" s="224"/>
      <c r="BNW23" s="224"/>
      <c r="BNX23" s="224"/>
      <c r="BNY23" s="224"/>
      <c r="BNZ23" s="224"/>
      <c r="BOA23" s="224"/>
      <c r="BOB23" s="224"/>
      <c r="BOC23" s="224"/>
      <c r="BOD23" s="224"/>
      <c r="BOE23" s="224"/>
      <c r="BOF23" s="224"/>
      <c r="BOG23" s="224"/>
      <c r="BOH23" s="224"/>
      <c r="BOI23" s="224"/>
      <c r="BOJ23" s="224"/>
      <c r="BOK23" s="224"/>
      <c r="BOL23" s="224"/>
      <c r="BOM23" s="224"/>
      <c r="BON23" s="224"/>
      <c r="BOO23" s="224"/>
      <c r="BOP23" s="224"/>
      <c r="BOQ23" s="224"/>
      <c r="BOR23" s="224"/>
      <c r="BOS23" s="224"/>
      <c r="BOT23" s="224"/>
      <c r="BOU23" s="224"/>
      <c r="BOV23" s="224"/>
      <c r="BOW23" s="224"/>
      <c r="BOX23" s="224"/>
      <c r="BOY23" s="224"/>
      <c r="BOZ23" s="224"/>
      <c r="BPA23" s="224"/>
      <c r="BPB23" s="224"/>
      <c r="BPC23" s="224"/>
      <c r="BPD23" s="224"/>
      <c r="BPE23" s="224"/>
      <c r="BPF23" s="224"/>
      <c r="BPG23" s="224"/>
      <c r="BPH23" s="224"/>
      <c r="BPI23" s="224"/>
      <c r="BPJ23" s="224"/>
      <c r="BPK23" s="224"/>
      <c r="BPL23" s="224"/>
      <c r="BPM23" s="224"/>
      <c r="BPN23" s="224"/>
      <c r="BPO23" s="224"/>
      <c r="BPP23" s="224"/>
      <c r="BPQ23" s="224"/>
      <c r="BPR23" s="224"/>
      <c r="BPS23" s="224"/>
      <c r="BPT23" s="224"/>
      <c r="BPU23" s="224"/>
      <c r="BPV23" s="224"/>
      <c r="BPW23" s="224"/>
      <c r="BPX23" s="224"/>
      <c r="BPY23" s="224"/>
      <c r="BPZ23" s="224"/>
      <c r="BQA23" s="224"/>
      <c r="BQB23" s="224"/>
      <c r="BQC23" s="224"/>
      <c r="BQD23" s="224"/>
      <c r="BQE23" s="224"/>
      <c r="BQF23" s="224"/>
      <c r="BQG23" s="224"/>
      <c r="BQH23" s="224"/>
      <c r="BQI23" s="224"/>
      <c r="BQJ23" s="224"/>
      <c r="BQK23" s="224"/>
      <c r="BQL23" s="224"/>
      <c r="BQM23" s="224"/>
      <c r="BQN23" s="224"/>
      <c r="BQO23" s="224"/>
      <c r="BQP23" s="224"/>
      <c r="BQQ23" s="224"/>
      <c r="BQR23" s="224"/>
      <c r="BQS23" s="224"/>
      <c r="BQT23" s="224"/>
      <c r="BQU23" s="224"/>
      <c r="BQV23" s="224"/>
      <c r="BQW23" s="224"/>
      <c r="BQX23" s="224"/>
      <c r="BQY23" s="224"/>
      <c r="BQZ23" s="224"/>
      <c r="BRA23" s="224"/>
      <c r="BRB23" s="224"/>
      <c r="BRC23" s="224"/>
      <c r="BRD23" s="224"/>
      <c r="BRE23" s="224"/>
      <c r="BRF23" s="224"/>
      <c r="BRG23" s="224"/>
      <c r="BRH23" s="224"/>
      <c r="BRI23" s="224"/>
      <c r="BRJ23" s="224"/>
      <c r="BRK23" s="224"/>
      <c r="BRL23" s="224"/>
      <c r="BRM23" s="224"/>
      <c r="BRN23" s="224"/>
      <c r="BRO23" s="224"/>
      <c r="BRP23" s="224"/>
      <c r="BRQ23" s="224"/>
      <c r="BRR23" s="224"/>
      <c r="BRS23" s="224"/>
      <c r="BRT23" s="224"/>
      <c r="BRU23" s="224"/>
      <c r="BRV23" s="224"/>
      <c r="BRW23" s="224"/>
      <c r="BRX23" s="224"/>
      <c r="BRY23" s="224"/>
      <c r="BRZ23" s="224"/>
      <c r="BSA23" s="224"/>
      <c r="BSB23" s="224"/>
      <c r="BSC23" s="224"/>
      <c r="BSD23" s="224"/>
      <c r="BSE23" s="224"/>
      <c r="BSF23" s="224"/>
      <c r="BSG23" s="224"/>
      <c r="BSH23" s="224"/>
      <c r="BSI23" s="224"/>
      <c r="BSJ23" s="224"/>
      <c r="BSK23" s="224"/>
      <c r="BSL23" s="224"/>
      <c r="BSM23" s="224"/>
      <c r="BSN23" s="224"/>
      <c r="BSO23" s="224"/>
      <c r="BSP23" s="224"/>
      <c r="BSQ23" s="224"/>
      <c r="BSR23" s="224"/>
      <c r="BSS23" s="224"/>
      <c r="BST23" s="224"/>
      <c r="BSU23" s="224"/>
      <c r="BSV23" s="224"/>
      <c r="BSW23" s="224"/>
      <c r="BSX23" s="224"/>
      <c r="BSY23" s="224"/>
      <c r="BSZ23" s="224"/>
      <c r="BTA23" s="224"/>
      <c r="BTB23" s="224"/>
      <c r="BTC23" s="224"/>
      <c r="BTD23" s="224"/>
      <c r="BTE23" s="224"/>
      <c r="BTF23" s="224"/>
      <c r="BTG23" s="224"/>
      <c r="BTH23" s="224"/>
      <c r="BTI23" s="224"/>
      <c r="BTJ23" s="224"/>
      <c r="BTK23" s="224"/>
      <c r="BTL23" s="224"/>
      <c r="BTM23" s="224"/>
      <c r="BTN23" s="224"/>
      <c r="BTO23" s="224"/>
      <c r="BTP23" s="224"/>
      <c r="BTQ23" s="224"/>
      <c r="BTR23" s="224"/>
      <c r="BTS23" s="224"/>
      <c r="BTT23" s="224"/>
      <c r="BTU23" s="224"/>
      <c r="BTV23" s="224"/>
      <c r="BTW23" s="224"/>
      <c r="BTX23" s="224"/>
      <c r="BTY23" s="224"/>
      <c r="BTZ23" s="224"/>
      <c r="BUA23" s="224"/>
      <c r="BUB23" s="224"/>
      <c r="BUC23" s="224"/>
      <c r="BUD23" s="224"/>
      <c r="BUE23" s="224"/>
      <c r="BUF23" s="224"/>
      <c r="BUG23" s="224"/>
      <c r="BUH23" s="224"/>
      <c r="BUI23" s="224"/>
      <c r="BUJ23" s="224"/>
      <c r="BUK23" s="224"/>
      <c r="BUL23" s="224"/>
      <c r="BUM23" s="224"/>
      <c r="BUN23" s="224"/>
      <c r="BUO23" s="224"/>
      <c r="BUP23" s="224"/>
      <c r="BUQ23" s="224"/>
      <c r="BUR23" s="224"/>
      <c r="BUS23" s="224"/>
      <c r="BUT23" s="224"/>
      <c r="BUU23" s="224"/>
      <c r="BUV23" s="224"/>
      <c r="BUW23" s="224"/>
      <c r="BUX23" s="224"/>
      <c r="BUY23" s="224"/>
      <c r="BUZ23" s="224"/>
      <c r="BVA23" s="224"/>
      <c r="BVB23" s="224"/>
      <c r="BVC23" s="224"/>
      <c r="BVD23" s="224"/>
      <c r="BVE23" s="224"/>
      <c r="BVF23" s="224"/>
      <c r="BVG23" s="224"/>
      <c r="BVH23" s="224"/>
      <c r="BVI23" s="224"/>
      <c r="BVJ23" s="224"/>
      <c r="BVK23" s="224"/>
      <c r="BVL23" s="224"/>
      <c r="BVM23" s="224"/>
      <c r="BVN23" s="224"/>
      <c r="BVO23" s="224"/>
      <c r="BVP23" s="224"/>
      <c r="BVQ23" s="224"/>
      <c r="BVR23" s="224"/>
      <c r="BVS23" s="224"/>
      <c r="BVT23" s="224"/>
      <c r="BVU23" s="224"/>
      <c r="BVV23" s="224"/>
      <c r="BVW23" s="224"/>
      <c r="BVX23" s="224"/>
      <c r="BVY23" s="224"/>
      <c r="BVZ23" s="224"/>
      <c r="BWA23" s="224"/>
      <c r="BWB23" s="224"/>
      <c r="BWC23" s="224"/>
      <c r="BWD23" s="224"/>
      <c r="BWE23" s="224"/>
      <c r="BWF23" s="224"/>
      <c r="BWG23" s="224"/>
      <c r="BWH23" s="224"/>
      <c r="BWI23" s="224"/>
      <c r="BWJ23" s="224"/>
      <c r="BWK23" s="224"/>
      <c r="BWL23" s="224"/>
      <c r="BWM23" s="224"/>
      <c r="BWN23" s="224"/>
      <c r="BWO23" s="224"/>
      <c r="BWP23" s="224"/>
      <c r="BWQ23" s="224"/>
      <c r="BWR23" s="224"/>
      <c r="BWS23" s="224"/>
      <c r="BWT23" s="224"/>
      <c r="BWU23" s="224"/>
      <c r="BWV23" s="224"/>
      <c r="BWW23" s="224"/>
      <c r="BWX23" s="224"/>
      <c r="BWY23" s="224"/>
      <c r="BWZ23" s="224"/>
      <c r="BXA23" s="224"/>
      <c r="BXB23" s="224"/>
      <c r="BXC23" s="224"/>
      <c r="BXD23" s="224"/>
      <c r="BXE23" s="224"/>
      <c r="BXF23" s="224"/>
      <c r="BXG23" s="224"/>
      <c r="BXH23" s="224"/>
      <c r="BXI23" s="224"/>
      <c r="BXJ23" s="224"/>
      <c r="BXK23" s="224"/>
      <c r="BXL23" s="224"/>
      <c r="BXM23" s="224"/>
      <c r="BXN23" s="224"/>
      <c r="BXO23" s="224"/>
      <c r="BXP23" s="224"/>
      <c r="BXQ23" s="224"/>
      <c r="BXR23" s="224"/>
      <c r="BXS23" s="224"/>
      <c r="BXT23" s="224"/>
      <c r="BXU23" s="224"/>
      <c r="BXV23" s="224"/>
      <c r="BXW23" s="224"/>
      <c r="BXX23" s="224"/>
      <c r="BXY23" s="224"/>
      <c r="BXZ23" s="224"/>
      <c r="BYA23" s="224"/>
      <c r="BYB23" s="224"/>
      <c r="BYC23" s="224"/>
      <c r="BYD23" s="224"/>
      <c r="BYE23" s="224"/>
      <c r="BYF23" s="224"/>
      <c r="BYG23" s="224"/>
    </row>
    <row r="24" spans="1:2009" s="100" customFormat="1" ht="12.75" hidden="1" customHeight="1" thickBot="1" x14ac:dyDescent="0.3">
      <c r="A24" s="107"/>
      <c r="B24" s="108"/>
      <c r="C24" s="182"/>
      <c r="D24" s="182"/>
      <c r="E24" s="182"/>
      <c r="F24" s="182"/>
      <c r="G24" s="182"/>
      <c r="H24" s="99"/>
      <c r="I24" s="99"/>
      <c r="J24" s="99"/>
      <c r="K24" s="467"/>
      <c r="L24" s="466">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101</v>
      </c>
      <c r="B25" s="139"/>
      <c r="C25" s="183"/>
      <c r="D25" s="183"/>
      <c r="E25" s="184"/>
      <c r="F25" s="184"/>
      <c r="G25" s="185"/>
      <c r="H25" s="94"/>
      <c r="I25" s="94"/>
      <c r="J25" s="94"/>
      <c r="K25" s="467"/>
      <c r="L25" s="467" t="s">
        <v>222</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167</v>
      </c>
      <c r="C26" s="186"/>
      <c r="D26" s="186"/>
      <c r="E26" s="187"/>
      <c r="F26" s="187"/>
      <c r="G26" s="188"/>
      <c r="H26" s="94"/>
      <c r="I26" s="94"/>
      <c r="J26" s="94"/>
      <c r="K26" s="468"/>
      <c r="L26"/>
      <c r="M26" s="469">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31" customFormat="1" ht="24.95" hidden="1" customHeight="1" thickBot="1" x14ac:dyDescent="0.3">
      <c r="A27" s="226"/>
      <c r="B27" s="227" t="s">
        <v>149</v>
      </c>
      <c r="C27" s="228"/>
      <c r="D27" s="229"/>
      <c r="E27" s="229"/>
      <c r="F27" s="229">
        <f>SUM(F25:F26)</f>
        <v>0</v>
      </c>
      <c r="G27" s="230">
        <f>ROUND(SUM(C27:F27),5)</f>
        <v>0</v>
      </c>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c r="IW27" s="212"/>
      <c r="IX27" s="212"/>
      <c r="IY27" s="212"/>
      <c r="IZ27" s="212"/>
      <c r="JA27" s="212"/>
      <c r="JB27" s="212"/>
      <c r="JC27" s="212"/>
      <c r="JD27" s="212"/>
      <c r="JE27" s="212"/>
      <c r="JF27" s="212"/>
      <c r="JG27" s="212"/>
      <c r="JH27" s="212"/>
      <c r="JI27" s="212"/>
      <c r="JJ27" s="212"/>
      <c r="JK27" s="212"/>
      <c r="JL27" s="212"/>
      <c r="JM27" s="212"/>
      <c r="JN27" s="212"/>
      <c r="JO27" s="212"/>
      <c r="JP27" s="212"/>
      <c r="JQ27" s="212"/>
      <c r="JR27" s="212"/>
      <c r="JS27" s="212"/>
      <c r="JT27" s="212"/>
      <c r="JU27" s="212"/>
      <c r="JV27" s="212"/>
      <c r="JW27" s="212"/>
      <c r="JX27" s="212"/>
      <c r="JY27" s="212"/>
      <c r="JZ27" s="212"/>
      <c r="KA27" s="212"/>
      <c r="KB27" s="212"/>
      <c r="KC27" s="212"/>
      <c r="KD27" s="212"/>
      <c r="KE27" s="212"/>
      <c r="KF27" s="212"/>
      <c r="KG27" s="212"/>
      <c r="KH27" s="212"/>
      <c r="KI27" s="212"/>
      <c r="KJ27" s="212"/>
      <c r="KK27" s="212"/>
      <c r="KL27" s="212"/>
      <c r="KM27" s="212"/>
      <c r="KN27" s="212"/>
      <c r="KO27" s="212"/>
      <c r="KP27" s="212"/>
      <c r="KQ27" s="212"/>
      <c r="KR27" s="212"/>
      <c r="KS27" s="212"/>
      <c r="KT27" s="212"/>
      <c r="KU27" s="212"/>
      <c r="KV27" s="212"/>
      <c r="KW27" s="212"/>
      <c r="KX27" s="212"/>
      <c r="KY27" s="212"/>
      <c r="KZ27" s="212"/>
      <c r="LA27" s="212"/>
      <c r="LB27" s="212"/>
      <c r="LC27" s="212"/>
      <c r="LD27" s="212"/>
      <c r="LE27" s="212"/>
      <c r="LF27" s="212"/>
      <c r="LG27" s="212"/>
      <c r="LH27" s="212"/>
      <c r="LI27" s="212"/>
      <c r="LJ27" s="212"/>
      <c r="LK27" s="212"/>
      <c r="LL27" s="212"/>
      <c r="LM27" s="212"/>
      <c r="LN27" s="212"/>
      <c r="LO27" s="212"/>
      <c r="LP27" s="212"/>
      <c r="LQ27" s="212"/>
      <c r="LR27" s="212"/>
      <c r="LS27" s="212"/>
      <c r="LT27" s="212"/>
      <c r="LU27" s="212"/>
      <c r="LV27" s="212"/>
      <c r="LW27" s="212"/>
      <c r="LX27" s="212"/>
      <c r="LY27" s="212"/>
      <c r="LZ27" s="212"/>
      <c r="MA27" s="212"/>
      <c r="MB27" s="212"/>
      <c r="MC27" s="212"/>
      <c r="MD27" s="212"/>
      <c r="ME27" s="212"/>
      <c r="MF27" s="212"/>
      <c r="MG27" s="212"/>
      <c r="MH27" s="212"/>
      <c r="MI27" s="212"/>
      <c r="MJ27" s="212"/>
      <c r="MK27" s="212"/>
      <c r="ML27" s="212"/>
      <c r="MM27" s="212"/>
      <c r="MN27" s="212"/>
      <c r="MO27" s="212"/>
      <c r="MP27" s="212"/>
      <c r="MQ27" s="212"/>
      <c r="MR27" s="212"/>
      <c r="MS27" s="212"/>
      <c r="MT27" s="212"/>
      <c r="MU27" s="212"/>
      <c r="MV27" s="212"/>
      <c r="MW27" s="212"/>
      <c r="MX27" s="212"/>
      <c r="MY27" s="212"/>
      <c r="MZ27" s="212"/>
      <c r="NA27" s="212"/>
      <c r="NB27" s="212"/>
      <c r="NC27" s="212"/>
      <c r="ND27" s="212"/>
      <c r="NE27" s="212"/>
      <c r="NF27" s="212"/>
      <c r="NG27" s="212"/>
      <c r="NH27" s="212"/>
      <c r="NI27" s="212"/>
      <c r="NJ27" s="212"/>
      <c r="NK27" s="212"/>
      <c r="NL27" s="212"/>
      <c r="NM27" s="212"/>
      <c r="NN27" s="212"/>
      <c r="NO27" s="212"/>
      <c r="NP27" s="212"/>
      <c r="NQ27" s="212"/>
      <c r="NR27" s="212"/>
      <c r="NS27" s="212"/>
      <c r="NT27" s="212"/>
      <c r="NU27" s="212"/>
      <c r="NV27" s="212"/>
      <c r="NW27" s="212"/>
      <c r="NX27" s="212"/>
      <c r="NY27" s="212"/>
      <c r="NZ27" s="212"/>
      <c r="OA27" s="212"/>
      <c r="OB27" s="212"/>
      <c r="OC27" s="212"/>
      <c r="OD27" s="212"/>
      <c r="OE27" s="212"/>
      <c r="OF27" s="212"/>
      <c r="OG27" s="212"/>
      <c r="OH27" s="212"/>
      <c r="OI27" s="212"/>
      <c r="OJ27" s="212"/>
      <c r="OK27" s="212"/>
      <c r="OL27" s="212"/>
      <c r="OM27" s="212"/>
      <c r="ON27" s="212"/>
      <c r="OO27" s="212"/>
      <c r="OP27" s="212"/>
      <c r="OQ27" s="212"/>
      <c r="OR27" s="212"/>
      <c r="OS27" s="212"/>
      <c r="OT27" s="212"/>
      <c r="OU27" s="212"/>
      <c r="OV27" s="212"/>
      <c r="OW27" s="212"/>
      <c r="OX27" s="212"/>
      <c r="OY27" s="212"/>
      <c r="OZ27" s="212"/>
      <c r="PA27" s="212"/>
      <c r="PB27" s="212"/>
      <c r="PC27" s="212"/>
      <c r="PD27" s="212"/>
      <c r="PE27" s="212"/>
      <c r="PF27" s="212"/>
      <c r="PG27" s="212"/>
      <c r="PH27" s="212"/>
      <c r="PI27" s="212"/>
      <c r="PJ27" s="212"/>
      <c r="PK27" s="212"/>
      <c r="PL27" s="212"/>
      <c r="PM27" s="212"/>
      <c r="PN27" s="212"/>
      <c r="PO27" s="212"/>
      <c r="PP27" s="212"/>
      <c r="PQ27" s="212"/>
      <c r="PR27" s="212"/>
      <c r="PS27" s="212"/>
      <c r="PT27" s="212"/>
      <c r="PU27" s="212"/>
      <c r="PV27" s="212"/>
      <c r="PW27" s="212"/>
      <c r="PX27" s="212"/>
      <c r="PY27" s="212"/>
      <c r="PZ27" s="212"/>
      <c r="QA27" s="212"/>
      <c r="QB27" s="212"/>
      <c r="QC27" s="212"/>
      <c r="QD27" s="212"/>
      <c r="QE27" s="212"/>
      <c r="QF27" s="212"/>
      <c r="QG27" s="212"/>
      <c r="QH27" s="212"/>
      <c r="QI27" s="212"/>
      <c r="QJ27" s="212"/>
      <c r="QK27" s="212"/>
      <c r="QL27" s="212"/>
      <c r="QM27" s="212"/>
      <c r="QN27" s="212"/>
      <c r="QO27" s="212"/>
      <c r="QP27" s="212"/>
      <c r="QQ27" s="212"/>
      <c r="QR27" s="212"/>
      <c r="QS27" s="212"/>
      <c r="QT27" s="212"/>
      <c r="QU27" s="212"/>
      <c r="QV27" s="212"/>
      <c r="QW27" s="212"/>
      <c r="QX27" s="212"/>
      <c r="QY27" s="212"/>
      <c r="QZ27" s="212"/>
      <c r="RA27" s="212"/>
      <c r="RB27" s="212"/>
      <c r="RC27" s="212"/>
      <c r="RD27" s="212"/>
      <c r="RE27" s="212"/>
      <c r="RF27" s="212"/>
      <c r="RG27" s="212"/>
      <c r="RH27" s="212"/>
      <c r="RI27" s="212"/>
      <c r="RJ27" s="212"/>
      <c r="RK27" s="212"/>
      <c r="RL27" s="212"/>
      <c r="RM27" s="212"/>
      <c r="RN27" s="212"/>
      <c r="RO27" s="212"/>
      <c r="RP27" s="212"/>
      <c r="RQ27" s="212"/>
      <c r="RR27" s="212"/>
      <c r="RS27" s="212"/>
      <c r="RT27" s="212"/>
      <c r="RU27" s="212"/>
      <c r="RV27" s="212"/>
      <c r="RW27" s="212"/>
      <c r="RX27" s="212"/>
      <c r="RY27" s="212"/>
      <c r="RZ27" s="212"/>
      <c r="SA27" s="212"/>
      <c r="SB27" s="212"/>
      <c r="SC27" s="212"/>
      <c r="SD27" s="212"/>
      <c r="SE27" s="212"/>
      <c r="SF27" s="212"/>
      <c r="SG27" s="212"/>
      <c r="SH27" s="212"/>
      <c r="SI27" s="212"/>
      <c r="SJ27" s="212"/>
      <c r="SK27" s="212"/>
      <c r="SL27" s="212"/>
      <c r="SM27" s="212"/>
      <c r="SN27" s="212"/>
      <c r="SO27" s="212"/>
      <c r="SP27" s="212"/>
      <c r="SQ27" s="212"/>
      <c r="SR27" s="212"/>
      <c r="SS27" s="212"/>
      <c r="ST27" s="212"/>
      <c r="SU27" s="212"/>
      <c r="SV27" s="212"/>
      <c r="SW27" s="212"/>
      <c r="SX27" s="212"/>
      <c r="SY27" s="212"/>
      <c r="SZ27" s="212"/>
      <c r="TA27" s="212"/>
      <c r="TB27" s="212"/>
      <c r="TC27" s="212"/>
      <c r="TD27" s="212"/>
      <c r="TE27" s="212"/>
      <c r="TF27" s="212"/>
      <c r="TG27" s="212"/>
      <c r="TH27" s="212"/>
      <c r="TI27" s="212"/>
      <c r="TJ27" s="212"/>
      <c r="TK27" s="212"/>
      <c r="TL27" s="212"/>
      <c r="TM27" s="212"/>
      <c r="TN27" s="212"/>
      <c r="TO27" s="212"/>
      <c r="TP27" s="212"/>
      <c r="TQ27" s="212"/>
      <c r="TR27" s="212"/>
      <c r="TS27" s="212"/>
      <c r="TT27" s="212"/>
      <c r="TU27" s="212"/>
      <c r="TV27" s="212"/>
      <c r="TW27" s="212"/>
      <c r="TX27" s="212"/>
      <c r="TY27" s="212"/>
      <c r="TZ27" s="212"/>
      <c r="UA27" s="212"/>
      <c r="UB27" s="212"/>
      <c r="UC27" s="212"/>
      <c r="UD27" s="212"/>
      <c r="UE27" s="212"/>
      <c r="UF27" s="212"/>
      <c r="UG27" s="212"/>
      <c r="UH27" s="212"/>
      <c r="UI27" s="212"/>
      <c r="UJ27" s="212"/>
      <c r="UK27" s="212"/>
      <c r="UL27" s="212"/>
      <c r="UM27" s="212"/>
      <c r="UN27" s="212"/>
      <c r="UO27" s="212"/>
      <c r="UP27" s="212"/>
      <c r="UQ27" s="212"/>
      <c r="UR27" s="212"/>
      <c r="US27" s="212"/>
      <c r="UT27" s="212"/>
      <c r="UU27" s="212"/>
      <c r="UV27" s="212"/>
      <c r="UW27" s="212"/>
      <c r="UX27" s="212"/>
      <c r="UY27" s="212"/>
      <c r="UZ27" s="212"/>
      <c r="VA27" s="212"/>
      <c r="VB27" s="212"/>
      <c r="VC27" s="212"/>
      <c r="VD27" s="212"/>
      <c r="VE27" s="212"/>
      <c r="VF27" s="212"/>
      <c r="VG27" s="212"/>
      <c r="VH27" s="212"/>
      <c r="VI27" s="212"/>
      <c r="VJ27" s="212"/>
      <c r="VK27" s="212"/>
      <c r="VL27" s="212"/>
      <c r="VM27" s="212"/>
      <c r="VN27" s="212"/>
      <c r="VO27" s="212"/>
      <c r="VP27" s="212"/>
      <c r="VQ27" s="212"/>
      <c r="VR27" s="212"/>
      <c r="VS27" s="212"/>
      <c r="VT27" s="212"/>
      <c r="VU27" s="212"/>
      <c r="VV27" s="212"/>
      <c r="VW27" s="212"/>
      <c r="VX27" s="212"/>
      <c r="VY27" s="212"/>
      <c r="VZ27" s="212"/>
      <c r="WA27" s="212"/>
      <c r="WB27" s="212"/>
      <c r="WC27" s="212"/>
      <c r="WD27" s="212"/>
      <c r="WE27" s="212"/>
      <c r="WF27" s="212"/>
      <c r="WG27" s="212"/>
      <c r="WH27" s="212"/>
      <c r="WI27" s="212"/>
      <c r="WJ27" s="212"/>
      <c r="WK27" s="212"/>
      <c r="WL27" s="212"/>
      <c r="WM27" s="212"/>
      <c r="WN27" s="212"/>
      <c r="WO27" s="212"/>
      <c r="WP27" s="212"/>
      <c r="WQ27" s="212"/>
      <c r="WR27" s="212"/>
      <c r="WS27" s="212"/>
      <c r="WT27" s="212"/>
      <c r="WU27" s="212"/>
      <c r="WV27" s="212"/>
      <c r="WW27" s="212"/>
      <c r="WX27" s="212"/>
      <c r="WY27" s="212"/>
      <c r="WZ27" s="212"/>
      <c r="XA27" s="212"/>
      <c r="XB27" s="212"/>
      <c r="XC27" s="212"/>
      <c r="XD27" s="212"/>
      <c r="XE27" s="212"/>
      <c r="XF27" s="212"/>
      <c r="XG27" s="212"/>
      <c r="XH27" s="212"/>
      <c r="XI27" s="212"/>
      <c r="XJ27" s="212"/>
      <c r="XK27" s="212"/>
      <c r="XL27" s="212"/>
      <c r="XM27" s="212"/>
      <c r="XN27" s="212"/>
      <c r="XO27" s="212"/>
      <c r="XP27" s="212"/>
      <c r="XQ27" s="212"/>
      <c r="XR27" s="212"/>
      <c r="XS27" s="212"/>
      <c r="XT27" s="212"/>
      <c r="XU27" s="212"/>
      <c r="XV27" s="212"/>
      <c r="XW27" s="212"/>
      <c r="XX27" s="212"/>
      <c r="XY27" s="212"/>
      <c r="XZ27" s="212"/>
      <c r="YA27" s="212"/>
      <c r="YB27" s="212"/>
      <c r="YC27" s="212"/>
      <c r="YD27" s="212"/>
      <c r="YE27" s="212"/>
      <c r="YF27" s="212"/>
      <c r="YG27" s="212"/>
      <c r="YH27" s="212"/>
      <c r="YI27" s="212"/>
      <c r="YJ27" s="212"/>
      <c r="YK27" s="212"/>
      <c r="YL27" s="212"/>
      <c r="YM27" s="212"/>
      <c r="YN27" s="212"/>
      <c r="YO27" s="212"/>
      <c r="YP27" s="212"/>
      <c r="YQ27" s="212"/>
      <c r="YR27" s="212"/>
      <c r="YS27" s="212"/>
      <c r="YT27" s="212"/>
      <c r="YU27" s="212"/>
      <c r="YV27" s="212"/>
      <c r="YW27" s="212"/>
      <c r="YX27" s="212"/>
      <c r="YY27" s="212"/>
      <c r="YZ27" s="212"/>
      <c r="ZA27" s="212"/>
      <c r="ZB27" s="212"/>
      <c r="ZC27" s="212"/>
      <c r="ZD27" s="212"/>
      <c r="ZE27" s="212"/>
      <c r="ZF27" s="212"/>
      <c r="ZG27" s="212"/>
      <c r="ZH27" s="212"/>
      <c r="ZI27" s="212"/>
      <c r="ZJ27" s="212"/>
      <c r="ZK27" s="212"/>
      <c r="ZL27" s="212"/>
      <c r="ZM27" s="212"/>
      <c r="ZN27" s="212"/>
      <c r="ZO27" s="212"/>
      <c r="ZP27" s="212"/>
      <c r="ZQ27" s="212"/>
      <c r="ZR27" s="212"/>
      <c r="ZS27" s="212"/>
      <c r="ZT27" s="212"/>
      <c r="ZU27" s="212"/>
      <c r="ZV27" s="212"/>
      <c r="ZW27" s="212"/>
      <c r="ZX27" s="212"/>
      <c r="ZY27" s="212"/>
      <c r="ZZ27" s="212"/>
      <c r="AAA27" s="212"/>
      <c r="AAB27" s="212"/>
      <c r="AAC27" s="212"/>
      <c r="AAD27" s="212"/>
      <c r="AAE27" s="212"/>
      <c r="AAF27" s="212"/>
      <c r="AAG27" s="212"/>
      <c r="AAH27" s="212"/>
      <c r="AAI27" s="212"/>
      <c r="AAJ27" s="212"/>
      <c r="AAK27" s="212"/>
      <c r="AAL27" s="212"/>
      <c r="AAM27" s="212"/>
      <c r="AAN27" s="212"/>
      <c r="AAO27" s="212"/>
      <c r="AAP27" s="212"/>
      <c r="AAQ27" s="212"/>
      <c r="AAR27" s="212"/>
      <c r="AAS27" s="212"/>
      <c r="AAT27" s="212"/>
      <c r="AAU27" s="212"/>
      <c r="AAV27" s="212"/>
      <c r="AAW27" s="212"/>
      <c r="AAX27" s="212"/>
      <c r="AAY27" s="212"/>
      <c r="AAZ27" s="212"/>
      <c r="ABA27" s="212"/>
      <c r="ABB27" s="212"/>
      <c r="ABC27" s="212"/>
      <c r="ABD27" s="212"/>
      <c r="ABE27" s="212"/>
      <c r="ABF27" s="212"/>
      <c r="ABG27" s="212"/>
      <c r="ABH27" s="212"/>
      <c r="ABI27" s="212"/>
      <c r="ABJ27" s="212"/>
      <c r="ABK27" s="212"/>
      <c r="ABL27" s="212"/>
      <c r="ABM27" s="212"/>
      <c r="ABN27" s="212"/>
      <c r="ABO27" s="212"/>
      <c r="ABP27" s="212"/>
      <c r="ABQ27" s="212"/>
      <c r="ABR27" s="212"/>
      <c r="ABS27" s="212"/>
      <c r="ABT27" s="212"/>
      <c r="ABU27" s="212"/>
      <c r="ABV27" s="212"/>
      <c r="ABW27" s="212"/>
      <c r="ABX27" s="212"/>
      <c r="ABY27" s="212"/>
      <c r="ABZ27" s="212"/>
      <c r="ACA27" s="212"/>
      <c r="ACB27" s="212"/>
      <c r="ACC27" s="212"/>
      <c r="ACD27" s="212"/>
      <c r="ACE27" s="212"/>
      <c r="ACF27" s="212"/>
      <c r="ACG27" s="212"/>
      <c r="ACH27" s="212"/>
      <c r="ACI27" s="212"/>
      <c r="ACJ27" s="212"/>
      <c r="ACK27" s="212"/>
      <c r="ACL27" s="212"/>
      <c r="ACM27" s="212"/>
      <c r="ACN27" s="212"/>
      <c r="ACO27" s="212"/>
      <c r="ACP27" s="212"/>
      <c r="ACQ27" s="212"/>
      <c r="ACR27" s="212"/>
      <c r="ACS27" s="212"/>
      <c r="ACT27" s="212"/>
      <c r="ACU27" s="212"/>
      <c r="ACV27" s="212"/>
      <c r="ACW27" s="212"/>
      <c r="ACX27" s="212"/>
      <c r="ACY27" s="212"/>
      <c r="ACZ27" s="212"/>
      <c r="ADA27" s="212"/>
      <c r="ADB27" s="212"/>
      <c r="ADC27" s="212"/>
      <c r="ADD27" s="212"/>
      <c r="ADE27" s="212"/>
      <c r="ADF27" s="212"/>
      <c r="ADG27" s="212"/>
      <c r="ADH27" s="212"/>
      <c r="ADI27" s="212"/>
      <c r="ADJ27" s="212"/>
      <c r="ADK27" s="212"/>
      <c r="ADL27" s="212"/>
      <c r="ADM27" s="212"/>
      <c r="ADN27" s="212"/>
      <c r="ADO27" s="212"/>
      <c r="ADP27" s="212"/>
      <c r="ADQ27" s="212"/>
      <c r="ADR27" s="212"/>
      <c r="ADS27" s="212"/>
      <c r="ADT27" s="212"/>
      <c r="ADU27" s="212"/>
      <c r="ADV27" s="212"/>
      <c r="ADW27" s="212"/>
      <c r="ADX27" s="212"/>
      <c r="ADY27" s="212"/>
      <c r="ADZ27" s="212"/>
      <c r="AEA27" s="212"/>
      <c r="AEB27" s="212"/>
      <c r="AEC27" s="212"/>
      <c r="AED27" s="212"/>
      <c r="AEE27" s="212"/>
      <c r="AEF27" s="212"/>
      <c r="AEG27" s="212"/>
      <c r="AEH27" s="212"/>
      <c r="AEI27" s="212"/>
      <c r="AEJ27" s="212"/>
      <c r="AEK27" s="212"/>
      <c r="AEL27" s="212"/>
      <c r="AEM27" s="212"/>
      <c r="AEN27" s="212"/>
      <c r="AEO27" s="212"/>
      <c r="AEP27" s="212"/>
      <c r="AEQ27" s="212"/>
      <c r="AER27" s="212"/>
      <c r="AES27" s="212"/>
      <c r="AET27" s="212"/>
      <c r="AEU27" s="212"/>
      <c r="AEV27" s="212"/>
      <c r="AEW27" s="212"/>
      <c r="AEX27" s="212"/>
      <c r="AEY27" s="212"/>
      <c r="AEZ27" s="212"/>
      <c r="AFA27" s="212"/>
      <c r="AFB27" s="212"/>
      <c r="AFC27" s="212"/>
      <c r="AFD27" s="212"/>
      <c r="AFE27" s="212"/>
      <c r="AFF27" s="212"/>
      <c r="AFG27" s="212"/>
      <c r="AFH27" s="212"/>
      <c r="AFI27" s="212"/>
      <c r="AFJ27" s="212"/>
      <c r="AFK27" s="212"/>
      <c r="AFL27" s="212"/>
      <c r="AFM27" s="212"/>
      <c r="AFN27" s="212"/>
      <c r="AFO27" s="212"/>
      <c r="AFP27" s="212"/>
      <c r="AFQ27" s="212"/>
      <c r="AFR27" s="212"/>
      <c r="AFS27" s="212"/>
      <c r="AFT27" s="212"/>
      <c r="AFU27" s="212"/>
      <c r="AFV27" s="212"/>
      <c r="AFW27" s="212"/>
      <c r="AFX27" s="212"/>
      <c r="AFY27" s="212"/>
      <c r="AFZ27" s="212"/>
      <c r="AGA27" s="212"/>
      <c r="AGB27" s="212"/>
      <c r="AGC27" s="212"/>
      <c r="AGD27" s="212"/>
      <c r="AGE27" s="212"/>
      <c r="AGF27" s="212"/>
      <c r="AGG27" s="212"/>
      <c r="AGH27" s="212"/>
      <c r="AGI27" s="212"/>
      <c r="AGJ27" s="212"/>
      <c r="AGK27" s="212"/>
      <c r="AGL27" s="212"/>
      <c r="AGM27" s="212"/>
      <c r="AGN27" s="212"/>
      <c r="AGO27" s="212"/>
      <c r="AGP27" s="212"/>
      <c r="AGQ27" s="212"/>
      <c r="AGR27" s="212"/>
      <c r="AGS27" s="212"/>
      <c r="AGT27" s="212"/>
      <c r="AGU27" s="212"/>
      <c r="AGV27" s="212"/>
      <c r="AGW27" s="212"/>
      <c r="AGX27" s="212"/>
      <c r="AGY27" s="212"/>
      <c r="AGZ27" s="212"/>
      <c r="AHA27" s="212"/>
      <c r="AHB27" s="212"/>
      <c r="AHC27" s="212"/>
      <c r="AHD27" s="212"/>
      <c r="AHE27" s="212"/>
      <c r="AHF27" s="212"/>
      <c r="AHG27" s="212"/>
      <c r="AHH27" s="212"/>
      <c r="AHI27" s="212"/>
      <c r="AHJ27" s="212"/>
      <c r="AHK27" s="212"/>
      <c r="AHL27" s="212"/>
      <c r="AHM27" s="212"/>
      <c r="AHN27" s="212"/>
      <c r="AHO27" s="212"/>
      <c r="AHP27" s="212"/>
      <c r="AHQ27" s="212"/>
      <c r="AHR27" s="212"/>
      <c r="AHS27" s="212"/>
      <c r="AHT27" s="212"/>
      <c r="AHU27" s="212"/>
      <c r="AHV27" s="212"/>
      <c r="AHW27" s="212"/>
      <c r="AHX27" s="212"/>
      <c r="AHY27" s="212"/>
      <c r="AHZ27" s="212"/>
      <c r="AIA27" s="212"/>
      <c r="AIB27" s="212"/>
      <c r="AIC27" s="212"/>
      <c r="AID27" s="212"/>
      <c r="AIE27" s="212"/>
      <c r="AIF27" s="212"/>
      <c r="AIG27" s="212"/>
      <c r="AIH27" s="212"/>
      <c r="AII27" s="212"/>
      <c r="AIJ27" s="212"/>
      <c r="AIK27" s="212"/>
      <c r="AIL27" s="212"/>
      <c r="AIM27" s="212"/>
      <c r="AIN27" s="212"/>
      <c r="AIO27" s="212"/>
      <c r="AIP27" s="212"/>
      <c r="AIQ27" s="212"/>
      <c r="AIR27" s="212"/>
      <c r="AIS27" s="212"/>
      <c r="AIT27" s="212"/>
      <c r="AIU27" s="212"/>
      <c r="AIV27" s="212"/>
      <c r="AIW27" s="212"/>
      <c r="AIX27" s="212"/>
      <c r="AIY27" s="212"/>
      <c r="AIZ27" s="212"/>
      <c r="AJA27" s="212"/>
      <c r="AJB27" s="212"/>
      <c r="AJC27" s="212"/>
      <c r="AJD27" s="212"/>
      <c r="AJE27" s="212"/>
      <c r="AJF27" s="212"/>
      <c r="AJG27" s="212"/>
      <c r="AJH27" s="212"/>
      <c r="AJI27" s="212"/>
      <c r="AJJ27" s="212"/>
      <c r="AJK27" s="212"/>
      <c r="AJL27" s="212"/>
      <c r="AJM27" s="212"/>
      <c r="AJN27" s="212"/>
      <c r="AJO27" s="212"/>
      <c r="AJP27" s="212"/>
      <c r="AJQ27" s="212"/>
      <c r="AJR27" s="212"/>
      <c r="AJS27" s="212"/>
      <c r="AJT27" s="212"/>
      <c r="AJU27" s="212"/>
      <c r="AJV27" s="212"/>
      <c r="AJW27" s="212"/>
      <c r="AJX27" s="212"/>
      <c r="AJY27" s="212"/>
      <c r="AJZ27" s="212"/>
      <c r="AKA27" s="212"/>
      <c r="AKB27" s="212"/>
      <c r="AKC27" s="212"/>
      <c r="AKD27" s="212"/>
      <c r="AKE27" s="212"/>
      <c r="AKF27" s="212"/>
      <c r="AKG27" s="212"/>
      <c r="AKH27" s="212"/>
      <c r="AKI27" s="212"/>
      <c r="AKJ27" s="212"/>
      <c r="AKK27" s="212"/>
      <c r="AKL27" s="212"/>
      <c r="AKM27" s="212"/>
      <c r="AKN27" s="212"/>
      <c r="AKO27" s="212"/>
      <c r="AKP27" s="212"/>
      <c r="AKQ27" s="212"/>
      <c r="AKR27" s="212"/>
      <c r="AKS27" s="212"/>
      <c r="AKT27" s="212"/>
      <c r="AKU27" s="212"/>
      <c r="AKV27" s="212"/>
      <c r="AKW27" s="212"/>
      <c r="AKX27" s="212"/>
      <c r="AKY27" s="212"/>
      <c r="AKZ27" s="212"/>
      <c r="ALA27" s="212"/>
      <c r="ALB27" s="212"/>
      <c r="ALC27" s="212"/>
      <c r="ALD27" s="212"/>
      <c r="ALE27" s="212"/>
      <c r="ALF27" s="212"/>
      <c r="ALG27" s="212"/>
      <c r="ALH27" s="212"/>
      <c r="ALI27" s="212"/>
      <c r="ALJ27" s="212"/>
      <c r="ALK27" s="212"/>
      <c r="ALL27" s="212"/>
      <c r="ALM27" s="212"/>
      <c r="ALN27" s="212"/>
      <c r="ALO27" s="212"/>
      <c r="ALP27" s="212"/>
      <c r="ALQ27" s="212"/>
      <c r="ALR27" s="212"/>
      <c r="ALS27" s="212"/>
      <c r="ALT27" s="212"/>
      <c r="ALU27" s="212"/>
      <c r="ALV27" s="212"/>
      <c r="ALW27" s="212"/>
      <c r="ALX27" s="212"/>
      <c r="ALY27" s="212"/>
      <c r="ALZ27" s="212"/>
      <c r="AMA27" s="212"/>
      <c r="AMB27" s="212"/>
      <c r="AMC27" s="212"/>
      <c r="AMD27" s="212"/>
      <c r="AME27" s="212"/>
      <c r="AMF27" s="212"/>
      <c r="AMG27" s="212"/>
      <c r="AMH27" s="212"/>
      <c r="AMI27" s="212"/>
      <c r="AMJ27" s="212"/>
      <c r="AMK27" s="212"/>
      <c r="AML27" s="212"/>
      <c r="AMM27" s="212"/>
      <c r="AMN27" s="212"/>
      <c r="AMO27" s="212"/>
      <c r="AMP27" s="212"/>
      <c r="AMQ27" s="212"/>
      <c r="AMR27" s="212"/>
      <c r="AMS27" s="212"/>
      <c r="AMT27" s="212"/>
      <c r="AMU27" s="212"/>
      <c r="AMV27" s="212"/>
      <c r="AMW27" s="212"/>
      <c r="AMX27" s="212"/>
      <c r="AMY27" s="212"/>
      <c r="AMZ27" s="212"/>
      <c r="ANA27" s="212"/>
      <c r="ANB27" s="212"/>
      <c r="ANC27" s="212"/>
      <c r="AND27" s="212"/>
      <c r="ANE27" s="212"/>
      <c r="ANF27" s="212"/>
      <c r="ANG27" s="212"/>
      <c r="ANH27" s="212"/>
      <c r="ANI27" s="212"/>
      <c r="ANJ27" s="212"/>
      <c r="ANK27" s="212"/>
      <c r="ANL27" s="212"/>
      <c r="ANM27" s="212"/>
      <c r="ANN27" s="212"/>
      <c r="ANO27" s="212"/>
      <c r="ANP27" s="212"/>
      <c r="ANQ27" s="212"/>
      <c r="ANR27" s="212"/>
      <c r="ANS27" s="212"/>
      <c r="ANT27" s="212"/>
      <c r="ANU27" s="212"/>
      <c r="ANV27" s="212"/>
      <c r="ANW27" s="212"/>
      <c r="ANX27" s="212"/>
      <c r="ANY27" s="212"/>
      <c r="ANZ27" s="212"/>
      <c r="AOA27" s="212"/>
      <c r="AOB27" s="212"/>
      <c r="AOC27" s="212"/>
      <c r="AOD27" s="212"/>
      <c r="AOE27" s="212"/>
      <c r="AOF27" s="212"/>
      <c r="AOG27" s="212"/>
      <c r="AOH27" s="212"/>
      <c r="AOI27" s="212"/>
      <c r="AOJ27" s="212"/>
      <c r="AOK27" s="212"/>
      <c r="AOL27" s="212"/>
      <c r="AOM27" s="212"/>
      <c r="AON27" s="212"/>
      <c r="AOO27" s="212"/>
      <c r="AOP27" s="212"/>
      <c r="AOQ27" s="212"/>
      <c r="AOR27" s="212"/>
      <c r="AOS27" s="212"/>
      <c r="AOT27" s="212"/>
      <c r="AOU27" s="212"/>
      <c r="AOV27" s="212"/>
      <c r="AOW27" s="212"/>
      <c r="AOX27" s="212"/>
      <c r="AOY27" s="212"/>
      <c r="AOZ27" s="212"/>
      <c r="APA27" s="212"/>
      <c r="APB27" s="212"/>
      <c r="APC27" s="212"/>
      <c r="APD27" s="212"/>
      <c r="APE27" s="212"/>
      <c r="APF27" s="212"/>
      <c r="APG27" s="212"/>
      <c r="APH27" s="212"/>
      <c r="API27" s="212"/>
      <c r="APJ27" s="212"/>
      <c r="APK27" s="212"/>
      <c r="APL27" s="212"/>
      <c r="APM27" s="212"/>
      <c r="APN27" s="212"/>
      <c r="APO27" s="212"/>
      <c r="APP27" s="212"/>
      <c r="APQ27" s="212"/>
      <c r="APR27" s="212"/>
      <c r="APS27" s="212"/>
      <c r="APT27" s="212"/>
      <c r="APU27" s="212"/>
      <c r="APV27" s="212"/>
      <c r="APW27" s="212"/>
      <c r="APX27" s="212"/>
      <c r="APY27" s="212"/>
      <c r="APZ27" s="212"/>
      <c r="AQA27" s="212"/>
      <c r="AQB27" s="212"/>
      <c r="AQC27" s="212"/>
      <c r="AQD27" s="212"/>
      <c r="AQE27" s="212"/>
      <c r="AQF27" s="212"/>
      <c r="AQG27" s="212"/>
      <c r="AQH27" s="212"/>
      <c r="AQI27" s="212"/>
      <c r="AQJ27" s="212"/>
      <c r="AQK27" s="212"/>
      <c r="AQL27" s="212"/>
      <c r="AQM27" s="212"/>
      <c r="AQN27" s="212"/>
      <c r="AQO27" s="212"/>
      <c r="AQP27" s="212"/>
      <c r="AQQ27" s="212"/>
      <c r="AQR27" s="212"/>
      <c r="AQS27" s="212"/>
      <c r="AQT27" s="212"/>
      <c r="AQU27" s="212"/>
      <c r="AQV27" s="212"/>
      <c r="AQW27" s="212"/>
      <c r="AQX27" s="212"/>
      <c r="AQY27" s="212"/>
      <c r="AQZ27" s="212"/>
      <c r="ARA27" s="212"/>
      <c r="ARB27" s="212"/>
      <c r="ARC27" s="212"/>
      <c r="ARD27" s="212"/>
      <c r="ARE27" s="212"/>
      <c r="ARF27" s="212"/>
      <c r="ARG27" s="212"/>
      <c r="ARH27" s="212"/>
      <c r="ARI27" s="212"/>
      <c r="ARJ27" s="212"/>
      <c r="ARK27" s="212"/>
      <c r="ARL27" s="212"/>
      <c r="ARM27" s="212"/>
      <c r="ARN27" s="212"/>
      <c r="ARO27" s="212"/>
      <c r="ARP27" s="212"/>
      <c r="ARQ27" s="212"/>
      <c r="ARR27" s="212"/>
      <c r="ARS27" s="212"/>
      <c r="ART27" s="212"/>
      <c r="ARU27" s="212"/>
      <c r="ARV27" s="212"/>
      <c r="ARW27" s="212"/>
      <c r="ARX27" s="212"/>
      <c r="ARY27" s="212"/>
      <c r="ARZ27" s="212"/>
      <c r="ASA27" s="212"/>
      <c r="ASB27" s="212"/>
      <c r="ASC27" s="212"/>
      <c r="ASD27" s="212"/>
      <c r="ASE27" s="212"/>
      <c r="ASF27" s="212"/>
      <c r="ASG27" s="212"/>
      <c r="ASH27" s="212"/>
      <c r="ASI27" s="212"/>
      <c r="ASJ27" s="212"/>
      <c r="ASK27" s="212"/>
      <c r="ASL27" s="212"/>
      <c r="ASM27" s="212"/>
      <c r="ASN27" s="212"/>
      <c r="ASO27" s="212"/>
      <c r="ASP27" s="212"/>
      <c r="ASQ27" s="212"/>
      <c r="ASR27" s="212"/>
      <c r="ASS27" s="212"/>
      <c r="AST27" s="212"/>
      <c r="ASU27" s="212"/>
      <c r="ASV27" s="212"/>
      <c r="ASW27" s="212"/>
      <c r="ASX27" s="212"/>
      <c r="ASY27" s="212"/>
      <c r="ASZ27" s="212"/>
      <c r="ATA27" s="212"/>
      <c r="ATB27" s="212"/>
      <c r="ATC27" s="212"/>
      <c r="ATD27" s="212"/>
      <c r="ATE27" s="212"/>
      <c r="ATF27" s="212"/>
      <c r="ATG27" s="212"/>
      <c r="ATH27" s="212"/>
      <c r="ATI27" s="212"/>
      <c r="ATJ27" s="212"/>
      <c r="ATK27" s="212"/>
      <c r="ATL27" s="212"/>
      <c r="ATM27" s="212"/>
      <c r="ATN27" s="212"/>
      <c r="ATO27" s="212"/>
      <c r="ATP27" s="212"/>
      <c r="ATQ27" s="212"/>
      <c r="ATR27" s="212"/>
      <c r="ATS27" s="212"/>
      <c r="ATT27" s="212"/>
      <c r="ATU27" s="212"/>
      <c r="ATV27" s="212"/>
      <c r="ATW27" s="212"/>
      <c r="ATX27" s="212"/>
      <c r="ATY27" s="212"/>
      <c r="ATZ27" s="212"/>
      <c r="AUA27" s="212"/>
      <c r="AUB27" s="212"/>
      <c r="AUC27" s="212"/>
      <c r="AUD27" s="212"/>
      <c r="AUE27" s="212"/>
      <c r="AUF27" s="212"/>
      <c r="AUG27" s="212"/>
      <c r="AUH27" s="212"/>
      <c r="AUI27" s="212"/>
      <c r="AUJ27" s="212"/>
      <c r="AUK27" s="212"/>
      <c r="AUL27" s="212"/>
      <c r="AUM27" s="212"/>
      <c r="AUN27" s="212"/>
      <c r="AUO27" s="212"/>
      <c r="AUP27" s="212"/>
      <c r="AUQ27" s="212"/>
      <c r="AUR27" s="212"/>
      <c r="AUS27" s="212"/>
      <c r="AUT27" s="212"/>
      <c r="AUU27" s="212"/>
      <c r="AUV27" s="212"/>
      <c r="AUW27" s="212"/>
      <c r="AUX27" s="212"/>
      <c r="AUY27" s="212"/>
      <c r="AUZ27" s="212"/>
      <c r="AVA27" s="212"/>
      <c r="AVB27" s="212"/>
      <c r="AVC27" s="212"/>
      <c r="AVD27" s="212"/>
      <c r="AVE27" s="212"/>
      <c r="AVF27" s="212"/>
      <c r="AVG27" s="212"/>
      <c r="AVH27" s="212"/>
      <c r="AVI27" s="212"/>
      <c r="AVJ27" s="212"/>
      <c r="AVK27" s="212"/>
      <c r="AVL27" s="212"/>
      <c r="AVM27" s="212"/>
      <c r="AVN27" s="212"/>
      <c r="AVO27" s="212"/>
      <c r="AVP27" s="212"/>
      <c r="AVQ27" s="212"/>
      <c r="AVR27" s="212"/>
      <c r="AVS27" s="212"/>
      <c r="AVT27" s="212"/>
      <c r="AVU27" s="212"/>
      <c r="AVV27" s="212"/>
      <c r="AVW27" s="212"/>
      <c r="AVX27" s="212"/>
      <c r="AVY27" s="212"/>
      <c r="AVZ27" s="212"/>
      <c r="AWA27" s="212"/>
      <c r="AWB27" s="212"/>
      <c r="AWC27" s="212"/>
      <c r="AWD27" s="212"/>
      <c r="AWE27" s="212"/>
      <c r="AWF27" s="212"/>
      <c r="AWG27" s="212"/>
      <c r="AWH27" s="212"/>
      <c r="AWI27" s="212"/>
      <c r="AWJ27" s="212"/>
      <c r="AWK27" s="212"/>
      <c r="AWL27" s="212"/>
      <c r="AWM27" s="212"/>
      <c r="AWN27" s="212"/>
      <c r="AWO27" s="212"/>
      <c r="AWP27" s="212"/>
      <c r="AWQ27" s="212"/>
      <c r="AWR27" s="212"/>
      <c r="AWS27" s="212"/>
      <c r="AWT27" s="212"/>
      <c r="AWU27" s="212"/>
      <c r="AWV27" s="212"/>
      <c r="AWW27" s="212"/>
      <c r="AWX27" s="212"/>
      <c r="AWY27" s="212"/>
      <c r="AWZ27" s="212"/>
      <c r="AXA27" s="212"/>
      <c r="AXB27" s="212"/>
      <c r="AXC27" s="212"/>
      <c r="AXD27" s="212"/>
      <c r="AXE27" s="212"/>
      <c r="AXF27" s="212"/>
      <c r="AXG27" s="212"/>
      <c r="AXH27" s="212"/>
      <c r="AXI27" s="212"/>
      <c r="AXJ27" s="212"/>
      <c r="AXK27" s="212"/>
      <c r="AXL27" s="212"/>
      <c r="AXM27" s="212"/>
      <c r="AXN27" s="212"/>
      <c r="AXO27" s="212"/>
      <c r="AXP27" s="212"/>
      <c r="AXQ27" s="212"/>
      <c r="AXR27" s="212"/>
      <c r="AXS27" s="212"/>
      <c r="AXT27" s="212"/>
      <c r="AXU27" s="212"/>
      <c r="AXV27" s="212"/>
      <c r="AXW27" s="212"/>
      <c r="AXX27" s="212"/>
      <c r="AXY27" s="212"/>
      <c r="AXZ27" s="212"/>
      <c r="AYA27" s="212"/>
      <c r="AYB27" s="212"/>
      <c r="AYC27" s="212"/>
      <c r="AYD27" s="212"/>
      <c r="AYE27" s="212"/>
      <c r="AYF27" s="212"/>
      <c r="AYG27" s="212"/>
      <c r="AYH27" s="212"/>
      <c r="AYI27" s="212"/>
      <c r="AYJ27" s="212"/>
      <c r="AYK27" s="212"/>
      <c r="AYL27" s="212"/>
      <c r="AYM27" s="212"/>
      <c r="AYN27" s="212"/>
      <c r="AYO27" s="212"/>
      <c r="AYP27" s="212"/>
      <c r="AYQ27" s="212"/>
      <c r="AYR27" s="212"/>
      <c r="AYS27" s="212"/>
      <c r="AYT27" s="212"/>
      <c r="AYU27" s="212"/>
      <c r="AYV27" s="212"/>
      <c r="AYW27" s="212"/>
      <c r="AYX27" s="212"/>
      <c r="AYY27" s="212"/>
      <c r="AYZ27" s="212"/>
      <c r="AZA27" s="212"/>
      <c r="AZB27" s="212"/>
      <c r="AZC27" s="212"/>
      <c r="AZD27" s="212"/>
      <c r="AZE27" s="212"/>
      <c r="AZF27" s="212"/>
      <c r="AZG27" s="212"/>
      <c r="AZH27" s="212"/>
      <c r="AZI27" s="212"/>
      <c r="AZJ27" s="212"/>
      <c r="AZK27" s="212"/>
      <c r="AZL27" s="212"/>
      <c r="AZM27" s="212"/>
      <c r="AZN27" s="212"/>
      <c r="AZO27" s="212"/>
      <c r="AZP27" s="212"/>
      <c r="AZQ27" s="212"/>
      <c r="AZR27" s="212"/>
      <c r="AZS27" s="212"/>
      <c r="AZT27" s="212"/>
      <c r="AZU27" s="212"/>
      <c r="AZV27" s="212"/>
      <c r="AZW27" s="212"/>
      <c r="AZX27" s="212"/>
      <c r="AZY27" s="212"/>
      <c r="AZZ27" s="212"/>
      <c r="BAA27" s="212"/>
      <c r="BAB27" s="212"/>
      <c r="BAC27" s="212"/>
      <c r="BAD27" s="212"/>
      <c r="BAE27" s="212"/>
      <c r="BAF27" s="212"/>
      <c r="BAG27" s="212"/>
      <c r="BAH27" s="212"/>
      <c r="BAI27" s="212"/>
      <c r="BAJ27" s="212"/>
      <c r="BAK27" s="212"/>
      <c r="BAL27" s="212"/>
      <c r="BAM27" s="212"/>
      <c r="BAN27" s="212"/>
      <c r="BAO27" s="212"/>
      <c r="BAP27" s="212"/>
      <c r="BAQ27" s="212"/>
      <c r="BAR27" s="212"/>
      <c r="BAS27" s="212"/>
      <c r="BAT27" s="212"/>
      <c r="BAU27" s="212"/>
      <c r="BAV27" s="212"/>
      <c r="BAW27" s="212"/>
      <c r="BAX27" s="212"/>
      <c r="BAY27" s="212"/>
      <c r="BAZ27" s="212"/>
      <c r="BBA27" s="212"/>
      <c r="BBB27" s="212"/>
      <c r="BBC27" s="212"/>
      <c r="BBD27" s="212"/>
      <c r="BBE27" s="212"/>
      <c r="BBF27" s="212"/>
      <c r="BBG27" s="212"/>
      <c r="BBH27" s="212"/>
      <c r="BBI27" s="212"/>
      <c r="BBJ27" s="212"/>
      <c r="BBK27" s="212"/>
      <c r="BBL27" s="212"/>
      <c r="BBM27" s="212"/>
      <c r="BBN27" s="212"/>
      <c r="BBO27" s="212"/>
      <c r="BBP27" s="212"/>
      <c r="BBQ27" s="212"/>
      <c r="BBR27" s="212"/>
      <c r="BBS27" s="212"/>
      <c r="BBT27" s="212"/>
      <c r="BBU27" s="212"/>
      <c r="BBV27" s="212"/>
      <c r="BBW27" s="212"/>
      <c r="BBX27" s="212"/>
      <c r="BBY27" s="212"/>
      <c r="BBZ27" s="212"/>
      <c r="BCA27" s="212"/>
      <c r="BCB27" s="212"/>
      <c r="BCC27" s="212"/>
      <c r="BCD27" s="212"/>
      <c r="BCE27" s="212"/>
      <c r="BCF27" s="212"/>
      <c r="BCG27" s="212"/>
      <c r="BCH27" s="212"/>
      <c r="BCI27" s="212"/>
      <c r="BCJ27" s="212"/>
      <c r="BCK27" s="212"/>
      <c r="BCL27" s="212"/>
      <c r="BCM27" s="212"/>
      <c r="BCN27" s="212"/>
      <c r="BCO27" s="212"/>
      <c r="BCP27" s="212"/>
      <c r="BCQ27" s="212"/>
      <c r="BCR27" s="212"/>
      <c r="BCS27" s="212"/>
      <c r="BCT27" s="212"/>
      <c r="BCU27" s="212"/>
      <c r="BCV27" s="212"/>
      <c r="BCW27" s="212"/>
      <c r="BCX27" s="212"/>
      <c r="BCY27" s="212"/>
      <c r="BCZ27" s="212"/>
      <c r="BDA27" s="212"/>
      <c r="BDB27" s="212"/>
      <c r="BDC27" s="212"/>
      <c r="BDD27" s="212"/>
      <c r="BDE27" s="212"/>
      <c r="BDF27" s="212"/>
      <c r="BDG27" s="212"/>
      <c r="BDH27" s="212"/>
      <c r="BDI27" s="212"/>
      <c r="BDJ27" s="212"/>
      <c r="BDK27" s="212"/>
      <c r="BDL27" s="212"/>
      <c r="BDM27" s="212"/>
      <c r="BDN27" s="212"/>
      <c r="BDO27" s="212"/>
      <c r="BDP27" s="212"/>
      <c r="BDQ27" s="212"/>
      <c r="BDR27" s="212"/>
      <c r="BDS27" s="212"/>
      <c r="BDT27" s="212"/>
      <c r="BDU27" s="212"/>
      <c r="BDV27" s="212"/>
      <c r="BDW27" s="212"/>
      <c r="BDX27" s="212"/>
      <c r="BDY27" s="212"/>
      <c r="BDZ27" s="212"/>
      <c r="BEA27" s="212"/>
      <c r="BEB27" s="212"/>
      <c r="BEC27" s="212"/>
      <c r="BED27" s="212"/>
      <c r="BEE27" s="212"/>
      <c r="BEF27" s="212"/>
      <c r="BEG27" s="212"/>
      <c r="BEH27" s="212"/>
      <c r="BEI27" s="212"/>
      <c r="BEJ27" s="212"/>
      <c r="BEK27" s="212"/>
      <c r="BEL27" s="212"/>
      <c r="BEM27" s="212"/>
      <c r="BEN27" s="212"/>
      <c r="BEO27" s="212"/>
      <c r="BEP27" s="212"/>
      <c r="BEQ27" s="212"/>
      <c r="BER27" s="212"/>
      <c r="BES27" s="212"/>
      <c r="BET27" s="212"/>
      <c r="BEU27" s="212"/>
      <c r="BEV27" s="212"/>
      <c r="BEW27" s="212"/>
      <c r="BEX27" s="212"/>
      <c r="BEY27" s="212"/>
      <c r="BEZ27" s="212"/>
      <c r="BFA27" s="212"/>
      <c r="BFB27" s="212"/>
      <c r="BFC27" s="212"/>
      <c r="BFD27" s="212"/>
      <c r="BFE27" s="212"/>
      <c r="BFF27" s="212"/>
      <c r="BFG27" s="212"/>
      <c r="BFH27" s="212"/>
      <c r="BFI27" s="212"/>
      <c r="BFJ27" s="212"/>
      <c r="BFK27" s="212"/>
      <c r="BFL27" s="212"/>
      <c r="BFM27" s="212"/>
      <c r="BFN27" s="212"/>
      <c r="BFO27" s="212"/>
      <c r="BFP27" s="212"/>
      <c r="BFQ27" s="212"/>
      <c r="BFR27" s="212"/>
      <c r="BFS27" s="212"/>
      <c r="BFT27" s="212"/>
      <c r="BFU27" s="212"/>
      <c r="BFV27" s="212"/>
      <c r="BFW27" s="212"/>
      <c r="BFX27" s="212"/>
      <c r="BFY27" s="212"/>
      <c r="BFZ27" s="212"/>
      <c r="BGA27" s="212"/>
      <c r="BGB27" s="212"/>
      <c r="BGC27" s="212"/>
      <c r="BGD27" s="212"/>
      <c r="BGE27" s="212"/>
      <c r="BGF27" s="212"/>
      <c r="BGG27" s="212"/>
      <c r="BGH27" s="212"/>
      <c r="BGI27" s="212"/>
      <c r="BGJ27" s="212"/>
      <c r="BGK27" s="212"/>
      <c r="BGL27" s="212"/>
      <c r="BGM27" s="212"/>
      <c r="BGN27" s="212"/>
      <c r="BGO27" s="212"/>
      <c r="BGP27" s="212"/>
      <c r="BGQ27" s="212"/>
      <c r="BGR27" s="212"/>
      <c r="BGS27" s="212"/>
      <c r="BGT27" s="212"/>
      <c r="BGU27" s="212"/>
      <c r="BGV27" s="212"/>
      <c r="BGW27" s="212"/>
      <c r="BGX27" s="212"/>
      <c r="BGY27" s="212"/>
      <c r="BGZ27" s="212"/>
      <c r="BHA27" s="212"/>
      <c r="BHB27" s="212"/>
      <c r="BHC27" s="212"/>
      <c r="BHD27" s="212"/>
      <c r="BHE27" s="212"/>
      <c r="BHF27" s="212"/>
      <c r="BHG27" s="212"/>
      <c r="BHH27" s="212"/>
      <c r="BHI27" s="212"/>
      <c r="BHJ27" s="212"/>
      <c r="BHK27" s="212"/>
      <c r="BHL27" s="212"/>
      <c r="BHM27" s="212"/>
      <c r="BHN27" s="212"/>
      <c r="BHO27" s="212"/>
      <c r="BHP27" s="212"/>
      <c r="BHQ27" s="212"/>
      <c r="BHR27" s="212"/>
      <c r="BHS27" s="212"/>
      <c r="BHT27" s="212"/>
      <c r="BHU27" s="212"/>
      <c r="BHV27" s="212"/>
      <c r="BHW27" s="212"/>
      <c r="BHX27" s="212"/>
      <c r="BHY27" s="212"/>
      <c r="BHZ27" s="212"/>
      <c r="BIA27" s="212"/>
      <c r="BIB27" s="212"/>
      <c r="BIC27" s="212"/>
      <c r="BID27" s="212"/>
      <c r="BIE27" s="212"/>
      <c r="BIF27" s="212"/>
      <c r="BIG27" s="212"/>
      <c r="BIH27" s="212"/>
      <c r="BII27" s="212"/>
      <c r="BIJ27" s="212"/>
      <c r="BIK27" s="212"/>
      <c r="BIL27" s="212"/>
      <c r="BIM27" s="212"/>
      <c r="BIN27" s="212"/>
      <c r="BIO27" s="212"/>
      <c r="BIP27" s="212"/>
      <c r="BIQ27" s="212"/>
      <c r="BIR27" s="212"/>
      <c r="BIS27" s="212"/>
      <c r="BIT27" s="212"/>
      <c r="BIU27" s="212"/>
      <c r="BIV27" s="212"/>
      <c r="BIW27" s="212"/>
      <c r="BIX27" s="212"/>
      <c r="BIY27" s="212"/>
      <c r="BIZ27" s="212"/>
      <c r="BJA27" s="212"/>
      <c r="BJB27" s="212"/>
      <c r="BJC27" s="212"/>
      <c r="BJD27" s="212"/>
      <c r="BJE27" s="212"/>
      <c r="BJF27" s="212"/>
      <c r="BJG27" s="212"/>
      <c r="BJH27" s="212"/>
      <c r="BJI27" s="212"/>
      <c r="BJJ27" s="212"/>
      <c r="BJK27" s="212"/>
      <c r="BJL27" s="212"/>
      <c r="BJM27" s="212"/>
      <c r="BJN27" s="212"/>
      <c r="BJO27" s="212"/>
      <c r="BJP27" s="212"/>
      <c r="BJQ27" s="212"/>
      <c r="BJR27" s="212"/>
      <c r="BJS27" s="212"/>
      <c r="BJT27" s="212"/>
      <c r="BJU27" s="212"/>
      <c r="BJV27" s="212"/>
      <c r="BJW27" s="212"/>
      <c r="BJX27" s="212"/>
      <c r="BJY27" s="212"/>
      <c r="BJZ27" s="212"/>
      <c r="BKA27" s="212"/>
      <c r="BKB27" s="212"/>
      <c r="BKC27" s="212"/>
      <c r="BKD27" s="212"/>
      <c r="BKE27" s="212"/>
      <c r="BKF27" s="212"/>
      <c r="BKG27" s="212"/>
      <c r="BKH27" s="212"/>
      <c r="BKI27" s="212"/>
      <c r="BKJ27" s="212"/>
      <c r="BKK27" s="212"/>
      <c r="BKL27" s="212"/>
      <c r="BKM27" s="212"/>
      <c r="BKN27" s="212"/>
      <c r="BKO27" s="212"/>
      <c r="BKP27" s="212"/>
      <c r="BKQ27" s="212"/>
      <c r="BKR27" s="212"/>
      <c r="BKS27" s="212"/>
      <c r="BKT27" s="212"/>
      <c r="BKU27" s="212"/>
      <c r="BKV27" s="212"/>
      <c r="BKW27" s="212"/>
      <c r="BKX27" s="212"/>
      <c r="BKY27" s="212"/>
      <c r="BKZ27" s="212"/>
      <c r="BLA27" s="212"/>
      <c r="BLB27" s="212"/>
      <c r="BLC27" s="212"/>
      <c r="BLD27" s="212"/>
      <c r="BLE27" s="212"/>
      <c r="BLF27" s="212"/>
      <c r="BLG27" s="212"/>
      <c r="BLH27" s="212"/>
      <c r="BLI27" s="212"/>
      <c r="BLJ27" s="212"/>
      <c r="BLK27" s="212"/>
      <c r="BLL27" s="212"/>
      <c r="BLM27" s="212"/>
      <c r="BLN27" s="212"/>
      <c r="BLO27" s="212"/>
      <c r="BLP27" s="212"/>
      <c r="BLQ27" s="212"/>
      <c r="BLR27" s="212"/>
      <c r="BLS27" s="212"/>
      <c r="BLT27" s="212"/>
      <c r="BLU27" s="212"/>
      <c r="BLV27" s="212"/>
      <c r="BLW27" s="212"/>
      <c r="BLX27" s="212"/>
      <c r="BLY27" s="212"/>
      <c r="BLZ27" s="212"/>
      <c r="BMA27" s="212"/>
      <c r="BMB27" s="212"/>
      <c r="BMC27" s="212"/>
      <c r="BMD27" s="212"/>
      <c r="BME27" s="212"/>
      <c r="BMF27" s="212"/>
      <c r="BMG27" s="212"/>
      <c r="BMH27" s="212"/>
      <c r="BMI27" s="212"/>
      <c r="BMJ27" s="212"/>
      <c r="BMK27" s="212"/>
      <c r="BML27" s="212"/>
      <c r="BMM27" s="212"/>
      <c r="BMN27" s="212"/>
      <c r="BMO27" s="212"/>
      <c r="BMP27" s="212"/>
      <c r="BMQ27" s="212"/>
      <c r="BMR27" s="212"/>
      <c r="BMS27" s="212"/>
      <c r="BMT27" s="212"/>
      <c r="BMU27" s="212"/>
      <c r="BMV27" s="212"/>
      <c r="BMW27" s="212"/>
      <c r="BMX27" s="212"/>
      <c r="BMY27" s="212"/>
      <c r="BMZ27" s="212"/>
      <c r="BNA27" s="212"/>
      <c r="BNB27" s="212"/>
      <c r="BNC27" s="212"/>
      <c r="BND27" s="212"/>
      <c r="BNE27" s="212"/>
      <c r="BNF27" s="212"/>
      <c r="BNG27" s="212"/>
      <c r="BNH27" s="212"/>
      <c r="BNI27" s="212"/>
      <c r="BNJ27" s="212"/>
      <c r="BNK27" s="212"/>
      <c r="BNL27" s="212"/>
      <c r="BNM27" s="212"/>
      <c r="BNN27" s="212"/>
      <c r="BNO27" s="212"/>
      <c r="BNP27" s="212"/>
      <c r="BNQ27" s="212"/>
      <c r="BNR27" s="212"/>
      <c r="BNS27" s="212"/>
      <c r="BNT27" s="212"/>
      <c r="BNU27" s="212"/>
      <c r="BNV27" s="212"/>
      <c r="BNW27" s="212"/>
      <c r="BNX27" s="212"/>
      <c r="BNY27" s="212"/>
      <c r="BNZ27" s="212"/>
      <c r="BOA27" s="212"/>
      <c r="BOB27" s="212"/>
      <c r="BOC27" s="212"/>
      <c r="BOD27" s="212"/>
      <c r="BOE27" s="212"/>
      <c r="BOF27" s="212"/>
      <c r="BOG27" s="212"/>
      <c r="BOH27" s="212"/>
      <c r="BOI27" s="212"/>
      <c r="BOJ27" s="212"/>
      <c r="BOK27" s="212"/>
      <c r="BOL27" s="212"/>
      <c r="BOM27" s="212"/>
      <c r="BON27" s="212"/>
      <c r="BOO27" s="212"/>
      <c r="BOP27" s="212"/>
      <c r="BOQ27" s="212"/>
      <c r="BOR27" s="212"/>
      <c r="BOS27" s="212"/>
      <c r="BOT27" s="212"/>
      <c r="BOU27" s="212"/>
      <c r="BOV27" s="212"/>
      <c r="BOW27" s="212"/>
      <c r="BOX27" s="212"/>
      <c r="BOY27" s="212"/>
      <c r="BOZ27" s="212"/>
      <c r="BPA27" s="212"/>
      <c r="BPB27" s="212"/>
      <c r="BPC27" s="212"/>
      <c r="BPD27" s="212"/>
      <c r="BPE27" s="212"/>
      <c r="BPF27" s="212"/>
      <c r="BPG27" s="212"/>
      <c r="BPH27" s="212"/>
      <c r="BPI27" s="212"/>
      <c r="BPJ27" s="212"/>
      <c r="BPK27" s="212"/>
      <c r="BPL27" s="212"/>
      <c r="BPM27" s="212"/>
      <c r="BPN27" s="212"/>
      <c r="BPO27" s="212"/>
      <c r="BPP27" s="212"/>
      <c r="BPQ27" s="212"/>
      <c r="BPR27" s="212"/>
      <c r="BPS27" s="212"/>
      <c r="BPT27" s="212"/>
      <c r="BPU27" s="212"/>
      <c r="BPV27" s="212"/>
      <c r="BPW27" s="212"/>
      <c r="BPX27" s="212"/>
      <c r="BPY27" s="212"/>
      <c r="BPZ27" s="212"/>
      <c r="BQA27" s="212"/>
      <c r="BQB27" s="212"/>
      <c r="BQC27" s="212"/>
      <c r="BQD27" s="212"/>
      <c r="BQE27" s="212"/>
      <c r="BQF27" s="212"/>
      <c r="BQG27" s="212"/>
      <c r="BQH27" s="212"/>
      <c r="BQI27" s="212"/>
      <c r="BQJ27" s="212"/>
      <c r="BQK27" s="212"/>
      <c r="BQL27" s="212"/>
      <c r="BQM27" s="212"/>
      <c r="BQN27" s="212"/>
      <c r="BQO27" s="212"/>
      <c r="BQP27" s="212"/>
      <c r="BQQ27" s="212"/>
      <c r="BQR27" s="212"/>
      <c r="BQS27" s="212"/>
      <c r="BQT27" s="212"/>
      <c r="BQU27" s="212"/>
      <c r="BQV27" s="212"/>
      <c r="BQW27" s="212"/>
      <c r="BQX27" s="212"/>
      <c r="BQY27" s="212"/>
      <c r="BQZ27" s="212"/>
      <c r="BRA27" s="212"/>
      <c r="BRB27" s="212"/>
      <c r="BRC27" s="212"/>
      <c r="BRD27" s="212"/>
      <c r="BRE27" s="212"/>
      <c r="BRF27" s="212"/>
      <c r="BRG27" s="212"/>
      <c r="BRH27" s="212"/>
      <c r="BRI27" s="212"/>
      <c r="BRJ27" s="212"/>
      <c r="BRK27" s="212"/>
      <c r="BRL27" s="212"/>
      <c r="BRM27" s="212"/>
      <c r="BRN27" s="212"/>
      <c r="BRO27" s="212"/>
      <c r="BRP27" s="212"/>
      <c r="BRQ27" s="212"/>
      <c r="BRR27" s="212"/>
      <c r="BRS27" s="212"/>
      <c r="BRT27" s="212"/>
      <c r="BRU27" s="212"/>
      <c r="BRV27" s="212"/>
      <c r="BRW27" s="212"/>
      <c r="BRX27" s="212"/>
      <c r="BRY27" s="212"/>
      <c r="BRZ27" s="212"/>
      <c r="BSA27" s="212"/>
      <c r="BSB27" s="212"/>
      <c r="BSC27" s="212"/>
      <c r="BSD27" s="212"/>
      <c r="BSE27" s="212"/>
      <c r="BSF27" s="212"/>
      <c r="BSG27" s="212"/>
      <c r="BSH27" s="212"/>
      <c r="BSI27" s="212"/>
      <c r="BSJ27" s="212"/>
      <c r="BSK27" s="212"/>
      <c r="BSL27" s="212"/>
      <c r="BSM27" s="212"/>
      <c r="BSN27" s="212"/>
      <c r="BSO27" s="212"/>
      <c r="BSP27" s="212"/>
      <c r="BSQ27" s="212"/>
      <c r="BSR27" s="212"/>
      <c r="BSS27" s="212"/>
      <c r="BST27" s="212"/>
      <c r="BSU27" s="212"/>
      <c r="BSV27" s="212"/>
      <c r="BSW27" s="212"/>
      <c r="BSX27" s="212"/>
      <c r="BSY27" s="212"/>
      <c r="BSZ27" s="212"/>
      <c r="BTA27" s="212"/>
      <c r="BTB27" s="212"/>
      <c r="BTC27" s="212"/>
      <c r="BTD27" s="212"/>
      <c r="BTE27" s="212"/>
      <c r="BTF27" s="212"/>
      <c r="BTG27" s="212"/>
      <c r="BTH27" s="212"/>
      <c r="BTI27" s="212"/>
      <c r="BTJ27" s="212"/>
      <c r="BTK27" s="212"/>
      <c r="BTL27" s="212"/>
      <c r="BTM27" s="212"/>
      <c r="BTN27" s="212"/>
      <c r="BTO27" s="212"/>
      <c r="BTP27" s="212"/>
      <c r="BTQ27" s="212"/>
      <c r="BTR27" s="212"/>
      <c r="BTS27" s="212"/>
      <c r="BTT27" s="212"/>
      <c r="BTU27" s="212"/>
      <c r="BTV27" s="212"/>
      <c r="BTW27" s="212"/>
      <c r="BTX27" s="212"/>
      <c r="BTY27" s="212"/>
      <c r="BTZ27" s="212"/>
      <c r="BUA27" s="212"/>
      <c r="BUB27" s="212"/>
      <c r="BUC27" s="212"/>
      <c r="BUD27" s="212"/>
      <c r="BUE27" s="212"/>
      <c r="BUF27" s="212"/>
      <c r="BUG27" s="212"/>
      <c r="BUH27" s="212"/>
      <c r="BUI27" s="212"/>
      <c r="BUJ27" s="212"/>
      <c r="BUK27" s="212"/>
      <c r="BUL27" s="212"/>
      <c r="BUM27" s="212"/>
      <c r="BUN27" s="212"/>
      <c r="BUO27" s="212"/>
      <c r="BUP27" s="212"/>
      <c r="BUQ27" s="212"/>
      <c r="BUR27" s="212"/>
      <c r="BUS27" s="212"/>
      <c r="BUT27" s="212"/>
      <c r="BUU27" s="212"/>
      <c r="BUV27" s="212"/>
      <c r="BUW27" s="212"/>
      <c r="BUX27" s="212"/>
      <c r="BUY27" s="212"/>
      <c r="BUZ27" s="212"/>
      <c r="BVA27" s="212"/>
      <c r="BVB27" s="212"/>
      <c r="BVC27" s="212"/>
      <c r="BVD27" s="212"/>
      <c r="BVE27" s="212"/>
      <c r="BVF27" s="212"/>
      <c r="BVG27" s="212"/>
      <c r="BVH27" s="212"/>
      <c r="BVI27" s="212"/>
      <c r="BVJ27" s="212"/>
      <c r="BVK27" s="212"/>
      <c r="BVL27" s="212"/>
      <c r="BVM27" s="212"/>
      <c r="BVN27" s="212"/>
      <c r="BVO27" s="212"/>
      <c r="BVP27" s="212"/>
      <c r="BVQ27" s="212"/>
      <c r="BVR27" s="212"/>
      <c r="BVS27" s="212"/>
      <c r="BVT27" s="212"/>
      <c r="BVU27" s="212"/>
      <c r="BVV27" s="212"/>
      <c r="BVW27" s="212"/>
      <c r="BVX27" s="212"/>
      <c r="BVY27" s="212"/>
      <c r="BVZ27" s="212"/>
      <c r="BWA27" s="212"/>
      <c r="BWB27" s="212"/>
      <c r="BWC27" s="212"/>
      <c r="BWD27" s="212"/>
      <c r="BWE27" s="212"/>
      <c r="BWF27" s="212"/>
      <c r="BWG27" s="212"/>
      <c r="BWH27" s="212"/>
      <c r="BWI27" s="212"/>
      <c r="BWJ27" s="212"/>
      <c r="BWK27" s="212"/>
      <c r="BWL27" s="212"/>
      <c r="BWM27" s="212"/>
      <c r="BWN27" s="212"/>
      <c r="BWO27" s="212"/>
      <c r="BWP27" s="212"/>
      <c r="BWQ27" s="212"/>
      <c r="BWR27" s="212"/>
      <c r="BWS27" s="212"/>
      <c r="BWT27" s="212"/>
      <c r="BWU27" s="212"/>
      <c r="BWV27" s="212"/>
      <c r="BWW27" s="212"/>
      <c r="BWX27" s="212"/>
      <c r="BWY27" s="212"/>
      <c r="BWZ27" s="212"/>
      <c r="BXA27" s="212"/>
      <c r="BXB27" s="212"/>
      <c r="BXC27" s="212"/>
      <c r="BXD27" s="212"/>
      <c r="BXE27" s="212"/>
      <c r="BXF27" s="212"/>
      <c r="BXG27" s="212"/>
      <c r="BXH27" s="212"/>
      <c r="BXI27" s="212"/>
      <c r="BXJ27" s="212"/>
      <c r="BXK27" s="212"/>
      <c r="BXL27" s="212"/>
      <c r="BXM27" s="212"/>
      <c r="BXN27" s="212"/>
      <c r="BXO27" s="212"/>
      <c r="BXP27" s="212"/>
      <c r="BXQ27" s="212"/>
      <c r="BXR27" s="212"/>
      <c r="BXS27" s="212"/>
      <c r="BXT27" s="212"/>
      <c r="BXU27" s="212"/>
      <c r="BXV27" s="212"/>
      <c r="BXW27" s="212"/>
      <c r="BXX27" s="212"/>
      <c r="BXY27" s="212"/>
      <c r="BXZ27" s="212"/>
      <c r="BYA27" s="212"/>
      <c r="BYB27" s="212"/>
      <c r="BYC27" s="212"/>
      <c r="BYD27" s="212"/>
      <c r="BYE27" s="212"/>
      <c r="BYF27" s="212"/>
      <c r="BYG27" s="212"/>
    </row>
    <row r="28" spans="1:2009" s="101" customFormat="1" ht="12.75" customHeight="1" thickBot="1" x14ac:dyDescent="0.3">
      <c r="A28" s="98"/>
      <c r="B28" s="98"/>
      <c r="C28" s="174"/>
      <c r="D28" s="174"/>
      <c r="E28" s="174"/>
      <c r="F28" s="174"/>
      <c r="G28" s="174"/>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165</v>
      </c>
      <c r="B29" s="142"/>
      <c r="C29" s="189"/>
      <c r="D29" s="189"/>
      <c r="E29" s="190"/>
      <c r="F29" s="190"/>
      <c r="G29" s="191"/>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397"/>
      <c r="B30" s="114" t="s">
        <v>305</v>
      </c>
      <c r="C30" s="192"/>
      <c r="D30" s="192"/>
      <c r="E30" s="193"/>
      <c r="F30" s="193"/>
      <c r="G30" s="194">
        <f>SUM(C30:F30)</f>
        <v>0</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50"/>
      <c r="B31" s="114" t="s">
        <v>342</v>
      </c>
      <c r="C31" s="192">
        <v>22192.51</v>
      </c>
      <c r="D31" s="192">
        <f>24219.82+873</f>
        <v>25092.82</v>
      </c>
      <c r="E31" s="193">
        <f>23131.66-873</f>
        <v>22258.66</v>
      </c>
      <c r="F31" s="193"/>
      <c r="G31" s="194">
        <f>SUM(C31:F31)</f>
        <v>69543.990000000005</v>
      </c>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38" customFormat="1" ht="24.95" customHeight="1" thickBot="1" x14ac:dyDescent="0.3">
      <c r="A32" s="232"/>
      <c r="B32" s="233" t="s">
        <v>166</v>
      </c>
      <c r="C32" s="234">
        <f>SUM(C30:C31)</f>
        <v>22192.51</v>
      </c>
      <c r="D32" s="234">
        <f>D30+D31</f>
        <v>25092.82</v>
      </c>
      <c r="E32" s="234">
        <f>E30+E31</f>
        <v>22258.66</v>
      </c>
      <c r="F32" s="235"/>
      <c r="G32" s="236">
        <f>SUM(G30:G31)</f>
        <v>69543.990000000005</v>
      </c>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row>
    <row r="33" spans="1:2009" s="94" customFormat="1" ht="17.25" customHeight="1" thickBot="1" x14ac:dyDescent="0.3">
      <c r="A33" s="111"/>
      <c r="B33" s="111"/>
      <c r="C33" s="182"/>
      <c r="D33" s="182"/>
      <c r="E33" s="182"/>
      <c r="F33" s="182"/>
      <c r="G33" s="182"/>
    </row>
    <row r="34" spans="1:2009" s="113" customFormat="1" ht="24.95" hidden="1" customHeight="1" x14ac:dyDescent="0.25">
      <c r="A34" s="141" t="s">
        <v>43</v>
      </c>
      <c r="B34" s="142"/>
      <c r="C34" s="195"/>
      <c r="D34" s="195"/>
      <c r="E34" s="196"/>
      <c r="F34" s="196"/>
      <c r="G34" s="197"/>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44</v>
      </c>
      <c r="C35" s="192"/>
      <c r="D35" s="192"/>
      <c r="E35" s="193"/>
      <c r="F35" s="193"/>
      <c r="G35" s="1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38" customFormat="1" ht="24.95" hidden="1" customHeight="1" thickBot="1" x14ac:dyDescent="0.3">
      <c r="A36" s="239"/>
      <c r="B36" s="233" t="s">
        <v>77</v>
      </c>
      <c r="C36" s="234"/>
      <c r="D36" s="234"/>
      <c r="E36" s="234"/>
      <c r="F36" s="234"/>
      <c r="G36" s="236"/>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row>
    <row r="37" spans="1:2009" s="101" customFormat="1" ht="13.5" hidden="1" customHeight="1" thickBot="1" x14ac:dyDescent="0.3">
      <c r="A37" s="98"/>
      <c r="B37" s="98"/>
      <c r="C37" s="174"/>
      <c r="D37" s="174"/>
      <c r="E37" s="174"/>
      <c r="F37" s="174"/>
      <c r="G37" s="174"/>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50</v>
      </c>
      <c r="B38" s="145"/>
      <c r="C38" s="198"/>
      <c r="D38" s="198"/>
      <c r="E38" s="199"/>
      <c r="F38" s="199"/>
      <c r="G38" s="200"/>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147</v>
      </c>
      <c r="C39" s="201">
        <v>3541.67</v>
      </c>
      <c r="D39" s="201"/>
      <c r="E39" s="202"/>
      <c r="F39" s="202"/>
      <c r="G39" s="203">
        <f>ROUND(SUM(C39:F39),5)</f>
        <v>3541.67</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28" t="s">
        <v>51</v>
      </c>
      <c r="C40" s="201">
        <v>15236.03</v>
      </c>
      <c r="D40" s="201">
        <v>6881.97</v>
      </c>
      <c r="E40" s="202"/>
      <c r="F40" s="202"/>
      <c r="G40" s="203">
        <f>ROUND(SUM(C40:F40),5)</f>
        <v>22118</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244" customFormat="1" ht="24.95" customHeight="1" thickBot="1" x14ac:dyDescent="0.3">
      <c r="A41" s="240"/>
      <c r="B41" s="241" t="s">
        <v>52</v>
      </c>
      <c r="C41" s="242">
        <f>SUM(C39:C40)</f>
        <v>18777.7</v>
      </c>
      <c r="D41" s="242">
        <f>SUM(D39:D40)</f>
        <v>6881.97</v>
      </c>
      <c r="E41" s="242"/>
      <c r="F41" s="242"/>
      <c r="G41" s="243">
        <f>SUM(G39:G40)</f>
        <v>25659.67</v>
      </c>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c r="HV41" s="224"/>
      <c r="HW41" s="224"/>
      <c r="HX41" s="224"/>
      <c r="HY41" s="224"/>
      <c r="HZ41" s="224"/>
      <c r="IA41" s="224"/>
      <c r="IB41" s="224"/>
      <c r="IC41" s="224"/>
      <c r="ID41" s="224"/>
      <c r="IE41" s="224"/>
      <c r="IF41" s="224"/>
      <c r="IG41" s="224"/>
      <c r="IH41" s="224"/>
      <c r="II41" s="224"/>
      <c r="IJ41" s="224"/>
      <c r="IK41" s="224"/>
      <c r="IL41" s="224"/>
      <c r="IM41" s="224"/>
      <c r="IN41" s="224"/>
      <c r="IO41" s="224"/>
      <c r="IP41" s="224"/>
      <c r="IQ41" s="224"/>
      <c r="IR41" s="224"/>
      <c r="IS41" s="224"/>
      <c r="IT41" s="224"/>
      <c r="IU41" s="224"/>
      <c r="IV41" s="224"/>
      <c r="IW41" s="224"/>
      <c r="IX41" s="224"/>
      <c r="IY41" s="224"/>
      <c r="IZ41" s="224"/>
      <c r="JA41" s="224"/>
      <c r="JB41" s="224"/>
      <c r="JC41" s="224"/>
      <c r="JD41" s="224"/>
      <c r="JE41" s="224"/>
      <c r="JF41" s="224"/>
      <c r="JG41" s="224"/>
      <c r="JH41" s="224"/>
      <c r="JI41" s="224"/>
      <c r="JJ41" s="224"/>
      <c r="JK41" s="224"/>
      <c r="JL41" s="224"/>
      <c r="JM41" s="224"/>
      <c r="JN41" s="224"/>
      <c r="JO41" s="224"/>
      <c r="JP41" s="224"/>
      <c r="JQ41" s="224"/>
      <c r="JR41" s="224"/>
      <c r="JS41" s="224"/>
      <c r="JT41" s="224"/>
      <c r="JU41" s="224"/>
      <c r="JV41" s="224"/>
      <c r="JW41" s="224"/>
      <c r="JX41" s="224"/>
      <c r="JY41" s="224"/>
      <c r="JZ41" s="224"/>
      <c r="KA41" s="224"/>
      <c r="KB41" s="224"/>
      <c r="KC41" s="224"/>
      <c r="KD41" s="224"/>
      <c r="KE41" s="224"/>
      <c r="KF41" s="224"/>
      <c r="KG41" s="224"/>
      <c r="KH41" s="224"/>
      <c r="KI41" s="224"/>
      <c r="KJ41" s="224"/>
      <c r="KK41" s="224"/>
      <c r="KL41" s="224"/>
      <c r="KM41" s="224"/>
      <c r="KN41" s="224"/>
      <c r="KO41" s="224"/>
      <c r="KP41" s="224"/>
      <c r="KQ41" s="224"/>
      <c r="KR41" s="224"/>
      <c r="KS41" s="224"/>
      <c r="KT41" s="224"/>
      <c r="KU41" s="224"/>
      <c r="KV41" s="224"/>
      <c r="KW41" s="224"/>
      <c r="KX41" s="224"/>
      <c r="KY41" s="224"/>
      <c r="KZ41" s="224"/>
      <c r="LA41" s="224"/>
      <c r="LB41" s="224"/>
      <c r="LC41" s="224"/>
      <c r="LD41" s="224"/>
      <c r="LE41" s="224"/>
      <c r="LF41" s="224"/>
      <c r="LG41" s="224"/>
      <c r="LH41" s="224"/>
      <c r="LI41" s="224"/>
      <c r="LJ41" s="224"/>
      <c r="LK41" s="224"/>
      <c r="LL41" s="224"/>
      <c r="LM41" s="224"/>
      <c r="LN41" s="224"/>
      <c r="LO41" s="224"/>
      <c r="LP41" s="224"/>
      <c r="LQ41" s="224"/>
      <c r="LR41" s="224"/>
      <c r="LS41" s="224"/>
      <c r="LT41" s="224"/>
      <c r="LU41" s="224"/>
      <c r="LV41" s="224"/>
      <c r="LW41" s="224"/>
      <c r="LX41" s="224"/>
      <c r="LY41" s="224"/>
      <c r="LZ41" s="224"/>
      <c r="MA41" s="224"/>
      <c r="MB41" s="224"/>
      <c r="MC41" s="224"/>
      <c r="MD41" s="224"/>
      <c r="ME41" s="224"/>
      <c r="MF41" s="224"/>
      <c r="MG41" s="224"/>
      <c r="MH41" s="224"/>
      <c r="MI41" s="224"/>
      <c r="MJ41" s="224"/>
      <c r="MK41" s="224"/>
      <c r="ML41" s="224"/>
      <c r="MM41" s="224"/>
      <c r="MN41" s="224"/>
      <c r="MO41" s="224"/>
      <c r="MP41" s="224"/>
      <c r="MQ41" s="224"/>
      <c r="MR41" s="224"/>
      <c r="MS41" s="224"/>
      <c r="MT41" s="224"/>
      <c r="MU41" s="224"/>
      <c r="MV41" s="224"/>
      <c r="MW41" s="224"/>
      <c r="MX41" s="224"/>
      <c r="MY41" s="224"/>
      <c r="MZ41" s="224"/>
      <c r="NA41" s="224"/>
      <c r="NB41" s="224"/>
      <c r="NC41" s="224"/>
      <c r="ND41" s="224"/>
      <c r="NE41" s="224"/>
      <c r="NF41" s="224"/>
      <c r="NG41" s="224"/>
      <c r="NH41" s="224"/>
      <c r="NI41" s="224"/>
      <c r="NJ41" s="224"/>
      <c r="NK41" s="224"/>
      <c r="NL41" s="224"/>
      <c r="NM41" s="224"/>
      <c r="NN41" s="224"/>
      <c r="NO41" s="224"/>
      <c r="NP41" s="224"/>
      <c r="NQ41" s="224"/>
      <c r="NR41" s="224"/>
      <c r="NS41" s="224"/>
      <c r="NT41" s="224"/>
      <c r="NU41" s="224"/>
      <c r="NV41" s="224"/>
      <c r="NW41" s="224"/>
      <c r="NX41" s="224"/>
      <c r="NY41" s="224"/>
      <c r="NZ41" s="224"/>
      <c r="OA41" s="224"/>
      <c r="OB41" s="224"/>
      <c r="OC41" s="224"/>
      <c r="OD41" s="224"/>
      <c r="OE41" s="224"/>
      <c r="OF41" s="224"/>
      <c r="OG41" s="224"/>
      <c r="OH41" s="224"/>
      <c r="OI41" s="224"/>
      <c r="OJ41" s="224"/>
      <c r="OK41" s="224"/>
      <c r="OL41" s="224"/>
      <c r="OM41" s="224"/>
      <c r="ON41" s="224"/>
      <c r="OO41" s="224"/>
      <c r="OP41" s="224"/>
      <c r="OQ41" s="224"/>
      <c r="OR41" s="224"/>
      <c r="OS41" s="224"/>
      <c r="OT41" s="224"/>
      <c r="OU41" s="224"/>
      <c r="OV41" s="224"/>
      <c r="OW41" s="224"/>
      <c r="OX41" s="224"/>
      <c r="OY41" s="224"/>
      <c r="OZ41" s="224"/>
      <c r="PA41" s="224"/>
      <c r="PB41" s="224"/>
      <c r="PC41" s="224"/>
      <c r="PD41" s="224"/>
      <c r="PE41" s="224"/>
      <c r="PF41" s="224"/>
      <c r="PG41" s="224"/>
      <c r="PH41" s="224"/>
      <c r="PI41" s="224"/>
      <c r="PJ41" s="224"/>
      <c r="PK41" s="224"/>
      <c r="PL41" s="224"/>
      <c r="PM41" s="224"/>
      <c r="PN41" s="224"/>
      <c r="PO41" s="224"/>
      <c r="PP41" s="224"/>
      <c r="PQ41" s="224"/>
      <c r="PR41" s="224"/>
      <c r="PS41" s="224"/>
      <c r="PT41" s="224"/>
      <c r="PU41" s="224"/>
      <c r="PV41" s="224"/>
      <c r="PW41" s="224"/>
      <c r="PX41" s="224"/>
      <c r="PY41" s="224"/>
      <c r="PZ41" s="224"/>
      <c r="QA41" s="224"/>
      <c r="QB41" s="224"/>
      <c r="QC41" s="224"/>
      <c r="QD41" s="224"/>
      <c r="QE41" s="224"/>
      <c r="QF41" s="224"/>
      <c r="QG41" s="224"/>
      <c r="QH41" s="224"/>
      <c r="QI41" s="224"/>
      <c r="QJ41" s="224"/>
      <c r="QK41" s="224"/>
      <c r="QL41" s="224"/>
      <c r="QM41" s="224"/>
      <c r="QN41" s="224"/>
      <c r="QO41" s="224"/>
      <c r="QP41" s="224"/>
      <c r="QQ41" s="224"/>
      <c r="QR41" s="224"/>
      <c r="QS41" s="224"/>
      <c r="QT41" s="224"/>
      <c r="QU41" s="224"/>
      <c r="QV41" s="224"/>
      <c r="QW41" s="224"/>
      <c r="QX41" s="224"/>
      <c r="QY41" s="224"/>
      <c r="QZ41" s="224"/>
      <c r="RA41" s="224"/>
      <c r="RB41" s="224"/>
      <c r="RC41" s="224"/>
      <c r="RD41" s="224"/>
      <c r="RE41" s="224"/>
      <c r="RF41" s="224"/>
      <c r="RG41" s="224"/>
      <c r="RH41" s="224"/>
      <c r="RI41" s="224"/>
      <c r="RJ41" s="224"/>
      <c r="RK41" s="224"/>
      <c r="RL41" s="224"/>
      <c r="RM41" s="224"/>
      <c r="RN41" s="224"/>
      <c r="RO41" s="224"/>
      <c r="RP41" s="224"/>
      <c r="RQ41" s="224"/>
      <c r="RR41" s="224"/>
      <c r="RS41" s="224"/>
      <c r="RT41" s="224"/>
      <c r="RU41" s="224"/>
      <c r="RV41" s="224"/>
      <c r="RW41" s="224"/>
      <c r="RX41" s="224"/>
      <c r="RY41" s="224"/>
      <c r="RZ41" s="224"/>
      <c r="SA41" s="224"/>
      <c r="SB41" s="224"/>
      <c r="SC41" s="224"/>
      <c r="SD41" s="224"/>
      <c r="SE41" s="224"/>
      <c r="SF41" s="224"/>
      <c r="SG41" s="224"/>
      <c r="SH41" s="224"/>
      <c r="SI41" s="224"/>
      <c r="SJ41" s="224"/>
      <c r="SK41" s="224"/>
      <c r="SL41" s="224"/>
      <c r="SM41" s="224"/>
      <c r="SN41" s="224"/>
      <c r="SO41" s="224"/>
      <c r="SP41" s="224"/>
      <c r="SQ41" s="224"/>
      <c r="SR41" s="224"/>
      <c r="SS41" s="224"/>
      <c r="ST41" s="224"/>
      <c r="SU41" s="224"/>
      <c r="SV41" s="224"/>
      <c r="SW41" s="224"/>
      <c r="SX41" s="224"/>
      <c r="SY41" s="224"/>
      <c r="SZ41" s="224"/>
      <c r="TA41" s="224"/>
      <c r="TB41" s="224"/>
      <c r="TC41" s="224"/>
      <c r="TD41" s="224"/>
      <c r="TE41" s="224"/>
      <c r="TF41" s="224"/>
      <c r="TG41" s="224"/>
      <c r="TH41" s="224"/>
      <c r="TI41" s="224"/>
      <c r="TJ41" s="224"/>
      <c r="TK41" s="224"/>
      <c r="TL41" s="224"/>
      <c r="TM41" s="224"/>
      <c r="TN41" s="224"/>
      <c r="TO41" s="224"/>
      <c r="TP41" s="224"/>
      <c r="TQ41" s="224"/>
      <c r="TR41" s="224"/>
      <c r="TS41" s="224"/>
      <c r="TT41" s="224"/>
      <c r="TU41" s="224"/>
      <c r="TV41" s="224"/>
      <c r="TW41" s="224"/>
      <c r="TX41" s="224"/>
      <c r="TY41" s="224"/>
      <c r="TZ41" s="224"/>
      <c r="UA41" s="224"/>
      <c r="UB41" s="224"/>
      <c r="UC41" s="224"/>
      <c r="UD41" s="224"/>
      <c r="UE41" s="224"/>
      <c r="UF41" s="224"/>
      <c r="UG41" s="224"/>
      <c r="UH41" s="224"/>
      <c r="UI41" s="224"/>
      <c r="UJ41" s="224"/>
      <c r="UK41" s="224"/>
      <c r="UL41" s="224"/>
      <c r="UM41" s="224"/>
      <c r="UN41" s="224"/>
      <c r="UO41" s="224"/>
      <c r="UP41" s="224"/>
      <c r="UQ41" s="224"/>
      <c r="UR41" s="224"/>
      <c r="US41" s="224"/>
      <c r="UT41" s="224"/>
      <c r="UU41" s="224"/>
      <c r="UV41" s="224"/>
      <c r="UW41" s="224"/>
      <c r="UX41" s="224"/>
      <c r="UY41" s="224"/>
      <c r="UZ41" s="224"/>
      <c r="VA41" s="224"/>
      <c r="VB41" s="224"/>
      <c r="VC41" s="224"/>
      <c r="VD41" s="224"/>
      <c r="VE41" s="224"/>
      <c r="VF41" s="224"/>
      <c r="VG41" s="224"/>
      <c r="VH41" s="224"/>
      <c r="VI41" s="224"/>
      <c r="VJ41" s="224"/>
      <c r="VK41" s="224"/>
      <c r="VL41" s="224"/>
      <c r="VM41" s="224"/>
      <c r="VN41" s="224"/>
      <c r="VO41" s="224"/>
      <c r="VP41" s="224"/>
      <c r="VQ41" s="224"/>
      <c r="VR41" s="224"/>
      <c r="VS41" s="224"/>
      <c r="VT41" s="224"/>
      <c r="VU41" s="224"/>
      <c r="VV41" s="224"/>
      <c r="VW41" s="224"/>
      <c r="VX41" s="224"/>
      <c r="VY41" s="224"/>
      <c r="VZ41" s="224"/>
      <c r="WA41" s="224"/>
      <c r="WB41" s="224"/>
      <c r="WC41" s="224"/>
      <c r="WD41" s="224"/>
      <c r="WE41" s="224"/>
      <c r="WF41" s="224"/>
      <c r="WG41" s="224"/>
      <c r="WH41" s="224"/>
      <c r="WI41" s="224"/>
      <c r="WJ41" s="224"/>
      <c r="WK41" s="224"/>
      <c r="WL41" s="224"/>
      <c r="WM41" s="224"/>
      <c r="WN41" s="224"/>
      <c r="WO41" s="224"/>
      <c r="WP41" s="224"/>
      <c r="WQ41" s="224"/>
      <c r="WR41" s="224"/>
      <c r="WS41" s="224"/>
      <c r="WT41" s="224"/>
      <c r="WU41" s="224"/>
      <c r="WV41" s="224"/>
      <c r="WW41" s="224"/>
      <c r="WX41" s="224"/>
      <c r="WY41" s="224"/>
      <c r="WZ41" s="224"/>
      <c r="XA41" s="224"/>
      <c r="XB41" s="224"/>
      <c r="XC41" s="224"/>
      <c r="XD41" s="224"/>
      <c r="XE41" s="224"/>
      <c r="XF41" s="224"/>
      <c r="XG41" s="224"/>
      <c r="XH41" s="224"/>
      <c r="XI41" s="224"/>
      <c r="XJ41" s="224"/>
      <c r="XK41" s="224"/>
      <c r="XL41" s="224"/>
      <c r="XM41" s="224"/>
      <c r="XN41" s="224"/>
      <c r="XO41" s="224"/>
      <c r="XP41" s="224"/>
      <c r="XQ41" s="224"/>
      <c r="XR41" s="224"/>
      <c r="XS41" s="224"/>
      <c r="XT41" s="224"/>
      <c r="XU41" s="224"/>
      <c r="XV41" s="224"/>
      <c r="XW41" s="224"/>
      <c r="XX41" s="224"/>
      <c r="XY41" s="224"/>
      <c r="XZ41" s="224"/>
      <c r="YA41" s="224"/>
      <c r="YB41" s="224"/>
      <c r="YC41" s="224"/>
      <c r="YD41" s="224"/>
      <c r="YE41" s="224"/>
      <c r="YF41" s="224"/>
      <c r="YG41" s="224"/>
      <c r="YH41" s="224"/>
      <c r="YI41" s="224"/>
      <c r="YJ41" s="224"/>
      <c r="YK41" s="224"/>
      <c r="YL41" s="224"/>
      <c r="YM41" s="224"/>
      <c r="YN41" s="224"/>
      <c r="YO41" s="224"/>
      <c r="YP41" s="224"/>
      <c r="YQ41" s="224"/>
      <c r="YR41" s="224"/>
      <c r="YS41" s="224"/>
      <c r="YT41" s="224"/>
      <c r="YU41" s="224"/>
      <c r="YV41" s="224"/>
      <c r="YW41" s="224"/>
      <c r="YX41" s="224"/>
      <c r="YY41" s="224"/>
      <c r="YZ41" s="224"/>
      <c r="ZA41" s="224"/>
      <c r="ZB41" s="224"/>
      <c r="ZC41" s="224"/>
      <c r="ZD41" s="224"/>
      <c r="ZE41" s="224"/>
      <c r="ZF41" s="224"/>
      <c r="ZG41" s="224"/>
      <c r="ZH41" s="224"/>
      <c r="ZI41" s="224"/>
      <c r="ZJ41" s="224"/>
      <c r="ZK41" s="224"/>
      <c r="ZL41" s="224"/>
      <c r="ZM41" s="224"/>
      <c r="ZN41" s="224"/>
      <c r="ZO41" s="224"/>
      <c r="ZP41" s="224"/>
      <c r="ZQ41" s="224"/>
      <c r="ZR41" s="224"/>
      <c r="ZS41" s="224"/>
      <c r="ZT41" s="224"/>
      <c r="ZU41" s="224"/>
      <c r="ZV41" s="224"/>
      <c r="ZW41" s="224"/>
      <c r="ZX41" s="224"/>
      <c r="ZY41" s="224"/>
      <c r="ZZ41" s="224"/>
      <c r="AAA41" s="224"/>
      <c r="AAB41" s="224"/>
      <c r="AAC41" s="224"/>
      <c r="AAD41" s="224"/>
      <c r="AAE41" s="224"/>
      <c r="AAF41" s="224"/>
      <c r="AAG41" s="224"/>
      <c r="AAH41" s="224"/>
      <c r="AAI41" s="224"/>
      <c r="AAJ41" s="224"/>
      <c r="AAK41" s="224"/>
      <c r="AAL41" s="224"/>
      <c r="AAM41" s="224"/>
      <c r="AAN41" s="224"/>
      <c r="AAO41" s="224"/>
      <c r="AAP41" s="224"/>
      <c r="AAQ41" s="224"/>
      <c r="AAR41" s="224"/>
      <c r="AAS41" s="224"/>
      <c r="AAT41" s="224"/>
      <c r="AAU41" s="224"/>
      <c r="AAV41" s="224"/>
      <c r="AAW41" s="224"/>
      <c r="AAX41" s="224"/>
      <c r="AAY41" s="224"/>
      <c r="AAZ41" s="224"/>
      <c r="ABA41" s="224"/>
      <c r="ABB41" s="224"/>
      <c r="ABC41" s="224"/>
      <c r="ABD41" s="224"/>
      <c r="ABE41" s="224"/>
      <c r="ABF41" s="224"/>
      <c r="ABG41" s="224"/>
      <c r="ABH41" s="224"/>
      <c r="ABI41" s="224"/>
      <c r="ABJ41" s="224"/>
      <c r="ABK41" s="224"/>
      <c r="ABL41" s="224"/>
      <c r="ABM41" s="224"/>
      <c r="ABN41" s="224"/>
      <c r="ABO41" s="224"/>
      <c r="ABP41" s="224"/>
      <c r="ABQ41" s="224"/>
      <c r="ABR41" s="224"/>
      <c r="ABS41" s="224"/>
      <c r="ABT41" s="224"/>
      <c r="ABU41" s="224"/>
      <c r="ABV41" s="224"/>
      <c r="ABW41" s="224"/>
      <c r="ABX41" s="224"/>
      <c r="ABY41" s="224"/>
      <c r="ABZ41" s="224"/>
      <c r="ACA41" s="224"/>
      <c r="ACB41" s="224"/>
      <c r="ACC41" s="224"/>
      <c r="ACD41" s="224"/>
      <c r="ACE41" s="224"/>
      <c r="ACF41" s="224"/>
      <c r="ACG41" s="224"/>
      <c r="ACH41" s="224"/>
      <c r="ACI41" s="224"/>
      <c r="ACJ41" s="224"/>
      <c r="ACK41" s="224"/>
      <c r="ACL41" s="224"/>
      <c r="ACM41" s="224"/>
      <c r="ACN41" s="224"/>
      <c r="ACO41" s="224"/>
      <c r="ACP41" s="224"/>
      <c r="ACQ41" s="224"/>
      <c r="ACR41" s="224"/>
      <c r="ACS41" s="224"/>
      <c r="ACT41" s="224"/>
      <c r="ACU41" s="224"/>
      <c r="ACV41" s="224"/>
      <c r="ACW41" s="224"/>
      <c r="ACX41" s="224"/>
      <c r="ACY41" s="224"/>
      <c r="ACZ41" s="224"/>
      <c r="ADA41" s="224"/>
      <c r="ADB41" s="224"/>
      <c r="ADC41" s="224"/>
      <c r="ADD41" s="224"/>
      <c r="ADE41" s="224"/>
      <c r="ADF41" s="224"/>
      <c r="ADG41" s="224"/>
      <c r="ADH41" s="224"/>
      <c r="ADI41" s="224"/>
      <c r="ADJ41" s="224"/>
      <c r="ADK41" s="224"/>
      <c r="ADL41" s="224"/>
      <c r="ADM41" s="224"/>
      <c r="ADN41" s="224"/>
      <c r="ADO41" s="224"/>
      <c r="ADP41" s="224"/>
      <c r="ADQ41" s="224"/>
      <c r="ADR41" s="224"/>
      <c r="ADS41" s="224"/>
      <c r="ADT41" s="224"/>
      <c r="ADU41" s="224"/>
      <c r="ADV41" s="224"/>
      <c r="ADW41" s="224"/>
      <c r="ADX41" s="224"/>
      <c r="ADY41" s="224"/>
      <c r="ADZ41" s="224"/>
      <c r="AEA41" s="224"/>
      <c r="AEB41" s="224"/>
      <c r="AEC41" s="224"/>
      <c r="AED41" s="224"/>
      <c r="AEE41" s="224"/>
      <c r="AEF41" s="224"/>
      <c r="AEG41" s="224"/>
      <c r="AEH41" s="224"/>
      <c r="AEI41" s="224"/>
      <c r="AEJ41" s="224"/>
      <c r="AEK41" s="224"/>
      <c r="AEL41" s="224"/>
      <c r="AEM41" s="224"/>
      <c r="AEN41" s="224"/>
      <c r="AEO41" s="224"/>
      <c r="AEP41" s="224"/>
      <c r="AEQ41" s="224"/>
      <c r="AER41" s="224"/>
      <c r="AES41" s="224"/>
      <c r="AET41" s="224"/>
      <c r="AEU41" s="224"/>
      <c r="AEV41" s="224"/>
      <c r="AEW41" s="224"/>
      <c r="AEX41" s="224"/>
      <c r="AEY41" s="224"/>
      <c r="AEZ41" s="224"/>
      <c r="AFA41" s="224"/>
      <c r="AFB41" s="224"/>
      <c r="AFC41" s="224"/>
      <c r="AFD41" s="224"/>
      <c r="AFE41" s="224"/>
      <c r="AFF41" s="224"/>
      <c r="AFG41" s="224"/>
      <c r="AFH41" s="224"/>
      <c r="AFI41" s="224"/>
      <c r="AFJ41" s="224"/>
      <c r="AFK41" s="224"/>
      <c r="AFL41" s="224"/>
      <c r="AFM41" s="224"/>
      <c r="AFN41" s="224"/>
      <c r="AFO41" s="224"/>
      <c r="AFP41" s="224"/>
      <c r="AFQ41" s="224"/>
      <c r="AFR41" s="224"/>
      <c r="AFS41" s="224"/>
      <c r="AFT41" s="224"/>
      <c r="AFU41" s="224"/>
      <c r="AFV41" s="224"/>
      <c r="AFW41" s="224"/>
      <c r="AFX41" s="224"/>
      <c r="AFY41" s="224"/>
      <c r="AFZ41" s="224"/>
      <c r="AGA41" s="224"/>
      <c r="AGB41" s="224"/>
      <c r="AGC41" s="224"/>
      <c r="AGD41" s="224"/>
      <c r="AGE41" s="224"/>
      <c r="AGF41" s="224"/>
      <c r="AGG41" s="224"/>
      <c r="AGH41" s="224"/>
      <c r="AGI41" s="224"/>
      <c r="AGJ41" s="224"/>
      <c r="AGK41" s="224"/>
      <c r="AGL41" s="224"/>
      <c r="AGM41" s="224"/>
      <c r="AGN41" s="224"/>
      <c r="AGO41" s="224"/>
      <c r="AGP41" s="224"/>
      <c r="AGQ41" s="224"/>
      <c r="AGR41" s="224"/>
      <c r="AGS41" s="224"/>
      <c r="AGT41" s="224"/>
      <c r="AGU41" s="224"/>
      <c r="AGV41" s="224"/>
      <c r="AGW41" s="224"/>
      <c r="AGX41" s="224"/>
      <c r="AGY41" s="224"/>
      <c r="AGZ41" s="224"/>
      <c r="AHA41" s="224"/>
      <c r="AHB41" s="224"/>
      <c r="AHC41" s="224"/>
      <c r="AHD41" s="224"/>
      <c r="AHE41" s="224"/>
      <c r="AHF41" s="224"/>
      <c r="AHG41" s="224"/>
      <c r="AHH41" s="224"/>
      <c r="AHI41" s="224"/>
      <c r="AHJ41" s="224"/>
      <c r="AHK41" s="224"/>
      <c r="AHL41" s="224"/>
      <c r="AHM41" s="224"/>
      <c r="AHN41" s="224"/>
      <c r="AHO41" s="224"/>
      <c r="AHP41" s="224"/>
      <c r="AHQ41" s="224"/>
      <c r="AHR41" s="224"/>
      <c r="AHS41" s="224"/>
      <c r="AHT41" s="224"/>
      <c r="AHU41" s="224"/>
      <c r="AHV41" s="224"/>
      <c r="AHW41" s="224"/>
      <c r="AHX41" s="224"/>
      <c r="AHY41" s="224"/>
      <c r="AHZ41" s="224"/>
      <c r="AIA41" s="224"/>
      <c r="AIB41" s="224"/>
      <c r="AIC41" s="224"/>
      <c r="AID41" s="224"/>
      <c r="AIE41" s="224"/>
      <c r="AIF41" s="224"/>
      <c r="AIG41" s="224"/>
      <c r="AIH41" s="224"/>
      <c r="AII41" s="224"/>
      <c r="AIJ41" s="224"/>
      <c r="AIK41" s="224"/>
      <c r="AIL41" s="224"/>
      <c r="AIM41" s="224"/>
      <c r="AIN41" s="224"/>
      <c r="AIO41" s="224"/>
      <c r="AIP41" s="224"/>
      <c r="AIQ41" s="224"/>
      <c r="AIR41" s="224"/>
      <c r="AIS41" s="224"/>
      <c r="AIT41" s="224"/>
      <c r="AIU41" s="224"/>
      <c r="AIV41" s="224"/>
      <c r="AIW41" s="224"/>
      <c r="AIX41" s="224"/>
      <c r="AIY41" s="224"/>
      <c r="AIZ41" s="224"/>
      <c r="AJA41" s="224"/>
      <c r="AJB41" s="224"/>
      <c r="AJC41" s="224"/>
      <c r="AJD41" s="224"/>
      <c r="AJE41" s="224"/>
      <c r="AJF41" s="224"/>
      <c r="AJG41" s="224"/>
      <c r="AJH41" s="224"/>
      <c r="AJI41" s="224"/>
      <c r="AJJ41" s="224"/>
      <c r="AJK41" s="224"/>
      <c r="AJL41" s="224"/>
      <c r="AJM41" s="224"/>
      <c r="AJN41" s="224"/>
      <c r="AJO41" s="224"/>
      <c r="AJP41" s="224"/>
      <c r="AJQ41" s="224"/>
      <c r="AJR41" s="224"/>
      <c r="AJS41" s="224"/>
      <c r="AJT41" s="224"/>
      <c r="AJU41" s="224"/>
      <c r="AJV41" s="224"/>
      <c r="AJW41" s="224"/>
      <c r="AJX41" s="224"/>
      <c r="AJY41" s="224"/>
      <c r="AJZ41" s="224"/>
      <c r="AKA41" s="224"/>
      <c r="AKB41" s="224"/>
      <c r="AKC41" s="224"/>
      <c r="AKD41" s="224"/>
      <c r="AKE41" s="224"/>
      <c r="AKF41" s="224"/>
      <c r="AKG41" s="224"/>
      <c r="AKH41" s="224"/>
      <c r="AKI41" s="224"/>
      <c r="AKJ41" s="224"/>
      <c r="AKK41" s="224"/>
      <c r="AKL41" s="224"/>
      <c r="AKM41" s="224"/>
      <c r="AKN41" s="224"/>
      <c r="AKO41" s="224"/>
      <c r="AKP41" s="224"/>
      <c r="AKQ41" s="224"/>
      <c r="AKR41" s="224"/>
      <c r="AKS41" s="224"/>
      <c r="AKT41" s="224"/>
      <c r="AKU41" s="224"/>
      <c r="AKV41" s="224"/>
      <c r="AKW41" s="224"/>
      <c r="AKX41" s="224"/>
      <c r="AKY41" s="224"/>
      <c r="AKZ41" s="224"/>
      <c r="ALA41" s="224"/>
      <c r="ALB41" s="224"/>
      <c r="ALC41" s="224"/>
      <c r="ALD41" s="224"/>
      <c r="ALE41" s="224"/>
      <c r="ALF41" s="224"/>
      <c r="ALG41" s="224"/>
      <c r="ALH41" s="224"/>
      <c r="ALI41" s="224"/>
      <c r="ALJ41" s="224"/>
      <c r="ALK41" s="224"/>
      <c r="ALL41" s="224"/>
      <c r="ALM41" s="224"/>
      <c r="ALN41" s="224"/>
      <c r="ALO41" s="224"/>
      <c r="ALP41" s="224"/>
      <c r="ALQ41" s="224"/>
      <c r="ALR41" s="224"/>
      <c r="ALS41" s="224"/>
      <c r="ALT41" s="224"/>
      <c r="ALU41" s="224"/>
      <c r="ALV41" s="224"/>
      <c r="ALW41" s="224"/>
      <c r="ALX41" s="224"/>
      <c r="ALY41" s="224"/>
      <c r="ALZ41" s="224"/>
      <c r="AMA41" s="224"/>
      <c r="AMB41" s="224"/>
      <c r="AMC41" s="224"/>
      <c r="AMD41" s="224"/>
      <c r="AME41" s="224"/>
      <c r="AMF41" s="224"/>
      <c r="AMG41" s="224"/>
      <c r="AMH41" s="224"/>
      <c r="AMI41" s="224"/>
      <c r="AMJ41" s="224"/>
      <c r="AMK41" s="224"/>
      <c r="AML41" s="224"/>
      <c r="AMM41" s="224"/>
      <c r="AMN41" s="224"/>
      <c r="AMO41" s="224"/>
      <c r="AMP41" s="224"/>
      <c r="AMQ41" s="224"/>
      <c r="AMR41" s="224"/>
      <c r="AMS41" s="224"/>
      <c r="AMT41" s="224"/>
      <c r="AMU41" s="224"/>
      <c r="AMV41" s="224"/>
      <c r="AMW41" s="224"/>
      <c r="AMX41" s="224"/>
      <c r="AMY41" s="224"/>
      <c r="AMZ41" s="224"/>
      <c r="ANA41" s="224"/>
      <c r="ANB41" s="224"/>
      <c r="ANC41" s="224"/>
      <c r="AND41" s="224"/>
      <c r="ANE41" s="224"/>
      <c r="ANF41" s="224"/>
      <c r="ANG41" s="224"/>
      <c r="ANH41" s="224"/>
      <c r="ANI41" s="224"/>
      <c r="ANJ41" s="224"/>
      <c r="ANK41" s="224"/>
      <c r="ANL41" s="224"/>
      <c r="ANM41" s="224"/>
      <c r="ANN41" s="224"/>
      <c r="ANO41" s="224"/>
      <c r="ANP41" s="224"/>
      <c r="ANQ41" s="224"/>
      <c r="ANR41" s="224"/>
      <c r="ANS41" s="224"/>
      <c r="ANT41" s="224"/>
      <c r="ANU41" s="224"/>
      <c r="ANV41" s="224"/>
      <c r="ANW41" s="224"/>
      <c r="ANX41" s="224"/>
      <c r="ANY41" s="224"/>
      <c r="ANZ41" s="224"/>
      <c r="AOA41" s="224"/>
      <c r="AOB41" s="224"/>
      <c r="AOC41" s="224"/>
      <c r="AOD41" s="224"/>
      <c r="AOE41" s="224"/>
      <c r="AOF41" s="224"/>
      <c r="AOG41" s="224"/>
      <c r="AOH41" s="224"/>
      <c r="AOI41" s="224"/>
      <c r="AOJ41" s="224"/>
      <c r="AOK41" s="224"/>
      <c r="AOL41" s="224"/>
      <c r="AOM41" s="224"/>
      <c r="AON41" s="224"/>
      <c r="AOO41" s="224"/>
      <c r="AOP41" s="224"/>
      <c r="AOQ41" s="224"/>
      <c r="AOR41" s="224"/>
      <c r="AOS41" s="224"/>
      <c r="AOT41" s="224"/>
      <c r="AOU41" s="224"/>
      <c r="AOV41" s="224"/>
      <c r="AOW41" s="224"/>
      <c r="AOX41" s="224"/>
      <c r="AOY41" s="224"/>
      <c r="AOZ41" s="224"/>
      <c r="APA41" s="224"/>
      <c r="APB41" s="224"/>
      <c r="APC41" s="224"/>
      <c r="APD41" s="224"/>
      <c r="APE41" s="224"/>
      <c r="APF41" s="224"/>
      <c r="APG41" s="224"/>
      <c r="APH41" s="224"/>
      <c r="API41" s="224"/>
      <c r="APJ41" s="224"/>
      <c r="APK41" s="224"/>
      <c r="APL41" s="224"/>
      <c r="APM41" s="224"/>
      <c r="APN41" s="224"/>
      <c r="APO41" s="224"/>
      <c r="APP41" s="224"/>
      <c r="APQ41" s="224"/>
      <c r="APR41" s="224"/>
      <c r="APS41" s="224"/>
      <c r="APT41" s="224"/>
      <c r="APU41" s="224"/>
      <c r="APV41" s="224"/>
      <c r="APW41" s="224"/>
      <c r="APX41" s="224"/>
      <c r="APY41" s="224"/>
      <c r="APZ41" s="224"/>
      <c r="AQA41" s="224"/>
      <c r="AQB41" s="224"/>
      <c r="AQC41" s="224"/>
      <c r="AQD41" s="224"/>
      <c r="AQE41" s="224"/>
      <c r="AQF41" s="224"/>
      <c r="AQG41" s="224"/>
      <c r="AQH41" s="224"/>
      <c r="AQI41" s="224"/>
      <c r="AQJ41" s="224"/>
      <c r="AQK41" s="224"/>
      <c r="AQL41" s="224"/>
      <c r="AQM41" s="224"/>
      <c r="AQN41" s="224"/>
      <c r="AQO41" s="224"/>
      <c r="AQP41" s="224"/>
      <c r="AQQ41" s="224"/>
      <c r="AQR41" s="224"/>
      <c r="AQS41" s="224"/>
      <c r="AQT41" s="224"/>
      <c r="AQU41" s="224"/>
      <c r="AQV41" s="224"/>
      <c r="AQW41" s="224"/>
      <c r="AQX41" s="224"/>
      <c r="AQY41" s="224"/>
      <c r="AQZ41" s="224"/>
      <c r="ARA41" s="224"/>
      <c r="ARB41" s="224"/>
      <c r="ARC41" s="224"/>
      <c r="ARD41" s="224"/>
      <c r="ARE41" s="224"/>
      <c r="ARF41" s="224"/>
      <c r="ARG41" s="224"/>
      <c r="ARH41" s="224"/>
      <c r="ARI41" s="224"/>
      <c r="ARJ41" s="224"/>
      <c r="ARK41" s="224"/>
      <c r="ARL41" s="224"/>
      <c r="ARM41" s="224"/>
      <c r="ARN41" s="224"/>
      <c r="ARO41" s="224"/>
      <c r="ARP41" s="224"/>
      <c r="ARQ41" s="224"/>
      <c r="ARR41" s="224"/>
      <c r="ARS41" s="224"/>
      <c r="ART41" s="224"/>
      <c r="ARU41" s="224"/>
      <c r="ARV41" s="224"/>
      <c r="ARW41" s="224"/>
      <c r="ARX41" s="224"/>
      <c r="ARY41" s="224"/>
      <c r="ARZ41" s="224"/>
      <c r="ASA41" s="224"/>
      <c r="ASB41" s="224"/>
      <c r="ASC41" s="224"/>
      <c r="ASD41" s="224"/>
      <c r="ASE41" s="224"/>
      <c r="ASF41" s="224"/>
      <c r="ASG41" s="224"/>
      <c r="ASH41" s="224"/>
      <c r="ASI41" s="224"/>
      <c r="ASJ41" s="224"/>
      <c r="ASK41" s="224"/>
      <c r="ASL41" s="224"/>
      <c r="ASM41" s="224"/>
      <c r="ASN41" s="224"/>
      <c r="ASO41" s="224"/>
      <c r="ASP41" s="224"/>
      <c r="ASQ41" s="224"/>
      <c r="ASR41" s="224"/>
      <c r="ASS41" s="224"/>
      <c r="AST41" s="224"/>
      <c r="ASU41" s="224"/>
      <c r="ASV41" s="224"/>
      <c r="ASW41" s="224"/>
      <c r="ASX41" s="224"/>
      <c r="ASY41" s="224"/>
      <c r="ASZ41" s="224"/>
      <c r="ATA41" s="224"/>
      <c r="ATB41" s="224"/>
      <c r="ATC41" s="224"/>
      <c r="ATD41" s="224"/>
      <c r="ATE41" s="224"/>
      <c r="ATF41" s="224"/>
      <c r="ATG41" s="224"/>
      <c r="ATH41" s="224"/>
      <c r="ATI41" s="224"/>
      <c r="ATJ41" s="224"/>
      <c r="ATK41" s="224"/>
      <c r="ATL41" s="224"/>
      <c r="ATM41" s="224"/>
      <c r="ATN41" s="224"/>
      <c r="ATO41" s="224"/>
      <c r="ATP41" s="224"/>
      <c r="ATQ41" s="224"/>
      <c r="ATR41" s="224"/>
      <c r="ATS41" s="224"/>
      <c r="ATT41" s="224"/>
      <c r="ATU41" s="224"/>
      <c r="ATV41" s="224"/>
      <c r="ATW41" s="224"/>
      <c r="ATX41" s="224"/>
      <c r="ATY41" s="224"/>
      <c r="ATZ41" s="224"/>
      <c r="AUA41" s="224"/>
      <c r="AUB41" s="224"/>
      <c r="AUC41" s="224"/>
      <c r="AUD41" s="224"/>
      <c r="AUE41" s="224"/>
      <c r="AUF41" s="224"/>
      <c r="AUG41" s="224"/>
      <c r="AUH41" s="224"/>
      <c r="AUI41" s="224"/>
      <c r="AUJ41" s="224"/>
      <c r="AUK41" s="224"/>
      <c r="AUL41" s="224"/>
      <c r="AUM41" s="224"/>
      <c r="AUN41" s="224"/>
      <c r="AUO41" s="224"/>
      <c r="AUP41" s="224"/>
      <c r="AUQ41" s="224"/>
      <c r="AUR41" s="224"/>
      <c r="AUS41" s="224"/>
      <c r="AUT41" s="224"/>
      <c r="AUU41" s="224"/>
      <c r="AUV41" s="224"/>
      <c r="AUW41" s="224"/>
      <c r="AUX41" s="224"/>
      <c r="AUY41" s="224"/>
      <c r="AUZ41" s="224"/>
      <c r="AVA41" s="224"/>
      <c r="AVB41" s="224"/>
      <c r="AVC41" s="224"/>
      <c r="AVD41" s="224"/>
      <c r="AVE41" s="224"/>
      <c r="AVF41" s="224"/>
      <c r="AVG41" s="224"/>
      <c r="AVH41" s="224"/>
      <c r="AVI41" s="224"/>
      <c r="AVJ41" s="224"/>
      <c r="AVK41" s="224"/>
      <c r="AVL41" s="224"/>
      <c r="AVM41" s="224"/>
      <c r="AVN41" s="224"/>
      <c r="AVO41" s="224"/>
      <c r="AVP41" s="224"/>
      <c r="AVQ41" s="224"/>
      <c r="AVR41" s="224"/>
      <c r="AVS41" s="224"/>
      <c r="AVT41" s="224"/>
      <c r="AVU41" s="224"/>
      <c r="AVV41" s="224"/>
      <c r="AVW41" s="224"/>
      <c r="AVX41" s="224"/>
      <c r="AVY41" s="224"/>
      <c r="AVZ41" s="224"/>
      <c r="AWA41" s="224"/>
      <c r="AWB41" s="224"/>
      <c r="AWC41" s="224"/>
      <c r="AWD41" s="224"/>
      <c r="AWE41" s="224"/>
      <c r="AWF41" s="224"/>
      <c r="AWG41" s="224"/>
      <c r="AWH41" s="224"/>
      <c r="AWI41" s="224"/>
      <c r="AWJ41" s="224"/>
      <c r="AWK41" s="224"/>
      <c r="AWL41" s="224"/>
      <c r="AWM41" s="224"/>
      <c r="AWN41" s="224"/>
      <c r="AWO41" s="224"/>
      <c r="AWP41" s="224"/>
      <c r="AWQ41" s="224"/>
      <c r="AWR41" s="224"/>
      <c r="AWS41" s="224"/>
      <c r="AWT41" s="224"/>
      <c r="AWU41" s="224"/>
      <c r="AWV41" s="224"/>
      <c r="AWW41" s="224"/>
      <c r="AWX41" s="224"/>
      <c r="AWY41" s="224"/>
      <c r="AWZ41" s="224"/>
      <c r="AXA41" s="224"/>
      <c r="AXB41" s="224"/>
      <c r="AXC41" s="224"/>
      <c r="AXD41" s="224"/>
      <c r="AXE41" s="224"/>
      <c r="AXF41" s="224"/>
      <c r="AXG41" s="224"/>
      <c r="AXH41" s="224"/>
      <c r="AXI41" s="224"/>
      <c r="AXJ41" s="224"/>
      <c r="AXK41" s="224"/>
      <c r="AXL41" s="224"/>
      <c r="AXM41" s="224"/>
      <c r="AXN41" s="224"/>
      <c r="AXO41" s="224"/>
      <c r="AXP41" s="224"/>
      <c r="AXQ41" s="224"/>
      <c r="AXR41" s="224"/>
      <c r="AXS41" s="224"/>
      <c r="AXT41" s="224"/>
      <c r="AXU41" s="224"/>
      <c r="AXV41" s="224"/>
      <c r="AXW41" s="224"/>
      <c r="AXX41" s="224"/>
      <c r="AXY41" s="224"/>
      <c r="AXZ41" s="224"/>
      <c r="AYA41" s="224"/>
      <c r="AYB41" s="224"/>
      <c r="AYC41" s="224"/>
      <c r="AYD41" s="224"/>
      <c r="AYE41" s="224"/>
      <c r="AYF41" s="224"/>
      <c r="AYG41" s="224"/>
      <c r="AYH41" s="224"/>
      <c r="AYI41" s="224"/>
      <c r="AYJ41" s="224"/>
      <c r="AYK41" s="224"/>
      <c r="AYL41" s="224"/>
      <c r="AYM41" s="224"/>
      <c r="AYN41" s="224"/>
      <c r="AYO41" s="224"/>
      <c r="AYP41" s="224"/>
      <c r="AYQ41" s="224"/>
      <c r="AYR41" s="224"/>
      <c r="AYS41" s="224"/>
      <c r="AYT41" s="224"/>
      <c r="AYU41" s="224"/>
      <c r="AYV41" s="224"/>
      <c r="AYW41" s="224"/>
      <c r="AYX41" s="224"/>
      <c r="AYY41" s="224"/>
      <c r="AYZ41" s="224"/>
      <c r="AZA41" s="224"/>
      <c r="AZB41" s="224"/>
      <c r="AZC41" s="224"/>
      <c r="AZD41" s="224"/>
      <c r="AZE41" s="224"/>
      <c r="AZF41" s="224"/>
      <c r="AZG41" s="224"/>
      <c r="AZH41" s="224"/>
      <c r="AZI41" s="224"/>
      <c r="AZJ41" s="224"/>
      <c r="AZK41" s="224"/>
      <c r="AZL41" s="224"/>
      <c r="AZM41" s="224"/>
      <c r="AZN41" s="224"/>
      <c r="AZO41" s="224"/>
      <c r="AZP41" s="224"/>
      <c r="AZQ41" s="224"/>
      <c r="AZR41" s="224"/>
      <c r="AZS41" s="224"/>
      <c r="AZT41" s="224"/>
      <c r="AZU41" s="224"/>
      <c r="AZV41" s="224"/>
      <c r="AZW41" s="224"/>
      <c r="AZX41" s="224"/>
      <c r="AZY41" s="224"/>
      <c r="AZZ41" s="224"/>
      <c r="BAA41" s="224"/>
      <c r="BAB41" s="224"/>
      <c r="BAC41" s="224"/>
      <c r="BAD41" s="224"/>
      <c r="BAE41" s="224"/>
      <c r="BAF41" s="224"/>
      <c r="BAG41" s="224"/>
      <c r="BAH41" s="224"/>
      <c r="BAI41" s="224"/>
      <c r="BAJ41" s="224"/>
      <c r="BAK41" s="224"/>
      <c r="BAL41" s="224"/>
      <c r="BAM41" s="224"/>
      <c r="BAN41" s="224"/>
      <c r="BAO41" s="224"/>
      <c r="BAP41" s="224"/>
      <c r="BAQ41" s="224"/>
      <c r="BAR41" s="224"/>
      <c r="BAS41" s="224"/>
      <c r="BAT41" s="224"/>
      <c r="BAU41" s="224"/>
      <c r="BAV41" s="224"/>
      <c r="BAW41" s="224"/>
      <c r="BAX41" s="224"/>
      <c r="BAY41" s="224"/>
      <c r="BAZ41" s="224"/>
      <c r="BBA41" s="224"/>
      <c r="BBB41" s="224"/>
      <c r="BBC41" s="224"/>
      <c r="BBD41" s="224"/>
      <c r="BBE41" s="224"/>
      <c r="BBF41" s="224"/>
      <c r="BBG41" s="224"/>
      <c r="BBH41" s="224"/>
      <c r="BBI41" s="224"/>
      <c r="BBJ41" s="224"/>
      <c r="BBK41" s="224"/>
      <c r="BBL41" s="224"/>
      <c r="BBM41" s="224"/>
      <c r="BBN41" s="224"/>
      <c r="BBO41" s="224"/>
      <c r="BBP41" s="224"/>
      <c r="BBQ41" s="224"/>
      <c r="BBR41" s="224"/>
      <c r="BBS41" s="224"/>
      <c r="BBT41" s="224"/>
      <c r="BBU41" s="224"/>
      <c r="BBV41" s="224"/>
      <c r="BBW41" s="224"/>
      <c r="BBX41" s="224"/>
      <c r="BBY41" s="224"/>
      <c r="BBZ41" s="224"/>
      <c r="BCA41" s="224"/>
      <c r="BCB41" s="224"/>
      <c r="BCC41" s="224"/>
      <c r="BCD41" s="224"/>
      <c r="BCE41" s="224"/>
      <c r="BCF41" s="224"/>
      <c r="BCG41" s="224"/>
      <c r="BCH41" s="224"/>
      <c r="BCI41" s="224"/>
      <c r="BCJ41" s="224"/>
      <c r="BCK41" s="224"/>
      <c r="BCL41" s="224"/>
      <c r="BCM41" s="224"/>
      <c r="BCN41" s="224"/>
      <c r="BCO41" s="224"/>
      <c r="BCP41" s="224"/>
      <c r="BCQ41" s="224"/>
      <c r="BCR41" s="224"/>
      <c r="BCS41" s="224"/>
      <c r="BCT41" s="224"/>
      <c r="BCU41" s="224"/>
      <c r="BCV41" s="224"/>
      <c r="BCW41" s="224"/>
      <c r="BCX41" s="224"/>
      <c r="BCY41" s="224"/>
      <c r="BCZ41" s="224"/>
      <c r="BDA41" s="224"/>
      <c r="BDB41" s="224"/>
      <c r="BDC41" s="224"/>
      <c r="BDD41" s="224"/>
      <c r="BDE41" s="224"/>
      <c r="BDF41" s="224"/>
      <c r="BDG41" s="224"/>
      <c r="BDH41" s="224"/>
      <c r="BDI41" s="224"/>
      <c r="BDJ41" s="224"/>
      <c r="BDK41" s="224"/>
      <c r="BDL41" s="224"/>
      <c r="BDM41" s="224"/>
      <c r="BDN41" s="224"/>
      <c r="BDO41" s="224"/>
      <c r="BDP41" s="224"/>
      <c r="BDQ41" s="224"/>
      <c r="BDR41" s="224"/>
      <c r="BDS41" s="224"/>
      <c r="BDT41" s="224"/>
      <c r="BDU41" s="224"/>
      <c r="BDV41" s="224"/>
      <c r="BDW41" s="224"/>
      <c r="BDX41" s="224"/>
      <c r="BDY41" s="224"/>
      <c r="BDZ41" s="224"/>
      <c r="BEA41" s="224"/>
      <c r="BEB41" s="224"/>
      <c r="BEC41" s="224"/>
      <c r="BED41" s="224"/>
      <c r="BEE41" s="224"/>
      <c r="BEF41" s="224"/>
      <c r="BEG41" s="224"/>
      <c r="BEH41" s="224"/>
      <c r="BEI41" s="224"/>
      <c r="BEJ41" s="224"/>
      <c r="BEK41" s="224"/>
      <c r="BEL41" s="224"/>
      <c r="BEM41" s="224"/>
      <c r="BEN41" s="224"/>
      <c r="BEO41" s="224"/>
      <c r="BEP41" s="224"/>
      <c r="BEQ41" s="224"/>
      <c r="BER41" s="224"/>
      <c r="BES41" s="224"/>
      <c r="BET41" s="224"/>
      <c r="BEU41" s="224"/>
      <c r="BEV41" s="224"/>
      <c r="BEW41" s="224"/>
      <c r="BEX41" s="224"/>
      <c r="BEY41" s="224"/>
      <c r="BEZ41" s="224"/>
      <c r="BFA41" s="224"/>
      <c r="BFB41" s="224"/>
      <c r="BFC41" s="224"/>
      <c r="BFD41" s="224"/>
      <c r="BFE41" s="224"/>
      <c r="BFF41" s="224"/>
      <c r="BFG41" s="224"/>
      <c r="BFH41" s="224"/>
      <c r="BFI41" s="224"/>
      <c r="BFJ41" s="224"/>
      <c r="BFK41" s="224"/>
      <c r="BFL41" s="224"/>
      <c r="BFM41" s="224"/>
      <c r="BFN41" s="224"/>
      <c r="BFO41" s="224"/>
      <c r="BFP41" s="224"/>
      <c r="BFQ41" s="224"/>
      <c r="BFR41" s="224"/>
      <c r="BFS41" s="224"/>
      <c r="BFT41" s="224"/>
      <c r="BFU41" s="224"/>
      <c r="BFV41" s="224"/>
      <c r="BFW41" s="224"/>
      <c r="BFX41" s="224"/>
      <c r="BFY41" s="224"/>
      <c r="BFZ41" s="224"/>
      <c r="BGA41" s="224"/>
      <c r="BGB41" s="224"/>
      <c r="BGC41" s="224"/>
      <c r="BGD41" s="224"/>
      <c r="BGE41" s="224"/>
      <c r="BGF41" s="224"/>
      <c r="BGG41" s="224"/>
      <c r="BGH41" s="224"/>
      <c r="BGI41" s="224"/>
      <c r="BGJ41" s="224"/>
      <c r="BGK41" s="224"/>
      <c r="BGL41" s="224"/>
      <c r="BGM41" s="224"/>
      <c r="BGN41" s="224"/>
      <c r="BGO41" s="224"/>
      <c r="BGP41" s="224"/>
      <c r="BGQ41" s="224"/>
      <c r="BGR41" s="224"/>
      <c r="BGS41" s="224"/>
      <c r="BGT41" s="224"/>
      <c r="BGU41" s="224"/>
      <c r="BGV41" s="224"/>
      <c r="BGW41" s="224"/>
      <c r="BGX41" s="224"/>
      <c r="BGY41" s="224"/>
      <c r="BGZ41" s="224"/>
      <c r="BHA41" s="224"/>
      <c r="BHB41" s="224"/>
      <c r="BHC41" s="224"/>
      <c r="BHD41" s="224"/>
      <c r="BHE41" s="224"/>
      <c r="BHF41" s="224"/>
      <c r="BHG41" s="224"/>
      <c r="BHH41" s="224"/>
      <c r="BHI41" s="224"/>
      <c r="BHJ41" s="224"/>
      <c r="BHK41" s="224"/>
      <c r="BHL41" s="224"/>
      <c r="BHM41" s="224"/>
      <c r="BHN41" s="224"/>
      <c r="BHO41" s="224"/>
      <c r="BHP41" s="224"/>
      <c r="BHQ41" s="224"/>
      <c r="BHR41" s="224"/>
      <c r="BHS41" s="224"/>
      <c r="BHT41" s="224"/>
      <c r="BHU41" s="224"/>
      <c r="BHV41" s="224"/>
      <c r="BHW41" s="224"/>
      <c r="BHX41" s="224"/>
      <c r="BHY41" s="224"/>
      <c r="BHZ41" s="224"/>
      <c r="BIA41" s="224"/>
      <c r="BIB41" s="224"/>
      <c r="BIC41" s="224"/>
      <c r="BID41" s="224"/>
      <c r="BIE41" s="224"/>
      <c r="BIF41" s="224"/>
      <c r="BIG41" s="224"/>
      <c r="BIH41" s="224"/>
      <c r="BII41" s="224"/>
      <c r="BIJ41" s="224"/>
      <c r="BIK41" s="224"/>
      <c r="BIL41" s="224"/>
      <c r="BIM41" s="224"/>
      <c r="BIN41" s="224"/>
      <c r="BIO41" s="224"/>
      <c r="BIP41" s="224"/>
      <c r="BIQ41" s="224"/>
      <c r="BIR41" s="224"/>
      <c r="BIS41" s="224"/>
      <c r="BIT41" s="224"/>
      <c r="BIU41" s="224"/>
      <c r="BIV41" s="224"/>
      <c r="BIW41" s="224"/>
      <c r="BIX41" s="224"/>
      <c r="BIY41" s="224"/>
      <c r="BIZ41" s="224"/>
      <c r="BJA41" s="224"/>
      <c r="BJB41" s="224"/>
      <c r="BJC41" s="224"/>
      <c r="BJD41" s="224"/>
      <c r="BJE41" s="224"/>
      <c r="BJF41" s="224"/>
      <c r="BJG41" s="224"/>
      <c r="BJH41" s="224"/>
      <c r="BJI41" s="224"/>
      <c r="BJJ41" s="224"/>
      <c r="BJK41" s="224"/>
      <c r="BJL41" s="224"/>
      <c r="BJM41" s="224"/>
      <c r="BJN41" s="224"/>
      <c r="BJO41" s="224"/>
      <c r="BJP41" s="224"/>
      <c r="BJQ41" s="224"/>
      <c r="BJR41" s="224"/>
      <c r="BJS41" s="224"/>
      <c r="BJT41" s="224"/>
      <c r="BJU41" s="224"/>
      <c r="BJV41" s="224"/>
      <c r="BJW41" s="224"/>
      <c r="BJX41" s="224"/>
      <c r="BJY41" s="224"/>
      <c r="BJZ41" s="224"/>
      <c r="BKA41" s="224"/>
      <c r="BKB41" s="224"/>
      <c r="BKC41" s="224"/>
      <c r="BKD41" s="224"/>
      <c r="BKE41" s="224"/>
      <c r="BKF41" s="224"/>
      <c r="BKG41" s="224"/>
      <c r="BKH41" s="224"/>
      <c r="BKI41" s="224"/>
      <c r="BKJ41" s="224"/>
      <c r="BKK41" s="224"/>
      <c r="BKL41" s="224"/>
      <c r="BKM41" s="224"/>
      <c r="BKN41" s="224"/>
      <c r="BKO41" s="224"/>
      <c r="BKP41" s="224"/>
      <c r="BKQ41" s="224"/>
      <c r="BKR41" s="224"/>
      <c r="BKS41" s="224"/>
      <c r="BKT41" s="224"/>
      <c r="BKU41" s="224"/>
      <c r="BKV41" s="224"/>
      <c r="BKW41" s="224"/>
      <c r="BKX41" s="224"/>
      <c r="BKY41" s="224"/>
      <c r="BKZ41" s="224"/>
      <c r="BLA41" s="224"/>
      <c r="BLB41" s="224"/>
      <c r="BLC41" s="224"/>
      <c r="BLD41" s="224"/>
      <c r="BLE41" s="224"/>
      <c r="BLF41" s="224"/>
      <c r="BLG41" s="224"/>
      <c r="BLH41" s="224"/>
      <c r="BLI41" s="224"/>
      <c r="BLJ41" s="224"/>
      <c r="BLK41" s="224"/>
      <c r="BLL41" s="224"/>
      <c r="BLM41" s="224"/>
      <c r="BLN41" s="224"/>
      <c r="BLO41" s="224"/>
      <c r="BLP41" s="224"/>
      <c r="BLQ41" s="224"/>
      <c r="BLR41" s="224"/>
      <c r="BLS41" s="224"/>
      <c r="BLT41" s="224"/>
      <c r="BLU41" s="224"/>
      <c r="BLV41" s="224"/>
      <c r="BLW41" s="224"/>
      <c r="BLX41" s="224"/>
      <c r="BLY41" s="224"/>
      <c r="BLZ41" s="224"/>
      <c r="BMA41" s="224"/>
      <c r="BMB41" s="224"/>
      <c r="BMC41" s="224"/>
      <c r="BMD41" s="224"/>
      <c r="BME41" s="224"/>
      <c r="BMF41" s="224"/>
      <c r="BMG41" s="224"/>
      <c r="BMH41" s="224"/>
      <c r="BMI41" s="224"/>
      <c r="BMJ41" s="224"/>
      <c r="BMK41" s="224"/>
      <c r="BML41" s="224"/>
      <c r="BMM41" s="224"/>
      <c r="BMN41" s="224"/>
      <c r="BMO41" s="224"/>
      <c r="BMP41" s="224"/>
      <c r="BMQ41" s="224"/>
      <c r="BMR41" s="224"/>
      <c r="BMS41" s="224"/>
      <c r="BMT41" s="224"/>
      <c r="BMU41" s="224"/>
      <c r="BMV41" s="224"/>
      <c r="BMW41" s="224"/>
      <c r="BMX41" s="224"/>
      <c r="BMY41" s="224"/>
      <c r="BMZ41" s="224"/>
      <c r="BNA41" s="224"/>
      <c r="BNB41" s="224"/>
      <c r="BNC41" s="224"/>
      <c r="BND41" s="224"/>
      <c r="BNE41" s="224"/>
      <c r="BNF41" s="224"/>
      <c r="BNG41" s="224"/>
      <c r="BNH41" s="224"/>
      <c r="BNI41" s="224"/>
      <c r="BNJ41" s="224"/>
      <c r="BNK41" s="224"/>
      <c r="BNL41" s="224"/>
      <c r="BNM41" s="224"/>
      <c r="BNN41" s="224"/>
      <c r="BNO41" s="224"/>
      <c r="BNP41" s="224"/>
      <c r="BNQ41" s="224"/>
      <c r="BNR41" s="224"/>
      <c r="BNS41" s="224"/>
      <c r="BNT41" s="224"/>
      <c r="BNU41" s="224"/>
      <c r="BNV41" s="224"/>
      <c r="BNW41" s="224"/>
      <c r="BNX41" s="224"/>
      <c r="BNY41" s="224"/>
      <c r="BNZ41" s="224"/>
      <c r="BOA41" s="224"/>
      <c r="BOB41" s="224"/>
      <c r="BOC41" s="224"/>
      <c r="BOD41" s="224"/>
      <c r="BOE41" s="224"/>
      <c r="BOF41" s="224"/>
      <c r="BOG41" s="224"/>
      <c r="BOH41" s="224"/>
      <c r="BOI41" s="224"/>
      <c r="BOJ41" s="224"/>
      <c r="BOK41" s="224"/>
      <c r="BOL41" s="224"/>
      <c r="BOM41" s="224"/>
      <c r="BON41" s="224"/>
      <c r="BOO41" s="224"/>
      <c r="BOP41" s="224"/>
      <c r="BOQ41" s="224"/>
      <c r="BOR41" s="224"/>
      <c r="BOS41" s="224"/>
      <c r="BOT41" s="224"/>
      <c r="BOU41" s="224"/>
      <c r="BOV41" s="224"/>
      <c r="BOW41" s="224"/>
      <c r="BOX41" s="224"/>
      <c r="BOY41" s="224"/>
      <c r="BOZ41" s="224"/>
      <c r="BPA41" s="224"/>
      <c r="BPB41" s="224"/>
      <c r="BPC41" s="224"/>
      <c r="BPD41" s="224"/>
      <c r="BPE41" s="224"/>
      <c r="BPF41" s="224"/>
      <c r="BPG41" s="224"/>
      <c r="BPH41" s="224"/>
      <c r="BPI41" s="224"/>
      <c r="BPJ41" s="224"/>
      <c r="BPK41" s="224"/>
      <c r="BPL41" s="224"/>
      <c r="BPM41" s="224"/>
      <c r="BPN41" s="224"/>
      <c r="BPO41" s="224"/>
      <c r="BPP41" s="224"/>
      <c r="BPQ41" s="224"/>
      <c r="BPR41" s="224"/>
      <c r="BPS41" s="224"/>
      <c r="BPT41" s="224"/>
      <c r="BPU41" s="224"/>
      <c r="BPV41" s="224"/>
      <c r="BPW41" s="224"/>
      <c r="BPX41" s="224"/>
      <c r="BPY41" s="224"/>
      <c r="BPZ41" s="224"/>
      <c r="BQA41" s="224"/>
      <c r="BQB41" s="224"/>
      <c r="BQC41" s="224"/>
      <c r="BQD41" s="224"/>
      <c r="BQE41" s="224"/>
      <c r="BQF41" s="224"/>
      <c r="BQG41" s="224"/>
      <c r="BQH41" s="224"/>
      <c r="BQI41" s="224"/>
      <c r="BQJ41" s="224"/>
      <c r="BQK41" s="224"/>
      <c r="BQL41" s="224"/>
      <c r="BQM41" s="224"/>
      <c r="BQN41" s="224"/>
      <c r="BQO41" s="224"/>
      <c r="BQP41" s="224"/>
      <c r="BQQ41" s="224"/>
      <c r="BQR41" s="224"/>
      <c r="BQS41" s="224"/>
      <c r="BQT41" s="224"/>
      <c r="BQU41" s="224"/>
      <c r="BQV41" s="224"/>
      <c r="BQW41" s="224"/>
      <c r="BQX41" s="224"/>
      <c r="BQY41" s="224"/>
      <c r="BQZ41" s="224"/>
      <c r="BRA41" s="224"/>
      <c r="BRB41" s="224"/>
      <c r="BRC41" s="224"/>
      <c r="BRD41" s="224"/>
      <c r="BRE41" s="224"/>
      <c r="BRF41" s="224"/>
      <c r="BRG41" s="224"/>
      <c r="BRH41" s="224"/>
      <c r="BRI41" s="224"/>
      <c r="BRJ41" s="224"/>
      <c r="BRK41" s="224"/>
      <c r="BRL41" s="224"/>
      <c r="BRM41" s="224"/>
      <c r="BRN41" s="224"/>
      <c r="BRO41" s="224"/>
      <c r="BRP41" s="224"/>
      <c r="BRQ41" s="224"/>
      <c r="BRR41" s="224"/>
      <c r="BRS41" s="224"/>
      <c r="BRT41" s="224"/>
      <c r="BRU41" s="224"/>
      <c r="BRV41" s="224"/>
      <c r="BRW41" s="224"/>
      <c r="BRX41" s="224"/>
      <c r="BRY41" s="224"/>
      <c r="BRZ41" s="224"/>
      <c r="BSA41" s="224"/>
      <c r="BSB41" s="224"/>
      <c r="BSC41" s="224"/>
      <c r="BSD41" s="224"/>
      <c r="BSE41" s="224"/>
      <c r="BSF41" s="224"/>
      <c r="BSG41" s="224"/>
      <c r="BSH41" s="224"/>
      <c r="BSI41" s="224"/>
      <c r="BSJ41" s="224"/>
      <c r="BSK41" s="224"/>
      <c r="BSL41" s="224"/>
      <c r="BSM41" s="224"/>
      <c r="BSN41" s="224"/>
      <c r="BSO41" s="224"/>
      <c r="BSP41" s="224"/>
      <c r="BSQ41" s="224"/>
      <c r="BSR41" s="224"/>
      <c r="BSS41" s="224"/>
      <c r="BST41" s="224"/>
      <c r="BSU41" s="224"/>
      <c r="BSV41" s="224"/>
      <c r="BSW41" s="224"/>
      <c r="BSX41" s="224"/>
      <c r="BSY41" s="224"/>
      <c r="BSZ41" s="224"/>
      <c r="BTA41" s="224"/>
      <c r="BTB41" s="224"/>
      <c r="BTC41" s="224"/>
      <c r="BTD41" s="224"/>
      <c r="BTE41" s="224"/>
      <c r="BTF41" s="224"/>
      <c r="BTG41" s="224"/>
      <c r="BTH41" s="224"/>
      <c r="BTI41" s="224"/>
      <c r="BTJ41" s="224"/>
      <c r="BTK41" s="224"/>
      <c r="BTL41" s="224"/>
      <c r="BTM41" s="224"/>
      <c r="BTN41" s="224"/>
      <c r="BTO41" s="224"/>
      <c r="BTP41" s="224"/>
      <c r="BTQ41" s="224"/>
      <c r="BTR41" s="224"/>
      <c r="BTS41" s="224"/>
      <c r="BTT41" s="224"/>
      <c r="BTU41" s="224"/>
      <c r="BTV41" s="224"/>
      <c r="BTW41" s="224"/>
      <c r="BTX41" s="224"/>
      <c r="BTY41" s="224"/>
      <c r="BTZ41" s="224"/>
      <c r="BUA41" s="224"/>
      <c r="BUB41" s="224"/>
      <c r="BUC41" s="224"/>
      <c r="BUD41" s="224"/>
      <c r="BUE41" s="224"/>
      <c r="BUF41" s="224"/>
      <c r="BUG41" s="224"/>
      <c r="BUH41" s="224"/>
      <c r="BUI41" s="224"/>
      <c r="BUJ41" s="224"/>
      <c r="BUK41" s="224"/>
      <c r="BUL41" s="224"/>
      <c r="BUM41" s="224"/>
      <c r="BUN41" s="224"/>
      <c r="BUO41" s="224"/>
      <c r="BUP41" s="224"/>
      <c r="BUQ41" s="224"/>
      <c r="BUR41" s="224"/>
      <c r="BUS41" s="224"/>
      <c r="BUT41" s="224"/>
      <c r="BUU41" s="224"/>
      <c r="BUV41" s="224"/>
      <c r="BUW41" s="224"/>
      <c r="BUX41" s="224"/>
      <c r="BUY41" s="224"/>
      <c r="BUZ41" s="224"/>
      <c r="BVA41" s="224"/>
      <c r="BVB41" s="224"/>
      <c r="BVC41" s="224"/>
      <c r="BVD41" s="224"/>
      <c r="BVE41" s="224"/>
      <c r="BVF41" s="224"/>
      <c r="BVG41" s="224"/>
      <c r="BVH41" s="224"/>
      <c r="BVI41" s="224"/>
      <c r="BVJ41" s="224"/>
      <c r="BVK41" s="224"/>
      <c r="BVL41" s="224"/>
      <c r="BVM41" s="224"/>
      <c r="BVN41" s="224"/>
      <c r="BVO41" s="224"/>
      <c r="BVP41" s="224"/>
      <c r="BVQ41" s="224"/>
      <c r="BVR41" s="224"/>
      <c r="BVS41" s="224"/>
      <c r="BVT41" s="224"/>
      <c r="BVU41" s="224"/>
      <c r="BVV41" s="224"/>
      <c r="BVW41" s="224"/>
      <c r="BVX41" s="224"/>
      <c r="BVY41" s="224"/>
      <c r="BVZ41" s="224"/>
      <c r="BWA41" s="224"/>
      <c r="BWB41" s="224"/>
      <c r="BWC41" s="224"/>
      <c r="BWD41" s="224"/>
      <c r="BWE41" s="224"/>
      <c r="BWF41" s="224"/>
      <c r="BWG41" s="224"/>
      <c r="BWH41" s="224"/>
      <c r="BWI41" s="224"/>
      <c r="BWJ41" s="224"/>
      <c r="BWK41" s="224"/>
      <c r="BWL41" s="224"/>
      <c r="BWM41" s="224"/>
      <c r="BWN41" s="224"/>
      <c r="BWO41" s="224"/>
      <c r="BWP41" s="224"/>
      <c r="BWQ41" s="224"/>
      <c r="BWR41" s="224"/>
      <c r="BWS41" s="224"/>
      <c r="BWT41" s="224"/>
      <c r="BWU41" s="224"/>
      <c r="BWV41" s="224"/>
      <c r="BWW41" s="224"/>
      <c r="BWX41" s="224"/>
      <c r="BWY41" s="224"/>
      <c r="BWZ41" s="224"/>
      <c r="BXA41" s="224"/>
      <c r="BXB41" s="224"/>
      <c r="BXC41" s="224"/>
      <c r="BXD41" s="224"/>
      <c r="BXE41" s="224"/>
      <c r="BXF41" s="224"/>
      <c r="BXG41" s="224"/>
      <c r="BXH41" s="224"/>
      <c r="BXI41" s="224"/>
      <c r="BXJ41" s="224"/>
      <c r="BXK41" s="224"/>
      <c r="BXL41" s="224"/>
      <c r="BXM41" s="224"/>
      <c r="BXN41" s="224"/>
      <c r="BXO41" s="224"/>
      <c r="BXP41" s="224"/>
      <c r="BXQ41" s="224"/>
      <c r="BXR41" s="224"/>
      <c r="BXS41" s="224"/>
      <c r="BXT41" s="224"/>
      <c r="BXU41" s="224"/>
      <c r="BXV41" s="224"/>
      <c r="BXW41" s="224"/>
      <c r="BXX41" s="224"/>
      <c r="BXY41" s="224"/>
      <c r="BXZ41" s="224"/>
      <c r="BYA41" s="224"/>
      <c r="BYB41" s="224"/>
      <c r="BYC41" s="224"/>
      <c r="BYD41" s="224"/>
      <c r="BYE41" s="224"/>
      <c r="BYF41" s="224"/>
      <c r="BYG41" s="224"/>
    </row>
    <row r="42" spans="1:2009" s="101" customFormat="1" ht="12.75" customHeight="1" thickBot="1" x14ac:dyDescent="0.3">
      <c r="A42" s="98"/>
      <c r="B42" s="129"/>
      <c r="C42" s="175"/>
      <c r="D42" s="175"/>
      <c r="E42" s="175"/>
      <c r="F42" s="175"/>
      <c r="G42" s="175"/>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8" customFormat="1" ht="24.95" customHeight="1" x14ac:dyDescent="0.25">
      <c r="A43" s="147" t="s">
        <v>324</v>
      </c>
      <c r="B43" s="471"/>
      <c r="C43" s="472"/>
      <c r="D43" s="472"/>
      <c r="E43" s="472"/>
      <c r="F43" s="473"/>
      <c r="G43" s="474"/>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118" customFormat="1" ht="24.95" customHeight="1" x14ac:dyDescent="0.25">
      <c r="A44" s="413"/>
      <c r="B44" s="480" t="s">
        <v>398</v>
      </c>
      <c r="C44" s="510">
        <v>596.69000000000005</v>
      </c>
      <c r="D44" s="510">
        <v>662.75</v>
      </c>
      <c r="E44" s="482"/>
      <c r="F44" s="483"/>
      <c r="G44" s="484">
        <f>ROUND(SUM(C44:F44),5)</f>
        <v>1259.44</v>
      </c>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c r="AML44" s="100"/>
      <c r="AMM44" s="100"/>
      <c r="AMN44" s="100"/>
      <c r="AMO44" s="100"/>
      <c r="AMP44" s="100"/>
      <c r="AMQ44" s="100"/>
      <c r="AMR44" s="100"/>
      <c r="AMS44" s="100"/>
      <c r="AMT44" s="100"/>
      <c r="AMU44" s="100"/>
      <c r="AMV44" s="100"/>
      <c r="AMW44" s="100"/>
      <c r="AMX44" s="100"/>
      <c r="AMY44" s="100"/>
      <c r="AMZ44" s="100"/>
      <c r="ANA44" s="100"/>
      <c r="ANB44" s="100"/>
      <c r="ANC44" s="100"/>
      <c r="AND44" s="100"/>
      <c r="ANE44" s="100"/>
      <c r="ANF44" s="100"/>
      <c r="ANG44" s="100"/>
      <c r="ANH44" s="100"/>
      <c r="ANI44" s="100"/>
      <c r="ANJ44" s="100"/>
      <c r="ANK44" s="100"/>
      <c r="ANL44" s="100"/>
      <c r="ANM44" s="100"/>
      <c r="ANN44" s="100"/>
      <c r="ANO44" s="100"/>
      <c r="ANP44" s="100"/>
      <c r="ANQ44" s="100"/>
      <c r="ANR44" s="100"/>
      <c r="ANS44" s="100"/>
      <c r="ANT44" s="100"/>
      <c r="ANU44" s="100"/>
      <c r="ANV44" s="100"/>
      <c r="ANW44" s="100"/>
      <c r="ANX44" s="100"/>
      <c r="ANY44" s="100"/>
      <c r="ANZ44" s="100"/>
      <c r="AOA44" s="100"/>
      <c r="AOB44" s="100"/>
      <c r="AOC44" s="100"/>
      <c r="AOD44" s="100"/>
      <c r="AOE44" s="100"/>
      <c r="AOF44" s="100"/>
      <c r="AOG44" s="100"/>
      <c r="AOH44" s="100"/>
      <c r="AOI44" s="100"/>
      <c r="AOJ44" s="100"/>
      <c r="AOK44" s="100"/>
      <c r="AOL44" s="100"/>
      <c r="AOM44" s="100"/>
      <c r="AON44" s="100"/>
      <c r="AOO44" s="100"/>
      <c r="AOP44" s="100"/>
      <c r="AOQ44" s="100"/>
      <c r="AOR44" s="100"/>
      <c r="AOS44" s="100"/>
      <c r="AOT44" s="100"/>
      <c r="AOU44" s="100"/>
      <c r="AOV44" s="100"/>
      <c r="AOW44" s="100"/>
      <c r="AOX44" s="100"/>
      <c r="AOY44" s="100"/>
      <c r="AOZ44" s="100"/>
      <c r="APA44" s="100"/>
      <c r="APB44" s="100"/>
      <c r="APC44" s="100"/>
      <c r="APD44" s="100"/>
      <c r="APE44" s="100"/>
      <c r="APF44" s="100"/>
      <c r="APG44" s="100"/>
      <c r="APH44" s="100"/>
      <c r="API44" s="100"/>
      <c r="APJ44" s="100"/>
      <c r="APK44" s="100"/>
      <c r="APL44" s="100"/>
      <c r="APM44" s="100"/>
      <c r="APN44" s="100"/>
      <c r="APO44" s="100"/>
      <c r="APP44" s="100"/>
      <c r="APQ44" s="100"/>
      <c r="APR44" s="100"/>
      <c r="APS44" s="100"/>
      <c r="APT44" s="100"/>
      <c r="APU44" s="100"/>
      <c r="APV44" s="100"/>
      <c r="APW44" s="100"/>
      <c r="APX44" s="100"/>
      <c r="APY44" s="100"/>
      <c r="APZ44" s="100"/>
      <c r="AQA44" s="100"/>
      <c r="AQB44" s="100"/>
      <c r="AQC44" s="100"/>
      <c r="AQD44" s="100"/>
      <c r="AQE44" s="100"/>
      <c r="AQF44" s="100"/>
      <c r="AQG44" s="100"/>
      <c r="AQH44" s="100"/>
      <c r="AQI44" s="100"/>
      <c r="AQJ44" s="100"/>
      <c r="AQK44" s="100"/>
      <c r="AQL44" s="100"/>
      <c r="AQM44" s="100"/>
      <c r="AQN44" s="100"/>
      <c r="AQO44" s="100"/>
      <c r="AQP44" s="100"/>
      <c r="AQQ44" s="100"/>
      <c r="AQR44" s="100"/>
      <c r="AQS44" s="100"/>
      <c r="AQT44" s="100"/>
      <c r="AQU44" s="100"/>
      <c r="AQV44" s="100"/>
      <c r="AQW44" s="100"/>
      <c r="AQX44" s="100"/>
      <c r="AQY44" s="100"/>
      <c r="AQZ44" s="100"/>
      <c r="ARA44" s="100"/>
      <c r="ARB44" s="100"/>
      <c r="ARC44" s="100"/>
      <c r="ARD44" s="100"/>
      <c r="ARE44" s="100"/>
      <c r="ARF44" s="100"/>
      <c r="ARG44" s="100"/>
      <c r="ARH44" s="100"/>
      <c r="ARI44" s="100"/>
      <c r="ARJ44" s="100"/>
      <c r="ARK44" s="100"/>
      <c r="ARL44" s="100"/>
      <c r="ARM44" s="100"/>
      <c r="ARN44" s="100"/>
      <c r="ARO44" s="100"/>
      <c r="ARP44" s="100"/>
      <c r="ARQ44" s="100"/>
      <c r="ARR44" s="100"/>
      <c r="ARS44" s="100"/>
      <c r="ART44" s="100"/>
      <c r="ARU44" s="100"/>
      <c r="ARV44" s="100"/>
      <c r="ARW44" s="100"/>
      <c r="ARX44" s="100"/>
      <c r="ARY44" s="100"/>
      <c r="ARZ44" s="100"/>
      <c r="ASA44" s="100"/>
      <c r="ASB44" s="100"/>
      <c r="ASC44" s="100"/>
      <c r="ASD44" s="100"/>
      <c r="ASE44" s="100"/>
      <c r="ASF44" s="100"/>
      <c r="ASG44" s="100"/>
      <c r="ASH44" s="100"/>
      <c r="ASI44" s="100"/>
      <c r="ASJ44" s="100"/>
      <c r="ASK44" s="100"/>
      <c r="ASL44" s="100"/>
      <c r="ASM44" s="100"/>
      <c r="ASN44" s="100"/>
      <c r="ASO44" s="100"/>
      <c r="ASP44" s="100"/>
      <c r="ASQ44" s="100"/>
      <c r="ASR44" s="100"/>
      <c r="ASS44" s="100"/>
      <c r="AST44" s="100"/>
      <c r="ASU44" s="100"/>
      <c r="ASV44" s="100"/>
      <c r="ASW44" s="100"/>
      <c r="ASX44" s="100"/>
      <c r="ASY44" s="100"/>
      <c r="ASZ44" s="100"/>
      <c r="ATA44" s="100"/>
      <c r="ATB44" s="100"/>
      <c r="ATC44" s="100"/>
      <c r="ATD44" s="100"/>
      <c r="ATE44" s="100"/>
      <c r="ATF44" s="100"/>
      <c r="ATG44" s="100"/>
      <c r="ATH44" s="100"/>
      <c r="ATI44" s="100"/>
      <c r="ATJ44" s="100"/>
      <c r="ATK44" s="100"/>
      <c r="ATL44" s="100"/>
      <c r="ATM44" s="100"/>
      <c r="ATN44" s="100"/>
      <c r="ATO44" s="100"/>
      <c r="ATP44" s="100"/>
      <c r="ATQ44" s="100"/>
      <c r="ATR44" s="100"/>
      <c r="ATS44" s="100"/>
      <c r="ATT44" s="100"/>
      <c r="ATU44" s="100"/>
      <c r="ATV44" s="100"/>
      <c r="ATW44" s="100"/>
      <c r="ATX44" s="100"/>
      <c r="ATY44" s="100"/>
      <c r="ATZ44" s="100"/>
      <c r="AUA44" s="100"/>
      <c r="AUB44" s="100"/>
      <c r="AUC44" s="100"/>
      <c r="AUD44" s="100"/>
      <c r="AUE44" s="100"/>
      <c r="AUF44" s="100"/>
      <c r="AUG44" s="100"/>
      <c r="AUH44" s="100"/>
      <c r="AUI44" s="100"/>
      <c r="AUJ44" s="100"/>
      <c r="AUK44" s="100"/>
      <c r="AUL44" s="100"/>
      <c r="AUM44" s="100"/>
      <c r="AUN44" s="100"/>
      <c r="AUO44" s="100"/>
      <c r="AUP44" s="100"/>
      <c r="AUQ44" s="100"/>
      <c r="AUR44" s="100"/>
      <c r="AUS44" s="100"/>
      <c r="AUT44" s="100"/>
      <c r="AUU44" s="100"/>
      <c r="AUV44" s="100"/>
      <c r="AUW44" s="100"/>
      <c r="AUX44" s="100"/>
      <c r="AUY44" s="100"/>
      <c r="AUZ44" s="100"/>
      <c r="AVA44" s="100"/>
      <c r="AVB44" s="100"/>
      <c r="AVC44" s="100"/>
      <c r="AVD44" s="100"/>
      <c r="AVE44" s="100"/>
      <c r="AVF44" s="100"/>
      <c r="AVG44" s="100"/>
      <c r="AVH44" s="100"/>
      <c r="AVI44" s="100"/>
      <c r="AVJ44" s="100"/>
      <c r="AVK44" s="100"/>
      <c r="AVL44" s="100"/>
      <c r="AVM44" s="100"/>
      <c r="AVN44" s="100"/>
      <c r="AVO44" s="100"/>
      <c r="AVP44" s="100"/>
      <c r="AVQ44" s="100"/>
      <c r="AVR44" s="100"/>
      <c r="AVS44" s="100"/>
      <c r="AVT44" s="100"/>
      <c r="AVU44" s="100"/>
      <c r="AVV44" s="100"/>
      <c r="AVW44" s="100"/>
      <c r="AVX44" s="100"/>
      <c r="AVY44" s="100"/>
      <c r="AVZ44" s="100"/>
      <c r="AWA44" s="100"/>
      <c r="AWB44" s="100"/>
      <c r="AWC44" s="100"/>
      <c r="AWD44" s="100"/>
      <c r="AWE44" s="100"/>
      <c r="AWF44" s="100"/>
      <c r="AWG44" s="100"/>
      <c r="AWH44" s="100"/>
      <c r="AWI44" s="100"/>
      <c r="AWJ44" s="100"/>
      <c r="AWK44" s="100"/>
      <c r="AWL44" s="100"/>
      <c r="AWM44" s="100"/>
      <c r="AWN44" s="100"/>
      <c r="AWO44" s="100"/>
      <c r="AWP44" s="100"/>
      <c r="AWQ44" s="100"/>
      <c r="AWR44" s="100"/>
      <c r="AWS44" s="100"/>
      <c r="AWT44" s="100"/>
      <c r="AWU44" s="100"/>
      <c r="AWV44" s="100"/>
      <c r="AWW44" s="100"/>
      <c r="AWX44" s="100"/>
      <c r="AWY44" s="100"/>
      <c r="AWZ44" s="100"/>
      <c r="AXA44" s="100"/>
      <c r="AXB44" s="100"/>
      <c r="AXC44" s="100"/>
      <c r="AXD44" s="100"/>
      <c r="AXE44" s="100"/>
      <c r="AXF44" s="100"/>
      <c r="AXG44" s="100"/>
      <c r="AXH44" s="100"/>
      <c r="AXI44" s="100"/>
      <c r="AXJ44" s="100"/>
      <c r="AXK44" s="100"/>
      <c r="AXL44" s="100"/>
      <c r="AXM44" s="100"/>
      <c r="AXN44" s="100"/>
      <c r="AXO44" s="100"/>
      <c r="AXP44" s="100"/>
      <c r="AXQ44" s="100"/>
      <c r="AXR44" s="100"/>
      <c r="AXS44" s="100"/>
      <c r="AXT44" s="100"/>
      <c r="AXU44" s="100"/>
      <c r="AXV44" s="100"/>
      <c r="AXW44" s="100"/>
      <c r="AXX44" s="100"/>
      <c r="AXY44" s="100"/>
      <c r="AXZ44" s="100"/>
      <c r="AYA44" s="100"/>
      <c r="AYB44" s="100"/>
      <c r="AYC44" s="100"/>
      <c r="AYD44" s="100"/>
      <c r="AYE44" s="100"/>
      <c r="AYF44" s="100"/>
      <c r="AYG44" s="100"/>
      <c r="AYH44" s="100"/>
      <c r="AYI44" s="100"/>
      <c r="AYJ44" s="100"/>
      <c r="AYK44" s="100"/>
      <c r="AYL44" s="100"/>
      <c r="AYM44" s="100"/>
      <c r="AYN44" s="100"/>
      <c r="AYO44" s="100"/>
      <c r="AYP44" s="100"/>
      <c r="AYQ44" s="100"/>
      <c r="AYR44" s="100"/>
      <c r="AYS44" s="100"/>
      <c r="AYT44" s="100"/>
      <c r="AYU44" s="100"/>
      <c r="AYV44" s="100"/>
      <c r="AYW44" s="100"/>
      <c r="AYX44" s="100"/>
      <c r="AYY44" s="100"/>
      <c r="AYZ44" s="100"/>
      <c r="AZA44" s="100"/>
      <c r="AZB44" s="100"/>
      <c r="AZC44" s="100"/>
      <c r="AZD44" s="100"/>
      <c r="AZE44" s="100"/>
      <c r="AZF44" s="100"/>
      <c r="AZG44" s="100"/>
      <c r="AZH44" s="100"/>
      <c r="AZI44" s="100"/>
      <c r="AZJ44" s="100"/>
      <c r="AZK44" s="100"/>
      <c r="AZL44" s="100"/>
      <c r="AZM44" s="100"/>
      <c r="AZN44" s="100"/>
      <c r="AZO44" s="100"/>
      <c r="AZP44" s="100"/>
      <c r="AZQ44" s="100"/>
      <c r="AZR44" s="100"/>
      <c r="AZS44" s="100"/>
      <c r="AZT44" s="100"/>
      <c r="AZU44" s="100"/>
      <c r="AZV44" s="100"/>
      <c r="AZW44" s="100"/>
      <c r="AZX44" s="100"/>
      <c r="AZY44" s="100"/>
      <c r="AZZ44" s="100"/>
      <c r="BAA44" s="100"/>
      <c r="BAB44" s="100"/>
      <c r="BAC44" s="100"/>
      <c r="BAD44" s="100"/>
      <c r="BAE44" s="100"/>
      <c r="BAF44" s="100"/>
      <c r="BAG44" s="100"/>
      <c r="BAH44" s="100"/>
      <c r="BAI44" s="100"/>
      <c r="BAJ44" s="100"/>
      <c r="BAK44" s="100"/>
      <c r="BAL44" s="100"/>
      <c r="BAM44" s="100"/>
      <c r="BAN44" s="100"/>
      <c r="BAO44" s="100"/>
      <c r="BAP44" s="100"/>
      <c r="BAQ44" s="100"/>
      <c r="BAR44" s="100"/>
      <c r="BAS44" s="100"/>
      <c r="BAT44" s="100"/>
      <c r="BAU44" s="100"/>
      <c r="BAV44" s="100"/>
      <c r="BAW44" s="100"/>
      <c r="BAX44" s="100"/>
      <c r="BAY44" s="100"/>
      <c r="BAZ44" s="100"/>
      <c r="BBA44" s="100"/>
      <c r="BBB44" s="100"/>
      <c r="BBC44" s="100"/>
      <c r="BBD44" s="100"/>
      <c r="BBE44" s="100"/>
      <c r="BBF44" s="100"/>
      <c r="BBG44" s="100"/>
      <c r="BBH44" s="100"/>
      <c r="BBI44" s="100"/>
      <c r="BBJ44" s="100"/>
      <c r="BBK44" s="100"/>
      <c r="BBL44" s="100"/>
      <c r="BBM44" s="100"/>
      <c r="BBN44" s="100"/>
      <c r="BBO44" s="100"/>
      <c r="BBP44" s="100"/>
      <c r="BBQ44" s="100"/>
      <c r="BBR44" s="100"/>
      <c r="BBS44" s="100"/>
      <c r="BBT44" s="100"/>
      <c r="BBU44" s="100"/>
      <c r="BBV44" s="100"/>
      <c r="BBW44" s="100"/>
      <c r="BBX44" s="100"/>
      <c r="BBY44" s="100"/>
      <c r="BBZ44" s="100"/>
      <c r="BCA44" s="100"/>
      <c r="BCB44" s="100"/>
      <c r="BCC44" s="100"/>
      <c r="BCD44" s="100"/>
      <c r="BCE44" s="100"/>
      <c r="BCF44" s="100"/>
      <c r="BCG44" s="100"/>
      <c r="BCH44" s="100"/>
      <c r="BCI44" s="100"/>
      <c r="BCJ44" s="100"/>
      <c r="BCK44" s="100"/>
      <c r="BCL44" s="100"/>
      <c r="BCM44" s="100"/>
      <c r="BCN44" s="100"/>
      <c r="BCO44" s="100"/>
      <c r="BCP44" s="100"/>
      <c r="BCQ44" s="100"/>
      <c r="BCR44" s="100"/>
      <c r="BCS44" s="100"/>
      <c r="BCT44" s="100"/>
      <c r="BCU44" s="100"/>
      <c r="BCV44" s="100"/>
      <c r="BCW44" s="100"/>
      <c r="BCX44" s="100"/>
      <c r="BCY44" s="100"/>
      <c r="BCZ44" s="100"/>
      <c r="BDA44" s="100"/>
      <c r="BDB44" s="100"/>
      <c r="BDC44" s="100"/>
      <c r="BDD44" s="100"/>
      <c r="BDE44" s="100"/>
      <c r="BDF44" s="100"/>
      <c r="BDG44" s="100"/>
      <c r="BDH44" s="100"/>
      <c r="BDI44" s="100"/>
      <c r="BDJ44" s="100"/>
      <c r="BDK44" s="100"/>
      <c r="BDL44" s="100"/>
      <c r="BDM44" s="100"/>
      <c r="BDN44" s="100"/>
      <c r="BDO44" s="100"/>
      <c r="BDP44" s="100"/>
      <c r="BDQ44" s="100"/>
      <c r="BDR44" s="100"/>
      <c r="BDS44" s="100"/>
      <c r="BDT44" s="100"/>
      <c r="BDU44" s="100"/>
      <c r="BDV44" s="100"/>
      <c r="BDW44" s="100"/>
      <c r="BDX44" s="100"/>
      <c r="BDY44" s="100"/>
      <c r="BDZ44" s="100"/>
      <c r="BEA44" s="100"/>
      <c r="BEB44" s="100"/>
      <c r="BEC44" s="100"/>
      <c r="BED44" s="100"/>
      <c r="BEE44" s="100"/>
      <c r="BEF44" s="100"/>
      <c r="BEG44" s="100"/>
      <c r="BEH44" s="100"/>
      <c r="BEI44" s="100"/>
      <c r="BEJ44" s="100"/>
      <c r="BEK44" s="100"/>
      <c r="BEL44" s="100"/>
      <c r="BEM44" s="100"/>
      <c r="BEN44" s="100"/>
      <c r="BEO44" s="100"/>
      <c r="BEP44" s="100"/>
      <c r="BEQ44" s="100"/>
      <c r="BER44" s="100"/>
      <c r="BES44" s="100"/>
      <c r="BET44" s="100"/>
      <c r="BEU44" s="100"/>
      <c r="BEV44" s="100"/>
      <c r="BEW44" s="100"/>
      <c r="BEX44" s="100"/>
      <c r="BEY44" s="100"/>
      <c r="BEZ44" s="100"/>
      <c r="BFA44" s="100"/>
      <c r="BFB44" s="100"/>
      <c r="BFC44" s="100"/>
      <c r="BFD44" s="100"/>
      <c r="BFE44" s="100"/>
      <c r="BFF44" s="100"/>
      <c r="BFG44" s="100"/>
      <c r="BFH44" s="100"/>
      <c r="BFI44" s="100"/>
      <c r="BFJ44" s="100"/>
      <c r="BFK44" s="100"/>
      <c r="BFL44" s="100"/>
      <c r="BFM44" s="100"/>
      <c r="BFN44" s="100"/>
      <c r="BFO44" s="100"/>
      <c r="BFP44" s="100"/>
      <c r="BFQ44" s="100"/>
      <c r="BFR44" s="100"/>
      <c r="BFS44" s="100"/>
      <c r="BFT44" s="100"/>
      <c r="BFU44" s="100"/>
      <c r="BFV44" s="100"/>
      <c r="BFW44" s="100"/>
      <c r="BFX44" s="100"/>
      <c r="BFY44" s="100"/>
      <c r="BFZ44" s="100"/>
      <c r="BGA44" s="100"/>
      <c r="BGB44" s="100"/>
      <c r="BGC44" s="100"/>
      <c r="BGD44" s="100"/>
      <c r="BGE44" s="100"/>
      <c r="BGF44" s="100"/>
      <c r="BGG44" s="100"/>
      <c r="BGH44" s="100"/>
      <c r="BGI44" s="100"/>
      <c r="BGJ44" s="100"/>
      <c r="BGK44" s="100"/>
      <c r="BGL44" s="100"/>
      <c r="BGM44" s="100"/>
      <c r="BGN44" s="100"/>
      <c r="BGO44" s="100"/>
      <c r="BGP44" s="100"/>
      <c r="BGQ44" s="100"/>
      <c r="BGR44" s="100"/>
      <c r="BGS44" s="100"/>
      <c r="BGT44" s="100"/>
      <c r="BGU44" s="100"/>
      <c r="BGV44" s="100"/>
      <c r="BGW44" s="100"/>
      <c r="BGX44" s="100"/>
      <c r="BGY44" s="100"/>
      <c r="BGZ44" s="100"/>
      <c r="BHA44" s="100"/>
      <c r="BHB44" s="100"/>
      <c r="BHC44" s="100"/>
      <c r="BHD44" s="100"/>
      <c r="BHE44" s="100"/>
      <c r="BHF44" s="100"/>
      <c r="BHG44" s="100"/>
      <c r="BHH44" s="100"/>
      <c r="BHI44" s="100"/>
      <c r="BHJ44" s="100"/>
      <c r="BHK44" s="100"/>
      <c r="BHL44" s="100"/>
      <c r="BHM44" s="100"/>
      <c r="BHN44" s="100"/>
      <c r="BHO44" s="100"/>
      <c r="BHP44" s="100"/>
      <c r="BHQ44" s="100"/>
      <c r="BHR44" s="100"/>
      <c r="BHS44" s="100"/>
      <c r="BHT44" s="100"/>
      <c r="BHU44" s="100"/>
      <c r="BHV44" s="100"/>
      <c r="BHW44" s="100"/>
      <c r="BHX44" s="100"/>
      <c r="BHY44" s="100"/>
      <c r="BHZ44" s="100"/>
      <c r="BIA44" s="100"/>
      <c r="BIB44" s="100"/>
      <c r="BIC44" s="100"/>
      <c r="BID44" s="100"/>
      <c r="BIE44" s="100"/>
      <c r="BIF44" s="100"/>
      <c r="BIG44" s="100"/>
      <c r="BIH44" s="100"/>
      <c r="BII44" s="100"/>
      <c r="BIJ44" s="100"/>
      <c r="BIK44" s="100"/>
      <c r="BIL44" s="100"/>
      <c r="BIM44" s="100"/>
      <c r="BIN44" s="100"/>
      <c r="BIO44" s="100"/>
      <c r="BIP44" s="100"/>
      <c r="BIQ44" s="100"/>
      <c r="BIR44" s="100"/>
      <c r="BIS44" s="100"/>
      <c r="BIT44" s="100"/>
      <c r="BIU44" s="100"/>
      <c r="BIV44" s="100"/>
      <c r="BIW44" s="100"/>
      <c r="BIX44" s="100"/>
      <c r="BIY44" s="100"/>
      <c r="BIZ44" s="100"/>
      <c r="BJA44" s="100"/>
      <c r="BJB44" s="100"/>
      <c r="BJC44" s="100"/>
      <c r="BJD44" s="100"/>
      <c r="BJE44" s="100"/>
      <c r="BJF44" s="100"/>
      <c r="BJG44" s="100"/>
      <c r="BJH44" s="100"/>
      <c r="BJI44" s="100"/>
      <c r="BJJ44" s="100"/>
      <c r="BJK44" s="100"/>
      <c r="BJL44" s="100"/>
      <c r="BJM44" s="100"/>
      <c r="BJN44" s="100"/>
      <c r="BJO44" s="100"/>
      <c r="BJP44" s="100"/>
      <c r="BJQ44" s="100"/>
      <c r="BJR44" s="100"/>
      <c r="BJS44" s="100"/>
      <c r="BJT44" s="100"/>
      <c r="BJU44" s="100"/>
      <c r="BJV44" s="100"/>
      <c r="BJW44" s="100"/>
      <c r="BJX44" s="100"/>
      <c r="BJY44" s="100"/>
      <c r="BJZ44" s="100"/>
      <c r="BKA44" s="100"/>
      <c r="BKB44" s="100"/>
      <c r="BKC44" s="100"/>
      <c r="BKD44" s="100"/>
      <c r="BKE44" s="100"/>
      <c r="BKF44" s="100"/>
      <c r="BKG44" s="100"/>
      <c r="BKH44" s="100"/>
      <c r="BKI44" s="100"/>
      <c r="BKJ44" s="100"/>
      <c r="BKK44" s="100"/>
      <c r="BKL44" s="100"/>
      <c r="BKM44" s="100"/>
      <c r="BKN44" s="100"/>
      <c r="BKO44" s="100"/>
      <c r="BKP44" s="100"/>
      <c r="BKQ44" s="100"/>
      <c r="BKR44" s="100"/>
      <c r="BKS44" s="100"/>
      <c r="BKT44" s="100"/>
      <c r="BKU44" s="100"/>
      <c r="BKV44" s="100"/>
      <c r="BKW44" s="100"/>
      <c r="BKX44" s="100"/>
      <c r="BKY44" s="100"/>
      <c r="BKZ44" s="100"/>
      <c r="BLA44" s="100"/>
      <c r="BLB44" s="100"/>
      <c r="BLC44" s="100"/>
      <c r="BLD44" s="100"/>
      <c r="BLE44" s="100"/>
      <c r="BLF44" s="100"/>
      <c r="BLG44" s="100"/>
      <c r="BLH44" s="100"/>
      <c r="BLI44" s="100"/>
      <c r="BLJ44" s="100"/>
      <c r="BLK44" s="100"/>
      <c r="BLL44" s="100"/>
      <c r="BLM44" s="100"/>
      <c r="BLN44" s="100"/>
      <c r="BLO44" s="100"/>
      <c r="BLP44" s="100"/>
      <c r="BLQ44" s="100"/>
      <c r="BLR44" s="100"/>
      <c r="BLS44" s="100"/>
      <c r="BLT44" s="100"/>
      <c r="BLU44" s="100"/>
      <c r="BLV44" s="100"/>
      <c r="BLW44" s="100"/>
      <c r="BLX44" s="100"/>
      <c r="BLY44" s="100"/>
      <c r="BLZ44" s="100"/>
      <c r="BMA44" s="100"/>
      <c r="BMB44" s="100"/>
      <c r="BMC44" s="100"/>
      <c r="BMD44" s="100"/>
      <c r="BME44" s="100"/>
      <c r="BMF44" s="100"/>
      <c r="BMG44" s="100"/>
      <c r="BMH44" s="100"/>
      <c r="BMI44" s="100"/>
      <c r="BMJ44" s="100"/>
      <c r="BMK44" s="100"/>
      <c r="BML44" s="100"/>
      <c r="BMM44" s="100"/>
      <c r="BMN44" s="100"/>
      <c r="BMO44" s="100"/>
      <c r="BMP44" s="100"/>
      <c r="BMQ44" s="100"/>
      <c r="BMR44" s="100"/>
      <c r="BMS44" s="100"/>
      <c r="BMT44" s="100"/>
      <c r="BMU44" s="100"/>
      <c r="BMV44" s="100"/>
      <c r="BMW44" s="100"/>
      <c r="BMX44" s="100"/>
      <c r="BMY44" s="100"/>
      <c r="BMZ44" s="100"/>
      <c r="BNA44" s="100"/>
      <c r="BNB44" s="100"/>
      <c r="BNC44" s="100"/>
      <c r="BND44" s="100"/>
      <c r="BNE44" s="100"/>
      <c r="BNF44" s="100"/>
      <c r="BNG44" s="100"/>
      <c r="BNH44" s="100"/>
      <c r="BNI44" s="100"/>
      <c r="BNJ44" s="100"/>
      <c r="BNK44" s="100"/>
      <c r="BNL44" s="100"/>
      <c r="BNM44" s="100"/>
      <c r="BNN44" s="100"/>
      <c r="BNO44" s="100"/>
      <c r="BNP44" s="100"/>
      <c r="BNQ44" s="100"/>
      <c r="BNR44" s="100"/>
      <c r="BNS44" s="100"/>
      <c r="BNT44" s="100"/>
      <c r="BNU44" s="100"/>
      <c r="BNV44" s="100"/>
      <c r="BNW44" s="100"/>
      <c r="BNX44" s="100"/>
      <c r="BNY44" s="100"/>
      <c r="BNZ44" s="100"/>
      <c r="BOA44" s="100"/>
      <c r="BOB44" s="100"/>
      <c r="BOC44" s="100"/>
      <c r="BOD44" s="100"/>
      <c r="BOE44" s="100"/>
      <c r="BOF44" s="100"/>
      <c r="BOG44" s="100"/>
      <c r="BOH44" s="100"/>
      <c r="BOI44" s="100"/>
      <c r="BOJ44" s="100"/>
      <c r="BOK44" s="100"/>
      <c r="BOL44" s="100"/>
      <c r="BOM44" s="100"/>
      <c r="BON44" s="100"/>
      <c r="BOO44" s="100"/>
      <c r="BOP44" s="100"/>
      <c r="BOQ44" s="100"/>
      <c r="BOR44" s="100"/>
      <c r="BOS44" s="100"/>
      <c r="BOT44" s="100"/>
      <c r="BOU44" s="100"/>
      <c r="BOV44" s="100"/>
      <c r="BOW44" s="100"/>
      <c r="BOX44" s="100"/>
      <c r="BOY44" s="100"/>
      <c r="BOZ44" s="100"/>
      <c r="BPA44" s="100"/>
      <c r="BPB44" s="100"/>
      <c r="BPC44" s="100"/>
      <c r="BPD44" s="100"/>
      <c r="BPE44" s="100"/>
      <c r="BPF44" s="100"/>
      <c r="BPG44" s="100"/>
      <c r="BPH44" s="100"/>
      <c r="BPI44" s="100"/>
      <c r="BPJ44" s="100"/>
      <c r="BPK44" s="100"/>
      <c r="BPL44" s="100"/>
      <c r="BPM44" s="100"/>
      <c r="BPN44" s="100"/>
      <c r="BPO44" s="100"/>
      <c r="BPP44" s="100"/>
      <c r="BPQ44" s="100"/>
      <c r="BPR44" s="100"/>
      <c r="BPS44" s="100"/>
      <c r="BPT44" s="100"/>
      <c r="BPU44" s="100"/>
      <c r="BPV44" s="100"/>
      <c r="BPW44" s="100"/>
      <c r="BPX44" s="100"/>
      <c r="BPY44" s="100"/>
      <c r="BPZ44" s="100"/>
      <c r="BQA44" s="100"/>
      <c r="BQB44" s="100"/>
      <c r="BQC44" s="100"/>
      <c r="BQD44" s="100"/>
      <c r="BQE44" s="100"/>
      <c r="BQF44" s="100"/>
      <c r="BQG44" s="100"/>
      <c r="BQH44" s="100"/>
      <c r="BQI44" s="100"/>
      <c r="BQJ44" s="100"/>
      <c r="BQK44" s="100"/>
      <c r="BQL44" s="100"/>
      <c r="BQM44" s="100"/>
      <c r="BQN44" s="100"/>
      <c r="BQO44" s="100"/>
      <c r="BQP44" s="100"/>
      <c r="BQQ44" s="100"/>
      <c r="BQR44" s="100"/>
      <c r="BQS44" s="100"/>
      <c r="BQT44" s="100"/>
      <c r="BQU44" s="100"/>
      <c r="BQV44" s="100"/>
      <c r="BQW44" s="100"/>
      <c r="BQX44" s="100"/>
      <c r="BQY44" s="100"/>
      <c r="BQZ44" s="100"/>
      <c r="BRA44" s="100"/>
      <c r="BRB44" s="100"/>
      <c r="BRC44" s="100"/>
      <c r="BRD44" s="100"/>
      <c r="BRE44" s="100"/>
      <c r="BRF44" s="100"/>
      <c r="BRG44" s="100"/>
      <c r="BRH44" s="100"/>
      <c r="BRI44" s="100"/>
      <c r="BRJ44" s="100"/>
      <c r="BRK44" s="100"/>
      <c r="BRL44" s="100"/>
      <c r="BRM44" s="100"/>
      <c r="BRN44" s="100"/>
      <c r="BRO44" s="100"/>
      <c r="BRP44" s="100"/>
      <c r="BRQ44" s="100"/>
      <c r="BRR44" s="100"/>
      <c r="BRS44" s="100"/>
      <c r="BRT44" s="100"/>
      <c r="BRU44" s="100"/>
      <c r="BRV44" s="100"/>
      <c r="BRW44" s="100"/>
      <c r="BRX44" s="100"/>
      <c r="BRY44" s="100"/>
      <c r="BRZ44" s="100"/>
      <c r="BSA44" s="100"/>
      <c r="BSB44" s="100"/>
      <c r="BSC44" s="100"/>
      <c r="BSD44" s="100"/>
      <c r="BSE44" s="100"/>
      <c r="BSF44" s="100"/>
      <c r="BSG44" s="100"/>
      <c r="BSH44" s="100"/>
      <c r="BSI44" s="100"/>
      <c r="BSJ44" s="100"/>
      <c r="BSK44" s="100"/>
      <c r="BSL44" s="100"/>
      <c r="BSM44" s="100"/>
      <c r="BSN44" s="100"/>
      <c r="BSO44" s="100"/>
      <c r="BSP44" s="100"/>
      <c r="BSQ44" s="100"/>
      <c r="BSR44" s="100"/>
      <c r="BSS44" s="100"/>
      <c r="BST44" s="100"/>
      <c r="BSU44" s="100"/>
      <c r="BSV44" s="100"/>
      <c r="BSW44" s="100"/>
      <c r="BSX44" s="100"/>
      <c r="BSY44" s="100"/>
      <c r="BSZ44" s="100"/>
      <c r="BTA44" s="100"/>
      <c r="BTB44" s="100"/>
      <c r="BTC44" s="100"/>
      <c r="BTD44" s="100"/>
      <c r="BTE44" s="100"/>
      <c r="BTF44" s="100"/>
      <c r="BTG44" s="100"/>
      <c r="BTH44" s="100"/>
      <c r="BTI44" s="100"/>
      <c r="BTJ44" s="100"/>
      <c r="BTK44" s="100"/>
      <c r="BTL44" s="100"/>
      <c r="BTM44" s="100"/>
      <c r="BTN44" s="100"/>
      <c r="BTO44" s="100"/>
      <c r="BTP44" s="100"/>
      <c r="BTQ44" s="100"/>
      <c r="BTR44" s="100"/>
      <c r="BTS44" s="100"/>
      <c r="BTT44" s="100"/>
      <c r="BTU44" s="100"/>
      <c r="BTV44" s="100"/>
      <c r="BTW44" s="100"/>
      <c r="BTX44" s="100"/>
      <c r="BTY44" s="100"/>
      <c r="BTZ44" s="100"/>
      <c r="BUA44" s="100"/>
      <c r="BUB44" s="100"/>
      <c r="BUC44" s="100"/>
      <c r="BUD44" s="100"/>
      <c r="BUE44" s="100"/>
      <c r="BUF44" s="100"/>
      <c r="BUG44" s="100"/>
      <c r="BUH44" s="100"/>
      <c r="BUI44" s="100"/>
      <c r="BUJ44" s="100"/>
      <c r="BUK44" s="100"/>
      <c r="BUL44" s="100"/>
      <c r="BUM44" s="100"/>
      <c r="BUN44" s="100"/>
      <c r="BUO44" s="100"/>
      <c r="BUP44" s="100"/>
      <c r="BUQ44" s="100"/>
      <c r="BUR44" s="100"/>
      <c r="BUS44" s="100"/>
      <c r="BUT44" s="100"/>
      <c r="BUU44" s="100"/>
      <c r="BUV44" s="100"/>
      <c r="BUW44" s="100"/>
      <c r="BUX44" s="100"/>
      <c r="BUY44" s="100"/>
      <c r="BUZ44" s="100"/>
      <c r="BVA44" s="100"/>
      <c r="BVB44" s="100"/>
      <c r="BVC44" s="100"/>
      <c r="BVD44" s="100"/>
      <c r="BVE44" s="100"/>
      <c r="BVF44" s="100"/>
      <c r="BVG44" s="100"/>
      <c r="BVH44" s="100"/>
      <c r="BVI44" s="100"/>
      <c r="BVJ44" s="100"/>
      <c r="BVK44" s="100"/>
      <c r="BVL44" s="100"/>
      <c r="BVM44" s="100"/>
      <c r="BVN44" s="100"/>
      <c r="BVO44" s="100"/>
      <c r="BVP44" s="100"/>
      <c r="BVQ44" s="100"/>
      <c r="BVR44" s="100"/>
      <c r="BVS44" s="100"/>
      <c r="BVT44" s="100"/>
      <c r="BVU44" s="100"/>
      <c r="BVV44" s="100"/>
      <c r="BVW44" s="100"/>
      <c r="BVX44" s="100"/>
      <c r="BVY44" s="100"/>
      <c r="BVZ44" s="100"/>
      <c r="BWA44" s="100"/>
      <c r="BWB44" s="100"/>
      <c r="BWC44" s="100"/>
      <c r="BWD44" s="100"/>
      <c r="BWE44" s="100"/>
      <c r="BWF44" s="100"/>
      <c r="BWG44" s="100"/>
      <c r="BWH44" s="100"/>
      <c r="BWI44" s="100"/>
      <c r="BWJ44" s="100"/>
      <c r="BWK44" s="100"/>
      <c r="BWL44" s="100"/>
      <c r="BWM44" s="100"/>
      <c r="BWN44" s="100"/>
      <c r="BWO44" s="100"/>
      <c r="BWP44" s="100"/>
      <c r="BWQ44" s="100"/>
      <c r="BWR44" s="100"/>
      <c r="BWS44" s="100"/>
      <c r="BWT44" s="100"/>
      <c r="BWU44" s="100"/>
      <c r="BWV44" s="100"/>
      <c r="BWW44" s="100"/>
      <c r="BWX44" s="100"/>
      <c r="BWY44" s="100"/>
      <c r="BWZ44" s="100"/>
      <c r="BXA44" s="100"/>
      <c r="BXB44" s="100"/>
      <c r="BXC44" s="100"/>
      <c r="BXD44" s="100"/>
      <c r="BXE44" s="100"/>
      <c r="BXF44" s="100"/>
      <c r="BXG44" s="100"/>
      <c r="BXH44" s="100"/>
      <c r="BXI44" s="100"/>
      <c r="BXJ44" s="100"/>
      <c r="BXK44" s="100"/>
      <c r="BXL44" s="100"/>
      <c r="BXM44" s="100"/>
      <c r="BXN44" s="100"/>
      <c r="BXO44" s="100"/>
      <c r="BXP44" s="100"/>
      <c r="BXQ44" s="100"/>
      <c r="BXR44" s="100"/>
      <c r="BXS44" s="100"/>
      <c r="BXT44" s="100"/>
      <c r="BXU44" s="100"/>
      <c r="BXV44" s="100"/>
      <c r="BXW44" s="100"/>
      <c r="BXX44" s="100"/>
      <c r="BXY44" s="100"/>
      <c r="BXZ44" s="100"/>
      <c r="BYA44" s="100"/>
      <c r="BYB44" s="100"/>
      <c r="BYC44" s="100"/>
      <c r="BYD44" s="100"/>
      <c r="BYE44" s="100"/>
      <c r="BYF44" s="100"/>
      <c r="BYG44" s="100"/>
    </row>
    <row r="45" spans="1:2009" s="118" customFormat="1" ht="24.95" hidden="1" customHeight="1" x14ac:dyDescent="0.25">
      <c r="A45" s="413"/>
      <c r="B45" s="480" t="s">
        <v>345</v>
      </c>
      <c r="C45" s="510"/>
      <c r="D45" s="510"/>
      <c r="E45" s="510"/>
      <c r="F45" s="587"/>
      <c r="G45" s="484">
        <f>ROUND(SUM(C45:F45),5)</f>
        <v>0</v>
      </c>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413"/>
      <c r="B46" s="719" t="s">
        <v>397</v>
      </c>
      <c r="C46" s="511">
        <v>6748.29</v>
      </c>
      <c r="D46" s="511">
        <v>6948.94</v>
      </c>
      <c r="E46" s="511">
        <v>6431.88</v>
      </c>
      <c r="F46" s="485"/>
      <c r="G46" s="486">
        <f>ROUND(SUM(C46:F46),5)</f>
        <v>20129.11</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hidden="1" customHeight="1" x14ac:dyDescent="0.25">
      <c r="A47" s="414"/>
      <c r="B47" s="480" t="s">
        <v>346</v>
      </c>
      <c r="C47" s="511"/>
      <c r="D47" s="511"/>
      <c r="E47" s="511"/>
      <c r="F47" s="485"/>
      <c r="G47" s="486">
        <f>ROUND(SUM(C47:F47),5)</f>
        <v>0</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246" customFormat="1" ht="24.95" customHeight="1" thickBot="1" x14ac:dyDescent="0.3">
      <c r="A48" s="245"/>
      <c r="B48" s="481" t="s">
        <v>220</v>
      </c>
      <c r="C48" s="475">
        <f>SUM(C43:C47)</f>
        <v>7344.98</v>
      </c>
      <c r="D48" s="475">
        <f>SUM(D43:D47)</f>
        <v>7611.69</v>
      </c>
      <c r="E48" s="475">
        <f>SUM(E43:E47)</f>
        <v>6431.88</v>
      </c>
      <c r="F48" s="475"/>
      <c r="G48" s="476">
        <f>ROUND(SUM(C48:F48),5)</f>
        <v>21388.55</v>
      </c>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c r="EB48" s="212"/>
      <c r="EC48" s="212"/>
      <c r="ED48" s="212"/>
      <c r="EE48" s="212"/>
      <c r="EF48" s="212"/>
      <c r="EG48" s="212"/>
      <c r="EH48" s="212"/>
      <c r="EI48" s="212"/>
      <c r="EJ48" s="212"/>
      <c r="EK48" s="212"/>
      <c r="EL48" s="212"/>
      <c r="EM48" s="212"/>
      <c r="EN48" s="212"/>
      <c r="EO48" s="212"/>
      <c r="EP48" s="212"/>
      <c r="EQ48" s="212"/>
      <c r="ER48" s="212"/>
      <c r="ES48" s="212"/>
      <c r="ET48" s="212"/>
      <c r="EU48" s="212"/>
      <c r="EV48" s="212"/>
      <c r="EW48" s="212"/>
      <c r="EX48" s="212"/>
      <c r="EY48" s="212"/>
      <c r="EZ48" s="212"/>
      <c r="FA48" s="212"/>
      <c r="FB48" s="212"/>
      <c r="FC48" s="212"/>
      <c r="FD48" s="212"/>
      <c r="FE48" s="212"/>
      <c r="FF48" s="212"/>
      <c r="FG48" s="212"/>
      <c r="FH48" s="212"/>
      <c r="FI48" s="212"/>
      <c r="FJ48" s="212"/>
      <c r="FK48" s="212"/>
      <c r="FL48" s="212"/>
      <c r="FM48" s="212"/>
      <c r="FN48" s="212"/>
      <c r="FO48" s="212"/>
      <c r="FP48" s="212"/>
      <c r="FQ48" s="212"/>
      <c r="FR48" s="212"/>
      <c r="FS48" s="212"/>
      <c r="FT48" s="212"/>
      <c r="FU48" s="212"/>
      <c r="FV48" s="212"/>
      <c r="FW48" s="212"/>
      <c r="FX48" s="212"/>
      <c r="FY48" s="212"/>
      <c r="FZ48" s="212"/>
      <c r="GA48" s="212"/>
      <c r="GB48" s="212"/>
      <c r="GC48" s="212"/>
      <c r="GD48" s="212"/>
      <c r="GE48" s="212"/>
      <c r="GF48" s="212"/>
      <c r="GG48" s="212"/>
      <c r="GH48" s="212"/>
      <c r="GI48" s="212"/>
      <c r="GJ48" s="212"/>
      <c r="GK48" s="212"/>
      <c r="GL48" s="212"/>
      <c r="GM48" s="212"/>
      <c r="GN48" s="212"/>
      <c r="GO48" s="212"/>
      <c r="GP48" s="212"/>
      <c r="GQ48" s="212"/>
      <c r="GR48" s="212"/>
      <c r="GS48" s="212"/>
      <c r="GT48" s="212"/>
      <c r="GU48" s="212"/>
      <c r="GV48" s="212"/>
      <c r="GW48" s="212"/>
      <c r="GX48" s="212"/>
      <c r="GY48" s="212"/>
      <c r="GZ48" s="212"/>
      <c r="HA48" s="212"/>
      <c r="HB48" s="212"/>
      <c r="HC48" s="212"/>
      <c r="HD48" s="212"/>
      <c r="HE48" s="212"/>
      <c r="HF48" s="212"/>
      <c r="HG48" s="212"/>
      <c r="HH48" s="212"/>
      <c r="HI48" s="212"/>
      <c r="HJ48" s="212"/>
      <c r="HK48" s="212"/>
      <c r="HL48" s="212"/>
      <c r="HM48" s="212"/>
      <c r="HN48" s="212"/>
      <c r="HO48" s="212"/>
      <c r="HP48" s="212"/>
      <c r="HQ48" s="212"/>
      <c r="HR48" s="212"/>
      <c r="HS48" s="212"/>
      <c r="HT48" s="212"/>
      <c r="HU48" s="212"/>
      <c r="HV48" s="212"/>
      <c r="HW48" s="212"/>
      <c r="HX48" s="212"/>
      <c r="HY48" s="212"/>
      <c r="HZ48" s="212"/>
      <c r="IA48" s="212"/>
      <c r="IB48" s="212"/>
      <c r="IC48" s="212"/>
      <c r="ID48" s="212"/>
      <c r="IE48" s="212"/>
      <c r="IF48" s="212"/>
      <c r="IG48" s="212"/>
      <c r="IH48" s="212"/>
      <c r="II48" s="212"/>
      <c r="IJ48" s="212"/>
      <c r="IK48" s="212"/>
      <c r="IL48" s="212"/>
      <c r="IM48" s="212"/>
      <c r="IN48" s="212"/>
      <c r="IO48" s="212"/>
      <c r="IP48" s="212"/>
      <c r="IQ48" s="212"/>
      <c r="IR48" s="212"/>
      <c r="IS48" s="212"/>
      <c r="IT48" s="212"/>
      <c r="IU48" s="212"/>
      <c r="IV48" s="212"/>
      <c r="IW48" s="212"/>
      <c r="IX48" s="212"/>
      <c r="IY48" s="212"/>
      <c r="IZ48" s="212"/>
      <c r="JA48" s="212"/>
      <c r="JB48" s="212"/>
      <c r="JC48" s="212"/>
      <c r="JD48" s="212"/>
      <c r="JE48" s="212"/>
      <c r="JF48" s="212"/>
      <c r="JG48" s="212"/>
      <c r="JH48" s="212"/>
      <c r="JI48" s="212"/>
      <c r="JJ48" s="212"/>
      <c r="JK48" s="212"/>
      <c r="JL48" s="212"/>
      <c r="JM48" s="212"/>
      <c r="JN48" s="212"/>
      <c r="JO48" s="212"/>
      <c r="JP48" s="212"/>
      <c r="JQ48" s="212"/>
      <c r="JR48" s="212"/>
      <c r="JS48" s="212"/>
      <c r="JT48" s="212"/>
      <c r="JU48" s="212"/>
      <c r="JV48" s="212"/>
      <c r="JW48" s="212"/>
      <c r="JX48" s="212"/>
      <c r="JY48" s="212"/>
      <c r="JZ48" s="212"/>
      <c r="KA48" s="212"/>
      <c r="KB48" s="212"/>
      <c r="KC48" s="212"/>
      <c r="KD48" s="212"/>
      <c r="KE48" s="212"/>
      <c r="KF48" s="212"/>
      <c r="KG48" s="212"/>
      <c r="KH48" s="212"/>
      <c r="KI48" s="212"/>
      <c r="KJ48" s="212"/>
      <c r="KK48" s="212"/>
      <c r="KL48" s="212"/>
      <c r="KM48" s="212"/>
      <c r="KN48" s="212"/>
      <c r="KO48" s="212"/>
      <c r="KP48" s="212"/>
      <c r="KQ48" s="212"/>
      <c r="KR48" s="212"/>
      <c r="KS48" s="212"/>
      <c r="KT48" s="212"/>
      <c r="KU48" s="212"/>
      <c r="KV48" s="212"/>
      <c r="KW48" s="212"/>
      <c r="KX48" s="212"/>
      <c r="KY48" s="212"/>
      <c r="KZ48" s="212"/>
      <c r="LA48" s="212"/>
      <c r="LB48" s="212"/>
      <c r="LC48" s="212"/>
      <c r="LD48" s="212"/>
      <c r="LE48" s="212"/>
      <c r="LF48" s="212"/>
      <c r="LG48" s="212"/>
      <c r="LH48" s="212"/>
      <c r="LI48" s="212"/>
      <c r="LJ48" s="212"/>
      <c r="LK48" s="212"/>
      <c r="LL48" s="212"/>
      <c r="LM48" s="212"/>
      <c r="LN48" s="212"/>
      <c r="LO48" s="212"/>
      <c r="LP48" s="212"/>
      <c r="LQ48" s="212"/>
      <c r="LR48" s="212"/>
      <c r="LS48" s="212"/>
      <c r="LT48" s="212"/>
      <c r="LU48" s="212"/>
      <c r="LV48" s="212"/>
      <c r="LW48" s="212"/>
      <c r="LX48" s="212"/>
      <c r="LY48" s="212"/>
      <c r="LZ48" s="212"/>
      <c r="MA48" s="212"/>
      <c r="MB48" s="212"/>
      <c r="MC48" s="212"/>
      <c r="MD48" s="212"/>
      <c r="ME48" s="212"/>
      <c r="MF48" s="212"/>
      <c r="MG48" s="212"/>
      <c r="MH48" s="212"/>
      <c r="MI48" s="212"/>
      <c r="MJ48" s="212"/>
      <c r="MK48" s="212"/>
      <c r="ML48" s="212"/>
      <c r="MM48" s="212"/>
      <c r="MN48" s="212"/>
      <c r="MO48" s="212"/>
      <c r="MP48" s="212"/>
      <c r="MQ48" s="212"/>
      <c r="MR48" s="212"/>
      <c r="MS48" s="212"/>
      <c r="MT48" s="212"/>
      <c r="MU48" s="212"/>
      <c r="MV48" s="212"/>
      <c r="MW48" s="212"/>
      <c r="MX48" s="212"/>
      <c r="MY48" s="212"/>
      <c r="MZ48" s="212"/>
      <c r="NA48" s="212"/>
      <c r="NB48" s="212"/>
      <c r="NC48" s="212"/>
      <c r="ND48" s="212"/>
      <c r="NE48" s="212"/>
      <c r="NF48" s="212"/>
      <c r="NG48" s="212"/>
      <c r="NH48" s="212"/>
      <c r="NI48" s="212"/>
      <c r="NJ48" s="212"/>
      <c r="NK48" s="212"/>
      <c r="NL48" s="212"/>
      <c r="NM48" s="212"/>
      <c r="NN48" s="212"/>
      <c r="NO48" s="212"/>
      <c r="NP48" s="212"/>
      <c r="NQ48" s="212"/>
      <c r="NR48" s="212"/>
      <c r="NS48" s="212"/>
      <c r="NT48" s="212"/>
      <c r="NU48" s="212"/>
      <c r="NV48" s="212"/>
      <c r="NW48" s="212"/>
      <c r="NX48" s="212"/>
      <c r="NY48" s="212"/>
      <c r="NZ48" s="212"/>
      <c r="OA48" s="212"/>
      <c r="OB48" s="212"/>
      <c r="OC48" s="212"/>
      <c r="OD48" s="212"/>
      <c r="OE48" s="212"/>
      <c r="OF48" s="212"/>
      <c r="OG48" s="212"/>
      <c r="OH48" s="212"/>
      <c r="OI48" s="212"/>
      <c r="OJ48" s="212"/>
      <c r="OK48" s="212"/>
      <c r="OL48" s="212"/>
      <c r="OM48" s="212"/>
      <c r="ON48" s="212"/>
      <c r="OO48" s="212"/>
      <c r="OP48" s="212"/>
      <c r="OQ48" s="212"/>
      <c r="OR48" s="212"/>
      <c r="OS48" s="212"/>
      <c r="OT48" s="212"/>
      <c r="OU48" s="212"/>
      <c r="OV48" s="212"/>
      <c r="OW48" s="212"/>
      <c r="OX48" s="212"/>
      <c r="OY48" s="212"/>
      <c r="OZ48" s="212"/>
      <c r="PA48" s="212"/>
      <c r="PB48" s="212"/>
      <c r="PC48" s="212"/>
      <c r="PD48" s="212"/>
      <c r="PE48" s="212"/>
      <c r="PF48" s="212"/>
      <c r="PG48" s="212"/>
      <c r="PH48" s="212"/>
      <c r="PI48" s="212"/>
      <c r="PJ48" s="212"/>
      <c r="PK48" s="212"/>
      <c r="PL48" s="212"/>
      <c r="PM48" s="212"/>
      <c r="PN48" s="212"/>
      <c r="PO48" s="212"/>
      <c r="PP48" s="212"/>
      <c r="PQ48" s="212"/>
      <c r="PR48" s="212"/>
      <c r="PS48" s="212"/>
      <c r="PT48" s="212"/>
      <c r="PU48" s="212"/>
      <c r="PV48" s="212"/>
      <c r="PW48" s="212"/>
      <c r="PX48" s="212"/>
      <c r="PY48" s="212"/>
      <c r="PZ48" s="212"/>
      <c r="QA48" s="212"/>
      <c r="QB48" s="212"/>
      <c r="QC48" s="212"/>
      <c r="QD48" s="212"/>
      <c r="QE48" s="212"/>
      <c r="QF48" s="212"/>
      <c r="QG48" s="212"/>
      <c r="QH48" s="212"/>
      <c r="QI48" s="212"/>
      <c r="QJ48" s="212"/>
      <c r="QK48" s="212"/>
      <c r="QL48" s="212"/>
      <c r="QM48" s="212"/>
      <c r="QN48" s="212"/>
      <c r="QO48" s="212"/>
      <c r="QP48" s="212"/>
      <c r="QQ48" s="212"/>
      <c r="QR48" s="212"/>
      <c r="QS48" s="212"/>
      <c r="QT48" s="212"/>
      <c r="QU48" s="212"/>
      <c r="QV48" s="212"/>
      <c r="QW48" s="212"/>
      <c r="QX48" s="212"/>
      <c r="QY48" s="212"/>
      <c r="QZ48" s="212"/>
      <c r="RA48" s="212"/>
      <c r="RB48" s="212"/>
      <c r="RC48" s="212"/>
      <c r="RD48" s="212"/>
      <c r="RE48" s="212"/>
      <c r="RF48" s="212"/>
      <c r="RG48" s="212"/>
      <c r="RH48" s="212"/>
      <c r="RI48" s="212"/>
      <c r="RJ48" s="212"/>
      <c r="RK48" s="212"/>
      <c r="RL48" s="212"/>
      <c r="RM48" s="212"/>
      <c r="RN48" s="212"/>
      <c r="RO48" s="212"/>
      <c r="RP48" s="212"/>
      <c r="RQ48" s="212"/>
      <c r="RR48" s="212"/>
      <c r="RS48" s="212"/>
      <c r="RT48" s="212"/>
      <c r="RU48" s="212"/>
      <c r="RV48" s="212"/>
      <c r="RW48" s="212"/>
      <c r="RX48" s="212"/>
      <c r="RY48" s="212"/>
      <c r="RZ48" s="212"/>
      <c r="SA48" s="212"/>
      <c r="SB48" s="212"/>
      <c r="SC48" s="212"/>
      <c r="SD48" s="212"/>
      <c r="SE48" s="212"/>
      <c r="SF48" s="212"/>
      <c r="SG48" s="212"/>
      <c r="SH48" s="212"/>
      <c r="SI48" s="212"/>
      <c r="SJ48" s="212"/>
      <c r="SK48" s="212"/>
      <c r="SL48" s="212"/>
      <c r="SM48" s="212"/>
      <c r="SN48" s="212"/>
      <c r="SO48" s="212"/>
      <c r="SP48" s="212"/>
      <c r="SQ48" s="212"/>
      <c r="SR48" s="212"/>
      <c r="SS48" s="212"/>
      <c r="ST48" s="212"/>
      <c r="SU48" s="212"/>
      <c r="SV48" s="212"/>
      <c r="SW48" s="212"/>
      <c r="SX48" s="212"/>
      <c r="SY48" s="212"/>
      <c r="SZ48" s="212"/>
      <c r="TA48" s="212"/>
      <c r="TB48" s="212"/>
      <c r="TC48" s="212"/>
      <c r="TD48" s="212"/>
      <c r="TE48" s="212"/>
      <c r="TF48" s="212"/>
      <c r="TG48" s="212"/>
      <c r="TH48" s="212"/>
      <c r="TI48" s="212"/>
      <c r="TJ48" s="212"/>
      <c r="TK48" s="212"/>
      <c r="TL48" s="212"/>
      <c r="TM48" s="212"/>
      <c r="TN48" s="212"/>
      <c r="TO48" s="212"/>
      <c r="TP48" s="212"/>
      <c r="TQ48" s="212"/>
      <c r="TR48" s="212"/>
      <c r="TS48" s="212"/>
      <c r="TT48" s="212"/>
      <c r="TU48" s="212"/>
      <c r="TV48" s="212"/>
      <c r="TW48" s="212"/>
      <c r="TX48" s="212"/>
      <c r="TY48" s="212"/>
      <c r="TZ48" s="212"/>
      <c r="UA48" s="212"/>
      <c r="UB48" s="212"/>
      <c r="UC48" s="212"/>
      <c r="UD48" s="212"/>
      <c r="UE48" s="212"/>
      <c r="UF48" s="212"/>
      <c r="UG48" s="212"/>
      <c r="UH48" s="212"/>
      <c r="UI48" s="212"/>
      <c r="UJ48" s="212"/>
      <c r="UK48" s="212"/>
      <c r="UL48" s="212"/>
      <c r="UM48" s="212"/>
      <c r="UN48" s="212"/>
      <c r="UO48" s="212"/>
      <c r="UP48" s="212"/>
      <c r="UQ48" s="212"/>
      <c r="UR48" s="212"/>
      <c r="US48" s="212"/>
      <c r="UT48" s="212"/>
      <c r="UU48" s="212"/>
      <c r="UV48" s="212"/>
      <c r="UW48" s="212"/>
      <c r="UX48" s="212"/>
      <c r="UY48" s="212"/>
      <c r="UZ48" s="212"/>
      <c r="VA48" s="212"/>
      <c r="VB48" s="212"/>
      <c r="VC48" s="212"/>
      <c r="VD48" s="212"/>
      <c r="VE48" s="212"/>
      <c r="VF48" s="212"/>
      <c r="VG48" s="212"/>
      <c r="VH48" s="212"/>
      <c r="VI48" s="212"/>
      <c r="VJ48" s="212"/>
      <c r="VK48" s="212"/>
      <c r="VL48" s="212"/>
      <c r="VM48" s="212"/>
      <c r="VN48" s="212"/>
      <c r="VO48" s="212"/>
      <c r="VP48" s="212"/>
      <c r="VQ48" s="212"/>
      <c r="VR48" s="212"/>
      <c r="VS48" s="212"/>
      <c r="VT48" s="212"/>
      <c r="VU48" s="212"/>
      <c r="VV48" s="212"/>
      <c r="VW48" s="212"/>
      <c r="VX48" s="212"/>
      <c r="VY48" s="212"/>
      <c r="VZ48" s="212"/>
      <c r="WA48" s="212"/>
      <c r="WB48" s="212"/>
      <c r="WC48" s="212"/>
      <c r="WD48" s="212"/>
      <c r="WE48" s="212"/>
      <c r="WF48" s="212"/>
      <c r="WG48" s="212"/>
      <c r="WH48" s="212"/>
      <c r="WI48" s="212"/>
      <c r="WJ48" s="212"/>
      <c r="WK48" s="212"/>
      <c r="WL48" s="212"/>
      <c r="WM48" s="212"/>
      <c r="WN48" s="212"/>
      <c r="WO48" s="212"/>
      <c r="WP48" s="212"/>
      <c r="WQ48" s="212"/>
      <c r="WR48" s="212"/>
      <c r="WS48" s="212"/>
      <c r="WT48" s="212"/>
      <c r="WU48" s="212"/>
      <c r="WV48" s="212"/>
      <c r="WW48" s="212"/>
      <c r="WX48" s="212"/>
      <c r="WY48" s="212"/>
      <c r="WZ48" s="212"/>
      <c r="XA48" s="212"/>
      <c r="XB48" s="212"/>
      <c r="XC48" s="212"/>
      <c r="XD48" s="212"/>
      <c r="XE48" s="212"/>
      <c r="XF48" s="212"/>
      <c r="XG48" s="212"/>
      <c r="XH48" s="212"/>
      <c r="XI48" s="212"/>
      <c r="XJ48" s="212"/>
      <c r="XK48" s="212"/>
      <c r="XL48" s="212"/>
      <c r="XM48" s="212"/>
      <c r="XN48" s="212"/>
      <c r="XO48" s="212"/>
      <c r="XP48" s="212"/>
      <c r="XQ48" s="212"/>
      <c r="XR48" s="212"/>
      <c r="XS48" s="212"/>
      <c r="XT48" s="212"/>
      <c r="XU48" s="212"/>
      <c r="XV48" s="212"/>
      <c r="XW48" s="212"/>
      <c r="XX48" s="212"/>
      <c r="XY48" s="212"/>
      <c r="XZ48" s="212"/>
      <c r="YA48" s="212"/>
      <c r="YB48" s="212"/>
      <c r="YC48" s="212"/>
      <c r="YD48" s="212"/>
      <c r="YE48" s="212"/>
      <c r="YF48" s="212"/>
      <c r="YG48" s="212"/>
      <c r="YH48" s="212"/>
      <c r="YI48" s="212"/>
      <c r="YJ48" s="212"/>
      <c r="YK48" s="212"/>
      <c r="YL48" s="212"/>
      <c r="YM48" s="212"/>
      <c r="YN48" s="212"/>
      <c r="YO48" s="212"/>
      <c r="YP48" s="212"/>
      <c r="YQ48" s="212"/>
      <c r="YR48" s="212"/>
      <c r="YS48" s="212"/>
      <c r="YT48" s="212"/>
      <c r="YU48" s="212"/>
      <c r="YV48" s="212"/>
      <c r="YW48" s="212"/>
      <c r="YX48" s="212"/>
      <c r="YY48" s="212"/>
      <c r="YZ48" s="212"/>
      <c r="ZA48" s="212"/>
      <c r="ZB48" s="212"/>
      <c r="ZC48" s="212"/>
      <c r="ZD48" s="212"/>
      <c r="ZE48" s="212"/>
      <c r="ZF48" s="212"/>
      <c r="ZG48" s="212"/>
      <c r="ZH48" s="212"/>
      <c r="ZI48" s="212"/>
      <c r="ZJ48" s="212"/>
      <c r="ZK48" s="212"/>
      <c r="ZL48" s="212"/>
      <c r="ZM48" s="212"/>
      <c r="ZN48" s="212"/>
      <c r="ZO48" s="212"/>
      <c r="ZP48" s="212"/>
      <c r="ZQ48" s="212"/>
      <c r="ZR48" s="212"/>
      <c r="ZS48" s="212"/>
      <c r="ZT48" s="212"/>
      <c r="ZU48" s="212"/>
      <c r="ZV48" s="212"/>
      <c r="ZW48" s="212"/>
      <c r="ZX48" s="212"/>
      <c r="ZY48" s="212"/>
      <c r="ZZ48" s="212"/>
      <c r="AAA48" s="212"/>
      <c r="AAB48" s="212"/>
      <c r="AAC48" s="212"/>
      <c r="AAD48" s="212"/>
      <c r="AAE48" s="212"/>
      <c r="AAF48" s="212"/>
      <c r="AAG48" s="212"/>
      <c r="AAH48" s="212"/>
      <c r="AAI48" s="212"/>
      <c r="AAJ48" s="212"/>
      <c r="AAK48" s="212"/>
      <c r="AAL48" s="212"/>
      <c r="AAM48" s="212"/>
      <c r="AAN48" s="212"/>
      <c r="AAO48" s="212"/>
      <c r="AAP48" s="212"/>
      <c r="AAQ48" s="212"/>
      <c r="AAR48" s="212"/>
      <c r="AAS48" s="212"/>
      <c r="AAT48" s="212"/>
      <c r="AAU48" s="212"/>
      <c r="AAV48" s="212"/>
      <c r="AAW48" s="212"/>
      <c r="AAX48" s="212"/>
      <c r="AAY48" s="212"/>
      <c r="AAZ48" s="212"/>
      <c r="ABA48" s="212"/>
      <c r="ABB48" s="212"/>
      <c r="ABC48" s="212"/>
      <c r="ABD48" s="212"/>
      <c r="ABE48" s="212"/>
      <c r="ABF48" s="212"/>
      <c r="ABG48" s="212"/>
      <c r="ABH48" s="212"/>
      <c r="ABI48" s="212"/>
      <c r="ABJ48" s="212"/>
      <c r="ABK48" s="212"/>
      <c r="ABL48" s="212"/>
      <c r="ABM48" s="212"/>
      <c r="ABN48" s="212"/>
      <c r="ABO48" s="212"/>
      <c r="ABP48" s="212"/>
      <c r="ABQ48" s="212"/>
      <c r="ABR48" s="212"/>
      <c r="ABS48" s="212"/>
      <c r="ABT48" s="212"/>
      <c r="ABU48" s="212"/>
      <c r="ABV48" s="212"/>
      <c r="ABW48" s="212"/>
      <c r="ABX48" s="212"/>
      <c r="ABY48" s="212"/>
      <c r="ABZ48" s="212"/>
      <c r="ACA48" s="212"/>
      <c r="ACB48" s="212"/>
      <c r="ACC48" s="212"/>
      <c r="ACD48" s="212"/>
      <c r="ACE48" s="212"/>
      <c r="ACF48" s="212"/>
      <c r="ACG48" s="212"/>
      <c r="ACH48" s="212"/>
      <c r="ACI48" s="212"/>
      <c r="ACJ48" s="212"/>
      <c r="ACK48" s="212"/>
      <c r="ACL48" s="212"/>
      <c r="ACM48" s="212"/>
      <c r="ACN48" s="212"/>
      <c r="ACO48" s="212"/>
      <c r="ACP48" s="212"/>
      <c r="ACQ48" s="212"/>
      <c r="ACR48" s="212"/>
      <c r="ACS48" s="212"/>
      <c r="ACT48" s="212"/>
      <c r="ACU48" s="212"/>
      <c r="ACV48" s="212"/>
      <c r="ACW48" s="212"/>
      <c r="ACX48" s="212"/>
      <c r="ACY48" s="212"/>
      <c r="ACZ48" s="212"/>
      <c r="ADA48" s="212"/>
      <c r="ADB48" s="212"/>
      <c r="ADC48" s="212"/>
      <c r="ADD48" s="212"/>
      <c r="ADE48" s="212"/>
      <c r="ADF48" s="212"/>
      <c r="ADG48" s="212"/>
      <c r="ADH48" s="212"/>
      <c r="ADI48" s="212"/>
      <c r="ADJ48" s="212"/>
      <c r="ADK48" s="212"/>
      <c r="ADL48" s="212"/>
      <c r="ADM48" s="212"/>
      <c r="ADN48" s="212"/>
      <c r="ADO48" s="212"/>
      <c r="ADP48" s="212"/>
      <c r="ADQ48" s="212"/>
      <c r="ADR48" s="212"/>
      <c r="ADS48" s="212"/>
      <c r="ADT48" s="212"/>
      <c r="ADU48" s="212"/>
      <c r="ADV48" s="212"/>
      <c r="ADW48" s="212"/>
      <c r="ADX48" s="212"/>
      <c r="ADY48" s="212"/>
      <c r="ADZ48" s="212"/>
      <c r="AEA48" s="212"/>
      <c r="AEB48" s="212"/>
      <c r="AEC48" s="212"/>
      <c r="AED48" s="212"/>
      <c r="AEE48" s="212"/>
      <c r="AEF48" s="212"/>
      <c r="AEG48" s="212"/>
      <c r="AEH48" s="212"/>
      <c r="AEI48" s="212"/>
      <c r="AEJ48" s="212"/>
      <c r="AEK48" s="212"/>
      <c r="AEL48" s="212"/>
      <c r="AEM48" s="212"/>
      <c r="AEN48" s="212"/>
      <c r="AEO48" s="212"/>
      <c r="AEP48" s="212"/>
      <c r="AEQ48" s="212"/>
      <c r="AER48" s="212"/>
      <c r="AES48" s="212"/>
      <c r="AET48" s="212"/>
      <c r="AEU48" s="212"/>
      <c r="AEV48" s="212"/>
      <c r="AEW48" s="212"/>
      <c r="AEX48" s="212"/>
      <c r="AEY48" s="212"/>
      <c r="AEZ48" s="212"/>
      <c r="AFA48" s="212"/>
      <c r="AFB48" s="212"/>
      <c r="AFC48" s="212"/>
      <c r="AFD48" s="212"/>
      <c r="AFE48" s="212"/>
      <c r="AFF48" s="212"/>
      <c r="AFG48" s="212"/>
      <c r="AFH48" s="212"/>
      <c r="AFI48" s="212"/>
      <c r="AFJ48" s="212"/>
      <c r="AFK48" s="212"/>
      <c r="AFL48" s="212"/>
      <c r="AFM48" s="212"/>
      <c r="AFN48" s="212"/>
      <c r="AFO48" s="212"/>
      <c r="AFP48" s="212"/>
      <c r="AFQ48" s="212"/>
      <c r="AFR48" s="212"/>
      <c r="AFS48" s="212"/>
      <c r="AFT48" s="212"/>
      <c r="AFU48" s="212"/>
      <c r="AFV48" s="212"/>
      <c r="AFW48" s="212"/>
      <c r="AFX48" s="212"/>
      <c r="AFY48" s="212"/>
      <c r="AFZ48" s="212"/>
      <c r="AGA48" s="212"/>
      <c r="AGB48" s="212"/>
      <c r="AGC48" s="212"/>
      <c r="AGD48" s="212"/>
      <c r="AGE48" s="212"/>
      <c r="AGF48" s="212"/>
      <c r="AGG48" s="212"/>
      <c r="AGH48" s="212"/>
      <c r="AGI48" s="212"/>
      <c r="AGJ48" s="212"/>
      <c r="AGK48" s="212"/>
      <c r="AGL48" s="212"/>
      <c r="AGM48" s="212"/>
      <c r="AGN48" s="212"/>
      <c r="AGO48" s="212"/>
      <c r="AGP48" s="212"/>
      <c r="AGQ48" s="212"/>
      <c r="AGR48" s="212"/>
      <c r="AGS48" s="212"/>
      <c r="AGT48" s="212"/>
      <c r="AGU48" s="212"/>
      <c r="AGV48" s="212"/>
      <c r="AGW48" s="212"/>
      <c r="AGX48" s="212"/>
      <c r="AGY48" s="212"/>
      <c r="AGZ48" s="212"/>
      <c r="AHA48" s="212"/>
      <c r="AHB48" s="212"/>
      <c r="AHC48" s="212"/>
      <c r="AHD48" s="212"/>
      <c r="AHE48" s="212"/>
      <c r="AHF48" s="212"/>
      <c r="AHG48" s="212"/>
      <c r="AHH48" s="212"/>
      <c r="AHI48" s="212"/>
      <c r="AHJ48" s="212"/>
      <c r="AHK48" s="212"/>
      <c r="AHL48" s="212"/>
      <c r="AHM48" s="212"/>
      <c r="AHN48" s="212"/>
      <c r="AHO48" s="212"/>
      <c r="AHP48" s="212"/>
      <c r="AHQ48" s="212"/>
      <c r="AHR48" s="212"/>
      <c r="AHS48" s="212"/>
      <c r="AHT48" s="212"/>
      <c r="AHU48" s="212"/>
      <c r="AHV48" s="212"/>
      <c r="AHW48" s="212"/>
      <c r="AHX48" s="212"/>
      <c r="AHY48" s="212"/>
      <c r="AHZ48" s="212"/>
      <c r="AIA48" s="212"/>
      <c r="AIB48" s="212"/>
      <c r="AIC48" s="212"/>
      <c r="AID48" s="212"/>
      <c r="AIE48" s="212"/>
      <c r="AIF48" s="212"/>
      <c r="AIG48" s="212"/>
      <c r="AIH48" s="212"/>
      <c r="AII48" s="212"/>
      <c r="AIJ48" s="212"/>
      <c r="AIK48" s="212"/>
      <c r="AIL48" s="212"/>
      <c r="AIM48" s="212"/>
      <c r="AIN48" s="212"/>
      <c r="AIO48" s="212"/>
      <c r="AIP48" s="212"/>
      <c r="AIQ48" s="212"/>
      <c r="AIR48" s="212"/>
      <c r="AIS48" s="212"/>
      <c r="AIT48" s="212"/>
      <c r="AIU48" s="212"/>
      <c r="AIV48" s="212"/>
      <c r="AIW48" s="212"/>
      <c r="AIX48" s="212"/>
      <c r="AIY48" s="212"/>
      <c r="AIZ48" s="212"/>
      <c r="AJA48" s="212"/>
      <c r="AJB48" s="212"/>
      <c r="AJC48" s="212"/>
      <c r="AJD48" s="212"/>
      <c r="AJE48" s="212"/>
      <c r="AJF48" s="212"/>
      <c r="AJG48" s="212"/>
      <c r="AJH48" s="212"/>
      <c r="AJI48" s="212"/>
      <c r="AJJ48" s="212"/>
      <c r="AJK48" s="212"/>
      <c r="AJL48" s="212"/>
      <c r="AJM48" s="212"/>
      <c r="AJN48" s="212"/>
      <c r="AJO48" s="212"/>
      <c r="AJP48" s="212"/>
      <c r="AJQ48" s="212"/>
      <c r="AJR48" s="212"/>
      <c r="AJS48" s="212"/>
      <c r="AJT48" s="212"/>
      <c r="AJU48" s="212"/>
      <c r="AJV48" s="212"/>
      <c r="AJW48" s="212"/>
      <c r="AJX48" s="212"/>
      <c r="AJY48" s="212"/>
      <c r="AJZ48" s="212"/>
      <c r="AKA48" s="212"/>
      <c r="AKB48" s="212"/>
      <c r="AKC48" s="212"/>
      <c r="AKD48" s="212"/>
      <c r="AKE48" s="212"/>
      <c r="AKF48" s="212"/>
      <c r="AKG48" s="212"/>
      <c r="AKH48" s="212"/>
      <c r="AKI48" s="212"/>
      <c r="AKJ48" s="212"/>
      <c r="AKK48" s="212"/>
      <c r="AKL48" s="212"/>
      <c r="AKM48" s="212"/>
      <c r="AKN48" s="212"/>
      <c r="AKO48" s="212"/>
      <c r="AKP48" s="212"/>
      <c r="AKQ48" s="212"/>
      <c r="AKR48" s="212"/>
      <c r="AKS48" s="212"/>
      <c r="AKT48" s="212"/>
      <c r="AKU48" s="212"/>
      <c r="AKV48" s="212"/>
      <c r="AKW48" s="212"/>
      <c r="AKX48" s="212"/>
      <c r="AKY48" s="212"/>
      <c r="AKZ48" s="212"/>
      <c r="ALA48" s="212"/>
      <c r="ALB48" s="212"/>
      <c r="ALC48" s="212"/>
      <c r="ALD48" s="212"/>
      <c r="ALE48" s="212"/>
      <c r="ALF48" s="212"/>
      <c r="ALG48" s="212"/>
      <c r="ALH48" s="212"/>
      <c r="ALI48" s="212"/>
      <c r="ALJ48" s="212"/>
      <c r="ALK48" s="212"/>
      <c r="ALL48" s="212"/>
      <c r="ALM48" s="212"/>
      <c r="ALN48" s="212"/>
      <c r="ALO48" s="212"/>
      <c r="ALP48" s="212"/>
      <c r="ALQ48" s="212"/>
      <c r="ALR48" s="212"/>
      <c r="ALS48" s="212"/>
      <c r="ALT48" s="212"/>
      <c r="ALU48" s="212"/>
      <c r="ALV48" s="212"/>
      <c r="ALW48" s="212"/>
      <c r="ALX48" s="212"/>
      <c r="ALY48" s="212"/>
      <c r="ALZ48" s="212"/>
      <c r="AMA48" s="212"/>
      <c r="AMB48" s="212"/>
      <c r="AMC48" s="212"/>
      <c r="AMD48" s="212"/>
      <c r="AME48" s="212"/>
      <c r="AMF48" s="212"/>
      <c r="AMG48" s="212"/>
      <c r="AMH48" s="212"/>
      <c r="AMI48" s="212"/>
      <c r="AMJ48" s="212"/>
      <c r="AMK48" s="212"/>
      <c r="AML48" s="212"/>
      <c r="AMM48" s="212"/>
      <c r="AMN48" s="212"/>
      <c r="AMO48" s="212"/>
      <c r="AMP48" s="212"/>
      <c r="AMQ48" s="212"/>
      <c r="AMR48" s="212"/>
      <c r="AMS48" s="212"/>
      <c r="AMT48" s="212"/>
      <c r="AMU48" s="212"/>
      <c r="AMV48" s="212"/>
      <c r="AMW48" s="212"/>
      <c r="AMX48" s="212"/>
      <c r="AMY48" s="212"/>
      <c r="AMZ48" s="212"/>
      <c r="ANA48" s="212"/>
      <c r="ANB48" s="212"/>
      <c r="ANC48" s="212"/>
      <c r="AND48" s="212"/>
      <c r="ANE48" s="212"/>
      <c r="ANF48" s="212"/>
      <c r="ANG48" s="212"/>
      <c r="ANH48" s="212"/>
      <c r="ANI48" s="212"/>
      <c r="ANJ48" s="212"/>
      <c r="ANK48" s="212"/>
      <c r="ANL48" s="212"/>
      <c r="ANM48" s="212"/>
      <c r="ANN48" s="212"/>
      <c r="ANO48" s="212"/>
      <c r="ANP48" s="212"/>
      <c r="ANQ48" s="212"/>
      <c r="ANR48" s="212"/>
      <c r="ANS48" s="212"/>
      <c r="ANT48" s="212"/>
      <c r="ANU48" s="212"/>
      <c r="ANV48" s="212"/>
      <c r="ANW48" s="212"/>
      <c r="ANX48" s="212"/>
      <c r="ANY48" s="212"/>
      <c r="ANZ48" s="212"/>
      <c r="AOA48" s="212"/>
      <c r="AOB48" s="212"/>
      <c r="AOC48" s="212"/>
      <c r="AOD48" s="212"/>
      <c r="AOE48" s="212"/>
      <c r="AOF48" s="212"/>
      <c r="AOG48" s="212"/>
      <c r="AOH48" s="212"/>
      <c r="AOI48" s="212"/>
      <c r="AOJ48" s="212"/>
      <c r="AOK48" s="212"/>
      <c r="AOL48" s="212"/>
      <c r="AOM48" s="212"/>
      <c r="AON48" s="212"/>
      <c r="AOO48" s="212"/>
      <c r="AOP48" s="212"/>
      <c r="AOQ48" s="212"/>
      <c r="AOR48" s="212"/>
      <c r="AOS48" s="212"/>
      <c r="AOT48" s="212"/>
      <c r="AOU48" s="212"/>
      <c r="AOV48" s="212"/>
      <c r="AOW48" s="212"/>
      <c r="AOX48" s="212"/>
      <c r="AOY48" s="212"/>
      <c r="AOZ48" s="212"/>
      <c r="APA48" s="212"/>
      <c r="APB48" s="212"/>
      <c r="APC48" s="212"/>
      <c r="APD48" s="212"/>
      <c r="APE48" s="212"/>
      <c r="APF48" s="212"/>
      <c r="APG48" s="212"/>
      <c r="APH48" s="212"/>
      <c r="API48" s="212"/>
      <c r="APJ48" s="212"/>
      <c r="APK48" s="212"/>
      <c r="APL48" s="212"/>
      <c r="APM48" s="212"/>
      <c r="APN48" s="212"/>
      <c r="APO48" s="212"/>
      <c r="APP48" s="212"/>
      <c r="APQ48" s="212"/>
      <c r="APR48" s="212"/>
      <c r="APS48" s="212"/>
      <c r="APT48" s="212"/>
      <c r="APU48" s="212"/>
      <c r="APV48" s="212"/>
      <c r="APW48" s="212"/>
      <c r="APX48" s="212"/>
      <c r="APY48" s="212"/>
      <c r="APZ48" s="212"/>
      <c r="AQA48" s="212"/>
      <c r="AQB48" s="212"/>
      <c r="AQC48" s="212"/>
      <c r="AQD48" s="212"/>
      <c r="AQE48" s="212"/>
      <c r="AQF48" s="212"/>
      <c r="AQG48" s="212"/>
      <c r="AQH48" s="212"/>
      <c r="AQI48" s="212"/>
      <c r="AQJ48" s="212"/>
      <c r="AQK48" s="212"/>
      <c r="AQL48" s="212"/>
      <c r="AQM48" s="212"/>
      <c r="AQN48" s="212"/>
      <c r="AQO48" s="212"/>
      <c r="AQP48" s="212"/>
      <c r="AQQ48" s="212"/>
      <c r="AQR48" s="212"/>
      <c r="AQS48" s="212"/>
      <c r="AQT48" s="212"/>
      <c r="AQU48" s="212"/>
      <c r="AQV48" s="212"/>
      <c r="AQW48" s="212"/>
      <c r="AQX48" s="212"/>
      <c r="AQY48" s="212"/>
      <c r="AQZ48" s="212"/>
      <c r="ARA48" s="212"/>
      <c r="ARB48" s="212"/>
      <c r="ARC48" s="212"/>
      <c r="ARD48" s="212"/>
      <c r="ARE48" s="212"/>
      <c r="ARF48" s="212"/>
      <c r="ARG48" s="212"/>
      <c r="ARH48" s="212"/>
      <c r="ARI48" s="212"/>
      <c r="ARJ48" s="212"/>
      <c r="ARK48" s="212"/>
      <c r="ARL48" s="212"/>
      <c r="ARM48" s="212"/>
      <c r="ARN48" s="212"/>
      <c r="ARO48" s="212"/>
      <c r="ARP48" s="212"/>
      <c r="ARQ48" s="212"/>
      <c r="ARR48" s="212"/>
      <c r="ARS48" s="212"/>
      <c r="ART48" s="212"/>
      <c r="ARU48" s="212"/>
      <c r="ARV48" s="212"/>
      <c r="ARW48" s="212"/>
      <c r="ARX48" s="212"/>
      <c r="ARY48" s="212"/>
      <c r="ARZ48" s="212"/>
      <c r="ASA48" s="212"/>
      <c r="ASB48" s="212"/>
      <c r="ASC48" s="212"/>
      <c r="ASD48" s="212"/>
      <c r="ASE48" s="212"/>
      <c r="ASF48" s="212"/>
      <c r="ASG48" s="212"/>
      <c r="ASH48" s="212"/>
      <c r="ASI48" s="212"/>
      <c r="ASJ48" s="212"/>
      <c r="ASK48" s="212"/>
      <c r="ASL48" s="212"/>
      <c r="ASM48" s="212"/>
      <c r="ASN48" s="212"/>
      <c r="ASO48" s="212"/>
      <c r="ASP48" s="212"/>
      <c r="ASQ48" s="212"/>
      <c r="ASR48" s="212"/>
      <c r="ASS48" s="212"/>
      <c r="AST48" s="212"/>
      <c r="ASU48" s="212"/>
      <c r="ASV48" s="212"/>
      <c r="ASW48" s="212"/>
      <c r="ASX48" s="212"/>
      <c r="ASY48" s="212"/>
      <c r="ASZ48" s="212"/>
      <c r="ATA48" s="212"/>
      <c r="ATB48" s="212"/>
      <c r="ATC48" s="212"/>
      <c r="ATD48" s="212"/>
      <c r="ATE48" s="212"/>
      <c r="ATF48" s="212"/>
      <c r="ATG48" s="212"/>
      <c r="ATH48" s="212"/>
      <c r="ATI48" s="212"/>
      <c r="ATJ48" s="212"/>
      <c r="ATK48" s="212"/>
      <c r="ATL48" s="212"/>
      <c r="ATM48" s="212"/>
      <c r="ATN48" s="212"/>
      <c r="ATO48" s="212"/>
      <c r="ATP48" s="212"/>
      <c r="ATQ48" s="212"/>
      <c r="ATR48" s="212"/>
      <c r="ATS48" s="212"/>
      <c r="ATT48" s="212"/>
      <c r="ATU48" s="212"/>
      <c r="ATV48" s="212"/>
      <c r="ATW48" s="212"/>
      <c r="ATX48" s="212"/>
      <c r="ATY48" s="212"/>
      <c r="ATZ48" s="212"/>
      <c r="AUA48" s="212"/>
      <c r="AUB48" s="212"/>
      <c r="AUC48" s="212"/>
      <c r="AUD48" s="212"/>
      <c r="AUE48" s="212"/>
      <c r="AUF48" s="212"/>
      <c r="AUG48" s="212"/>
      <c r="AUH48" s="212"/>
      <c r="AUI48" s="212"/>
      <c r="AUJ48" s="212"/>
      <c r="AUK48" s="212"/>
      <c r="AUL48" s="212"/>
      <c r="AUM48" s="212"/>
      <c r="AUN48" s="212"/>
      <c r="AUO48" s="212"/>
      <c r="AUP48" s="212"/>
      <c r="AUQ48" s="212"/>
      <c r="AUR48" s="212"/>
      <c r="AUS48" s="212"/>
      <c r="AUT48" s="212"/>
      <c r="AUU48" s="212"/>
      <c r="AUV48" s="212"/>
      <c r="AUW48" s="212"/>
      <c r="AUX48" s="212"/>
      <c r="AUY48" s="212"/>
      <c r="AUZ48" s="212"/>
      <c r="AVA48" s="212"/>
      <c r="AVB48" s="212"/>
      <c r="AVC48" s="212"/>
      <c r="AVD48" s="212"/>
      <c r="AVE48" s="212"/>
      <c r="AVF48" s="212"/>
      <c r="AVG48" s="212"/>
      <c r="AVH48" s="212"/>
      <c r="AVI48" s="212"/>
      <c r="AVJ48" s="212"/>
      <c r="AVK48" s="212"/>
      <c r="AVL48" s="212"/>
      <c r="AVM48" s="212"/>
      <c r="AVN48" s="212"/>
      <c r="AVO48" s="212"/>
      <c r="AVP48" s="212"/>
      <c r="AVQ48" s="212"/>
      <c r="AVR48" s="212"/>
      <c r="AVS48" s="212"/>
      <c r="AVT48" s="212"/>
      <c r="AVU48" s="212"/>
      <c r="AVV48" s="212"/>
      <c r="AVW48" s="212"/>
      <c r="AVX48" s="212"/>
      <c r="AVY48" s="212"/>
      <c r="AVZ48" s="212"/>
      <c r="AWA48" s="212"/>
      <c r="AWB48" s="212"/>
      <c r="AWC48" s="212"/>
      <c r="AWD48" s="212"/>
      <c r="AWE48" s="212"/>
      <c r="AWF48" s="212"/>
      <c r="AWG48" s="212"/>
      <c r="AWH48" s="212"/>
      <c r="AWI48" s="212"/>
      <c r="AWJ48" s="212"/>
      <c r="AWK48" s="212"/>
      <c r="AWL48" s="212"/>
      <c r="AWM48" s="212"/>
      <c r="AWN48" s="212"/>
      <c r="AWO48" s="212"/>
      <c r="AWP48" s="212"/>
      <c r="AWQ48" s="212"/>
      <c r="AWR48" s="212"/>
      <c r="AWS48" s="212"/>
      <c r="AWT48" s="212"/>
      <c r="AWU48" s="212"/>
      <c r="AWV48" s="212"/>
      <c r="AWW48" s="212"/>
      <c r="AWX48" s="212"/>
      <c r="AWY48" s="212"/>
      <c r="AWZ48" s="212"/>
      <c r="AXA48" s="212"/>
      <c r="AXB48" s="212"/>
      <c r="AXC48" s="212"/>
      <c r="AXD48" s="212"/>
      <c r="AXE48" s="212"/>
      <c r="AXF48" s="212"/>
      <c r="AXG48" s="212"/>
      <c r="AXH48" s="212"/>
      <c r="AXI48" s="212"/>
      <c r="AXJ48" s="212"/>
      <c r="AXK48" s="212"/>
      <c r="AXL48" s="212"/>
      <c r="AXM48" s="212"/>
      <c r="AXN48" s="212"/>
      <c r="AXO48" s="212"/>
      <c r="AXP48" s="212"/>
      <c r="AXQ48" s="212"/>
      <c r="AXR48" s="212"/>
      <c r="AXS48" s="212"/>
      <c r="AXT48" s="212"/>
      <c r="AXU48" s="212"/>
      <c r="AXV48" s="212"/>
      <c r="AXW48" s="212"/>
      <c r="AXX48" s="212"/>
      <c r="AXY48" s="212"/>
      <c r="AXZ48" s="212"/>
      <c r="AYA48" s="212"/>
      <c r="AYB48" s="212"/>
      <c r="AYC48" s="212"/>
      <c r="AYD48" s="212"/>
      <c r="AYE48" s="212"/>
      <c r="AYF48" s="212"/>
      <c r="AYG48" s="212"/>
      <c r="AYH48" s="212"/>
      <c r="AYI48" s="212"/>
      <c r="AYJ48" s="212"/>
      <c r="AYK48" s="212"/>
      <c r="AYL48" s="212"/>
      <c r="AYM48" s="212"/>
      <c r="AYN48" s="212"/>
      <c r="AYO48" s="212"/>
      <c r="AYP48" s="212"/>
      <c r="AYQ48" s="212"/>
      <c r="AYR48" s="212"/>
      <c r="AYS48" s="212"/>
      <c r="AYT48" s="212"/>
      <c r="AYU48" s="212"/>
      <c r="AYV48" s="212"/>
      <c r="AYW48" s="212"/>
      <c r="AYX48" s="212"/>
      <c r="AYY48" s="212"/>
      <c r="AYZ48" s="212"/>
      <c r="AZA48" s="212"/>
      <c r="AZB48" s="212"/>
      <c r="AZC48" s="212"/>
      <c r="AZD48" s="212"/>
      <c r="AZE48" s="212"/>
      <c r="AZF48" s="212"/>
      <c r="AZG48" s="212"/>
      <c r="AZH48" s="212"/>
      <c r="AZI48" s="212"/>
      <c r="AZJ48" s="212"/>
      <c r="AZK48" s="212"/>
      <c r="AZL48" s="212"/>
      <c r="AZM48" s="212"/>
      <c r="AZN48" s="212"/>
      <c r="AZO48" s="212"/>
      <c r="AZP48" s="212"/>
      <c r="AZQ48" s="212"/>
      <c r="AZR48" s="212"/>
      <c r="AZS48" s="212"/>
      <c r="AZT48" s="212"/>
      <c r="AZU48" s="212"/>
      <c r="AZV48" s="212"/>
      <c r="AZW48" s="212"/>
      <c r="AZX48" s="212"/>
      <c r="AZY48" s="212"/>
      <c r="AZZ48" s="212"/>
      <c r="BAA48" s="212"/>
      <c r="BAB48" s="212"/>
      <c r="BAC48" s="212"/>
      <c r="BAD48" s="212"/>
      <c r="BAE48" s="212"/>
      <c r="BAF48" s="212"/>
      <c r="BAG48" s="212"/>
      <c r="BAH48" s="212"/>
      <c r="BAI48" s="212"/>
      <c r="BAJ48" s="212"/>
      <c r="BAK48" s="212"/>
      <c r="BAL48" s="212"/>
      <c r="BAM48" s="212"/>
      <c r="BAN48" s="212"/>
      <c r="BAO48" s="212"/>
      <c r="BAP48" s="212"/>
      <c r="BAQ48" s="212"/>
      <c r="BAR48" s="212"/>
      <c r="BAS48" s="212"/>
      <c r="BAT48" s="212"/>
      <c r="BAU48" s="212"/>
      <c r="BAV48" s="212"/>
      <c r="BAW48" s="212"/>
      <c r="BAX48" s="212"/>
      <c r="BAY48" s="212"/>
      <c r="BAZ48" s="212"/>
      <c r="BBA48" s="212"/>
      <c r="BBB48" s="212"/>
      <c r="BBC48" s="212"/>
      <c r="BBD48" s="212"/>
      <c r="BBE48" s="212"/>
      <c r="BBF48" s="212"/>
      <c r="BBG48" s="212"/>
      <c r="BBH48" s="212"/>
      <c r="BBI48" s="212"/>
      <c r="BBJ48" s="212"/>
      <c r="BBK48" s="212"/>
      <c r="BBL48" s="212"/>
      <c r="BBM48" s="212"/>
      <c r="BBN48" s="212"/>
      <c r="BBO48" s="212"/>
      <c r="BBP48" s="212"/>
      <c r="BBQ48" s="212"/>
      <c r="BBR48" s="212"/>
      <c r="BBS48" s="212"/>
      <c r="BBT48" s="212"/>
      <c r="BBU48" s="212"/>
      <c r="BBV48" s="212"/>
      <c r="BBW48" s="212"/>
      <c r="BBX48" s="212"/>
      <c r="BBY48" s="212"/>
      <c r="BBZ48" s="212"/>
      <c r="BCA48" s="212"/>
      <c r="BCB48" s="212"/>
      <c r="BCC48" s="212"/>
      <c r="BCD48" s="212"/>
      <c r="BCE48" s="212"/>
      <c r="BCF48" s="212"/>
      <c r="BCG48" s="212"/>
      <c r="BCH48" s="212"/>
      <c r="BCI48" s="212"/>
      <c r="BCJ48" s="212"/>
      <c r="BCK48" s="212"/>
      <c r="BCL48" s="212"/>
      <c r="BCM48" s="212"/>
      <c r="BCN48" s="212"/>
      <c r="BCO48" s="212"/>
      <c r="BCP48" s="212"/>
      <c r="BCQ48" s="212"/>
      <c r="BCR48" s="212"/>
      <c r="BCS48" s="212"/>
      <c r="BCT48" s="212"/>
      <c r="BCU48" s="212"/>
      <c r="BCV48" s="212"/>
      <c r="BCW48" s="212"/>
      <c r="BCX48" s="212"/>
      <c r="BCY48" s="212"/>
      <c r="BCZ48" s="212"/>
      <c r="BDA48" s="212"/>
      <c r="BDB48" s="212"/>
      <c r="BDC48" s="212"/>
      <c r="BDD48" s="212"/>
      <c r="BDE48" s="212"/>
      <c r="BDF48" s="212"/>
      <c r="BDG48" s="212"/>
      <c r="BDH48" s="212"/>
      <c r="BDI48" s="212"/>
      <c r="BDJ48" s="212"/>
      <c r="BDK48" s="212"/>
      <c r="BDL48" s="212"/>
      <c r="BDM48" s="212"/>
      <c r="BDN48" s="212"/>
      <c r="BDO48" s="212"/>
      <c r="BDP48" s="212"/>
      <c r="BDQ48" s="212"/>
      <c r="BDR48" s="212"/>
      <c r="BDS48" s="212"/>
      <c r="BDT48" s="212"/>
      <c r="BDU48" s="212"/>
      <c r="BDV48" s="212"/>
      <c r="BDW48" s="212"/>
      <c r="BDX48" s="212"/>
      <c r="BDY48" s="212"/>
      <c r="BDZ48" s="212"/>
      <c r="BEA48" s="212"/>
      <c r="BEB48" s="212"/>
      <c r="BEC48" s="212"/>
      <c r="BED48" s="212"/>
      <c r="BEE48" s="212"/>
      <c r="BEF48" s="212"/>
      <c r="BEG48" s="212"/>
      <c r="BEH48" s="212"/>
      <c r="BEI48" s="212"/>
      <c r="BEJ48" s="212"/>
      <c r="BEK48" s="212"/>
      <c r="BEL48" s="212"/>
      <c r="BEM48" s="212"/>
      <c r="BEN48" s="212"/>
      <c r="BEO48" s="212"/>
      <c r="BEP48" s="212"/>
      <c r="BEQ48" s="212"/>
      <c r="BER48" s="212"/>
      <c r="BES48" s="212"/>
      <c r="BET48" s="212"/>
      <c r="BEU48" s="212"/>
      <c r="BEV48" s="212"/>
      <c r="BEW48" s="212"/>
      <c r="BEX48" s="212"/>
      <c r="BEY48" s="212"/>
      <c r="BEZ48" s="212"/>
      <c r="BFA48" s="212"/>
      <c r="BFB48" s="212"/>
      <c r="BFC48" s="212"/>
      <c r="BFD48" s="212"/>
      <c r="BFE48" s="212"/>
      <c r="BFF48" s="212"/>
      <c r="BFG48" s="212"/>
      <c r="BFH48" s="212"/>
      <c r="BFI48" s="212"/>
      <c r="BFJ48" s="212"/>
      <c r="BFK48" s="212"/>
      <c r="BFL48" s="212"/>
      <c r="BFM48" s="212"/>
      <c r="BFN48" s="212"/>
      <c r="BFO48" s="212"/>
      <c r="BFP48" s="212"/>
      <c r="BFQ48" s="212"/>
      <c r="BFR48" s="212"/>
      <c r="BFS48" s="212"/>
      <c r="BFT48" s="212"/>
      <c r="BFU48" s="212"/>
      <c r="BFV48" s="212"/>
      <c r="BFW48" s="212"/>
      <c r="BFX48" s="212"/>
      <c r="BFY48" s="212"/>
      <c r="BFZ48" s="212"/>
      <c r="BGA48" s="212"/>
      <c r="BGB48" s="212"/>
      <c r="BGC48" s="212"/>
      <c r="BGD48" s="212"/>
      <c r="BGE48" s="212"/>
      <c r="BGF48" s="212"/>
      <c r="BGG48" s="212"/>
      <c r="BGH48" s="212"/>
      <c r="BGI48" s="212"/>
      <c r="BGJ48" s="212"/>
      <c r="BGK48" s="212"/>
      <c r="BGL48" s="212"/>
      <c r="BGM48" s="212"/>
      <c r="BGN48" s="212"/>
      <c r="BGO48" s="212"/>
      <c r="BGP48" s="212"/>
      <c r="BGQ48" s="212"/>
      <c r="BGR48" s="212"/>
      <c r="BGS48" s="212"/>
      <c r="BGT48" s="212"/>
      <c r="BGU48" s="212"/>
      <c r="BGV48" s="212"/>
      <c r="BGW48" s="212"/>
      <c r="BGX48" s="212"/>
      <c r="BGY48" s="212"/>
      <c r="BGZ48" s="212"/>
      <c r="BHA48" s="212"/>
      <c r="BHB48" s="212"/>
      <c r="BHC48" s="212"/>
      <c r="BHD48" s="212"/>
      <c r="BHE48" s="212"/>
      <c r="BHF48" s="212"/>
      <c r="BHG48" s="212"/>
      <c r="BHH48" s="212"/>
      <c r="BHI48" s="212"/>
      <c r="BHJ48" s="212"/>
      <c r="BHK48" s="212"/>
      <c r="BHL48" s="212"/>
      <c r="BHM48" s="212"/>
      <c r="BHN48" s="212"/>
      <c r="BHO48" s="212"/>
      <c r="BHP48" s="212"/>
      <c r="BHQ48" s="212"/>
      <c r="BHR48" s="212"/>
      <c r="BHS48" s="212"/>
      <c r="BHT48" s="212"/>
      <c r="BHU48" s="212"/>
      <c r="BHV48" s="212"/>
      <c r="BHW48" s="212"/>
      <c r="BHX48" s="212"/>
      <c r="BHY48" s="212"/>
      <c r="BHZ48" s="212"/>
      <c r="BIA48" s="212"/>
      <c r="BIB48" s="212"/>
      <c r="BIC48" s="212"/>
      <c r="BID48" s="212"/>
      <c r="BIE48" s="212"/>
      <c r="BIF48" s="212"/>
      <c r="BIG48" s="212"/>
      <c r="BIH48" s="212"/>
      <c r="BII48" s="212"/>
      <c r="BIJ48" s="212"/>
      <c r="BIK48" s="212"/>
      <c r="BIL48" s="212"/>
      <c r="BIM48" s="212"/>
      <c r="BIN48" s="212"/>
      <c r="BIO48" s="212"/>
      <c r="BIP48" s="212"/>
      <c r="BIQ48" s="212"/>
      <c r="BIR48" s="212"/>
      <c r="BIS48" s="212"/>
      <c r="BIT48" s="212"/>
      <c r="BIU48" s="212"/>
      <c r="BIV48" s="212"/>
      <c r="BIW48" s="212"/>
      <c r="BIX48" s="212"/>
      <c r="BIY48" s="212"/>
      <c r="BIZ48" s="212"/>
      <c r="BJA48" s="212"/>
      <c r="BJB48" s="212"/>
      <c r="BJC48" s="212"/>
      <c r="BJD48" s="212"/>
      <c r="BJE48" s="212"/>
      <c r="BJF48" s="212"/>
      <c r="BJG48" s="212"/>
      <c r="BJH48" s="212"/>
      <c r="BJI48" s="212"/>
      <c r="BJJ48" s="212"/>
      <c r="BJK48" s="212"/>
      <c r="BJL48" s="212"/>
      <c r="BJM48" s="212"/>
      <c r="BJN48" s="212"/>
      <c r="BJO48" s="212"/>
      <c r="BJP48" s="212"/>
      <c r="BJQ48" s="212"/>
      <c r="BJR48" s="212"/>
      <c r="BJS48" s="212"/>
      <c r="BJT48" s="212"/>
      <c r="BJU48" s="212"/>
      <c r="BJV48" s="212"/>
      <c r="BJW48" s="212"/>
      <c r="BJX48" s="212"/>
      <c r="BJY48" s="212"/>
      <c r="BJZ48" s="212"/>
      <c r="BKA48" s="212"/>
      <c r="BKB48" s="212"/>
      <c r="BKC48" s="212"/>
      <c r="BKD48" s="212"/>
      <c r="BKE48" s="212"/>
      <c r="BKF48" s="212"/>
      <c r="BKG48" s="212"/>
      <c r="BKH48" s="212"/>
      <c r="BKI48" s="212"/>
      <c r="BKJ48" s="212"/>
      <c r="BKK48" s="212"/>
      <c r="BKL48" s="212"/>
      <c r="BKM48" s="212"/>
      <c r="BKN48" s="212"/>
      <c r="BKO48" s="212"/>
      <c r="BKP48" s="212"/>
      <c r="BKQ48" s="212"/>
      <c r="BKR48" s="212"/>
      <c r="BKS48" s="212"/>
      <c r="BKT48" s="212"/>
      <c r="BKU48" s="212"/>
      <c r="BKV48" s="212"/>
      <c r="BKW48" s="212"/>
      <c r="BKX48" s="212"/>
      <c r="BKY48" s="212"/>
      <c r="BKZ48" s="212"/>
      <c r="BLA48" s="212"/>
      <c r="BLB48" s="212"/>
      <c r="BLC48" s="212"/>
      <c r="BLD48" s="212"/>
      <c r="BLE48" s="212"/>
      <c r="BLF48" s="212"/>
      <c r="BLG48" s="212"/>
      <c r="BLH48" s="212"/>
      <c r="BLI48" s="212"/>
      <c r="BLJ48" s="212"/>
      <c r="BLK48" s="212"/>
      <c r="BLL48" s="212"/>
      <c r="BLM48" s="212"/>
      <c r="BLN48" s="212"/>
      <c r="BLO48" s="212"/>
      <c r="BLP48" s="212"/>
      <c r="BLQ48" s="212"/>
      <c r="BLR48" s="212"/>
      <c r="BLS48" s="212"/>
      <c r="BLT48" s="212"/>
      <c r="BLU48" s="212"/>
      <c r="BLV48" s="212"/>
      <c r="BLW48" s="212"/>
      <c r="BLX48" s="212"/>
      <c r="BLY48" s="212"/>
      <c r="BLZ48" s="212"/>
      <c r="BMA48" s="212"/>
      <c r="BMB48" s="212"/>
      <c r="BMC48" s="212"/>
      <c r="BMD48" s="212"/>
      <c r="BME48" s="212"/>
      <c r="BMF48" s="212"/>
      <c r="BMG48" s="212"/>
      <c r="BMH48" s="212"/>
      <c r="BMI48" s="212"/>
      <c r="BMJ48" s="212"/>
      <c r="BMK48" s="212"/>
      <c r="BML48" s="212"/>
      <c r="BMM48" s="212"/>
      <c r="BMN48" s="212"/>
      <c r="BMO48" s="212"/>
      <c r="BMP48" s="212"/>
      <c r="BMQ48" s="212"/>
      <c r="BMR48" s="212"/>
      <c r="BMS48" s="212"/>
      <c r="BMT48" s="212"/>
      <c r="BMU48" s="212"/>
      <c r="BMV48" s="212"/>
      <c r="BMW48" s="212"/>
      <c r="BMX48" s="212"/>
      <c r="BMY48" s="212"/>
      <c r="BMZ48" s="212"/>
      <c r="BNA48" s="212"/>
      <c r="BNB48" s="212"/>
      <c r="BNC48" s="212"/>
      <c r="BND48" s="212"/>
      <c r="BNE48" s="212"/>
      <c r="BNF48" s="212"/>
      <c r="BNG48" s="212"/>
      <c r="BNH48" s="212"/>
      <c r="BNI48" s="212"/>
      <c r="BNJ48" s="212"/>
      <c r="BNK48" s="212"/>
      <c r="BNL48" s="212"/>
      <c r="BNM48" s="212"/>
      <c r="BNN48" s="212"/>
      <c r="BNO48" s="212"/>
      <c r="BNP48" s="212"/>
      <c r="BNQ48" s="212"/>
      <c r="BNR48" s="212"/>
      <c r="BNS48" s="212"/>
      <c r="BNT48" s="212"/>
      <c r="BNU48" s="212"/>
      <c r="BNV48" s="212"/>
      <c r="BNW48" s="212"/>
      <c r="BNX48" s="212"/>
      <c r="BNY48" s="212"/>
      <c r="BNZ48" s="212"/>
      <c r="BOA48" s="212"/>
      <c r="BOB48" s="212"/>
      <c r="BOC48" s="212"/>
      <c r="BOD48" s="212"/>
      <c r="BOE48" s="212"/>
      <c r="BOF48" s="212"/>
      <c r="BOG48" s="212"/>
      <c r="BOH48" s="212"/>
      <c r="BOI48" s="212"/>
      <c r="BOJ48" s="212"/>
      <c r="BOK48" s="212"/>
      <c r="BOL48" s="212"/>
      <c r="BOM48" s="212"/>
      <c r="BON48" s="212"/>
      <c r="BOO48" s="212"/>
      <c r="BOP48" s="212"/>
      <c r="BOQ48" s="212"/>
      <c r="BOR48" s="212"/>
      <c r="BOS48" s="212"/>
      <c r="BOT48" s="212"/>
      <c r="BOU48" s="212"/>
      <c r="BOV48" s="212"/>
      <c r="BOW48" s="212"/>
      <c r="BOX48" s="212"/>
      <c r="BOY48" s="212"/>
      <c r="BOZ48" s="212"/>
      <c r="BPA48" s="212"/>
      <c r="BPB48" s="212"/>
      <c r="BPC48" s="212"/>
      <c r="BPD48" s="212"/>
      <c r="BPE48" s="212"/>
      <c r="BPF48" s="212"/>
      <c r="BPG48" s="212"/>
      <c r="BPH48" s="212"/>
      <c r="BPI48" s="212"/>
      <c r="BPJ48" s="212"/>
      <c r="BPK48" s="212"/>
      <c r="BPL48" s="212"/>
      <c r="BPM48" s="212"/>
      <c r="BPN48" s="212"/>
      <c r="BPO48" s="212"/>
      <c r="BPP48" s="212"/>
      <c r="BPQ48" s="212"/>
      <c r="BPR48" s="212"/>
      <c r="BPS48" s="212"/>
      <c r="BPT48" s="212"/>
      <c r="BPU48" s="212"/>
      <c r="BPV48" s="212"/>
      <c r="BPW48" s="212"/>
      <c r="BPX48" s="212"/>
      <c r="BPY48" s="212"/>
      <c r="BPZ48" s="212"/>
      <c r="BQA48" s="212"/>
      <c r="BQB48" s="212"/>
      <c r="BQC48" s="212"/>
      <c r="BQD48" s="212"/>
      <c r="BQE48" s="212"/>
      <c r="BQF48" s="212"/>
      <c r="BQG48" s="212"/>
      <c r="BQH48" s="212"/>
      <c r="BQI48" s="212"/>
      <c r="BQJ48" s="212"/>
      <c r="BQK48" s="212"/>
      <c r="BQL48" s="212"/>
      <c r="BQM48" s="212"/>
      <c r="BQN48" s="212"/>
      <c r="BQO48" s="212"/>
      <c r="BQP48" s="212"/>
      <c r="BQQ48" s="212"/>
      <c r="BQR48" s="212"/>
      <c r="BQS48" s="212"/>
      <c r="BQT48" s="212"/>
      <c r="BQU48" s="212"/>
      <c r="BQV48" s="212"/>
      <c r="BQW48" s="212"/>
      <c r="BQX48" s="212"/>
      <c r="BQY48" s="212"/>
      <c r="BQZ48" s="212"/>
      <c r="BRA48" s="212"/>
      <c r="BRB48" s="212"/>
      <c r="BRC48" s="212"/>
      <c r="BRD48" s="212"/>
      <c r="BRE48" s="212"/>
      <c r="BRF48" s="212"/>
      <c r="BRG48" s="212"/>
      <c r="BRH48" s="212"/>
      <c r="BRI48" s="212"/>
      <c r="BRJ48" s="212"/>
      <c r="BRK48" s="212"/>
      <c r="BRL48" s="212"/>
      <c r="BRM48" s="212"/>
      <c r="BRN48" s="212"/>
      <c r="BRO48" s="212"/>
      <c r="BRP48" s="212"/>
      <c r="BRQ48" s="212"/>
      <c r="BRR48" s="212"/>
      <c r="BRS48" s="212"/>
      <c r="BRT48" s="212"/>
      <c r="BRU48" s="212"/>
      <c r="BRV48" s="212"/>
      <c r="BRW48" s="212"/>
      <c r="BRX48" s="212"/>
      <c r="BRY48" s="212"/>
      <c r="BRZ48" s="212"/>
      <c r="BSA48" s="212"/>
      <c r="BSB48" s="212"/>
      <c r="BSC48" s="212"/>
      <c r="BSD48" s="212"/>
      <c r="BSE48" s="212"/>
      <c r="BSF48" s="212"/>
      <c r="BSG48" s="212"/>
      <c r="BSH48" s="212"/>
      <c r="BSI48" s="212"/>
      <c r="BSJ48" s="212"/>
      <c r="BSK48" s="212"/>
      <c r="BSL48" s="212"/>
      <c r="BSM48" s="212"/>
      <c r="BSN48" s="212"/>
      <c r="BSO48" s="212"/>
      <c r="BSP48" s="212"/>
      <c r="BSQ48" s="212"/>
      <c r="BSR48" s="212"/>
      <c r="BSS48" s="212"/>
      <c r="BST48" s="212"/>
      <c r="BSU48" s="212"/>
      <c r="BSV48" s="212"/>
      <c r="BSW48" s="212"/>
      <c r="BSX48" s="212"/>
      <c r="BSY48" s="212"/>
      <c r="BSZ48" s="212"/>
      <c r="BTA48" s="212"/>
      <c r="BTB48" s="212"/>
      <c r="BTC48" s="212"/>
      <c r="BTD48" s="212"/>
      <c r="BTE48" s="212"/>
      <c r="BTF48" s="212"/>
      <c r="BTG48" s="212"/>
      <c r="BTH48" s="212"/>
      <c r="BTI48" s="212"/>
      <c r="BTJ48" s="212"/>
      <c r="BTK48" s="212"/>
      <c r="BTL48" s="212"/>
      <c r="BTM48" s="212"/>
      <c r="BTN48" s="212"/>
      <c r="BTO48" s="212"/>
      <c r="BTP48" s="212"/>
      <c r="BTQ48" s="212"/>
      <c r="BTR48" s="212"/>
      <c r="BTS48" s="212"/>
      <c r="BTT48" s="212"/>
      <c r="BTU48" s="212"/>
      <c r="BTV48" s="212"/>
      <c r="BTW48" s="212"/>
      <c r="BTX48" s="212"/>
      <c r="BTY48" s="212"/>
      <c r="BTZ48" s="212"/>
      <c r="BUA48" s="212"/>
      <c r="BUB48" s="212"/>
      <c r="BUC48" s="212"/>
      <c r="BUD48" s="212"/>
      <c r="BUE48" s="212"/>
      <c r="BUF48" s="212"/>
      <c r="BUG48" s="212"/>
      <c r="BUH48" s="212"/>
      <c r="BUI48" s="212"/>
      <c r="BUJ48" s="212"/>
      <c r="BUK48" s="212"/>
      <c r="BUL48" s="212"/>
      <c r="BUM48" s="212"/>
      <c r="BUN48" s="212"/>
      <c r="BUO48" s="212"/>
      <c r="BUP48" s="212"/>
      <c r="BUQ48" s="212"/>
      <c r="BUR48" s="212"/>
      <c r="BUS48" s="212"/>
      <c r="BUT48" s="212"/>
      <c r="BUU48" s="212"/>
      <c r="BUV48" s="212"/>
      <c r="BUW48" s="212"/>
      <c r="BUX48" s="212"/>
      <c r="BUY48" s="212"/>
      <c r="BUZ48" s="212"/>
      <c r="BVA48" s="212"/>
      <c r="BVB48" s="212"/>
      <c r="BVC48" s="212"/>
      <c r="BVD48" s="212"/>
      <c r="BVE48" s="212"/>
      <c r="BVF48" s="212"/>
      <c r="BVG48" s="212"/>
      <c r="BVH48" s="212"/>
      <c r="BVI48" s="212"/>
      <c r="BVJ48" s="212"/>
      <c r="BVK48" s="212"/>
      <c r="BVL48" s="212"/>
      <c r="BVM48" s="212"/>
      <c r="BVN48" s="212"/>
      <c r="BVO48" s="212"/>
      <c r="BVP48" s="212"/>
      <c r="BVQ48" s="212"/>
      <c r="BVR48" s="212"/>
      <c r="BVS48" s="212"/>
      <c r="BVT48" s="212"/>
      <c r="BVU48" s="212"/>
      <c r="BVV48" s="212"/>
      <c r="BVW48" s="212"/>
      <c r="BVX48" s="212"/>
      <c r="BVY48" s="212"/>
      <c r="BVZ48" s="212"/>
      <c r="BWA48" s="212"/>
      <c r="BWB48" s="212"/>
      <c r="BWC48" s="212"/>
      <c r="BWD48" s="212"/>
      <c r="BWE48" s="212"/>
      <c r="BWF48" s="212"/>
      <c r="BWG48" s="212"/>
      <c r="BWH48" s="212"/>
      <c r="BWI48" s="212"/>
      <c r="BWJ48" s="212"/>
      <c r="BWK48" s="212"/>
      <c r="BWL48" s="212"/>
      <c r="BWM48" s="212"/>
      <c r="BWN48" s="212"/>
      <c r="BWO48" s="212"/>
      <c r="BWP48" s="212"/>
      <c r="BWQ48" s="212"/>
      <c r="BWR48" s="212"/>
      <c r="BWS48" s="212"/>
      <c r="BWT48" s="212"/>
      <c r="BWU48" s="212"/>
      <c r="BWV48" s="212"/>
      <c r="BWW48" s="212"/>
      <c r="BWX48" s="212"/>
      <c r="BWY48" s="212"/>
      <c r="BWZ48" s="212"/>
      <c r="BXA48" s="212"/>
      <c r="BXB48" s="212"/>
      <c r="BXC48" s="212"/>
      <c r="BXD48" s="212"/>
      <c r="BXE48" s="212"/>
      <c r="BXF48" s="212"/>
      <c r="BXG48" s="212"/>
      <c r="BXH48" s="212"/>
      <c r="BXI48" s="212"/>
      <c r="BXJ48" s="212"/>
      <c r="BXK48" s="212"/>
      <c r="BXL48" s="212"/>
      <c r="BXM48" s="212"/>
      <c r="BXN48" s="212"/>
      <c r="BXO48" s="212"/>
      <c r="BXP48" s="212"/>
      <c r="BXQ48" s="212"/>
      <c r="BXR48" s="212"/>
      <c r="BXS48" s="212"/>
      <c r="BXT48" s="212"/>
      <c r="BXU48" s="212"/>
      <c r="BXV48" s="212"/>
      <c r="BXW48" s="212"/>
      <c r="BXX48" s="212"/>
      <c r="BXY48" s="212"/>
      <c r="BXZ48" s="212"/>
      <c r="BYA48" s="212"/>
      <c r="BYB48" s="212"/>
      <c r="BYC48" s="212"/>
      <c r="BYD48" s="212"/>
      <c r="BYE48" s="212"/>
      <c r="BYF48" s="212"/>
      <c r="BYG48" s="212"/>
    </row>
    <row r="49" spans="1:2009" s="96" customFormat="1" ht="12.75" customHeight="1" thickBot="1" x14ac:dyDescent="0.3">
      <c r="A49" s="119"/>
      <c r="B49" s="120"/>
      <c r="C49" s="175"/>
      <c r="D49" s="175"/>
      <c r="E49" s="175"/>
      <c r="F49" s="175"/>
      <c r="G49" s="175"/>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c r="IW49" s="95"/>
      <c r="IX49" s="95"/>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5"/>
      <c r="NJ49" s="95"/>
      <c r="NK49" s="95"/>
      <c r="NL49" s="95"/>
      <c r="NM49" s="95"/>
      <c r="NN49" s="95"/>
      <c r="NO49" s="95"/>
      <c r="NP49" s="95"/>
      <c r="NQ49" s="95"/>
      <c r="NR49" s="95"/>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5"/>
      <c r="SD49" s="95"/>
      <c r="SE49" s="95"/>
      <c r="SF49" s="95"/>
      <c r="SG49" s="95"/>
      <c r="SH49" s="95"/>
      <c r="SI49" s="95"/>
      <c r="SJ49" s="95"/>
      <c r="SK49" s="95"/>
      <c r="SL49" s="95"/>
      <c r="SM49" s="95"/>
      <c r="SN49" s="95"/>
      <c r="SO49" s="95"/>
      <c r="SP49" s="95"/>
      <c r="SQ49" s="95"/>
      <c r="SR49" s="95"/>
      <c r="SS49" s="95"/>
      <c r="ST49" s="95"/>
      <c r="SU49" s="95"/>
      <c r="SV49" s="95"/>
      <c r="SW49" s="95"/>
      <c r="SX49" s="95"/>
      <c r="SY49" s="95"/>
      <c r="SZ49" s="95"/>
      <c r="TA49" s="95"/>
      <c r="TB49" s="95"/>
      <c r="TC49" s="95"/>
      <c r="TD49" s="95"/>
      <c r="TE49" s="95"/>
      <c r="TF49" s="95"/>
      <c r="TG49" s="95"/>
      <c r="TH49" s="95"/>
      <c r="TI49" s="95"/>
      <c r="TJ49" s="95"/>
      <c r="TK49" s="95"/>
      <c r="TL49" s="95"/>
      <c r="TM49" s="95"/>
      <c r="TN49" s="95"/>
      <c r="TO49" s="95"/>
      <c r="TP49" s="95"/>
      <c r="TQ49" s="95"/>
      <c r="TR49" s="95"/>
      <c r="TS49" s="95"/>
      <c r="TT49" s="95"/>
      <c r="TU49" s="95"/>
      <c r="TV49" s="95"/>
      <c r="TW49" s="95"/>
      <c r="TX49" s="95"/>
      <c r="TY49" s="95"/>
      <c r="TZ49" s="95"/>
      <c r="UA49" s="95"/>
      <c r="UB49" s="95"/>
      <c r="UC49" s="95"/>
      <c r="UD49" s="95"/>
      <c r="UE49" s="95"/>
      <c r="UF49" s="95"/>
      <c r="UG49" s="95"/>
      <c r="UH49" s="95"/>
      <c r="UI49" s="95"/>
      <c r="UJ49" s="95"/>
      <c r="UK49" s="95"/>
      <c r="UL49" s="95"/>
      <c r="UM49" s="95"/>
      <c r="UN49" s="95"/>
      <c r="UO49" s="95"/>
      <c r="UP49" s="95"/>
      <c r="UQ49" s="95"/>
      <c r="UR49" s="95"/>
      <c r="US49" s="95"/>
      <c r="UT49" s="95"/>
      <c r="UU49" s="95"/>
      <c r="UV49" s="95"/>
      <c r="UW49" s="95"/>
      <c r="UX49" s="95"/>
      <c r="UY49" s="95"/>
      <c r="UZ49" s="95"/>
      <c r="VA49" s="95"/>
      <c r="VB49" s="95"/>
      <c r="VC49" s="95"/>
      <c r="VD49" s="95"/>
      <c r="VE49" s="95"/>
      <c r="VF49" s="95"/>
      <c r="VG49" s="95"/>
      <c r="VH49" s="95"/>
      <c r="VI49" s="95"/>
      <c r="VJ49" s="95"/>
      <c r="VK49" s="95"/>
      <c r="VL49" s="95"/>
      <c r="VM49" s="95"/>
      <c r="VN49" s="95"/>
      <c r="VO49" s="95"/>
      <c r="VP49" s="95"/>
      <c r="VQ49" s="95"/>
      <c r="VR49" s="95"/>
      <c r="VS49" s="95"/>
      <c r="VT49" s="95"/>
      <c r="VU49" s="95"/>
      <c r="VV49" s="95"/>
      <c r="VW49" s="95"/>
      <c r="VX49" s="95"/>
      <c r="VY49" s="95"/>
      <c r="VZ49" s="95"/>
      <c r="WA49" s="95"/>
      <c r="WB49" s="95"/>
      <c r="WC49" s="95"/>
      <c r="WD49" s="95"/>
      <c r="WE49" s="95"/>
      <c r="WF49" s="95"/>
      <c r="WG49" s="95"/>
      <c r="WH49" s="95"/>
      <c r="WI49" s="95"/>
      <c r="WJ49" s="95"/>
      <c r="WK49" s="95"/>
      <c r="WL49" s="95"/>
      <c r="WM49" s="95"/>
      <c r="WN49" s="95"/>
      <c r="WO49" s="95"/>
      <c r="WP49" s="95"/>
      <c r="WQ49" s="95"/>
      <c r="WR49" s="95"/>
      <c r="WS49" s="95"/>
      <c r="WT49" s="95"/>
      <c r="WU49" s="95"/>
      <c r="WV49" s="95"/>
      <c r="WW49" s="95"/>
      <c r="WX49" s="95"/>
      <c r="WY49" s="95"/>
      <c r="WZ49" s="95"/>
      <c r="XA49" s="95"/>
      <c r="XB49" s="95"/>
      <c r="XC49" s="95"/>
      <c r="XD49" s="95"/>
      <c r="XE49" s="95"/>
      <c r="XF49" s="95"/>
      <c r="XG49" s="95"/>
      <c r="XH49" s="95"/>
      <c r="XI49" s="95"/>
      <c r="XJ49" s="95"/>
      <c r="XK49" s="95"/>
      <c r="XL49" s="95"/>
      <c r="XM49" s="95"/>
      <c r="XN49" s="95"/>
      <c r="XO49" s="95"/>
      <c r="XP49" s="95"/>
      <c r="XQ49" s="95"/>
      <c r="XR49" s="95"/>
      <c r="XS49" s="95"/>
      <c r="XT49" s="95"/>
      <c r="XU49" s="95"/>
      <c r="XV49" s="95"/>
      <c r="XW49" s="95"/>
      <c r="XX49" s="95"/>
      <c r="XY49" s="95"/>
      <c r="XZ49" s="95"/>
      <c r="YA49" s="95"/>
      <c r="YB49" s="95"/>
      <c r="YC49" s="95"/>
      <c r="YD49" s="95"/>
      <c r="YE49" s="95"/>
      <c r="YF49" s="95"/>
      <c r="YG49" s="95"/>
      <c r="YH49" s="95"/>
      <c r="YI49" s="95"/>
      <c r="YJ49" s="95"/>
      <c r="YK49" s="95"/>
      <c r="YL49" s="95"/>
      <c r="YM49" s="95"/>
      <c r="YN49" s="95"/>
      <c r="YO49" s="95"/>
      <c r="YP49" s="95"/>
      <c r="YQ49" s="95"/>
      <c r="YR49" s="95"/>
      <c r="YS49" s="95"/>
      <c r="YT49" s="95"/>
      <c r="YU49" s="95"/>
      <c r="YV49" s="95"/>
      <c r="YW49" s="95"/>
      <c r="YX49" s="95"/>
      <c r="YY49" s="95"/>
      <c r="YZ49" s="95"/>
      <c r="ZA49" s="95"/>
      <c r="ZB49" s="95"/>
      <c r="ZC49" s="95"/>
      <c r="ZD49" s="95"/>
      <c r="ZE49" s="95"/>
      <c r="ZF49" s="95"/>
      <c r="ZG49" s="95"/>
      <c r="ZH49" s="95"/>
      <c r="ZI49" s="95"/>
      <c r="ZJ49" s="95"/>
      <c r="ZK49" s="95"/>
      <c r="ZL49" s="95"/>
      <c r="ZM49" s="95"/>
      <c r="ZN49" s="95"/>
      <c r="ZO49" s="95"/>
      <c r="ZP49" s="95"/>
      <c r="ZQ49" s="95"/>
      <c r="ZR49" s="95"/>
      <c r="ZS49" s="95"/>
      <c r="ZT49" s="95"/>
      <c r="ZU49" s="95"/>
      <c r="ZV49" s="95"/>
      <c r="ZW49" s="95"/>
      <c r="ZX49" s="95"/>
      <c r="ZY49" s="95"/>
      <c r="ZZ49" s="95"/>
      <c r="AAA49" s="95"/>
      <c r="AAB49" s="95"/>
      <c r="AAC49" s="95"/>
      <c r="AAD49" s="95"/>
      <c r="AAE49" s="95"/>
      <c r="AAF49" s="95"/>
      <c r="AAG49" s="95"/>
      <c r="AAH49" s="95"/>
      <c r="AAI49" s="95"/>
      <c r="AAJ49" s="95"/>
      <c r="AAK49" s="95"/>
      <c r="AAL49" s="95"/>
      <c r="AAM49" s="95"/>
      <c r="AAN49" s="95"/>
      <c r="AAO49" s="95"/>
      <c r="AAP49" s="95"/>
      <c r="AAQ49" s="95"/>
      <c r="AAR49" s="95"/>
      <c r="AAS49" s="95"/>
      <c r="AAT49" s="95"/>
      <c r="AAU49" s="95"/>
      <c r="AAV49" s="95"/>
      <c r="AAW49" s="95"/>
      <c r="AAX49" s="95"/>
      <c r="AAY49" s="95"/>
      <c r="AAZ49" s="95"/>
      <c r="ABA49" s="95"/>
      <c r="ABB49" s="95"/>
      <c r="ABC49" s="95"/>
      <c r="ABD49" s="95"/>
      <c r="ABE49" s="95"/>
      <c r="ABF49" s="95"/>
      <c r="ABG49" s="95"/>
      <c r="ABH49" s="95"/>
      <c r="ABI49" s="95"/>
      <c r="ABJ49" s="95"/>
      <c r="ABK49" s="95"/>
      <c r="ABL49" s="95"/>
      <c r="ABM49" s="95"/>
      <c r="ABN49" s="95"/>
      <c r="ABO49" s="95"/>
      <c r="ABP49" s="95"/>
      <c r="ABQ49" s="95"/>
      <c r="ABR49" s="95"/>
      <c r="ABS49" s="95"/>
      <c r="ABT49" s="95"/>
      <c r="ABU49" s="95"/>
      <c r="ABV49" s="95"/>
      <c r="ABW49" s="95"/>
      <c r="ABX49" s="95"/>
      <c r="ABY49" s="95"/>
      <c r="ABZ49" s="95"/>
      <c r="ACA49" s="95"/>
      <c r="ACB49" s="95"/>
      <c r="ACC49" s="95"/>
      <c r="ACD49" s="95"/>
      <c r="ACE49" s="95"/>
      <c r="ACF49" s="95"/>
      <c r="ACG49" s="95"/>
      <c r="ACH49" s="95"/>
      <c r="ACI49" s="95"/>
      <c r="ACJ49" s="95"/>
      <c r="ACK49" s="95"/>
      <c r="ACL49" s="95"/>
      <c r="ACM49" s="95"/>
      <c r="ACN49" s="95"/>
      <c r="ACO49" s="95"/>
      <c r="ACP49" s="95"/>
      <c r="ACQ49" s="95"/>
      <c r="ACR49" s="95"/>
      <c r="ACS49" s="95"/>
      <c r="ACT49" s="95"/>
      <c r="ACU49" s="95"/>
      <c r="ACV49" s="95"/>
      <c r="ACW49" s="95"/>
      <c r="ACX49" s="95"/>
      <c r="ACY49" s="95"/>
      <c r="ACZ49" s="95"/>
      <c r="ADA49" s="95"/>
      <c r="ADB49" s="95"/>
      <c r="ADC49" s="95"/>
      <c r="ADD49" s="95"/>
      <c r="ADE49" s="95"/>
      <c r="ADF49" s="95"/>
      <c r="ADG49" s="95"/>
      <c r="ADH49" s="95"/>
      <c r="ADI49" s="95"/>
      <c r="ADJ49" s="95"/>
      <c r="ADK49" s="95"/>
      <c r="ADL49" s="95"/>
      <c r="ADM49" s="95"/>
      <c r="ADN49" s="95"/>
      <c r="ADO49" s="95"/>
      <c r="ADP49" s="95"/>
      <c r="ADQ49" s="95"/>
      <c r="ADR49" s="95"/>
      <c r="ADS49" s="95"/>
      <c r="ADT49" s="95"/>
      <c r="ADU49" s="95"/>
      <c r="ADV49" s="95"/>
      <c r="ADW49" s="95"/>
      <c r="ADX49" s="95"/>
      <c r="ADY49" s="95"/>
      <c r="ADZ49" s="95"/>
      <c r="AEA49" s="95"/>
      <c r="AEB49" s="95"/>
      <c r="AEC49" s="95"/>
      <c r="AED49" s="95"/>
      <c r="AEE49" s="95"/>
      <c r="AEF49" s="95"/>
      <c r="AEG49" s="95"/>
      <c r="AEH49" s="95"/>
      <c r="AEI49" s="95"/>
      <c r="AEJ49" s="95"/>
      <c r="AEK49" s="95"/>
      <c r="AEL49" s="95"/>
      <c r="AEM49" s="95"/>
      <c r="AEN49" s="95"/>
      <c r="AEO49" s="95"/>
      <c r="AEP49" s="95"/>
      <c r="AEQ49" s="95"/>
      <c r="AER49" s="95"/>
      <c r="AES49" s="95"/>
      <c r="AET49" s="95"/>
      <c r="AEU49" s="95"/>
      <c r="AEV49" s="95"/>
      <c r="AEW49" s="95"/>
      <c r="AEX49" s="95"/>
      <c r="AEY49" s="95"/>
      <c r="AEZ49" s="95"/>
      <c r="AFA49" s="95"/>
      <c r="AFB49" s="95"/>
      <c r="AFC49" s="95"/>
      <c r="AFD49" s="95"/>
      <c r="AFE49" s="95"/>
      <c r="AFF49" s="95"/>
      <c r="AFG49" s="95"/>
      <c r="AFH49" s="95"/>
      <c r="AFI49" s="95"/>
      <c r="AFJ49" s="95"/>
      <c r="AFK49" s="95"/>
      <c r="AFL49" s="95"/>
      <c r="AFM49" s="95"/>
      <c r="AFN49" s="95"/>
      <c r="AFO49" s="95"/>
      <c r="AFP49" s="95"/>
      <c r="AFQ49" s="95"/>
      <c r="AFR49" s="95"/>
      <c r="AFS49" s="95"/>
      <c r="AFT49" s="95"/>
      <c r="AFU49" s="95"/>
      <c r="AFV49" s="95"/>
      <c r="AFW49" s="95"/>
      <c r="AFX49" s="95"/>
      <c r="AFY49" s="95"/>
      <c r="AFZ49" s="95"/>
      <c r="AGA49" s="95"/>
      <c r="AGB49" s="95"/>
      <c r="AGC49" s="95"/>
      <c r="AGD49" s="95"/>
      <c r="AGE49" s="95"/>
      <c r="AGF49" s="95"/>
      <c r="AGG49" s="95"/>
      <c r="AGH49" s="95"/>
      <c r="AGI49" s="95"/>
      <c r="AGJ49" s="95"/>
      <c r="AGK49" s="95"/>
      <c r="AGL49" s="95"/>
      <c r="AGM49" s="95"/>
      <c r="AGN49" s="95"/>
      <c r="AGO49" s="95"/>
      <c r="AGP49" s="95"/>
      <c r="AGQ49" s="95"/>
      <c r="AGR49" s="95"/>
      <c r="AGS49" s="95"/>
      <c r="AGT49" s="95"/>
      <c r="AGU49" s="95"/>
      <c r="AGV49" s="95"/>
      <c r="AGW49" s="95"/>
      <c r="AGX49" s="95"/>
      <c r="AGY49" s="95"/>
      <c r="AGZ49" s="95"/>
      <c r="AHA49" s="95"/>
      <c r="AHB49" s="95"/>
      <c r="AHC49" s="95"/>
      <c r="AHD49" s="95"/>
      <c r="AHE49" s="95"/>
      <c r="AHF49" s="95"/>
      <c r="AHG49" s="95"/>
      <c r="AHH49" s="95"/>
      <c r="AHI49" s="95"/>
      <c r="AHJ49" s="95"/>
      <c r="AHK49" s="95"/>
      <c r="AHL49" s="95"/>
      <c r="AHM49" s="95"/>
      <c r="AHN49" s="95"/>
      <c r="AHO49" s="95"/>
      <c r="AHP49" s="95"/>
      <c r="AHQ49" s="95"/>
      <c r="AHR49" s="95"/>
      <c r="AHS49" s="95"/>
      <c r="AHT49" s="95"/>
      <c r="AHU49" s="95"/>
      <c r="AHV49" s="95"/>
      <c r="AHW49" s="95"/>
      <c r="AHX49" s="95"/>
      <c r="AHY49" s="95"/>
      <c r="AHZ49" s="95"/>
      <c r="AIA49" s="95"/>
      <c r="AIB49" s="95"/>
      <c r="AIC49" s="95"/>
      <c r="AID49" s="95"/>
      <c r="AIE49" s="95"/>
      <c r="AIF49" s="95"/>
      <c r="AIG49" s="95"/>
      <c r="AIH49" s="95"/>
      <c r="AII49" s="95"/>
      <c r="AIJ49" s="95"/>
      <c r="AIK49" s="95"/>
      <c r="AIL49" s="95"/>
      <c r="AIM49" s="95"/>
      <c r="AIN49" s="95"/>
      <c r="AIO49" s="95"/>
      <c r="AIP49" s="95"/>
      <c r="AIQ49" s="95"/>
      <c r="AIR49" s="95"/>
      <c r="AIS49" s="95"/>
      <c r="AIT49" s="95"/>
      <c r="AIU49" s="95"/>
      <c r="AIV49" s="95"/>
      <c r="AIW49" s="95"/>
      <c r="AIX49" s="95"/>
      <c r="AIY49" s="95"/>
      <c r="AIZ49" s="95"/>
      <c r="AJA49" s="95"/>
      <c r="AJB49" s="95"/>
      <c r="AJC49" s="95"/>
      <c r="AJD49" s="95"/>
      <c r="AJE49" s="95"/>
      <c r="AJF49" s="95"/>
      <c r="AJG49" s="95"/>
      <c r="AJH49" s="95"/>
      <c r="AJI49" s="95"/>
      <c r="AJJ49" s="95"/>
      <c r="AJK49" s="95"/>
      <c r="AJL49" s="95"/>
      <c r="AJM49" s="95"/>
      <c r="AJN49" s="95"/>
      <c r="AJO49" s="95"/>
      <c r="AJP49" s="95"/>
      <c r="AJQ49" s="95"/>
      <c r="AJR49" s="95"/>
      <c r="AJS49" s="95"/>
      <c r="AJT49" s="95"/>
      <c r="AJU49" s="95"/>
      <c r="AJV49" s="95"/>
      <c r="AJW49" s="95"/>
      <c r="AJX49" s="95"/>
      <c r="AJY49" s="95"/>
      <c r="AJZ49" s="95"/>
      <c r="AKA49" s="95"/>
      <c r="AKB49" s="95"/>
      <c r="AKC49" s="95"/>
      <c r="AKD49" s="95"/>
      <c r="AKE49" s="95"/>
      <c r="AKF49" s="95"/>
      <c r="AKG49" s="95"/>
      <c r="AKH49" s="95"/>
      <c r="AKI49" s="95"/>
      <c r="AKJ49" s="95"/>
      <c r="AKK49" s="95"/>
      <c r="AKL49" s="95"/>
      <c r="AKM49" s="95"/>
      <c r="AKN49" s="95"/>
      <c r="AKO49" s="95"/>
      <c r="AKP49" s="95"/>
      <c r="AKQ49" s="95"/>
      <c r="AKR49" s="95"/>
      <c r="AKS49" s="95"/>
      <c r="AKT49" s="95"/>
      <c r="AKU49" s="95"/>
      <c r="AKV49" s="95"/>
      <c r="AKW49" s="95"/>
      <c r="AKX49" s="95"/>
      <c r="AKY49" s="95"/>
      <c r="AKZ49" s="95"/>
      <c r="ALA49" s="95"/>
      <c r="ALB49" s="95"/>
      <c r="ALC49" s="95"/>
      <c r="ALD49" s="95"/>
      <c r="ALE49" s="95"/>
      <c r="ALF49" s="95"/>
      <c r="ALG49" s="95"/>
      <c r="ALH49" s="95"/>
      <c r="ALI49" s="95"/>
      <c r="ALJ49" s="95"/>
      <c r="ALK49" s="95"/>
      <c r="ALL49" s="95"/>
      <c r="ALM49" s="95"/>
      <c r="ALN49" s="95"/>
      <c r="ALO49" s="95"/>
      <c r="ALP49" s="95"/>
      <c r="ALQ49" s="95"/>
      <c r="ALR49" s="95"/>
      <c r="ALS49" s="95"/>
      <c r="ALT49" s="95"/>
      <c r="ALU49" s="95"/>
      <c r="ALV49" s="95"/>
      <c r="ALW49" s="95"/>
      <c r="ALX49" s="95"/>
      <c r="ALY49" s="95"/>
      <c r="ALZ49" s="95"/>
      <c r="AMA49" s="95"/>
      <c r="AMB49" s="95"/>
      <c r="AMC49" s="95"/>
      <c r="AMD49" s="95"/>
      <c r="AME49" s="95"/>
      <c r="AMF49" s="95"/>
      <c r="AMG49" s="95"/>
      <c r="AMH49" s="95"/>
      <c r="AMI49" s="95"/>
      <c r="AMJ49" s="95"/>
      <c r="AMK49" s="95"/>
      <c r="AML49" s="95"/>
      <c r="AMM49" s="95"/>
      <c r="AMN49" s="95"/>
      <c r="AMO49" s="95"/>
      <c r="AMP49" s="95"/>
      <c r="AMQ49" s="95"/>
      <c r="AMR49" s="95"/>
      <c r="AMS49" s="95"/>
      <c r="AMT49" s="95"/>
      <c r="AMU49" s="95"/>
      <c r="AMV49" s="95"/>
      <c r="AMW49" s="95"/>
      <c r="AMX49" s="95"/>
      <c r="AMY49" s="95"/>
      <c r="AMZ49" s="95"/>
      <c r="ANA49" s="95"/>
      <c r="ANB49" s="95"/>
      <c r="ANC49" s="95"/>
      <c r="AND49" s="95"/>
      <c r="ANE49" s="95"/>
      <c r="ANF49" s="95"/>
      <c r="ANG49" s="95"/>
      <c r="ANH49" s="95"/>
      <c r="ANI49" s="95"/>
      <c r="ANJ49" s="95"/>
      <c r="ANK49" s="95"/>
      <c r="ANL49" s="95"/>
      <c r="ANM49" s="95"/>
      <c r="ANN49" s="95"/>
      <c r="ANO49" s="95"/>
      <c r="ANP49" s="95"/>
      <c r="ANQ49" s="95"/>
      <c r="ANR49" s="95"/>
      <c r="ANS49" s="95"/>
      <c r="ANT49" s="95"/>
      <c r="ANU49" s="95"/>
      <c r="ANV49" s="95"/>
      <c r="ANW49" s="95"/>
      <c r="ANX49" s="95"/>
      <c r="ANY49" s="95"/>
      <c r="ANZ49" s="95"/>
      <c r="AOA49" s="95"/>
      <c r="AOB49" s="95"/>
      <c r="AOC49" s="95"/>
      <c r="AOD49" s="95"/>
      <c r="AOE49" s="95"/>
      <c r="AOF49" s="95"/>
      <c r="AOG49" s="95"/>
      <c r="AOH49" s="95"/>
      <c r="AOI49" s="95"/>
      <c r="AOJ49" s="95"/>
      <c r="AOK49" s="95"/>
      <c r="AOL49" s="95"/>
      <c r="AOM49" s="95"/>
      <c r="AON49" s="95"/>
      <c r="AOO49" s="95"/>
      <c r="AOP49" s="95"/>
      <c r="AOQ49" s="95"/>
      <c r="AOR49" s="95"/>
      <c r="AOS49" s="95"/>
      <c r="AOT49" s="95"/>
      <c r="AOU49" s="95"/>
      <c r="AOV49" s="95"/>
      <c r="AOW49" s="95"/>
      <c r="AOX49" s="95"/>
      <c r="AOY49" s="95"/>
      <c r="AOZ49" s="95"/>
      <c r="APA49" s="95"/>
      <c r="APB49" s="95"/>
      <c r="APC49" s="95"/>
      <c r="APD49" s="95"/>
      <c r="APE49" s="95"/>
      <c r="APF49" s="95"/>
      <c r="APG49" s="95"/>
      <c r="APH49" s="95"/>
      <c r="API49" s="95"/>
      <c r="APJ49" s="95"/>
      <c r="APK49" s="95"/>
      <c r="APL49" s="95"/>
      <c r="APM49" s="95"/>
      <c r="APN49" s="95"/>
      <c r="APO49" s="95"/>
      <c r="APP49" s="95"/>
      <c r="APQ49" s="95"/>
      <c r="APR49" s="95"/>
      <c r="APS49" s="95"/>
      <c r="APT49" s="95"/>
      <c r="APU49" s="95"/>
      <c r="APV49" s="95"/>
      <c r="APW49" s="95"/>
      <c r="APX49" s="95"/>
      <c r="APY49" s="95"/>
      <c r="APZ49" s="95"/>
      <c r="AQA49" s="95"/>
      <c r="AQB49" s="95"/>
      <c r="AQC49" s="95"/>
      <c r="AQD49" s="95"/>
      <c r="AQE49" s="95"/>
      <c r="AQF49" s="95"/>
      <c r="AQG49" s="95"/>
      <c r="AQH49" s="95"/>
      <c r="AQI49" s="95"/>
      <c r="AQJ49" s="95"/>
      <c r="AQK49" s="95"/>
      <c r="AQL49" s="95"/>
      <c r="AQM49" s="95"/>
      <c r="AQN49" s="95"/>
      <c r="AQO49" s="95"/>
      <c r="AQP49" s="95"/>
      <c r="AQQ49" s="95"/>
      <c r="AQR49" s="95"/>
      <c r="AQS49" s="95"/>
      <c r="AQT49" s="95"/>
      <c r="AQU49" s="95"/>
      <c r="AQV49" s="95"/>
      <c r="AQW49" s="95"/>
      <c r="AQX49" s="95"/>
      <c r="AQY49" s="95"/>
      <c r="AQZ49" s="95"/>
      <c r="ARA49" s="95"/>
      <c r="ARB49" s="95"/>
      <c r="ARC49" s="95"/>
      <c r="ARD49" s="95"/>
      <c r="ARE49" s="95"/>
      <c r="ARF49" s="95"/>
      <c r="ARG49" s="95"/>
      <c r="ARH49" s="95"/>
      <c r="ARI49" s="95"/>
      <c r="ARJ49" s="95"/>
      <c r="ARK49" s="95"/>
      <c r="ARL49" s="95"/>
      <c r="ARM49" s="95"/>
      <c r="ARN49" s="95"/>
      <c r="ARO49" s="95"/>
      <c r="ARP49" s="95"/>
      <c r="ARQ49" s="95"/>
      <c r="ARR49" s="95"/>
      <c r="ARS49" s="95"/>
      <c r="ART49" s="95"/>
      <c r="ARU49" s="95"/>
      <c r="ARV49" s="95"/>
      <c r="ARW49" s="95"/>
      <c r="ARX49" s="95"/>
      <c r="ARY49" s="95"/>
      <c r="ARZ49" s="95"/>
      <c r="ASA49" s="95"/>
      <c r="ASB49" s="95"/>
      <c r="ASC49" s="95"/>
      <c r="ASD49" s="95"/>
      <c r="ASE49" s="95"/>
      <c r="ASF49" s="95"/>
      <c r="ASG49" s="95"/>
      <c r="ASH49" s="95"/>
      <c r="ASI49" s="95"/>
      <c r="ASJ49" s="95"/>
      <c r="ASK49" s="95"/>
      <c r="ASL49" s="95"/>
      <c r="ASM49" s="95"/>
      <c r="ASN49" s="95"/>
      <c r="ASO49" s="95"/>
      <c r="ASP49" s="95"/>
      <c r="ASQ49" s="95"/>
      <c r="ASR49" s="95"/>
      <c r="ASS49" s="95"/>
      <c r="AST49" s="95"/>
      <c r="ASU49" s="95"/>
      <c r="ASV49" s="95"/>
      <c r="ASW49" s="95"/>
      <c r="ASX49" s="95"/>
      <c r="ASY49" s="95"/>
      <c r="ASZ49" s="95"/>
      <c r="ATA49" s="95"/>
      <c r="ATB49" s="95"/>
      <c r="ATC49" s="95"/>
      <c r="ATD49" s="95"/>
      <c r="ATE49" s="95"/>
      <c r="ATF49" s="95"/>
      <c r="ATG49" s="95"/>
      <c r="ATH49" s="95"/>
      <c r="ATI49" s="95"/>
      <c r="ATJ49" s="95"/>
      <c r="ATK49" s="95"/>
      <c r="ATL49" s="95"/>
      <c r="ATM49" s="95"/>
      <c r="ATN49" s="95"/>
      <c r="ATO49" s="95"/>
      <c r="ATP49" s="95"/>
      <c r="ATQ49" s="95"/>
      <c r="ATR49" s="95"/>
      <c r="ATS49" s="95"/>
      <c r="ATT49" s="95"/>
      <c r="ATU49" s="95"/>
      <c r="ATV49" s="95"/>
      <c r="ATW49" s="95"/>
      <c r="ATX49" s="95"/>
      <c r="ATY49" s="95"/>
      <c r="ATZ49" s="95"/>
      <c r="AUA49" s="95"/>
      <c r="AUB49" s="95"/>
      <c r="AUC49" s="95"/>
      <c r="AUD49" s="95"/>
      <c r="AUE49" s="95"/>
      <c r="AUF49" s="95"/>
      <c r="AUG49" s="95"/>
      <c r="AUH49" s="95"/>
      <c r="AUI49" s="95"/>
      <c r="AUJ49" s="95"/>
      <c r="AUK49" s="95"/>
      <c r="AUL49" s="95"/>
      <c r="AUM49" s="95"/>
      <c r="AUN49" s="95"/>
      <c r="AUO49" s="95"/>
      <c r="AUP49" s="95"/>
      <c r="AUQ49" s="95"/>
      <c r="AUR49" s="95"/>
      <c r="AUS49" s="95"/>
      <c r="AUT49" s="95"/>
      <c r="AUU49" s="95"/>
      <c r="AUV49" s="95"/>
      <c r="AUW49" s="95"/>
      <c r="AUX49" s="95"/>
      <c r="AUY49" s="95"/>
      <c r="AUZ49" s="95"/>
      <c r="AVA49" s="95"/>
      <c r="AVB49" s="95"/>
      <c r="AVC49" s="95"/>
      <c r="AVD49" s="95"/>
      <c r="AVE49" s="95"/>
      <c r="AVF49" s="95"/>
      <c r="AVG49" s="95"/>
      <c r="AVH49" s="95"/>
      <c r="AVI49" s="95"/>
      <c r="AVJ49" s="95"/>
      <c r="AVK49" s="95"/>
      <c r="AVL49" s="95"/>
      <c r="AVM49" s="95"/>
      <c r="AVN49" s="95"/>
      <c r="AVO49" s="95"/>
      <c r="AVP49" s="95"/>
      <c r="AVQ49" s="95"/>
      <c r="AVR49" s="95"/>
      <c r="AVS49" s="95"/>
      <c r="AVT49" s="95"/>
      <c r="AVU49" s="95"/>
      <c r="AVV49" s="95"/>
      <c r="AVW49" s="95"/>
      <c r="AVX49" s="95"/>
      <c r="AVY49" s="95"/>
      <c r="AVZ49" s="95"/>
      <c r="AWA49" s="95"/>
      <c r="AWB49" s="95"/>
      <c r="AWC49" s="95"/>
      <c r="AWD49" s="95"/>
      <c r="AWE49" s="95"/>
      <c r="AWF49" s="95"/>
      <c r="AWG49" s="95"/>
      <c r="AWH49" s="95"/>
      <c r="AWI49" s="95"/>
      <c r="AWJ49" s="95"/>
      <c r="AWK49" s="95"/>
      <c r="AWL49" s="95"/>
      <c r="AWM49" s="95"/>
      <c r="AWN49" s="95"/>
      <c r="AWO49" s="95"/>
      <c r="AWP49" s="95"/>
      <c r="AWQ49" s="95"/>
      <c r="AWR49" s="95"/>
      <c r="AWS49" s="95"/>
      <c r="AWT49" s="95"/>
      <c r="AWU49" s="95"/>
      <c r="AWV49" s="95"/>
      <c r="AWW49" s="95"/>
      <c r="AWX49" s="95"/>
      <c r="AWY49" s="95"/>
      <c r="AWZ49" s="95"/>
      <c r="AXA49" s="95"/>
      <c r="AXB49" s="95"/>
      <c r="AXC49" s="95"/>
      <c r="AXD49" s="95"/>
      <c r="AXE49" s="95"/>
      <c r="AXF49" s="95"/>
      <c r="AXG49" s="95"/>
      <c r="AXH49" s="95"/>
      <c r="AXI49" s="95"/>
      <c r="AXJ49" s="95"/>
      <c r="AXK49" s="95"/>
      <c r="AXL49" s="95"/>
      <c r="AXM49" s="95"/>
      <c r="AXN49" s="95"/>
      <c r="AXO49" s="95"/>
      <c r="AXP49" s="95"/>
      <c r="AXQ49" s="95"/>
      <c r="AXR49" s="95"/>
      <c r="AXS49" s="95"/>
      <c r="AXT49" s="95"/>
      <c r="AXU49" s="95"/>
      <c r="AXV49" s="95"/>
      <c r="AXW49" s="95"/>
      <c r="AXX49" s="95"/>
      <c r="AXY49" s="95"/>
      <c r="AXZ49" s="95"/>
      <c r="AYA49" s="95"/>
      <c r="AYB49" s="95"/>
      <c r="AYC49" s="95"/>
      <c r="AYD49" s="95"/>
      <c r="AYE49" s="95"/>
      <c r="AYF49" s="95"/>
      <c r="AYG49" s="95"/>
      <c r="AYH49" s="95"/>
      <c r="AYI49" s="95"/>
      <c r="AYJ49" s="95"/>
      <c r="AYK49" s="95"/>
      <c r="AYL49" s="95"/>
      <c r="AYM49" s="95"/>
      <c r="AYN49" s="95"/>
      <c r="AYO49" s="95"/>
      <c r="AYP49" s="95"/>
      <c r="AYQ49" s="95"/>
      <c r="AYR49" s="95"/>
      <c r="AYS49" s="95"/>
      <c r="AYT49" s="95"/>
      <c r="AYU49" s="95"/>
      <c r="AYV49" s="95"/>
      <c r="AYW49" s="95"/>
      <c r="AYX49" s="95"/>
      <c r="AYY49" s="95"/>
      <c r="AYZ49" s="95"/>
      <c r="AZA49" s="95"/>
      <c r="AZB49" s="95"/>
      <c r="AZC49" s="95"/>
      <c r="AZD49" s="95"/>
      <c r="AZE49" s="95"/>
      <c r="AZF49" s="95"/>
      <c r="AZG49" s="95"/>
      <c r="AZH49" s="95"/>
      <c r="AZI49" s="95"/>
      <c r="AZJ49" s="95"/>
      <c r="AZK49" s="95"/>
      <c r="AZL49" s="95"/>
      <c r="AZM49" s="95"/>
      <c r="AZN49" s="95"/>
      <c r="AZO49" s="95"/>
      <c r="AZP49" s="95"/>
      <c r="AZQ49" s="95"/>
      <c r="AZR49" s="95"/>
      <c r="AZS49" s="95"/>
      <c r="AZT49" s="95"/>
      <c r="AZU49" s="95"/>
      <c r="AZV49" s="95"/>
      <c r="AZW49" s="95"/>
      <c r="AZX49" s="95"/>
      <c r="AZY49" s="95"/>
      <c r="AZZ49" s="95"/>
      <c r="BAA49" s="95"/>
      <c r="BAB49" s="95"/>
      <c r="BAC49" s="95"/>
      <c r="BAD49" s="95"/>
      <c r="BAE49" s="95"/>
      <c r="BAF49" s="95"/>
      <c r="BAG49" s="95"/>
      <c r="BAH49" s="95"/>
      <c r="BAI49" s="95"/>
      <c r="BAJ49" s="95"/>
      <c r="BAK49" s="95"/>
      <c r="BAL49" s="95"/>
      <c r="BAM49" s="95"/>
      <c r="BAN49" s="95"/>
      <c r="BAO49" s="95"/>
      <c r="BAP49" s="95"/>
      <c r="BAQ49" s="95"/>
      <c r="BAR49" s="95"/>
      <c r="BAS49" s="95"/>
      <c r="BAT49" s="95"/>
      <c r="BAU49" s="95"/>
      <c r="BAV49" s="95"/>
      <c r="BAW49" s="95"/>
      <c r="BAX49" s="95"/>
      <c r="BAY49" s="95"/>
      <c r="BAZ49" s="95"/>
      <c r="BBA49" s="95"/>
      <c r="BBB49" s="95"/>
      <c r="BBC49" s="95"/>
      <c r="BBD49" s="95"/>
      <c r="BBE49" s="95"/>
      <c r="BBF49" s="95"/>
      <c r="BBG49" s="95"/>
      <c r="BBH49" s="95"/>
      <c r="BBI49" s="95"/>
      <c r="BBJ49" s="95"/>
      <c r="BBK49" s="95"/>
      <c r="BBL49" s="95"/>
      <c r="BBM49" s="95"/>
      <c r="BBN49" s="95"/>
      <c r="BBO49" s="95"/>
      <c r="BBP49" s="95"/>
      <c r="BBQ49" s="95"/>
      <c r="BBR49" s="95"/>
      <c r="BBS49" s="95"/>
      <c r="BBT49" s="95"/>
      <c r="BBU49" s="95"/>
      <c r="BBV49" s="95"/>
      <c r="BBW49" s="95"/>
      <c r="BBX49" s="95"/>
      <c r="BBY49" s="95"/>
      <c r="BBZ49" s="95"/>
      <c r="BCA49" s="95"/>
      <c r="BCB49" s="95"/>
      <c r="BCC49" s="95"/>
      <c r="BCD49" s="95"/>
      <c r="BCE49" s="95"/>
      <c r="BCF49" s="95"/>
      <c r="BCG49" s="95"/>
      <c r="BCH49" s="95"/>
      <c r="BCI49" s="95"/>
      <c r="BCJ49" s="95"/>
      <c r="BCK49" s="95"/>
      <c r="BCL49" s="95"/>
      <c r="BCM49" s="95"/>
      <c r="BCN49" s="95"/>
      <c r="BCO49" s="95"/>
      <c r="BCP49" s="95"/>
      <c r="BCQ49" s="95"/>
      <c r="BCR49" s="95"/>
      <c r="BCS49" s="95"/>
      <c r="BCT49" s="95"/>
      <c r="BCU49" s="95"/>
      <c r="BCV49" s="95"/>
      <c r="BCW49" s="95"/>
      <c r="BCX49" s="95"/>
      <c r="BCY49" s="95"/>
      <c r="BCZ49" s="95"/>
      <c r="BDA49" s="95"/>
      <c r="BDB49" s="95"/>
      <c r="BDC49" s="95"/>
      <c r="BDD49" s="95"/>
      <c r="BDE49" s="95"/>
      <c r="BDF49" s="95"/>
      <c r="BDG49" s="95"/>
      <c r="BDH49" s="95"/>
      <c r="BDI49" s="95"/>
      <c r="BDJ49" s="95"/>
      <c r="BDK49" s="95"/>
      <c r="BDL49" s="95"/>
      <c r="BDM49" s="95"/>
      <c r="BDN49" s="95"/>
      <c r="BDO49" s="95"/>
      <c r="BDP49" s="95"/>
      <c r="BDQ49" s="95"/>
      <c r="BDR49" s="95"/>
      <c r="BDS49" s="95"/>
      <c r="BDT49" s="95"/>
      <c r="BDU49" s="95"/>
      <c r="BDV49" s="95"/>
      <c r="BDW49" s="95"/>
      <c r="BDX49" s="95"/>
      <c r="BDY49" s="95"/>
      <c r="BDZ49" s="95"/>
      <c r="BEA49" s="95"/>
      <c r="BEB49" s="95"/>
      <c r="BEC49" s="95"/>
      <c r="BED49" s="95"/>
      <c r="BEE49" s="95"/>
      <c r="BEF49" s="95"/>
      <c r="BEG49" s="95"/>
      <c r="BEH49" s="95"/>
      <c r="BEI49" s="95"/>
      <c r="BEJ49" s="95"/>
      <c r="BEK49" s="95"/>
      <c r="BEL49" s="95"/>
      <c r="BEM49" s="95"/>
      <c r="BEN49" s="95"/>
      <c r="BEO49" s="95"/>
      <c r="BEP49" s="95"/>
      <c r="BEQ49" s="95"/>
      <c r="BER49" s="95"/>
      <c r="BES49" s="95"/>
      <c r="BET49" s="95"/>
      <c r="BEU49" s="95"/>
      <c r="BEV49" s="95"/>
      <c r="BEW49" s="95"/>
      <c r="BEX49" s="95"/>
      <c r="BEY49" s="95"/>
      <c r="BEZ49" s="95"/>
      <c r="BFA49" s="95"/>
      <c r="BFB49" s="95"/>
      <c r="BFC49" s="95"/>
      <c r="BFD49" s="95"/>
      <c r="BFE49" s="95"/>
      <c r="BFF49" s="95"/>
      <c r="BFG49" s="95"/>
      <c r="BFH49" s="95"/>
      <c r="BFI49" s="95"/>
      <c r="BFJ49" s="95"/>
      <c r="BFK49" s="95"/>
      <c r="BFL49" s="95"/>
      <c r="BFM49" s="95"/>
      <c r="BFN49" s="95"/>
      <c r="BFO49" s="95"/>
      <c r="BFP49" s="95"/>
      <c r="BFQ49" s="95"/>
      <c r="BFR49" s="95"/>
      <c r="BFS49" s="95"/>
      <c r="BFT49" s="95"/>
      <c r="BFU49" s="95"/>
      <c r="BFV49" s="95"/>
      <c r="BFW49" s="95"/>
      <c r="BFX49" s="95"/>
      <c r="BFY49" s="95"/>
      <c r="BFZ49" s="95"/>
      <c r="BGA49" s="95"/>
      <c r="BGB49" s="95"/>
      <c r="BGC49" s="95"/>
      <c r="BGD49" s="95"/>
      <c r="BGE49" s="95"/>
      <c r="BGF49" s="95"/>
      <c r="BGG49" s="95"/>
      <c r="BGH49" s="95"/>
      <c r="BGI49" s="95"/>
      <c r="BGJ49" s="95"/>
      <c r="BGK49" s="95"/>
      <c r="BGL49" s="95"/>
      <c r="BGM49" s="95"/>
      <c r="BGN49" s="95"/>
      <c r="BGO49" s="95"/>
      <c r="BGP49" s="95"/>
      <c r="BGQ49" s="95"/>
      <c r="BGR49" s="95"/>
      <c r="BGS49" s="95"/>
      <c r="BGT49" s="95"/>
      <c r="BGU49" s="95"/>
      <c r="BGV49" s="95"/>
      <c r="BGW49" s="95"/>
      <c r="BGX49" s="95"/>
      <c r="BGY49" s="95"/>
      <c r="BGZ49" s="95"/>
      <c r="BHA49" s="95"/>
      <c r="BHB49" s="95"/>
      <c r="BHC49" s="95"/>
      <c r="BHD49" s="95"/>
      <c r="BHE49" s="95"/>
      <c r="BHF49" s="95"/>
      <c r="BHG49" s="95"/>
      <c r="BHH49" s="95"/>
      <c r="BHI49" s="95"/>
      <c r="BHJ49" s="95"/>
      <c r="BHK49" s="95"/>
      <c r="BHL49" s="95"/>
      <c r="BHM49" s="95"/>
      <c r="BHN49" s="95"/>
      <c r="BHO49" s="95"/>
      <c r="BHP49" s="95"/>
      <c r="BHQ49" s="95"/>
      <c r="BHR49" s="95"/>
      <c r="BHS49" s="95"/>
      <c r="BHT49" s="95"/>
      <c r="BHU49" s="95"/>
      <c r="BHV49" s="95"/>
      <c r="BHW49" s="95"/>
      <c r="BHX49" s="95"/>
      <c r="BHY49" s="95"/>
      <c r="BHZ49" s="95"/>
      <c r="BIA49" s="95"/>
      <c r="BIB49" s="95"/>
      <c r="BIC49" s="95"/>
      <c r="BID49" s="95"/>
      <c r="BIE49" s="95"/>
      <c r="BIF49" s="95"/>
      <c r="BIG49" s="95"/>
      <c r="BIH49" s="95"/>
      <c r="BII49" s="95"/>
      <c r="BIJ49" s="95"/>
      <c r="BIK49" s="95"/>
      <c r="BIL49" s="95"/>
      <c r="BIM49" s="95"/>
      <c r="BIN49" s="95"/>
      <c r="BIO49" s="95"/>
      <c r="BIP49" s="95"/>
      <c r="BIQ49" s="95"/>
      <c r="BIR49" s="95"/>
      <c r="BIS49" s="95"/>
      <c r="BIT49" s="95"/>
      <c r="BIU49" s="95"/>
      <c r="BIV49" s="95"/>
      <c r="BIW49" s="95"/>
      <c r="BIX49" s="95"/>
      <c r="BIY49" s="95"/>
      <c r="BIZ49" s="95"/>
      <c r="BJA49" s="95"/>
      <c r="BJB49" s="95"/>
      <c r="BJC49" s="95"/>
      <c r="BJD49" s="95"/>
      <c r="BJE49" s="95"/>
      <c r="BJF49" s="95"/>
      <c r="BJG49" s="95"/>
      <c r="BJH49" s="95"/>
      <c r="BJI49" s="95"/>
      <c r="BJJ49" s="95"/>
      <c r="BJK49" s="95"/>
      <c r="BJL49" s="95"/>
      <c r="BJM49" s="95"/>
      <c r="BJN49" s="95"/>
      <c r="BJO49" s="95"/>
      <c r="BJP49" s="95"/>
      <c r="BJQ49" s="95"/>
      <c r="BJR49" s="95"/>
      <c r="BJS49" s="95"/>
      <c r="BJT49" s="95"/>
      <c r="BJU49" s="95"/>
      <c r="BJV49" s="95"/>
      <c r="BJW49" s="95"/>
      <c r="BJX49" s="95"/>
      <c r="BJY49" s="95"/>
      <c r="BJZ49" s="95"/>
      <c r="BKA49" s="95"/>
      <c r="BKB49" s="95"/>
      <c r="BKC49" s="95"/>
      <c r="BKD49" s="95"/>
      <c r="BKE49" s="95"/>
      <c r="BKF49" s="95"/>
      <c r="BKG49" s="95"/>
      <c r="BKH49" s="95"/>
      <c r="BKI49" s="95"/>
      <c r="BKJ49" s="95"/>
      <c r="BKK49" s="95"/>
      <c r="BKL49" s="95"/>
      <c r="BKM49" s="95"/>
      <c r="BKN49" s="95"/>
      <c r="BKO49" s="95"/>
      <c r="BKP49" s="95"/>
      <c r="BKQ49" s="95"/>
      <c r="BKR49" s="95"/>
      <c r="BKS49" s="95"/>
      <c r="BKT49" s="95"/>
      <c r="BKU49" s="95"/>
      <c r="BKV49" s="95"/>
      <c r="BKW49" s="95"/>
      <c r="BKX49" s="95"/>
      <c r="BKY49" s="95"/>
      <c r="BKZ49" s="95"/>
      <c r="BLA49" s="95"/>
      <c r="BLB49" s="95"/>
      <c r="BLC49" s="95"/>
      <c r="BLD49" s="95"/>
      <c r="BLE49" s="95"/>
      <c r="BLF49" s="95"/>
      <c r="BLG49" s="95"/>
      <c r="BLH49" s="95"/>
      <c r="BLI49" s="95"/>
      <c r="BLJ49" s="95"/>
      <c r="BLK49" s="95"/>
      <c r="BLL49" s="95"/>
      <c r="BLM49" s="95"/>
      <c r="BLN49" s="95"/>
      <c r="BLO49" s="95"/>
      <c r="BLP49" s="95"/>
      <c r="BLQ49" s="95"/>
      <c r="BLR49" s="95"/>
      <c r="BLS49" s="95"/>
      <c r="BLT49" s="95"/>
      <c r="BLU49" s="95"/>
      <c r="BLV49" s="95"/>
      <c r="BLW49" s="95"/>
      <c r="BLX49" s="95"/>
      <c r="BLY49" s="95"/>
      <c r="BLZ49" s="95"/>
      <c r="BMA49" s="95"/>
      <c r="BMB49" s="95"/>
      <c r="BMC49" s="95"/>
      <c r="BMD49" s="95"/>
      <c r="BME49" s="95"/>
      <c r="BMF49" s="95"/>
      <c r="BMG49" s="95"/>
      <c r="BMH49" s="95"/>
      <c r="BMI49" s="95"/>
      <c r="BMJ49" s="95"/>
      <c r="BMK49" s="95"/>
      <c r="BML49" s="95"/>
      <c r="BMM49" s="95"/>
      <c r="BMN49" s="95"/>
      <c r="BMO49" s="95"/>
      <c r="BMP49" s="95"/>
      <c r="BMQ49" s="95"/>
      <c r="BMR49" s="95"/>
      <c r="BMS49" s="95"/>
      <c r="BMT49" s="95"/>
      <c r="BMU49" s="95"/>
      <c r="BMV49" s="95"/>
      <c r="BMW49" s="95"/>
      <c r="BMX49" s="95"/>
      <c r="BMY49" s="95"/>
      <c r="BMZ49" s="95"/>
      <c r="BNA49" s="95"/>
      <c r="BNB49" s="95"/>
      <c r="BNC49" s="95"/>
      <c r="BND49" s="95"/>
      <c r="BNE49" s="95"/>
      <c r="BNF49" s="95"/>
      <c r="BNG49" s="95"/>
      <c r="BNH49" s="95"/>
      <c r="BNI49" s="95"/>
      <c r="BNJ49" s="95"/>
      <c r="BNK49" s="95"/>
      <c r="BNL49" s="95"/>
      <c r="BNM49" s="95"/>
      <c r="BNN49" s="95"/>
      <c r="BNO49" s="95"/>
      <c r="BNP49" s="95"/>
      <c r="BNQ49" s="95"/>
      <c r="BNR49" s="95"/>
      <c r="BNS49" s="95"/>
      <c r="BNT49" s="95"/>
      <c r="BNU49" s="95"/>
      <c r="BNV49" s="95"/>
      <c r="BNW49" s="95"/>
      <c r="BNX49" s="95"/>
      <c r="BNY49" s="95"/>
      <c r="BNZ49" s="95"/>
      <c r="BOA49" s="95"/>
      <c r="BOB49" s="95"/>
      <c r="BOC49" s="95"/>
      <c r="BOD49" s="95"/>
      <c r="BOE49" s="95"/>
      <c r="BOF49" s="95"/>
      <c r="BOG49" s="95"/>
      <c r="BOH49" s="95"/>
      <c r="BOI49" s="95"/>
      <c r="BOJ49" s="95"/>
      <c r="BOK49" s="95"/>
      <c r="BOL49" s="95"/>
      <c r="BOM49" s="95"/>
      <c r="BON49" s="95"/>
      <c r="BOO49" s="95"/>
      <c r="BOP49" s="95"/>
      <c r="BOQ49" s="95"/>
      <c r="BOR49" s="95"/>
      <c r="BOS49" s="95"/>
      <c r="BOT49" s="95"/>
      <c r="BOU49" s="95"/>
      <c r="BOV49" s="95"/>
      <c r="BOW49" s="95"/>
      <c r="BOX49" s="95"/>
      <c r="BOY49" s="95"/>
      <c r="BOZ49" s="95"/>
      <c r="BPA49" s="95"/>
      <c r="BPB49" s="95"/>
      <c r="BPC49" s="95"/>
      <c r="BPD49" s="95"/>
      <c r="BPE49" s="95"/>
      <c r="BPF49" s="95"/>
      <c r="BPG49" s="95"/>
      <c r="BPH49" s="95"/>
      <c r="BPI49" s="95"/>
      <c r="BPJ49" s="95"/>
      <c r="BPK49" s="95"/>
      <c r="BPL49" s="95"/>
      <c r="BPM49" s="95"/>
      <c r="BPN49" s="95"/>
      <c r="BPO49" s="95"/>
      <c r="BPP49" s="95"/>
      <c r="BPQ49" s="95"/>
      <c r="BPR49" s="95"/>
      <c r="BPS49" s="95"/>
      <c r="BPT49" s="95"/>
      <c r="BPU49" s="95"/>
      <c r="BPV49" s="95"/>
      <c r="BPW49" s="95"/>
      <c r="BPX49" s="95"/>
      <c r="BPY49" s="95"/>
      <c r="BPZ49" s="95"/>
      <c r="BQA49" s="95"/>
      <c r="BQB49" s="95"/>
      <c r="BQC49" s="95"/>
      <c r="BQD49" s="95"/>
      <c r="BQE49" s="95"/>
      <c r="BQF49" s="95"/>
      <c r="BQG49" s="95"/>
      <c r="BQH49" s="95"/>
      <c r="BQI49" s="95"/>
      <c r="BQJ49" s="95"/>
      <c r="BQK49" s="95"/>
      <c r="BQL49" s="95"/>
      <c r="BQM49" s="95"/>
      <c r="BQN49" s="95"/>
      <c r="BQO49" s="95"/>
      <c r="BQP49" s="95"/>
      <c r="BQQ49" s="95"/>
      <c r="BQR49" s="95"/>
      <c r="BQS49" s="95"/>
      <c r="BQT49" s="95"/>
      <c r="BQU49" s="95"/>
      <c r="BQV49" s="95"/>
      <c r="BQW49" s="95"/>
      <c r="BQX49" s="95"/>
      <c r="BQY49" s="95"/>
      <c r="BQZ49" s="95"/>
      <c r="BRA49" s="95"/>
      <c r="BRB49" s="95"/>
      <c r="BRC49" s="95"/>
      <c r="BRD49" s="95"/>
      <c r="BRE49" s="95"/>
      <c r="BRF49" s="95"/>
      <c r="BRG49" s="95"/>
      <c r="BRH49" s="95"/>
      <c r="BRI49" s="95"/>
      <c r="BRJ49" s="95"/>
      <c r="BRK49" s="95"/>
      <c r="BRL49" s="95"/>
      <c r="BRM49" s="95"/>
      <c r="BRN49" s="95"/>
      <c r="BRO49" s="95"/>
      <c r="BRP49" s="95"/>
      <c r="BRQ49" s="95"/>
      <c r="BRR49" s="95"/>
      <c r="BRS49" s="95"/>
      <c r="BRT49" s="95"/>
      <c r="BRU49" s="95"/>
      <c r="BRV49" s="95"/>
      <c r="BRW49" s="95"/>
      <c r="BRX49" s="95"/>
      <c r="BRY49" s="95"/>
      <c r="BRZ49" s="95"/>
      <c r="BSA49" s="95"/>
      <c r="BSB49" s="95"/>
      <c r="BSC49" s="95"/>
      <c r="BSD49" s="95"/>
      <c r="BSE49" s="95"/>
      <c r="BSF49" s="95"/>
      <c r="BSG49" s="95"/>
      <c r="BSH49" s="95"/>
      <c r="BSI49" s="95"/>
      <c r="BSJ49" s="95"/>
      <c r="BSK49" s="95"/>
      <c r="BSL49" s="95"/>
      <c r="BSM49" s="95"/>
      <c r="BSN49" s="95"/>
      <c r="BSO49" s="95"/>
      <c r="BSP49" s="95"/>
      <c r="BSQ49" s="95"/>
      <c r="BSR49" s="95"/>
      <c r="BSS49" s="95"/>
      <c r="BST49" s="95"/>
      <c r="BSU49" s="95"/>
      <c r="BSV49" s="95"/>
      <c r="BSW49" s="95"/>
      <c r="BSX49" s="95"/>
      <c r="BSY49" s="95"/>
      <c r="BSZ49" s="95"/>
      <c r="BTA49" s="95"/>
      <c r="BTB49" s="95"/>
      <c r="BTC49" s="95"/>
      <c r="BTD49" s="95"/>
      <c r="BTE49" s="95"/>
      <c r="BTF49" s="95"/>
      <c r="BTG49" s="95"/>
      <c r="BTH49" s="95"/>
      <c r="BTI49" s="95"/>
      <c r="BTJ49" s="95"/>
      <c r="BTK49" s="95"/>
      <c r="BTL49" s="95"/>
      <c r="BTM49" s="95"/>
      <c r="BTN49" s="95"/>
      <c r="BTO49" s="95"/>
      <c r="BTP49" s="95"/>
      <c r="BTQ49" s="95"/>
      <c r="BTR49" s="95"/>
      <c r="BTS49" s="95"/>
      <c r="BTT49" s="95"/>
      <c r="BTU49" s="95"/>
      <c r="BTV49" s="95"/>
      <c r="BTW49" s="95"/>
      <c r="BTX49" s="95"/>
      <c r="BTY49" s="95"/>
      <c r="BTZ49" s="95"/>
      <c r="BUA49" s="95"/>
      <c r="BUB49" s="95"/>
      <c r="BUC49" s="95"/>
      <c r="BUD49" s="95"/>
      <c r="BUE49" s="95"/>
      <c r="BUF49" s="95"/>
      <c r="BUG49" s="95"/>
      <c r="BUH49" s="95"/>
      <c r="BUI49" s="95"/>
      <c r="BUJ49" s="95"/>
      <c r="BUK49" s="95"/>
      <c r="BUL49" s="95"/>
      <c r="BUM49" s="95"/>
      <c r="BUN49" s="95"/>
      <c r="BUO49" s="95"/>
      <c r="BUP49" s="95"/>
      <c r="BUQ49" s="95"/>
      <c r="BUR49" s="95"/>
      <c r="BUS49" s="95"/>
      <c r="BUT49" s="95"/>
      <c r="BUU49" s="95"/>
      <c r="BUV49" s="95"/>
      <c r="BUW49" s="95"/>
      <c r="BUX49" s="95"/>
      <c r="BUY49" s="95"/>
      <c r="BUZ49" s="95"/>
      <c r="BVA49" s="95"/>
      <c r="BVB49" s="95"/>
      <c r="BVC49" s="95"/>
      <c r="BVD49" s="95"/>
      <c r="BVE49" s="95"/>
      <c r="BVF49" s="95"/>
      <c r="BVG49" s="95"/>
      <c r="BVH49" s="95"/>
      <c r="BVI49" s="95"/>
      <c r="BVJ49" s="95"/>
      <c r="BVK49" s="95"/>
      <c r="BVL49" s="95"/>
      <c r="BVM49" s="95"/>
      <c r="BVN49" s="95"/>
      <c r="BVO49" s="95"/>
      <c r="BVP49" s="95"/>
      <c r="BVQ49" s="95"/>
      <c r="BVR49" s="95"/>
      <c r="BVS49" s="95"/>
      <c r="BVT49" s="95"/>
      <c r="BVU49" s="95"/>
      <c r="BVV49" s="95"/>
      <c r="BVW49" s="95"/>
      <c r="BVX49" s="95"/>
      <c r="BVY49" s="95"/>
      <c r="BVZ49" s="95"/>
      <c r="BWA49" s="95"/>
      <c r="BWB49" s="95"/>
      <c r="BWC49" s="95"/>
      <c r="BWD49" s="95"/>
      <c r="BWE49" s="95"/>
      <c r="BWF49" s="95"/>
      <c r="BWG49" s="95"/>
      <c r="BWH49" s="95"/>
      <c r="BWI49" s="95"/>
      <c r="BWJ49" s="95"/>
      <c r="BWK49" s="95"/>
      <c r="BWL49" s="95"/>
      <c r="BWM49" s="95"/>
      <c r="BWN49" s="95"/>
      <c r="BWO49" s="95"/>
      <c r="BWP49" s="95"/>
      <c r="BWQ49" s="95"/>
      <c r="BWR49" s="95"/>
      <c r="BWS49" s="95"/>
      <c r="BWT49" s="95"/>
      <c r="BWU49" s="95"/>
      <c r="BWV49" s="95"/>
      <c r="BWW49" s="95"/>
      <c r="BWX49" s="95"/>
      <c r="BWY49" s="95"/>
      <c r="BWZ49" s="95"/>
      <c r="BXA49" s="95"/>
      <c r="BXB49" s="95"/>
      <c r="BXC49" s="95"/>
      <c r="BXD49" s="95"/>
      <c r="BXE49" s="95"/>
      <c r="BXF49" s="95"/>
      <c r="BXG49" s="95"/>
      <c r="BXH49" s="95"/>
      <c r="BXI49" s="95"/>
      <c r="BXJ49" s="95"/>
      <c r="BXK49" s="95"/>
      <c r="BXL49" s="95"/>
      <c r="BXM49" s="95"/>
      <c r="BXN49" s="95"/>
      <c r="BXO49" s="95"/>
      <c r="BXP49" s="95"/>
      <c r="BXQ49" s="95"/>
      <c r="BXR49" s="95"/>
      <c r="BXS49" s="95"/>
      <c r="BXT49" s="95"/>
      <c r="BXU49" s="95"/>
      <c r="BXV49" s="95"/>
      <c r="BXW49" s="95"/>
      <c r="BXX49" s="95"/>
      <c r="BXY49" s="95"/>
      <c r="BXZ49" s="95"/>
      <c r="BYA49" s="95"/>
      <c r="BYB49" s="95"/>
      <c r="BYC49" s="95"/>
      <c r="BYD49" s="95"/>
      <c r="BYE49" s="95"/>
      <c r="BYF49" s="95"/>
      <c r="BYG49" s="95"/>
    </row>
    <row r="50" spans="1:2009" s="121" customFormat="1" ht="24.95" customHeight="1" x14ac:dyDescent="0.25">
      <c r="A50" s="379" t="s">
        <v>197</v>
      </c>
      <c r="B50" s="380"/>
      <c r="C50" s="381"/>
      <c r="D50" s="396"/>
      <c r="E50" s="396"/>
      <c r="F50" s="396"/>
      <c r="G50" s="382"/>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c r="AML50" s="95"/>
      <c r="AMM50" s="95"/>
      <c r="AMN50" s="95"/>
      <c r="AMO50" s="95"/>
      <c r="AMP50" s="95"/>
      <c r="AMQ50" s="95"/>
      <c r="AMR50" s="95"/>
      <c r="AMS50" s="95"/>
      <c r="AMT50" s="95"/>
      <c r="AMU50" s="95"/>
      <c r="AMV50" s="95"/>
      <c r="AMW50" s="95"/>
      <c r="AMX50" s="95"/>
      <c r="AMY50" s="95"/>
      <c r="AMZ50" s="95"/>
      <c r="ANA50" s="95"/>
      <c r="ANB50" s="95"/>
      <c r="ANC50" s="95"/>
      <c r="AND50" s="95"/>
      <c r="ANE50" s="95"/>
      <c r="ANF50" s="95"/>
      <c r="ANG50" s="95"/>
      <c r="ANH50" s="95"/>
      <c r="ANI50" s="95"/>
      <c r="ANJ50" s="95"/>
      <c r="ANK50" s="95"/>
      <c r="ANL50" s="95"/>
      <c r="ANM50" s="95"/>
      <c r="ANN50" s="95"/>
      <c r="ANO50" s="95"/>
      <c r="ANP50" s="95"/>
      <c r="ANQ50" s="95"/>
      <c r="ANR50" s="95"/>
      <c r="ANS50" s="95"/>
      <c r="ANT50" s="95"/>
      <c r="ANU50" s="95"/>
      <c r="ANV50" s="95"/>
      <c r="ANW50" s="95"/>
      <c r="ANX50" s="95"/>
      <c r="ANY50" s="95"/>
      <c r="ANZ50" s="95"/>
      <c r="AOA50" s="95"/>
      <c r="AOB50" s="95"/>
      <c r="AOC50" s="95"/>
      <c r="AOD50" s="95"/>
      <c r="AOE50" s="95"/>
      <c r="AOF50" s="95"/>
      <c r="AOG50" s="95"/>
      <c r="AOH50" s="95"/>
      <c r="AOI50" s="95"/>
      <c r="AOJ50" s="95"/>
      <c r="AOK50" s="95"/>
      <c r="AOL50" s="95"/>
      <c r="AOM50" s="95"/>
      <c r="AON50" s="95"/>
      <c r="AOO50" s="95"/>
      <c r="AOP50" s="95"/>
      <c r="AOQ50" s="95"/>
      <c r="AOR50" s="95"/>
      <c r="AOS50" s="95"/>
      <c r="AOT50" s="95"/>
      <c r="AOU50" s="95"/>
      <c r="AOV50" s="95"/>
      <c r="AOW50" s="95"/>
      <c r="AOX50" s="95"/>
      <c r="AOY50" s="95"/>
      <c r="AOZ50" s="95"/>
      <c r="APA50" s="95"/>
      <c r="APB50" s="95"/>
      <c r="APC50" s="95"/>
      <c r="APD50" s="95"/>
      <c r="APE50" s="95"/>
      <c r="APF50" s="95"/>
      <c r="APG50" s="95"/>
      <c r="APH50" s="95"/>
      <c r="API50" s="95"/>
      <c r="APJ50" s="95"/>
      <c r="APK50" s="95"/>
      <c r="APL50" s="95"/>
      <c r="APM50" s="95"/>
      <c r="APN50" s="95"/>
      <c r="APO50" s="95"/>
      <c r="APP50" s="95"/>
      <c r="APQ50" s="95"/>
      <c r="APR50" s="95"/>
      <c r="APS50" s="95"/>
      <c r="APT50" s="95"/>
      <c r="APU50" s="95"/>
      <c r="APV50" s="95"/>
      <c r="APW50" s="95"/>
      <c r="APX50" s="95"/>
      <c r="APY50" s="95"/>
      <c r="APZ50" s="95"/>
      <c r="AQA50" s="95"/>
      <c r="AQB50" s="95"/>
      <c r="AQC50" s="95"/>
      <c r="AQD50" s="95"/>
      <c r="AQE50" s="95"/>
      <c r="AQF50" s="95"/>
      <c r="AQG50" s="95"/>
      <c r="AQH50" s="95"/>
      <c r="AQI50" s="95"/>
      <c r="AQJ50" s="95"/>
      <c r="AQK50" s="95"/>
      <c r="AQL50" s="95"/>
      <c r="AQM50" s="95"/>
      <c r="AQN50" s="95"/>
      <c r="AQO50" s="95"/>
      <c r="AQP50" s="95"/>
      <c r="AQQ50" s="95"/>
      <c r="AQR50" s="95"/>
      <c r="AQS50" s="95"/>
      <c r="AQT50" s="95"/>
      <c r="AQU50" s="95"/>
      <c r="AQV50" s="95"/>
      <c r="AQW50" s="95"/>
      <c r="AQX50" s="95"/>
      <c r="AQY50" s="95"/>
      <c r="AQZ50" s="95"/>
      <c r="ARA50" s="95"/>
      <c r="ARB50" s="95"/>
      <c r="ARC50" s="95"/>
      <c r="ARD50" s="95"/>
      <c r="ARE50" s="95"/>
      <c r="ARF50" s="95"/>
      <c r="ARG50" s="95"/>
      <c r="ARH50" s="95"/>
      <c r="ARI50" s="95"/>
      <c r="ARJ50" s="95"/>
      <c r="ARK50" s="95"/>
      <c r="ARL50" s="95"/>
      <c r="ARM50" s="95"/>
      <c r="ARN50" s="95"/>
      <c r="ARO50" s="95"/>
      <c r="ARP50" s="95"/>
      <c r="ARQ50" s="95"/>
      <c r="ARR50" s="95"/>
      <c r="ARS50" s="95"/>
      <c r="ART50" s="95"/>
      <c r="ARU50" s="95"/>
      <c r="ARV50" s="95"/>
      <c r="ARW50" s="95"/>
      <c r="ARX50" s="95"/>
      <c r="ARY50" s="95"/>
      <c r="ARZ50" s="95"/>
      <c r="ASA50" s="95"/>
      <c r="ASB50" s="95"/>
      <c r="ASC50" s="95"/>
      <c r="ASD50" s="95"/>
      <c r="ASE50" s="95"/>
      <c r="ASF50" s="95"/>
      <c r="ASG50" s="95"/>
      <c r="ASH50" s="95"/>
      <c r="ASI50" s="95"/>
      <c r="ASJ50" s="95"/>
      <c r="ASK50" s="95"/>
      <c r="ASL50" s="95"/>
      <c r="ASM50" s="95"/>
      <c r="ASN50" s="95"/>
      <c r="ASO50" s="95"/>
      <c r="ASP50" s="95"/>
      <c r="ASQ50" s="95"/>
      <c r="ASR50" s="95"/>
      <c r="ASS50" s="95"/>
      <c r="AST50" s="95"/>
      <c r="ASU50" s="95"/>
      <c r="ASV50" s="95"/>
      <c r="ASW50" s="95"/>
      <c r="ASX50" s="95"/>
      <c r="ASY50" s="95"/>
      <c r="ASZ50" s="95"/>
      <c r="ATA50" s="95"/>
      <c r="ATB50" s="95"/>
      <c r="ATC50" s="95"/>
      <c r="ATD50" s="95"/>
      <c r="ATE50" s="95"/>
      <c r="ATF50" s="95"/>
      <c r="ATG50" s="95"/>
      <c r="ATH50" s="95"/>
      <c r="ATI50" s="95"/>
      <c r="ATJ50" s="95"/>
      <c r="ATK50" s="95"/>
      <c r="ATL50" s="95"/>
      <c r="ATM50" s="95"/>
      <c r="ATN50" s="95"/>
      <c r="ATO50" s="95"/>
      <c r="ATP50" s="95"/>
      <c r="ATQ50" s="95"/>
      <c r="ATR50" s="95"/>
      <c r="ATS50" s="95"/>
      <c r="ATT50" s="95"/>
      <c r="ATU50" s="95"/>
      <c r="ATV50" s="95"/>
      <c r="ATW50" s="95"/>
      <c r="ATX50" s="95"/>
      <c r="ATY50" s="95"/>
      <c r="ATZ50" s="95"/>
      <c r="AUA50" s="95"/>
      <c r="AUB50" s="95"/>
      <c r="AUC50" s="95"/>
      <c r="AUD50" s="95"/>
      <c r="AUE50" s="95"/>
      <c r="AUF50" s="95"/>
      <c r="AUG50" s="95"/>
      <c r="AUH50" s="95"/>
      <c r="AUI50" s="95"/>
      <c r="AUJ50" s="95"/>
      <c r="AUK50" s="95"/>
      <c r="AUL50" s="95"/>
      <c r="AUM50" s="95"/>
      <c r="AUN50" s="95"/>
      <c r="AUO50" s="95"/>
      <c r="AUP50" s="95"/>
      <c r="AUQ50" s="95"/>
      <c r="AUR50" s="95"/>
      <c r="AUS50" s="95"/>
      <c r="AUT50" s="95"/>
      <c r="AUU50" s="95"/>
      <c r="AUV50" s="95"/>
      <c r="AUW50" s="95"/>
      <c r="AUX50" s="95"/>
      <c r="AUY50" s="95"/>
      <c r="AUZ50" s="95"/>
      <c r="AVA50" s="95"/>
      <c r="AVB50" s="95"/>
      <c r="AVC50" s="95"/>
      <c r="AVD50" s="95"/>
      <c r="AVE50" s="95"/>
      <c r="AVF50" s="95"/>
      <c r="AVG50" s="95"/>
      <c r="AVH50" s="95"/>
      <c r="AVI50" s="95"/>
      <c r="AVJ50" s="95"/>
      <c r="AVK50" s="95"/>
      <c r="AVL50" s="95"/>
      <c r="AVM50" s="95"/>
      <c r="AVN50" s="95"/>
      <c r="AVO50" s="95"/>
      <c r="AVP50" s="95"/>
      <c r="AVQ50" s="95"/>
      <c r="AVR50" s="95"/>
      <c r="AVS50" s="95"/>
      <c r="AVT50" s="95"/>
      <c r="AVU50" s="95"/>
      <c r="AVV50" s="95"/>
      <c r="AVW50" s="95"/>
      <c r="AVX50" s="95"/>
      <c r="AVY50" s="95"/>
      <c r="AVZ50" s="95"/>
      <c r="AWA50" s="95"/>
      <c r="AWB50" s="95"/>
      <c r="AWC50" s="95"/>
      <c r="AWD50" s="95"/>
      <c r="AWE50" s="95"/>
      <c r="AWF50" s="95"/>
      <c r="AWG50" s="95"/>
      <c r="AWH50" s="95"/>
      <c r="AWI50" s="95"/>
      <c r="AWJ50" s="95"/>
      <c r="AWK50" s="95"/>
      <c r="AWL50" s="95"/>
      <c r="AWM50" s="95"/>
      <c r="AWN50" s="95"/>
      <c r="AWO50" s="95"/>
      <c r="AWP50" s="95"/>
      <c r="AWQ50" s="95"/>
      <c r="AWR50" s="95"/>
      <c r="AWS50" s="95"/>
      <c r="AWT50" s="95"/>
      <c r="AWU50" s="95"/>
      <c r="AWV50" s="95"/>
      <c r="AWW50" s="95"/>
      <c r="AWX50" s="95"/>
      <c r="AWY50" s="95"/>
      <c r="AWZ50" s="95"/>
      <c r="AXA50" s="95"/>
      <c r="AXB50" s="95"/>
      <c r="AXC50" s="95"/>
      <c r="AXD50" s="95"/>
      <c r="AXE50" s="95"/>
      <c r="AXF50" s="95"/>
      <c r="AXG50" s="95"/>
      <c r="AXH50" s="95"/>
      <c r="AXI50" s="95"/>
      <c r="AXJ50" s="95"/>
      <c r="AXK50" s="95"/>
      <c r="AXL50" s="95"/>
      <c r="AXM50" s="95"/>
      <c r="AXN50" s="95"/>
      <c r="AXO50" s="95"/>
      <c r="AXP50" s="95"/>
      <c r="AXQ50" s="95"/>
      <c r="AXR50" s="95"/>
      <c r="AXS50" s="95"/>
      <c r="AXT50" s="95"/>
      <c r="AXU50" s="95"/>
      <c r="AXV50" s="95"/>
      <c r="AXW50" s="95"/>
      <c r="AXX50" s="95"/>
      <c r="AXY50" s="95"/>
      <c r="AXZ50" s="95"/>
      <c r="AYA50" s="95"/>
      <c r="AYB50" s="95"/>
      <c r="AYC50" s="95"/>
      <c r="AYD50" s="95"/>
      <c r="AYE50" s="95"/>
      <c r="AYF50" s="95"/>
      <c r="AYG50" s="95"/>
      <c r="AYH50" s="95"/>
      <c r="AYI50" s="95"/>
      <c r="AYJ50" s="95"/>
      <c r="AYK50" s="95"/>
      <c r="AYL50" s="95"/>
      <c r="AYM50" s="95"/>
      <c r="AYN50" s="95"/>
      <c r="AYO50" s="95"/>
      <c r="AYP50" s="95"/>
      <c r="AYQ50" s="95"/>
      <c r="AYR50" s="95"/>
      <c r="AYS50" s="95"/>
      <c r="AYT50" s="95"/>
      <c r="AYU50" s="95"/>
      <c r="AYV50" s="95"/>
      <c r="AYW50" s="95"/>
      <c r="AYX50" s="95"/>
      <c r="AYY50" s="95"/>
      <c r="AYZ50" s="95"/>
      <c r="AZA50" s="95"/>
      <c r="AZB50" s="95"/>
      <c r="AZC50" s="95"/>
      <c r="AZD50" s="95"/>
      <c r="AZE50" s="95"/>
      <c r="AZF50" s="95"/>
      <c r="AZG50" s="95"/>
      <c r="AZH50" s="95"/>
      <c r="AZI50" s="95"/>
      <c r="AZJ50" s="95"/>
      <c r="AZK50" s="95"/>
      <c r="AZL50" s="95"/>
      <c r="AZM50" s="95"/>
      <c r="AZN50" s="95"/>
      <c r="AZO50" s="95"/>
      <c r="AZP50" s="95"/>
      <c r="AZQ50" s="95"/>
      <c r="AZR50" s="95"/>
      <c r="AZS50" s="95"/>
      <c r="AZT50" s="95"/>
      <c r="AZU50" s="95"/>
      <c r="AZV50" s="95"/>
      <c r="AZW50" s="95"/>
      <c r="AZX50" s="95"/>
      <c r="AZY50" s="95"/>
      <c r="AZZ50" s="95"/>
      <c r="BAA50" s="95"/>
      <c r="BAB50" s="95"/>
      <c r="BAC50" s="95"/>
      <c r="BAD50" s="95"/>
      <c r="BAE50" s="95"/>
      <c r="BAF50" s="95"/>
      <c r="BAG50" s="95"/>
      <c r="BAH50" s="95"/>
      <c r="BAI50" s="95"/>
      <c r="BAJ50" s="95"/>
      <c r="BAK50" s="95"/>
      <c r="BAL50" s="95"/>
      <c r="BAM50" s="95"/>
      <c r="BAN50" s="95"/>
      <c r="BAO50" s="95"/>
      <c r="BAP50" s="95"/>
      <c r="BAQ50" s="95"/>
      <c r="BAR50" s="95"/>
      <c r="BAS50" s="95"/>
      <c r="BAT50" s="95"/>
      <c r="BAU50" s="95"/>
      <c r="BAV50" s="95"/>
      <c r="BAW50" s="95"/>
      <c r="BAX50" s="95"/>
      <c r="BAY50" s="95"/>
      <c r="BAZ50" s="95"/>
      <c r="BBA50" s="95"/>
      <c r="BBB50" s="95"/>
      <c r="BBC50" s="95"/>
      <c r="BBD50" s="95"/>
      <c r="BBE50" s="95"/>
      <c r="BBF50" s="95"/>
      <c r="BBG50" s="95"/>
      <c r="BBH50" s="95"/>
      <c r="BBI50" s="95"/>
      <c r="BBJ50" s="95"/>
      <c r="BBK50" s="95"/>
      <c r="BBL50" s="95"/>
      <c r="BBM50" s="95"/>
      <c r="BBN50" s="95"/>
      <c r="BBO50" s="95"/>
      <c r="BBP50" s="95"/>
      <c r="BBQ50" s="95"/>
      <c r="BBR50" s="95"/>
      <c r="BBS50" s="95"/>
      <c r="BBT50" s="95"/>
      <c r="BBU50" s="95"/>
      <c r="BBV50" s="95"/>
      <c r="BBW50" s="95"/>
      <c r="BBX50" s="95"/>
      <c r="BBY50" s="95"/>
      <c r="BBZ50" s="95"/>
      <c r="BCA50" s="95"/>
      <c r="BCB50" s="95"/>
      <c r="BCC50" s="95"/>
      <c r="BCD50" s="95"/>
      <c r="BCE50" s="95"/>
      <c r="BCF50" s="95"/>
      <c r="BCG50" s="95"/>
      <c r="BCH50" s="95"/>
      <c r="BCI50" s="95"/>
      <c r="BCJ50" s="95"/>
      <c r="BCK50" s="95"/>
      <c r="BCL50" s="95"/>
      <c r="BCM50" s="95"/>
      <c r="BCN50" s="95"/>
      <c r="BCO50" s="95"/>
      <c r="BCP50" s="95"/>
      <c r="BCQ50" s="95"/>
      <c r="BCR50" s="95"/>
      <c r="BCS50" s="95"/>
      <c r="BCT50" s="95"/>
      <c r="BCU50" s="95"/>
      <c r="BCV50" s="95"/>
      <c r="BCW50" s="95"/>
      <c r="BCX50" s="95"/>
      <c r="BCY50" s="95"/>
      <c r="BCZ50" s="95"/>
      <c r="BDA50" s="95"/>
      <c r="BDB50" s="95"/>
      <c r="BDC50" s="95"/>
      <c r="BDD50" s="95"/>
      <c r="BDE50" s="95"/>
      <c r="BDF50" s="95"/>
      <c r="BDG50" s="95"/>
      <c r="BDH50" s="95"/>
      <c r="BDI50" s="95"/>
      <c r="BDJ50" s="95"/>
      <c r="BDK50" s="95"/>
      <c r="BDL50" s="95"/>
      <c r="BDM50" s="95"/>
      <c r="BDN50" s="95"/>
      <c r="BDO50" s="95"/>
      <c r="BDP50" s="95"/>
      <c r="BDQ50" s="95"/>
      <c r="BDR50" s="95"/>
      <c r="BDS50" s="95"/>
      <c r="BDT50" s="95"/>
      <c r="BDU50" s="95"/>
      <c r="BDV50" s="95"/>
      <c r="BDW50" s="95"/>
      <c r="BDX50" s="95"/>
      <c r="BDY50" s="95"/>
      <c r="BDZ50" s="95"/>
      <c r="BEA50" s="95"/>
      <c r="BEB50" s="95"/>
      <c r="BEC50" s="95"/>
      <c r="BED50" s="95"/>
      <c r="BEE50" s="95"/>
      <c r="BEF50" s="95"/>
      <c r="BEG50" s="95"/>
      <c r="BEH50" s="95"/>
      <c r="BEI50" s="95"/>
      <c r="BEJ50" s="95"/>
      <c r="BEK50" s="95"/>
      <c r="BEL50" s="95"/>
      <c r="BEM50" s="95"/>
      <c r="BEN50" s="95"/>
      <c r="BEO50" s="95"/>
      <c r="BEP50" s="95"/>
      <c r="BEQ50" s="95"/>
      <c r="BER50" s="95"/>
      <c r="BES50" s="95"/>
      <c r="BET50" s="95"/>
      <c r="BEU50" s="95"/>
      <c r="BEV50" s="95"/>
      <c r="BEW50" s="95"/>
      <c r="BEX50" s="95"/>
      <c r="BEY50" s="95"/>
      <c r="BEZ50" s="95"/>
      <c r="BFA50" s="95"/>
      <c r="BFB50" s="95"/>
      <c r="BFC50" s="95"/>
      <c r="BFD50" s="95"/>
      <c r="BFE50" s="95"/>
      <c r="BFF50" s="95"/>
      <c r="BFG50" s="95"/>
      <c r="BFH50" s="95"/>
      <c r="BFI50" s="95"/>
      <c r="BFJ50" s="95"/>
      <c r="BFK50" s="95"/>
      <c r="BFL50" s="95"/>
      <c r="BFM50" s="95"/>
      <c r="BFN50" s="95"/>
      <c r="BFO50" s="95"/>
      <c r="BFP50" s="95"/>
      <c r="BFQ50" s="95"/>
      <c r="BFR50" s="95"/>
      <c r="BFS50" s="95"/>
      <c r="BFT50" s="95"/>
      <c r="BFU50" s="95"/>
      <c r="BFV50" s="95"/>
      <c r="BFW50" s="95"/>
      <c r="BFX50" s="95"/>
      <c r="BFY50" s="95"/>
      <c r="BFZ50" s="95"/>
      <c r="BGA50" s="95"/>
      <c r="BGB50" s="95"/>
      <c r="BGC50" s="95"/>
      <c r="BGD50" s="95"/>
      <c r="BGE50" s="95"/>
      <c r="BGF50" s="95"/>
      <c r="BGG50" s="95"/>
      <c r="BGH50" s="95"/>
      <c r="BGI50" s="95"/>
      <c r="BGJ50" s="95"/>
      <c r="BGK50" s="95"/>
      <c r="BGL50" s="95"/>
      <c r="BGM50" s="95"/>
      <c r="BGN50" s="95"/>
      <c r="BGO50" s="95"/>
      <c r="BGP50" s="95"/>
      <c r="BGQ50" s="95"/>
      <c r="BGR50" s="95"/>
      <c r="BGS50" s="95"/>
      <c r="BGT50" s="95"/>
      <c r="BGU50" s="95"/>
      <c r="BGV50" s="95"/>
      <c r="BGW50" s="95"/>
      <c r="BGX50" s="95"/>
      <c r="BGY50" s="95"/>
      <c r="BGZ50" s="95"/>
      <c r="BHA50" s="95"/>
      <c r="BHB50" s="95"/>
      <c r="BHC50" s="95"/>
      <c r="BHD50" s="95"/>
      <c r="BHE50" s="95"/>
      <c r="BHF50" s="95"/>
      <c r="BHG50" s="95"/>
      <c r="BHH50" s="95"/>
      <c r="BHI50" s="95"/>
      <c r="BHJ50" s="95"/>
      <c r="BHK50" s="95"/>
      <c r="BHL50" s="95"/>
      <c r="BHM50" s="95"/>
      <c r="BHN50" s="95"/>
      <c r="BHO50" s="95"/>
      <c r="BHP50" s="95"/>
      <c r="BHQ50" s="95"/>
      <c r="BHR50" s="95"/>
      <c r="BHS50" s="95"/>
      <c r="BHT50" s="95"/>
      <c r="BHU50" s="95"/>
      <c r="BHV50" s="95"/>
      <c r="BHW50" s="95"/>
      <c r="BHX50" s="95"/>
      <c r="BHY50" s="95"/>
      <c r="BHZ50" s="95"/>
      <c r="BIA50" s="95"/>
      <c r="BIB50" s="95"/>
      <c r="BIC50" s="95"/>
      <c r="BID50" s="95"/>
      <c r="BIE50" s="95"/>
      <c r="BIF50" s="95"/>
      <c r="BIG50" s="95"/>
      <c r="BIH50" s="95"/>
      <c r="BII50" s="95"/>
      <c r="BIJ50" s="95"/>
      <c r="BIK50" s="95"/>
      <c r="BIL50" s="95"/>
      <c r="BIM50" s="95"/>
      <c r="BIN50" s="95"/>
      <c r="BIO50" s="95"/>
      <c r="BIP50" s="95"/>
      <c r="BIQ50" s="95"/>
      <c r="BIR50" s="95"/>
      <c r="BIS50" s="95"/>
      <c r="BIT50" s="95"/>
      <c r="BIU50" s="95"/>
      <c r="BIV50" s="95"/>
      <c r="BIW50" s="95"/>
      <c r="BIX50" s="95"/>
      <c r="BIY50" s="95"/>
      <c r="BIZ50" s="95"/>
      <c r="BJA50" s="95"/>
      <c r="BJB50" s="95"/>
      <c r="BJC50" s="95"/>
      <c r="BJD50" s="95"/>
      <c r="BJE50" s="95"/>
      <c r="BJF50" s="95"/>
      <c r="BJG50" s="95"/>
      <c r="BJH50" s="95"/>
      <c r="BJI50" s="95"/>
      <c r="BJJ50" s="95"/>
      <c r="BJK50" s="95"/>
      <c r="BJL50" s="95"/>
      <c r="BJM50" s="95"/>
      <c r="BJN50" s="95"/>
      <c r="BJO50" s="95"/>
      <c r="BJP50" s="95"/>
      <c r="BJQ50" s="95"/>
      <c r="BJR50" s="95"/>
      <c r="BJS50" s="95"/>
      <c r="BJT50" s="95"/>
      <c r="BJU50" s="95"/>
      <c r="BJV50" s="95"/>
      <c r="BJW50" s="95"/>
      <c r="BJX50" s="95"/>
      <c r="BJY50" s="95"/>
      <c r="BJZ50" s="95"/>
      <c r="BKA50" s="95"/>
      <c r="BKB50" s="95"/>
      <c r="BKC50" s="95"/>
      <c r="BKD50" s="95"/>
      <c r="BKE50" s="95"/>
      <c r="BKF50" s="95"/>
      <c r="BKG50" s="95"/>
      <c r="BKH50" s="95"/>
      <c r="BKI50" s="95"/>
      <c r="BKJ50" s="95"/>
      <c r="BKK50" s="95"/>
      <c r="BKL50" s="95"/>
      <c r="BKM50" s="95"/>
      <c r="BKN50" s="95"/>
      <c r="BKO50" s="95"/>
      <c r="BKP50" s="95"/>
      <c r="BKQ50" s="95"/>
      <c r="BKR50" s="95"/>
      <c r="BKS50" s="95"/>
      <c r="BKT50" s="95"/>
      <c r="BKU50" s="95"/>
      <c r="BKV50" s="95"/>
      <c r="BKW50" s="95"/>
      <c r="BKX50" s="95"/>
      <c r="BKY50" s="95"/>
      <c r="BKZ50" s="95"/>
      <c r="BLA50" s="95"/>
      <c r="BLB50" s="95"/>
      <c r="BLC50" s="95"/>
      <c r="BLD50" s="95"/>
      <c r="BLE50" s="95"/>
      <c r="BLF50" s="95"/>
      <c r="BLG50" s="95"/>
      <c r="BLH50" s="95"/>
      <c r="BLI50" s="95"/>
      <c r="BLJ50" s="95"/>
      <c r="BLK50" s="95"/>
      <c r="BLL50" s="95"/>
      <c r="BLM50" s="95"/>
      <c r="BLN50" s="95"/>
      <c r="BLO50" s="95"/>
      <c r="BLP50" s="95"/>
      <c r="BLQ50" s="95"/>
      <c r="BLR50" s="95"/>
      <c r="BLS50" s="95"/>
      <c r="BLT50" s="95"/>
      <c r="BLU50" s="95"/>
      <c r="BLV50" s="95"/>
      <c r="BLW50" s="95"/>
      <c r="BLX50" s="95"/>
      <c r="BLY50" s="95"/>
      <c r="BLZ50" s="95"/>
      <c r="BMA50" s="95"/>
      <c r="BMB50" s="95"/>
      <c r="BMC50" s="95"/>
      <c r="BMD50" s="95"/>
      <c r="BME50" s="95"/>
      <c r="BMF50" s="95"/>
      <c r="BMG50" s="95"/>
      <c r="BMH50" s="95"/>
      <c r="BMI50" s="95"/>
      <c r="BMJ50" s="95"/>
      <c r="BMK50" s="95"/>
      <c r="BML50" s="95"/>
      <c r="BMM50" s="95"/>
      <c r="BMN50" s="95"/>
      <c r="BMO50" s="95"/>
      <c r="BMP50" s="95"/>
      <c r="BMQ50" s="95"/>
      <c r="BMR50" s="95"/>
      <c r="BMS50" s="95"/>
      <c r="BMT50" s="95"/>
      <c r="BMU50" s="95"/>
      <c r="BMV50" s="95"/>
      <c r="BMW50" s="95"/>
      <c r="BMX50" s="95"/>
      <c r="BMY50" s="95"/>
      <c r="BMZ50" s="95"/>
      <c r="BNA50" s="95"/>
      <c r="BNB50" s="95"/>
      <c r="BNC50" s="95"/>
      <c r="BND50" s="95"/>
      <c r="BNE50" s="95"/>
      <c r="BNF50" s="95"/>
      <c r="BNG50" s="95"/>
      <c r="BNH50" s="95"/>
      <c r="BNI50" s="95"/>
      <c r="BNJ50" s="95"/>
      <c r="BNK50" s="95"/>
      <c r="BNL50" s="95"/>
      <c r="BNM50" s="95"/>
      <c r="BNN50" s="95"/>
      <c r="BNO50" s="95"/>
      <c r="BNP50" s="95"/>
      <c r="BNQ50" s="95"/>
      <c r="BNR50" s="95"/>
      <c r="BNS50" s="95"/>
      <c r="BNT50" s="95"/>
      <c r="BNU50" s="95"/>
      <c r="BNV50" s="95"/>
      <c r="BNW50" s="95"/>
      <c r="BNX50" s="95"/>
      <c r="BNY50" s="95"/>
      <c r="BNZ50" s="95"/>
      <c r="BOA50" s="95"/>
      <c r="BOB50" s="95"/>
      <c r="BOC50" s="95"/>
      <c r="BOD50" s="95"/>
      <c r="BOE50" s="95"/>
      <c r="BOF50" s="95"/>
      <c r="BOG50" s="95"/>
      <c r="BOH50" s="95"/>
      <c r="BOI50" s="95"/>
      <c r="BOJ50" s="95"/>
      <c r="BOK50" s="95"/>
      <c r="BOL50" s="95"/>
      <c r="BOM50" s="95"/>
      <c r="BON50" s="95"/>
      <c r="BOO50" s="95"/>
      <c r="BOP50" s="95"/>
      <c r="BOQ50" s="95"/>
      <c r="BOR50" s="95"/>
      <c r="BOS50" s="95"/>
      <c r="BOT50" s="95"/>
      <c r="BOU50" s="95"/>
      <c r="BOV50" s="95"/>
      <c r="BOW50" s="95"/>
      <c r="BOX50" s="95"/>
      <c r="BOY50" s="95"/>
      <c r="BOZ50" s="95"/>
      <c r="BPA50" s="95"/>
      <c r="BPB50" s="95"/>
      <c r="BPC50" s="95"/>
      <c r="BPD50" s="95"/>
      <c r="BPE50" s="95"/>
      <c r="BPF50" s="95"/>
      <c r="BPG50" s="95"/>
      <c r="BPH50" s="95"/>
      <c r="BPI50" s="95"/>
      <c r="BPJ50" s="95"/>
      <c r="BPK50" s="95"/>
      <c r="BPL50" s="95"/>
      <c r="BPM50" s="95"/>
      <c r="BPN50" s="95"/>
      <c r="BPO50" s="95"/>
      <c r="BPP50" s="95"/>
      <c r="BPQ50" s="95"/>
      <c r="BPR50" s="95"/>
      <c r="BPS50" s="95"/>
      <c r="BPT50" s="95"/>
      <c r="BPU50" s="95"/>
      <c r="BPV50" s="95"/>
      <c r="BPW50" s="95"/>
      <c r="BPX50" s="95"/>
      <c r="BPY50" s="95"/>
      <c r="BPZ50" s="95"/>
      <c r="BQA50" s="95"/>
      <c r="BQB50" s="95"/>
      <c r="BQC50" s="95"/>
      <c r="BQD50" s="95"/>
      <c r="BQE50" s="95"/>
      <c r="BQF50" s="95"/>
      <c r="BQG50" s="95"/>
      <c r="BQH50" s="95"/>
      <c r="BQI50" s="95"/>
      <c r="BQJ50" s="95"/>
      <c r="BQK50" s="95"/>
      <c r="BQL50" s="95"/>
      <c r="BQM50" s="95"/>
      <c r="BQN50" s="95"/>
      <c r="BQO50" s="95"/>
      <c r="BQP50" s="95"/>
      <c r="BQQ50" s="95"/>
      <c r="BQR50" s="95"/>
      <c r="BQS50" s="95"/>
      <c r="BQT50" s="95"/>
      <c r="BQU50" s="95"/>
      <c r="BQV50" s="95"/>
      <c r="BQW50" s="95"/>
      <c r="BQX50" s="95"/>
      <c r="BQY50" s="95"/>
      <c r="BQZ50" s="95"/>
      <c r="BRA50" s="95"/>
      <c r="BRB50" s="95"/>
      <c r="BRC50" s="95"/>
      <c r="BRD50" s="95"/>
      <c r="BRE50" s="95"/>
      <c r="BRF50" s="95"/>
      <c r="BRG50" s="95"/>
      <c r="BRH50" s="95"/>
      <c r="BRI50" s="95"/>
      <c r="BRJ50" s="95"/>
      <c r="BRK50" s="95"/>
      <c r="BRL50" s="95"/>
      <c r="BRM50" s="95"/>
      <c r="BRN50" s="95"/>
      <c r="BRO50" s="95"/>
      <c r="BRP50" s="95"/>
      <c r="BRQ50" s="95"/>
      <c r="BRR50" s="95"/>
      <c r="BRS50" s="95"/>
      <c r="BRT50" s="95"/>
      <c r="BRU50" s="95"/>
      <c r="BRV50" s="95"/>
      <c r="BRW50" s="95"/>
      <c r="BRX50" s="95"/>
      <c r="BRY50" s="95"/>
      <c r="BRZ50" s="95"/>
      <c r="BSA50" s="95"/>
      <c r="BSB50" s="95"/>
      <c r="BSC50" s="95"/>
      <c r="BSD50" s="95"/>
      <c r="BSE50" s="95"/>
      <c r="BSF50" s="95"/>
      <c r="BSG50" s="95"/>
      <c r="BSH50" s="95"/>
      <c r="BSI50" s="95"/>
      <c r="BSJ50" s="95"/>
      <c r="BSK50" s="95"/>
      <c r="BSL50" s="95"/>
      <c r="BSM50" s="95"/>
      <c r="BSN50" s="95"/>
      <c r="BSO50" s="95"/>
      <c r="BSP50" s="95"/>
      <c r="BSQ50" s="95"/>
      <c r="BSR50" s="95"/>
      <c r="BSS50" s="95"/>
      <c r="BST50" s="95"/>
      <c r="BSU50" s="95"/>
      <c r="BSV50" s="95"/>
      <c r="BSW50" s="95"/>
      <c r="BSX50" s="95"/>
      <c r="BSY50" s="95"/>
      <c r="BSZ50" s="95"/>
      <c r="BTA50" s="95"/>
      <c r="BTB50" s="95"/>
      <c r="BTC50" s="95"/>
      <c r="BTD50" s="95"/>
      <c r="BTE50" s="95"/>
      <c r="BTF50" s="95"/>
      <c r="BTG50" s="95"/>
      <c r="BTH50" s="95"/>
      <c r="BTI50" s="95"/>
      <c r="BTJ50" s="95"/>
      <c r="BTK50" s="95"/>
      <c r="BTL50" s="95"/>
      <c r="BTM50" s="95"/>
      <c r="BTN50" s="95"/>
      <c r="BTO50" s="95"/>
      <c r="BTP50" s="95"/>
      <c r="BTQ50" s="95"/>
      <c r="BTR50" s="95"/>
      <c r="BTS50" s="95"/>
      <c r="BTT50" s="95"/>
      <c r="BTU50" s="95"/>
      <c r="BTV50" s="95"/>
      <c r="BTW50" s="95"/>
      <c r="BTX50" s="95"/>
      <c r="BTY50" s="95"/>
      <c r="BTZ50" s="95"/>
      <c r="BUA50" s="95"/>
      <c r="BUB50" s="95"/>
      <c r="BUC50" s="95"/>
      <c r="BUD50" s="95"/>
      <c r="BUE50" s="95"/>
      <c r="BUF50" s="95"/>
      <c r="BUG50" s="95"/>
      <c r="BUH50" s="95"/>
      <c r="BUI50" s="95"/>
      <c r="BUJ50" s="95"/>
      <c r="BUK50" s="95"/>
      <c r="BUL50" s="95"/>
      <c r="BUM50" s="95"/>
      <c r="BUN50" s="95"/>
      <c r="BUO50" s="95"/>
      <c r="BUP50" s="95"/>
      <c r="BUQ50" s="95"/>
      <c r="BUR50" s="95"/>
      <c r="BUS50" s="95"/>
      <c r="BUT50" s="95"/>
      <c r="BUU50" s="95"/>
      <c r="BUV50" s="95"/>
      <c r="BUW50" s="95"/>
      <c r="BUX50" s="95"/>
      <c r="BUY50" s="95"/>
      <c r="BUZ50" s="95"/>
      <c r="BVA50" s="95"/>
      <c r="BVB50" s="95"/>
      <c r="BVC50" s="95"/>
      <c r="BVD50" s="95"/>
      <c r="BVE50" s="95"/>
      <c r="BVF50" s="95"/>
      <c r="BVG50" s="95"/>
      <c r="BVH50" s="95"/>
      <c r="BVI50" s="95"/>
      <c r="BVJ50" s="95"/>
      <c r="BVK50" s="95"/>
      <c r="BVL50" s="95"/>
      <c r="BVM50" s="95"/>
      <c r="BVN50" s="95"/>
      <c r="BVO50" s="95"/>
      <c r="BVP50" s="95"/>
      <c r="BVQ50" s="95"/>
      <c r="BVR50" s="95"/>
      <c r="BVS50" s="95"/>
      <c r="BVT50" s="95"/>
      <c r="BVU50" s="95"/>
      <c r="BVV50" s="95"/>
      <c r="BVW50" s="95"/>
      <c r="BVX50" s="95"/>
      <c r="BVY50" s="95"/>
      <c r="BVZ50" s="95"/>
      <c r="BWA50" s="95"/>
      <c r="BWB50" s="95"/>
      <c r="BWC50" s="95"/>
      <c r="BWD50" s="95"/>
      <c r="BWE50" s="95"/>
      <c r="BWF50" s="95"/>
      <c r="BWG50" s="95"/>
      <c r="BWH50" s="95"/>
      <c r="BWI50" s="95"/>
      <c r="BWJ50" s="95"/>
      <c r="BWK50" s="95"/>
      <c r="BWL50" s="95"/>
      <c r="BWM50" s="95"/>
      <c r="BWN50" s="95"/>
      <c r="BWO50" s="95"/>
      <c r="BWP50" s="95"/>
      <c r="BWQ50" s="95"/>
      <c r="BWR50" s="95"/>
      <c r="BWS50" s="95"/>
      <c r="BWT50" s="95"/>
      <c r="BWU50" s="95"/>
      <c r="BWV50" s="95"/>
      <c r="BWW50" s="95"/>
      <c r="BWX50" s="95"/>
      <c r="BWY50" s="95"/>
      <c r="BWZ50" s="95"/>
      <c r="BXA50" s="95"/>
      <c r="BXB50" s="95"/>
      <c r="BXC50" s="95"/>
      <c r="BXD50" s="95"/>
      <c r="BXE50" s="95"/>
      <c r="BXF50" s="95"/>
      <c r="BXG50" s="95"/>
      <c r="BXH50" s="95"/>
      <c r="BXI50" s="95"/>
      <c r="BXJ50" s="95"/>
      <c r="BXK50" s="95"/>
      <c r="BXL50" s="95"/>
      <c r="BXM50" s="95"/>
      <c r="BXN50" s="95"/>
      <c r="BXO50" s="95"/>
      <c r="BXP50" s="95"/>
      <c r="BXQ50" s="95"/>
      <c r="BXR50" s="95"/>
      <c r="BXS50" s="95"/>
      <c r="BXT50" s="95"/>
      <c r="BXU50" s="95"/>
      <c r="BXV50" s="95"/>
      <c r="BXW50" s="95"/>
      <c r="BXX50" s="95"/>
      <c r="BXY50" s="95"/>
      <c r="BXZ50" s="95"/>
      <c r="BYA50" s="95"/>
      <c r="BYB50" s="95"/>
      <c r="BYC50" s="95"/>
      <c r="BYD50" s="95"/>
      <c r="BYE50" s="95"/>
      <c r="BYF50" s="95"/>
      <c r="BYG50" s="95"/>
    </row>
    <row r="51" spans="1:2009" s="121" customFormat="1" ht="24.95" customHeight="1" x14ac:dyDescent="0.25">
      <c r="A51" s="383"/>
      <c r="B51" s="386" t="s">
        <v>246</v>
      </c>
      <c r="C51" s="512">
        <f>750*3</f>
        <v>2250</v>
      </c>
      <c r="D51" s="512"/>
      <c r="E51" s="512"/>
      <c r="F51" s="512"/>
      <c r="G51" s="388">
        <f>SUM(C51:F51)</f>
        <v>2250</v>
      </c>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c r="AML51" s="95"/>
      <c r="AMM51" s="95"/>
      <c r="AMN51" s="95"/>
      <c r="AMO51" s="95"/>
      <c r="AMP51" s="95"/>
      <c r="AMQ51" s="95"/>
      <c r="AMR51" s="95"/>
      <c r="AMS51" s="95"/>
      <c r="AMT51" s="95"/>
      <c r="AMU51" s="95"/>
      <c r="AMV51" s="95"/>
      <c r="AMW51" s="95"/>
      <c r="AMX51" s="95"/>
      <c r="AMY51" s="95"/>
      <c r="AMZ51" s="95"/>
      <c r="ANA51" s="95"/>
      <c r="ANB51" s="95"/>
      <c r="ANC51" s="95"/>
      <c r="AND51" s="95"/>
      <c r="ANE51" s="95"/>
      <c r="ANF51" s="95"/>
      <c r="ANG51" s="95"/>
      <c r="ANH51" s="95"/>
      <c r="ANI51" s="95"/>
      <c r="ANJ51" s="95"/>
      <c r="ANK51" s="95"/>
      <c r="ANL51" s="95"/>
      <c r="ANM51" s="95"/>
      <c r="ANN51" s="95"/>
      <c r="ANO51" s="95"/>
      <c r="ANP51" s="95"/>
      <c r="ANQ51" s="95"/>
      <c r="ANR51" s="95"/>
      <c r="ANS51" s="95"/>
      <c r="ANT51" s="95"/>
      <c r="ANU51" s="95"/>
      <c r="ANV51" s="95"/>
      <c r="ANW51" s="95"/>
      <c r="ANX51" s="95"/>
      <c r="ANY51" s="95"/>
      <c r="ANZ51" s="95"/>
      <c r="AOA51" s="95"/>
      <c r="AOB51" s="95"/>
      <c r="AOC51" s="95"/>
      <c r="AOD51" s="95"/>
      <c r="AOE51" s="95"/>
      <c r="AOF51" s="95"/>
      <c r="AOG51" s="95"/>
      <c r="AOH51" s="95"/>
      <c r="AOI51" s="95"/>
      <c r="AOJ51" s="95"/>
      <c r="AOK51" s="95"/>
      <c r="AOL51" s="95"/>
      <c r="AOM51" s="95"/>
      <c r="AON51" s="95"/>
      <c r="AOO51" s="95"/>
      <c r="AOP51" s="95"/>
      <c r="AOQ51" s="95"/>
      <c r="AOR51" s="95"/>
      <c r="AOS51" s="95"/>
      <c r="AOT51" s="95"/>
      <c r="AOU51" s="95"/>
      <c r="AOV51" s="95"/>
      <c r="AOW51" s="95"/>
      <c r="AOX51" s="95"/>
      <c r="AOY51" s="95"/>
      <c r="AOZ51" s="95"/>
      <c r="APA51" s="95"/>
      <c r="APB51" s="95"/>
      <c r="APC51" s="95"/>
      <c r="APD51" s="95"/>
      <c r="APE51" s="95"/>
      <c r="APF51" s="95"/>
      <c r="APG51" s="95"/>
      <c r="APH51" s="95"/>
      <c r="API51" s="95"/>
      <c r="APJ51" s="95"/>
      <c r="APK51" s="95"/>
      <c r="APL51" s="95"/>
      <c r="APM51" s="95"/>
      <c r="APN51" s="95"/>
      <c r="APO51" s="95"/>
      <c r="APP51" s="95"/>
      <c r="APQ51" s="95"/>
      <c r="APR51" s="95"/>
      <c r="APS51" s="95"/>
      <c r="APT51" s="95"/>
      <c r="APU51" s="95"/>
      <c r="APV51" s="95"/>
      <c r="APW51" s="95"/>
      <c r="APX51" s="95"/>
      <c r="APY51" s="95"/>
      <c r="APZ51" s="95"/>
      <c r="AQA51" s="95"/>
      <c r="AQB51" s="95"/>
      <c r="AQC51" s="95"/>
      <c r="AQD51" s="95"/>
      <c r="AQE51" s="95"/>
      <c r="AQF51" s="95"/>
      <c r="AQG51" s="95"/>
      <c r="AQH51" s="95"/>
      <c r="AQI51" s="95"/>
      <c r="AQJ51" s="95"/>
      <c r="AQK51" s="95"/>
      <c r="AQL51" s="95"/>
      <c r="AQM51" s="95"/>
      <c r="AQN51" s="95"/>
      <c r="AQO51" s="95"/>
      <c r="AQP51" s="95"/>
      <c r="AQQ51" s="95"/>
      <c r="AQR51" s="95"/>
      <c r="AQS51" s="95"/>
      <c r="AQT51" s="95"/>
      <c r="AQU51" s="95"/>
      <c r="AQV51" s="95"/>
      <c r="AQW51" s="95"/>
      <c r="AQX51" s="95"/>
      <c r="AQY51" s="95"/>
      <c r="AQZ51" s="95"/>
      <c r="ARA51" s="95"/>
      <c r="ARB51" s="95"/>
      <c r="ARC51" s="95"/>
      <c r="ARD51" s="95"/>
      <c r="ARE51" s="95"/>
      <c r="ARF51" s="95"/>
      <c r="ARG51" s="95"/>
      <c r="ARH51" s="95"/>
      <c r="ARI51" s="95"/>
      <c r="ARJ51" s="95"/>
      <c r="ARK51" s="95"/>
      <c r="ARL51" s="95"/>
      <c r="ARM51" s="95"/>
      <c r="ARN51" s="95"/>
      <c r="ARO51" s="95"/>
      <c r="ARP51" s="95"/>
      <c r="ARQ51" s="95"/>
      <c r="ARR51" s="95"/>
      <c r="ARS51" s="95"/>
      <c r="ART51" s="95"/>
      <c r="ARU51" s="95"/>
      <c r="ARV51" s="95"/>
      <c r="ARW51" s="95"/>
      <c r="ARX51" s="95"/>
      <c r="ARY51" s="95"/>
      <c r="ARZ51" s="95"/>
      <c r="ASA51" s="95"/>
      <c r="ASB51" s="95"/>
      <c r="ASC51" s="95"/>
      <c r="ASD51" s="95"/>
      <c r="ASE51" s="95"/>
      <c r="ASF51" s="95"/>
      <c r="ASG51" s="95"/>
      <c r="ASH51" s="95"/>
      <c r="ASI51" s="95"/>
      <c r="ASJ51" s="95"/>
      <c r="ASK51" s="95"/>
      <c r="ASL51" s="95"/>
      <c r="ASM51" s="95"/>
      <c r="ASN51" s="95"/>
      <c r="ASO51" s="95"/>
      <c r="ASP51" s="95"/>
      <c r="ASQ51" s="95"/>
      <c r="ASR51" s="95"/>
      <c r="ASS51" s="95"/>
      <c r="AST51" s="95"/>
      <c r="ASU51" s="95"/>
      <c r="ASV51" s="95"/>
      <c r="ASW51" s="95"/>
      <c r="ASX51" s="95"/>
      <c r="ASY51" s="95"/>
      <c r="ASZ51" s="95"/>
      <c r="ATA51" s="95"/>
      <c r="ATB51" s="95"/>
      <c r="ATC51" s="95"/>
      <c r="ATD51" s="95"/>
      <c r="ATE51" s="95"/>
      <c r="ATF51" s="95"/>
      <c r="ATG51" s="95"/>
      <c r="ATH51" s="95"/>
      <c r="ATI51" s="95"/>
      <c r="ATJ51" s="95"/>
      <c r="ATK51" s="95"/>
      <c r="ATL51" s="95"/>
      <c r="ATM51" s="95"/>
      <c r="ATN51" s="95"/>
      <c r="ATO51" s="95"/>
      <c r="ATP51" s="95"/>
      <c r="ATQ51" s="95"/>
      <c r="ATR51" s="95"/>
      <c r="ATS51" s="95"/>
      <c r="ATT51" s="95"/>
      <c r="ATU51" s="95"/>
      <c r="ATV51" s="95"/>
      <c r="ATW51" s="95"/>
      <c r="ATX51" s="95"/>
      <c r="ATY51" s="95"/>
      <c r="ATZ51" s="95"/>
      <c r="AUA51" s="95"/>
      <c r="AUB51" s="95"/>
      <c r="AUC51" s="95"/>
      <c r="AUD51" s="95"/>
      <c r="AUE51" s="95"/>
      <c r="AUF51" s="95"/>
      <c r="AUG51" s="95"/>
      <c r="AUH51" s="95"/>
      <c r="AUI51" s="95"/>
      <c r="AUJ51" s="95"/>
      <c r="AUK51" s="95"/>
      <c r="AUL51" s="95"/>
      <c r="AUM51" s="95"/>
      <c r="AUN51" s="95"/>
      <c r="AUO51" s="95"/>
      <c r="AUP51" s="95"/>
      <c r="AUQ51" s="95"/>
      <c r="AUR51" s="95"/>
      <c r="AUS51" s="95"/>
      <c r="AUT51" s="95"/>
      <c r="AUU51" s="95"/>
      <c r="AUV51" s="95"/>
      <c r="AUW51" s="95"/>
      <c r="AUX51" s="95"/>
      <c r="AUY51" s="95"/>
      <c r="AUZ51" s="95"/>
      <c r="AVA51" s="95"/>
      <c r="AVB51" s="95"/>
      <c r="AVC51" s="95"/>
      <c r="AVD51" s="95"/>
      <c r="AVE51" s="95"/>
      <c r="AVF51" s="95"/>
      <c r="AVG51" s="95"/>
      <c r="AVH51" s="95"/>
      <c r="AVI51" s="95"/>
      <c r="AVJ51" s="95"/>
      <c r="AVK51" s="95"/>
      <c r="AVL51" s="95"/>
      <c r="AVM51" s="95"/>
      <c r="AVN51" s="95"/>
      <c r="AVO51" s="95"/>
      <c r="AVP51" s="95"/>
      <c r="AVQ51" s="95"/>
      <c r="AVR51" s="95"/>
      <c r="AVS51" s="95"/>
      <c r="AVT51" s="95"/>
      <c r="AVU51" s="95"/>
      <c r="AVV51" s="95"/>
      <c r="AVW51" s="95"/>
      <c r="AVX51" s="95"/>
      <c r="AVY51" s="95"/>
      <c r="AVZ51" s="95"/>
      <c r="AWA51" s="95"/>
      <c r="AWB51" s="95"/>
      <c r="AWC51" s="95"/>
      <c r="AWD51" s="95"/>
      <c r="AWE51" s="95"/>
      <c r="AWF51" s="95"/>
      <c r="AWG51" s="95"/>
      <c r="AWH51" s="95"/>
      <c r="AWI51" s="95"/>
      <c r="AWJ51" s="95"/>
      <c r="AWK51" s="95"/>
      <c r="AWL51" s="95"/>
      <c r="AWM51" s="95"/>
      <c r="AWN51" s="95"/>
      <c r="AWO51" s="95"/>
      <c r="AWP51" s="95"/>
      <c r="AWQ51" s="95"/>
      <c r="AWR51" s="95"/>
      <c r="AWS51" s="95"/>
      <c r="AWT51" s="95"/>
      <c r="AWU51" s="95"/>
      <c r="AWV51" s="95"/>
      <c r="AWW51" s="95"/>
      <c r="AWX51" s="95"/>
      <c r="AWY51" s="95"/>
      <c r="AWZ51" s="95"/>
      <c r="AXA51" s="95"/>
      <c r="AXB51" s="95"/>
      <c r="AXC51" s="95"/>
      <c r="AXD51" s="95"/>
      <c r="AXE51" s="95"/>
      <c r="AXF51" s="95"/>
      <c r="AXG51" s="95"/>
      <c r="AXH51" s="95"/>
      <c r="AXI51" s="95"/>
      <c r="AXJ51" s="95"/>
      <c r="AXK51" s="95"/>
      <c r="AXL51" s="95"/>
      <c r="AXM51" s="95"/>
      <c r="AXN51" s="95"/>
      <c r="AXO51" s="95"/>
      <c r="AXP51" s="95"/>
      <c r="AXQ51" s="95"/>
      <c r="AXR51" s="95"/>
      <c r="AXS51" s="95"/>
      <c r="AXT51" s="95"/>
      <c r="AXU51" s="95"/>
      <c r="AXV51" s="95"/>
      <c r="AXW51" s="95"/>
      <c r="AXX51" s="95"/>
      <c r="AXY51" s="95"/>
      <c r="AXZ51" s="95"/>
      <c r="AYA51" s="95"/>
      <c r="AYB51" s="95"/>
      <c r="AYC51" s="95"/>
      <c r="AYD51" s="95"/>
      <c r="AYE51" s="95"/>
      <c r="AYF51" s="95"/>
      <c r="AYG51" s="95"/>
      <c r="AYH51" s="95"/>
      <c r="AYI51" s="95"/>
      <c r="AYJ51" s="95"/>
      <c r="AYK51" s="95"/>
      <c r="AYL51" s="95"/>
      <c r="AYM51" s="95"/>
      <c r="AYN51" s="95"/>
      <c r="AYO51" s="95"/>
      <c r="AYP51" s="95"/>
      <c r="AYQ51" s="95"/>
      <c r="AYR51" s="95"/>
      <c r="AYS51" s="95"/>
      <c r="AYT51" s="95"/>
      <c r="AYU51" s="95"/>
      <c r="AYV51" s="95"/>
      <c r="AYW51" s="95"/>
      <c r="AYX51" s="95"/>
      <c r="AYY51" s="95"/>
      <c r="AYZ51" s="95"/>
      <c r="AZA51" s="95"/>
      <c r="AZB51" s="95"/>
      <c r="AZC51" s="95"/>
      <c r="AZD51" s="95"/>
      <c r="AZE51" s="95"/>
      <c r="AZF51" s="95"/>
      <c r="AZG51" s="95"/>
      <c r="AZH51" s="95"/>
      <c r="AZI51" s="95"/>
      <c r="AZJ51" s="95"/>
      <c r="AZK51" s="95"/>
      <c r="AZL51" s="95"/>
      <c r="AZM51" s="95"/>
      <c r="AZN51" s="95"/>
      <c r="AZO51" s="95"/>
      <c r="AZP51" s="95"/>
      <c r="AZQ51" s="95"/>
      <c r="AZR51" s="95"/>
      <c r="AZS51" s="95"/>
      <c r="AZT51" s="95"/>
      <c r="AZU51" s="95"/>
      <c r="AZV51" s="95"/>
      <c r="AZW51" s="95"/>
      <c r="AZX51" s="95"/>
      <c r="AZY51" s="95"/>
      <c r="AZZ51" s="95"/>
      <c r="BAA51" s="95"/>
      <c r="BAB51" s="95"/>
      <c r="BAC51" s="95"/>
      <c r="BAD51" s="95"/>
      <c r="BAE51" s="95"/>
      <c r="BAF51" s="95"/>
      <c r="BAG51" s="95"/>
      <c r="BAH51" s="95"/>
      <c r="BAI51" s="95"/>
      <c r="BAJ51" s="95"/>
      <c r="BAK51" s="95"/>
      <c r="BAL51" s="95"/>
      <c r="BAM51" s="95"/>
      <c r="BAN51" s="95"/>
      <c r="BAO51" s="95"/>
      <c r="BAP51" s="95"/>
      <c r="BAQ51" s="95"/>
      <c r="BAR51" s="95"/>
      <c r="BAS51" s="95"/>
      <c r="BAT51" s="95"/>
      <c r="BAU51" s="95"/>
      <c r="BAV51" s="95"/>
      <c r="BAW51" s="95"/>
      <c r="BAX51" s="95"/>
      <c r="BAY51" s="95"/>
      <c r="BAZ51" s="95"/>
      <c r="BBA51" s="95"/>
      <c r="BBB51" s="95"/>
      <c r="BBC51" s="95"/>
      <c r="BBD51" s="95"/>
      <c r="BBE51" s="95"/>
      <c r="BBF51" s="95"/>
      <c r="BBG51" s="95"/>
      <c r="BBH51" s="95"/>
      <c r="BBI51" s="95"/>
      <c r="BBJ51" s="95"/>
      <c r="BBK51" s="95"/>
      <c r="BBL51" s="95"/>
      <c r="BBM51" s="95"/>
      <c r="BBN51" s="95"/>
      <c r="BBO51" s="95"/>
      <c r="BBP51" s="95"/>
      <c r="BBQ51" s="95"/>
      <c r="BBR51" s="95"/>
      <c r="BBS51" s="95"/>
      <c r="BBT51" s="95"/>
      <c r="BBU51" s="95"/>
      <c r="BBV51" s="95"/>
      <c r="BBW51" s="95"/>
      <c r="BBX51" s="95"/>
      <c r="BBY51" s="95"/>
      <c r="BBZ51" s="95"/>
      <c r="BCA51" s="95"/>
      <c r="BCB51" s="95"/>
      <c r="BCC51" s="95"/>
      <c r="BCD51" s="95"/>
      <c r="BCE51" s="95"/>
      <c r="BCF51" s="95"/>
      <c r="BCG51" s="95"/>
      <c r="BCH51" s="95"/>
      <c r="BCI51" s="95"/>
      <c r="BCJ51" s="95"/>
      <c r="BCK51" s="95"/>
      <c r="BCL51" s="95"/>
      <c r="BCM51" s="95"/>
      <c r="BCN51" s="95"/>
      <c r="BCO51" s="95"/>
      <c r="BCP51" s="95"/>
      <c r="BCQ51" s="95"/>
      <c r="BCR51" s="95"/>
      <c r="BCS51" s="95"/>
      <c r="BCT51" s="95"/>
      <c r="BCU51" s="95"/>
      <c r="BCV51" s="95"/>
      <c r="BCW51" s="95"/>
      <c r="BCX51" s="95"/>
      <c r="BCY51" s="95"/>
      <c r="BCZ51" s="95"/>
      <c r="BDA51" s="95"/>
      <c r="BDB51" s="95"/>
      <c r="BDC51" s="95"/>
      <c r="BDD51" s="95"/>
      <c r="BDE51" s="95"/>
      <c r="BDF51" s="95"/>
      <c r="BDG51" s="95"/>
      <c r="BDH51" s="95"/>
      <c r="BDI51" s="95"/>
      <c r="BDJ51" s="95"/>
      <c r="BDK51" s="95"/>
      <c r="BDL51" s="95"/>
      <c r="BDM51" s="95"/>
      <c r="BDN51" s="95"/>
      <c r="BDO51" s="95"/>
      <c r="BDP51" s="95"/>
      <c r="BDQ51" s="95"/>
      <c r="BDR51" s="95"/>
      <c r="BDS51" s="95"/>
      <c r="BDT51" s="95"/>
      <c r="BDU51" s="95"/>
      <c r="BDV51" s="95"/>
      <c r="BDW51" s="95"/>
      <c r="BDX51" s="95"/>
      <c r="BDY51" s="95"/>
      <c r="BDZ51" s="95"/>
      <c r="BEA51" s="95"/>
      <c r="BEB51" s="95"/>
      <c r="BEC51" s="95"/>
      <c r="BED51" s="95"/>
      <c r="BEE51" s="95"/>
      <c r="BEF51" s="95"/>
      <c r="BEG51" s="95"/>
      <c r="BEH51" s="95"/>
      <c r="BEI51" s="95"/>
      <c r="BEJ51" s="95"/>
      <c r="BEK51" s="95"/>
      <c r="BEL51" s="95"/>
      <c r="BEM51" s="95"/>
      <c r="BEN51" s="95"/>
      <c r="BEO51" s="95"/>
      <c r="BEP51" s="95"/>
      <c r="BEQ51" s="95"/>
      <c r="BER51" s="95"/>
      <c r="BES51" s="95"/>
      <c r="BET51" s="95"/>
      <c r="BEU51" s="95"/>
      <c r="BEV51" s="95"/>
      <c r="BEW51" s="95"/>
      <c r="BEX51" s="95"/>
      <c r="BEY51" s="95"/>
      <c r="BEZ51" s="95"/>
      <c r="BFA51" s="95"/>
      <c r="BFB51" s="95"/>
      <c r="BFC51" s="95"/>
      <c r="BFD51" s="95"/>
      <c r="BFE51" s="95"/>
      <c r="BFF51" s="95"/>
      <c r="BFG51" s="95"/>
      <c r="BFH51" s="95"/>
      <c r="BFI51" s="95"/>
      <c r="BFJ51" s="95"/>
      <c r="BFK51" s="95"/>
      <c r="BFL51" s="95"/>
      <c r="BFM51" s="95"/>
      <c r="BFN51" s="95"/>
      <c r="BFO51" s="95"/>
      <c r="BFP51" s="95"/>
      <c r="BFQ51" s="95"/>
      <c r="BFR51" s="95"/>
      <c r="BFS51" s="95"/>
      <c r="BFT51" s="95"/>
      <c r="BFU51" s="95"/>
      <c r="BFV51" s="95"/>
      <c r="BFW51" s="95"/>
      <c r="BFX51" s="95"/>
      <c r="BFY51" s="95"/>
      <c r="BFZ51" s="95"/>
      <c r="BGA51" s="95"/>
      <c r="BGB51" s="95"/>
      <c r="BGC51" s="95"/>
      <c r="BGD51" s="95"/>
      <c r="BGE51" s="95"/>
      <c r="BGF51" s="95"/>
      <c r="BGG51" s="95"/>
      <c r="BGH51" s="95"/>
      <c r="BGI51" s="95"/>
      <c r="BGJ51" s="95"/>
      <c r="BGK51" s="95"/>
      <c r="BGL51" s="95"/>
      <c r="BGM51" s="95"/>
      <c r="BGN51" s="95"/>
      <c r="BGO51" s="95"/>
      <c r="BGP51" s="95"/>
      <c r="BGQ51" s="95"/>
      <c r="BGR51" s="95"/>
      <c r="BGS51" s="95"/>
      <c r="BGT51" s="95"/>
      <c r="BGU51" s="95"/>
      <c r="BGV51" s="95"/>
      <c r="BGW51" s="95"/>
      <c r="BGX51" s="95"/>
      <c r="BGY51" s="95"/>
      <c r="BGZ51" s="95"/>
      <c r="BHA51" s="95"/>
      <c r="BHB51" s="95"/>
      <c r="BHC51" s="95"/>
      <c r="BHD51" s="95"/>
      <c r="BHE51" s="95"/>
      <c r="BHF51" s="95"/>
      <c r="BHG51" s="95"/>
      <c r="BHH51" s="95"/>
      <c r="BHI51" s="95"/>
      <c r="BHJ51" s="95"/>
      <c r="BHK51" s="95"/>
      <c r="BHL51" s="95"/>
      <c r="BHM51" s="95"/>
      <c r="BHN51" s="95"/>
      <c r="BHO51" s="95"/>
      <c r="BHP51" s="95"/>
      <c r="BHQ51" s="95"/>
      <c r="BHR51" s="95"/>
      <c r="BHS51" s="95"/>
      <c r="BHT51" s="95"/>
      <c r="BHU51" s="95"/>
      <c r="BHV51" s="95"/>
      <c r="BHW51" s="95"/>
      <c r="BHX51" s="95"/>
      <c r="BHY51" s="95"/>
      <c r="BHZ51" s="95"/>
      <c r="BIA51" s="95"/>
      <c r="BIB51" s="95"/>
      <c r="BIC51" s="95"/>
      <c r="BID51" s="95"/>
      <c r="BIE51" s="95"/>
      <c r="BIF51" s="95"/>
      <c r="BIG51" s="95"/>
      <c r="BIH51" s="95"/>
      <c r="BII51" s="95"/>
      <c r="BIJ51" s="95"/>
      <c r="BIK51" s="95"/>
      <c r="BIL51" s="95"/>
      <c r="BIM51" s="95"/>
      <c r="BIN51" s="95"/>
      <c r="BIO51" s="95"/>
      <c r="BIP51" s="95"/>
      <c r="BIQ51" s="95"/>
      <c r="BIR51" s="95"/>
      <c r="BIS51" s="95"/>
      <c r="BIT51" s="95"/>
      <c r="BIU51" s="95"/>
      <c r="BIV51" s="95"/>
      <c r="BIW51" s="95"/>
      <c r="BIX51" s="95"/>
      <c r="BIY51" s="95"/>
      <c r="BIZ51" s="95"/>
      <c r="BJA51" s="95"/>
      <c r="BJB51" s="95"/>
      <c r="BJC51" s="95"/>
      <c r="BJD51" s="95"/>
      <c r="BJE51" s="95"/>
      <c r="BJF51" s="95"/>
      <c r="BJG51" s="95"/>
      <c r="BJH51" s="95"/>
      <c r="BJI51" s="95"/>
      <c r="BJJ51" s="95"/>
      <c r="BJK51" s="95"/>
      <c r="BJL51" s="95"/>
      <c r="BJM51" s="95"/>
      <c r="BJN51" s="95"/>
      <c r="BJO51" s="95"/>
      <c r="BJP51" s="95"/>
      <c r="BJQ51" s="95"/>
      <c r="BJR51" s="95"/>
      <c r="BJS51" s="95"/>
      <c r="BJT51" s="95"/>
      <c r="BJU51" s="95"/>
      <c r="BJV51" s="95"/>
      <c r="BJW51" s="95"/>
      <c r="BJX51" s="95"/>
      <c r="BJY51" s="95"/>
      <c r="BJZ51" s="95"/>
      <c r="BKA51" s="95"/>
      <c r="BKB51" s="95"/>
      <c r="BKC51" s="95"/>
      <c r="BKD51" s="95"/>
      <c r="BKE51" s="95"/>
      <c r="BKF51" s="95"/>
      <c r="BKG51" s="95"/>
      <c r="BKH51" s="95"/>
      <c r="BKI51" s="95"/>
      <c r="BKJ51" s="95"/>
      <c r="BKK51" s="95"/>
      <c r="BKL51" s="95"/>
      <c r="BKM51" s="95"/>
      <c r="BKN51" s="95"/>
      <c r="BKO51" s="95"/>
      <c r="BKP51" s="95"/>
      <c r="BKQ51" s="95"/>
      <c r="BKR51" s="95"/>
      <c r="BKS51" s="95"/>
      <c r="BKT51" s="95"/>
      <c r="BKU51" s="95"/>
      <c r="BKV51" s="95"/>
      <c r="BKW51" s="95"/>
      <c r="BKX51" s="95"/>
      <c r="BKY51" s="95"/>
      <c r="BKZ51" s="95"/>
      <c r="BLA51" s="95"/>
      <c r="BLB51" s="95"/>
      <c r="BLC51" s="95"/>
      <c r="BLD51" s="95"/>
      <c r="BLE51" s="95"/>
      <c r="BLF51" s="95"/>
      <c r="BLG51" s="95"/>
      <c r="BLH51" s="95"/>
      <c r="BLI51" s="95"/>
      <c r="BLJ51" s="95"/>
      <c r="BLK51" s="95"/>
      <c r="BLL51" s="95"/>
      <c r="BLM51" s="95"/>
      <c r="BLN51" s="95"/>
      <c r="BLO51" s="95"/>
      <c r="BLP51" s="95"/>
      <c r="BLQ51" s="95"/>
      <c r="BLR51" s="95"/>
      <c r="BLS51" s="95"/>
      <c r="BLT51" s="95"/>
      <c r="BLU51" s="95"/>
      <c r="BLV51" s="95"/>
      <c r="BLW51" s="95"/>
      <c r="BLX51" s="95"/>
      <c r="BLY51" s="95"/>
      <c r="BLZ51" s="95"/>
      <c r="BMA51" s="95"/>
      <c r="BMB51" s="95"/>
      <c r="BMC51" s="95"/>
      <c r="BMD51" s="95"/>
      <c r="BME51" s="95"/>
      <c r="BMF51" s="95"/>
      <c r="BMG51" s="95"/>
      <c r="BMH51" s="95"/>
      <c r="BMI51" s="95"/>
      <c r="BMJ51" s="95"/>
      <c r="BMK51" s="95"/>
      <c r="BML51" s="95"/>
      <c r="BMM51" s="95"/>
      <c r="BMN51" s="95"/>
      <c r="BMO51" s="95"/>
      <c r="BMP51" s="95"/>
      <c r="BMQ51" s="95"/>
      <c r="BMR51" s="95"/>
      <c r="BMS51" s="95"/>
      <c r="BMT51" s="95"/>
      <c r="BMU51" s="95"/>
      <c r="BMV51" s="95"/>
      <c r="BMW51" s="95"/>
      <c r="BMX51" s="95"/>
      <c r="BMY51" s="95"/>
      <c r="BMZ51" s="95"/>
      <c r="BNA51" s="95"/>
      <c r="BNB51" s="95"/>
      <c r="BNC51" s="95"/>
      <c r="BND51" s="95"/>
      <c r="BNE51" s="95"/>
      <c r="BNF51" s="95"/>
      <c r="BNG51" s="95"/>
      <c r="BNH51" s="95"/>
      <c r="BNI51" s="95"/>
      <c r="BNJ51" s="95"/>
      <c r="BNK51" s="95"/>
      <c r="BNL51" s="95"/>
      <c r="BNM51" s="95"/>
      <c r="BNN51" s="95"/>
      <c r="BNO51" s="95"/>
      <c r="BNP51" s="95"/>
      <c r="BNQ51" s="95"/>
      <c r="BNR51" s="95"/>
      <c r="BNS51" s="95"/>
      <c r="BNT51" s="95"/>
      <c r="BNU51" s="95"/>
      <c r="BNV51" s="95"/>
      <c r="BNW51" s="95"/>
      <c r="BNX51" s="95"/>
      <c r="BNY51" s="95"/>
      <c r="BNZ51" s="95"/>
      <c r="BOA51" s="95"/>
      <c r="BOB51" s="95"/>
      <c r="BOC51" s="95"/>
      <c r="BOD51" s="95"/>
      <c r="BOE51" s="95"/>
      <c r="BOF51" s="95"/>
      <c r="BOG51" s="95"/>
      <c r="BOH51" s="95"/>
      <c r="BOI51" s="95"/>
      <c r="BOJ51" s="95"/>
      <c r="BOK51" s="95"/>
      <c r="BOL51" s="95"/>
      <c r="BOM51" s="95"/>
      <c r="BON51" s="95"/>
      <c r="BOO51" s="95"/>
      <c r="BOP51" s="95"/>
      <c r="BOQ51" s="95"/>
      <c r="BOR51" s="95"/>
      <c r="BOS51" s="95"/>
      <c r="BOT51" s="95"/>
      <c r="BOU51" s="95"/>
      <c r="BOV51" s="95"/>
      <c r="BOW51" s="95"/>
      <c r="BOX51" s="95"/>
      <c r="BOY51" s="95"/>
      <c r="BOZ51" s="95"/>
      <c r="BPA51" s="95"/>
      <c r="BPB51" s="95"/>
      <c r="BPC51" s="95"/>
      <c r="BPD51" s="95"/>
      <c r="BPE51" s="95"/>
      <c r="BPF51" s="95"/>
      <c r="BPG51" s="95"/>
      <c r="BPH51" s="95"/>
      <c r="BPI51" s="95"/>
      <c r="BPJ51" s="95"/>
      <c r="BPK51" s="95"/>
      <c r="BPL51" s="95"/>
      <c r="BPM51" s="95"/>
      <c r="BPN51" s="95"/>
      <c r="BPO51" s="95"/>
      <c r="BPP51" s="95"/>
      <c r="BPQ51" s="95"/>
      <c r="BPR51" s="95"/>
      <c r="BPS51" s="95"/>
      <c r="BPT51" s="95"/>
      <c r="BPU51" s="95"/>
      <c r="BPV51" s="95"/>
      <c r="BPW51" s="95"/>
      <c r="BPX51" s="95"/>
      <c r="BPY51" s="95"/>
      <c r="BPZ51" s="95"/>
      <c r="BQA51" s="95"/>
      <c r="BQB51" s="95"/>
      <c r="BQC51" s="95"/>
      <c r="BQD51" s="95"/>
      <c r="BQE51" s="95"/>
      <c r="BQF51" s="95"/>
      <c r="BQG51" s="95"/>
      <c r="BQH51" s="95"/>
      <c r="BQI51" s="95"/>
      <c r="BQJ51" s="95"/>
      <c r="BQK51" s="95"/>
      <c r="BQL51" s="95"/>
      <c r="BQM51" s="95"/>
      <c r="BQN51" s="95"/>
      <c r="BQO51" s="95"/>
      <c r="BQP51" s="95"/>
      <c r="BQQ51" s="95"/>
      <c r="BQR51" s="95"/>
      <c r="BQS51" s="95"/>
      <c r="BQT51" s="95"/>
      <c r="BQU51" s="95"/>
      <c r="BQV51" s="95"/>
      <c r="BQW51" s="95"/>
      <c r="BQX51" s="95"/>
      <c r="BQY51" s="95"/>
      <c r="BQZ51" s="95"/>
      <c r="BRA51" s="95"/>
      <c r="BRB51" s="95"/>
      <c r="BRC51" s="95"/>
      <c r="BRD51" s="95"/>
      <c r="BRE51" s="95"/>
      <c r="BRF51" s="95"/>
      <c r="BRG51" s="95"/>
      <c r="BRH51" s="95"/>
      <c r="BRI51" s="95"/>
      <c r="BRJ51" s="95"/>
      <c r="BRK51" s="95"/>
      <c r="BRL51" s="95"/>
      <c r="BRM51" s="95"/>
      <c r="BRN51" s="95"/>
      <c r="BRO51" s="95"/>
      <c r="BRP51" s="95"/>
      <c r="BRQ51" s="95"/>
      <c r="BRR51" s="95"/>
      <c r="BRS51" s="95"/>
      <c r="BRT51" s="95"/>
      <c r="BRU51" s="95"/>
      <c r="BRV51" s="95"/>
      <c r="BRW51" s="95"/>
      <c r="BRX51" s="95"/>
      <c r="BRY51" s="95"/>
      <c r="BRZ51" s="95"/>
      <c r="BSA51" s="95"/>
      <c r="BSB51" s="95"/>
      <c r="BSC51" s="95"/>
      <c r="BSD51" s="95"/>
      <c r="BSE51" s="95"/>
      <c r="BSF51" s="95"/>
      <c r="BSG51" s="95"/>
      <c r="BSH51" s="95"/>
      <c r="BSI51" s="95"/>
      <c r="BSJ51" s="95"/>
      <c r="BSK51" s="95"/>
      <c r="BSL51" s="95"/>
      <c r="BSM51" s="95"/>
      <c r="BSN51" s="95"/>
      <c r="BSO51" s="95"/>
      <c r="BSP51" s="95"/>
      <c r="BSQ51" s="95"/>
      <c r="BSR51" s="95"/>
      <c r="BSS51" s="95"/>
      <c r="BST51" s="95"/>
      <c r="BSU51" s="95"/>
      <c r="BSV51" s="95"/>
      <c r="BSW51" s="95"/>
      <c r="BSX51" s="95"/>
      <c r="BSY51" s="95"/>
      <c r="BSZ51" s="95"/>
      <c r="BTA51" s="95"/>
      <c r="BTB51" s="95"/>
      <c r="BTC51" s="95"/>
      <c r="BTD51" s="95"/>
      <c r="BTE51" s="95"/>
      <c r="BTF51" s="95"/>
      <c r="BTG51" s="95"/>
      <c r="BTH51" s="95"/>
      <c r="BTI51" s="95"/>
      <c r="BTJ51" s="95"/>
      <c r="BTK51" s="95"/>
      <c r="BTL51" s="95"/>
      <c r="BTM51" s="95"/>
      <c r="BTN51" s="95"/>
      <c r="BTO51" s="95"/>
      <c r="BTP51" s="95"/>
      <c r="BTQ51" s="95"/>
      <c r="BTR51" s="95"/>
      <c r="BTS51" s="95"/>
      <c r="BTT51" s="95"/>
      <c r="BTU51" s="95"/>
      <c r="BTV51" s="95"/>
      <c r="BTW51" s="95"/>
      <c r="BTX51" s="95"/>
      <c r="BTY51" s="95"/>
      <c r="BTZ51" s="95"/>
      <c r="BUA51" s="95"/>
      <c r="BUB51" s="95"/>
      <c r="BUC51" s="95"/>
      <c r="BUD51" s="95"/>
      <c r="BUE51" s="95"/>
      <c r="BUF51" s="95"/>
      <c r="BUG51" s="95"/>
      <c r="BUH51" s="95"/>
      <c r="BUI51" s="95"/>
      <c r="BUJ51" s="95"/>
      <c r="BUK51" s="95"/>
      <c r="BUL51" s="95"/>
      <c r="BUM51" s="95"/>
      <c r="BUN51" s="95"/>
      <c r="BUO51" s="95"/>
      <c r="BUP51" s="95"/>
      <c r="BUQ51" s="95"/>
      <c r="BUR51" s="95"/>
      <c r="BUS51" s="95"/>
      <c r="BUT51" s="95"/>
      <c r="BUU51" s="95"/>
      <c r="BUV51" s="95"/>
      <c r="BUW51" s="95"/>
      <c r="BUX51" s="95"/>
      <c r="BUY51" s="95"/>
      <c r="BUZ51" s="95"/>
      <c r="BVA51" s="95"/>
      <c r="BVB51" s="95"/>
      <c r="BVC51" s="95"/>
      <c r="BVD51" s="95"/>
      <c r="BVE51" s="95"/>
      <c r="BVF51" s="95"/>
      <c r="BVG51" s="95"/>
      <c r="BVH51" s="95"/>
      <c r="BVI51" s="95"/>
      <c r="BVJ51" s="95"/>
      <c r="BVK51" s="95"/>
      <c r="BVL51" s="95"/>
      <c r="BVM51" s="95"/>
      <c r="BVN51" s="95"/>
      <c r="BVO51" s="95"/>
      <c r="BVP51" s="95"/>
      <c r="BVQ51" s="95"/>
      <c r="BVR51" s="95"/>
      <c r="BVS51" s="95"/>
      <c r="BVT51" s="95"/>
      <c r="BVU51" s="95"/>
      <c r="BVV51" s="95"/>
      <c r="BVW51" s="95"/>
      <c r="BVX51" s="95"/>
      <c r="BVY51" s="95"/>
      <c r="BVZ51" s="95"/>
      <c r="BWA51" s="95"/>
      <c r="BWB51" s="95"/>
      <c r="BWC51" s="95"/>
      <c r="BWD51" s="95"/>
      <c r="BWE51" s="95"/>
      <c r="BWF51" s="95"/>
      <c r="BWG51" s="95"/>
      <c r="BWH51" s="95"/>
      <c r="BWI51" s="95"/>
      <c r="BWJ51" s="95"/>
      <c r="BWK51" s="95"/>
      <c r="BWL51" s="95"/>
      <c r="BWM51" s="95"/>
      <c r="BWN51" s="95"/>
      <c r="BWO51" s="95"/>
      <c r="BWP51" s="95"/>
      <c r="BWQ51" s="95"/>
      <c r="BWR51" s="95"/>
      <c r="BWS51" s="95"/>
      <c r="BWT51" s="95"/>
      <c r="BWU51" s="95"/>
      <c r="BWV51" s="95"/>
      <c r="BWW51" s="95"/>
      <c r="BWX51" s="95"/>
      <c r="BWY51" s="95"/>
      <c r="BWZ51" s="95"/>
      <c r="BXA51" s="95"/>
      <c r="BXB51" s="95"/>
      <c r="BXC51" s="95"/>
      <c r="BXD51" s="95"/>
      <c r="BXE51" s="95"/>
      <c r="BXF51" s="95"/>
      <c r="BXG51" s="95"/>
      <c r="BXH51" s="95"/>
      <c r="BXI51" s="95"/>
      <c r="BXJ51" s="95"/>
      <c r="BXK51" s="95"/>
      <c r="BXL51" s="95"/>
      <c r="BXM51" s="95"/>
      <c r="BXN51" s="95"/>
      <c r="BXO51" s="95"/>
      <c r="BXP51" s="95"/>
      <c r="BXQ51" s="95"/>
      <c r="BXR51" s="95"/>
      <c r="BXS51" s="95"/>
      <c r="BXT51" s="95"/>
      <c r="BXU51" s="95"/>
      <c r="BXV51" s="95"/>
      <c r="BXW51" s="95"/>
      <c r="BXX51" s="95"/>
      <c r="BXY51" s="95"/>
      <c r="BXZ51" s="95"/>
      <c r="BYA51" s="95"/>
      <c r="BYB51" s="95"/>
      <c r="BYC51" s="95"/>
      <c r="BYD51" s="95"/>
      <c r="BYE51" s="95"/>
      <c r="BYF51" s="95"/>
      <c r="BYG51" s="95"/>
    </row>
    <row r="52" spans="1:2009" s="121" customFormat="1" ht="24.95" customHeight="1" x14ac:dyDescent="0.25">
      <c r="A52" s="384"/>
      <c r="B52" s="387" t="s">
        <v>247</v>
      </c>
      <c r="C52" s="513">
        <f>4120-2250</f>
        <v>1870</v>
      </c>
      <c r="D52" s="513"/>
      <c r="E52" s="513"/>
      <c r="F52" s="513"/>
      <c r="G52" s="389">
        <f>SUM(C52:F52)</f>
        <v>1870</v>
      </c>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customHeight="1" thickBot="1" x14ac:dyDescent="0.3">
      <c r="A53" s="767" t="s">
        <v>198</v>
      </c>
      <c r="B53" s="768"/>
      <c r="C53" s="385">
        <f t="shared" ref="C53" si="1">SUM(C50:C52)</f>
        <v>4120</v>
      </c>
      <c r="D53" s="385"/>
      <c r="E53" s="385"/>
      <c r="F53" s="385"/>
      <c r="G53" s="385">
        <f t="shared" ref="G53" si="2">SUM(G50:G52)</f>
        <v>4120</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95" customFormat="1" ht="12.75" customHeight="1" thickBot="1" x14ac:dyDescent="0.3">
      <c r="A54" s="111"/>
      <c r="B54" s="111"/>
      <c r="C54" s="182"/>
      <c r="D54" s="182"/>
      <c r="E54" s="182"/>
      <c r="F54" s="182"/>
      <c r="G54" s="182"/>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row>
    <row r="55" spans="1:2009" s="121" customFormat="1" ht="24.95" hidden="1" customHeight="1" thickBot="1" x14ac:dyDescent="0.3">
      <c r="A55" s="521" t="s">
        <v>391</v>
      </c>
      <c r="B55" s="517"/>
      <c r="C55" s="518"/>
      <c r="D55" s="519"/>
      <c r="E55" s="519"/>
      <c r="F55" s="519"/>
      <c r="G55" s="520">
        <f>SUM(C55:F55)</f>
        <v>0</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95" customFormat="1" ht="12.75" hidden="1" customHeight="1" thickBot="1" x14ac:dyDescent="0.3">
      <c r="A56" s="111"/>
      <c r="B56" s="111"/>
      <c r="C56" s="182"/>
      <c r="D56" s="182"/>
      <c r="E56" s="182"/>
      <c r="F56" s="182"/>
      <c r="G56" s="182"/>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row>
    <row r="57" spans="1:2009" s="121" customFormat="1" ht="24.95" customHeight="1" thickBot="1" x14ac:dyDescent="0.3">
      <c r="A57" s="570" t="s">
        <v>392</v>
      </c>
      <c r="B57" s="415"/>
      <c r="C57" s="416">
        <v>3410.64</v>
      </c>
      <c r="D57" s="417"/>
      <c r="E57" s="416"/>
      <c r="F57" s="417"/>
      <c r="G57" s="418">
        <f>SUM(C57:F57)</f>
        <v>3410.64</v>
      </c>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5"/>
      <c r="IP57" s="95"/>
      <c r="IQ57" s="95"/>
      <c r="IR57" s="95"/>
      <c r="IS57" s="95"/>
      <c r="IT57" s="95"/>
      <c r="IU57" s="95"/>
      <c r="IV57" s="95"/>
      <c r="IW57" s="95"/>
      <c r="IX57" s="95"/>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5"/>
      <c r="NJ57" s="95"/>
      <c r="NK57" s="95"/>
      <c r="NL57" s="95"/>
      <c r="NM57" s="95"/>
      <c r="NN57" s="95"/>
      <c r="NO57" s="95"/>
      <c r="NP57" s="95"/>
      <c r="NQ57" s="95"/>
      <c r="NR57" s="95"/>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5"/>
      <c r="SD57" s="95"/>
      <c r="SE57" s="95"/>
      <c r="SF57" s="95"/>
      <c r="SG57" s="95"/>
      <c r="SH57" s="95"/>
      <c r="SI57" s="95"/>
      <c r="SJ57" s="95"/>
      <c r="SK57" s="95"/>
      <c r="SL57" s="95"/>
      <c r="SM57" s="95"/>
      <c r="SN57" s="95"/>
      <c r="SO57" s="95"/>
      <c r="SP57" s="95"/>
      <c r="SQ57" s="95"/>
      <c r="SR57" s="95"/>
      <c r="SS57" s="95"/>
      <c r="ST57" s="95"/>
      <c r="SU57" s="95"/>
      <c r="SV57" s="95"/>
      <c r="SW57" s="95"/>
      <c r="SX57" s="95"/>
      <c r="SY57" s="95"/>
      <c r="SZ57" s="95"/>
      <c r="TA57" s="95"/>
      <c r="TB57" s="95"/>
      <c r="TC57" s="95"/>
      <c r="TD57" s="95"/>
      <c r="TE57" s="95"/>
      <c r="TF57" s="95"/>
      <c r="TG57" s="95"/>
      <c r="TH57" s="95"/>
      <c r="TI57" s="95"/>
      <c r="TJ57" s="95"/>
      <c r="TK57" s="95"/>
      <c r="TL57" s="95"/>
      <c r="TM57" s="95"/>
      <c r="TN57" s="95"/>
      <c r="TO57" s="95"/>
      <c r="TP57" s="95"/>
      <c r="TQ57" s="95"/>
      <c r="TR57" s="95"/>
      <c r="TS57" s="95"/>
      <c r="TT57" s="95"/>
      <c r="TU57" s="95"/>
      <c r="TV57" s="95"/>
      <c r="TW57" s="95"/>
      <c r="TX57" s="95"/>
      <c r="TY57" s="95"/>
      <c r="TZ57" s="95"/>
      <c r="UA57" s="95"/>
      <c r="UB57" s="95"/>
      <c r="UC57" s="95"/>
      <c r="UD57" s="95"/>
      <c r="UE57" s="95"/>
      <c r="UF57" s="95"/>
      <c r="UG57" s="95"/>
      <c r="UH57" s="95"/>
      <c r="UI57" s="95"/>
      <c r="UJ57" s="95"/>
      <c r="UK57" s="95"/>
      <c r="UL57" s="95"/>
      <c r="UM57" s="95"/>
      <c r="UN57" s="95"/>
      <c r="UO57" s="95"/>
      <c r="UP57" s="95"/>
      <c r="UQ57" s="95"/>
      <c r="UR57" s="95"/>
      <c r="US57" s="95"/>
      <c r="UT57" s="95"/>
      <c r="UU57" s="95"/>
      <c r="UV57" s="95"/>
      <c r="UW57" s="95"/>
      <c r="UX57" s="95"/>
      <c r="UY57" s="95"/>
      <c r="UZ57" s="95"/>
      <c r="VA57" s="95"/>
      <c r="VB57" s="95"/>
      <c r="VC57" s="95"/>
      <c r="VD57" s="95"/>
      <c r="VE57" s="95"/>
      <c r="VF57" s="95"/>
      <c r="VG57" s="95"/>
      <c r="VH57" s="95"/>
      <c r="VI57" s="95"/>
      <c r="VJ57" s="95"/>
      <c r="VK57" s="95"/>
      <c r="VL57" s="95"/>
      <c r="VM57" s="95"/>
      <c r="VN57" s="95"/>
      <c r="VO57" s="95"/>
      <c r="VP57" s="95"/>
      <c r="VQ57" s="95"/>
      <c r="VR57" s="95"/>
      <c r="VS57" s="95"/>
      <c r="VT57" s="95"/>
      <c r="VU57" s="95"/>
      <c r="VV57" s="95"/>
      <c r="VW57" s="95"/>
      <c r="VX57" s="95"/>
      <c r="VY57" s="95"/>
      <c r="VZ57" s="95"/>
      <c r="WA57" s="95"/>
      <c r="WB57" s="95"/>
      <c r="WC57" s="95"/>
      <c r="WD57" s="95"/>
      <c r="WE57" s="95"/>
      <c r="WF57" s="95"/>
      <c r="WG57" s="95"/>
      <c r="WH57" s="95"/>
      <c r="WI57" s="95"/>
      <c r="WJ57" s="95"/>
      <c r="WK57" s="95"/>
      <c r="WL57" s="95"/>
      <c r="WM57" s="95"/>
      <c r="WN57" s="95"/>
      <c r="WO57" s="95"/>
      <c r="WP57" s="95"/>
      <c r="WQ57" s="95"/>
      <c r="WR57" s="95"/>
      <c r="WS57" s="95"/>
      <c r="WT57" s="95"/>
      <c r="WU57" s="95"/>
      <c r="WV57" s="95"/>
      <c r="WW57" s="95"/>
      <c r="WX57" s="95"/>
      <c r="WY57" s="95"/>
      <c r="WZ57" s="95"/>
      <c r="XA57" s="95"/>
      <c r="XB57" s="95"/>
      <c r="XC57" s="95"/>
      <c r="XD57" s="95"/>
      <c r="XE57" s="95"/>
      <c r="XF57" s="95"/>
      <c r="XG57" s="95"/>
      <c r="XH57" s="95"/>
      <c r="XI57" s="95"/>
      <c r="XJ57" s="95"/>
      <c r="XK57" s="95"/>
      <c r="XL57" s="95"/>
      <c r="XM57" s="95"/>
      <c r="XN57" s="95"/>
      <c r="XO57" s="95"/>
      <c r="XP57" s="95"/>
      <c r="XQ57" s="95"/>
      <c r="XR57" s="95"/>
      <c r="XS57" s="95"/>
      <c r="XT57" s="95"/>
      <c r="XU57" s="95"/>
      <c r="XV57" s="95"/>
      <c r="XW57" s="95"/>
      <c r="XX57" s="95"/>
      <c r="XY57" s="95"/>
      <c r="XZ57" s="95"/>
      <c r="YA57" s="95"/>
      <c r="YB57" s="95"/>
      <c r="YC57" s="95"/>
      <c r="YD57" s="95"/>
      <c r="YE57" s="95"/>
      <c r="YF57" s="95"/>
      <c r="YG57" s="95"/>
      <c r="YH57" s="95"/>
      <c r="YI57" s="95"/>
      <c r="YJ57" s="95"/>
      <c r="YK57" s="95"/>
      <c r="YL57" s="95"/>
      <c r="YM57" s="95"/>
      <c r="YN57" s="95"/>
      <c r="YO57" s="95"/>
      <c r="YP57" s="95"/>
      <c r="YQ57" s="95"/>
      <c r="YR57" s="95"/>
      <c r="YS57" s="95"/>
      <c r="YT57" s="95"/>
      <c r="YU57" s="95"/>
      <c r="YV57" s="95"/>
      <c r="YW57" s="95"/>
      <c r="YX57" s="95"/>
      <c r="YY57" s="95"/>
      <c r="YZ57" s="95"/>
      <c r="ZA57" s="95"/>
      <c r="ZB57" s="95"/>
      <c r="ZC57" s="95"/>
      <c r="ZD57" s="95"/>
      <c r="ZE57" s="95"/>
      <c r="ZF57" s="95"/>
      <c r="ZG57" s="95"/>
      <c r="ZH57" s="95"/>
      <c r="ZI57" s="95"/>
      <c r="ZJ57" s="95"/>
      <c r="ZK57" s="95"/>
      <c r="ZL57" s="95"/>
      <c r="ZM57" s="95"/>
      <c r="ZN57" s="95"/>
      <c r="ZO57" s="95"/>
      <c r="ZP57" s="95"/>
      <c r="ZQ57" s="95"/>
      <c r="ZR57" s="95"/>
      <c r="ZS57" s="95"/>
      <c r="ZT57" s="95"/>
      <c r="ZU57" s="95"/>
      <c r="ZV57" s="95"/>
      <c r="ZW57" s="95"/>
      <c r="ZX57" s="95"/>
      <c r="ZY57" s="95"/>
      <c r="ZZ57" s="95"/>
      <c r="AAA57" s="95"/>
      <c r="AAB57" s="95"/>
      <c r="AAC57" s="95"/>
      <c r="AAD57" s="95"/>
      <c r="AAE57" s="95"/>
      <c r="AAF57" s="95"/>
      <c r="AAG57" s="95"/>
      <c r="AAH57" s="95"/>
      <c r="AAI57" s="95"/>
      <c r="AAJ57" s="95"/>
      <c r="AAK57" s="95"/>
      <c r="AAL57" s="95"/>
      <c r="AAM57" s="95"/>
      <c r="AAN57" s="95"/>
      <c r="AAO57" s="95"/>
      <c r="AAP57" s="95"/>
      <c r="AAQ57" s="95"/>
      <c r="AAR57" s="95"/>
      <c r="AAS57" s="95"/>
      <c r="AAT57" s="95"/>
      <c r="AAU57" s="95"/>
      <c r="AAV57" s="95"/>
      <c r="AAW57" s="95"/>
      <c r="AAX57" s="95"/>
      <c r="AAY57" s="95"/>
      <c r="AAZ57" s="95"/>
      <c r="ABA57" s="95"/>
      <c r="ABB57" s="95"/>
      <c r="ABC57" s="95"/>
      <c r="ABD57" s="95"/>
      <c r="ABE57" s="95"/>
      <c r="ABF57" s="95"/>
      <c r="ABG57" s="95"/>
      <c r="ABH57" s="95"/>
      <c r="ABI57" s="95"/>
      <c r="ABJ57" s="95"/>
      <c r="ABK57" s="95"/>
      <c r="ABL57" s="95"/>
      <c r="ABM57" s="95"/>
      <c r="ABN57" s="95"/>
      <c r="ABO57" s="95"/>
      <c r="ABP57" s="95"/>
      <c r="ABQ57" s="95"/>
      <c r="ABR57" s="95"/>
      <c r="ABS57" s="95"/>
      <c r="ABT57" s="95"/>
      <c r="ABU57" s="95"/>
      <c r="ABV57" s="95"/>
      <c r="ABW57" s="95"/>
      <c r="ABX57" s="95"/>
      <c r="ABY57" s="95"/>
      <c r="ABZ57" s="95"/>
      <c r="ACA57" s="95"/>
      <c r="ACB57" s="95"/>
      <c r="ACC57" s="95"/>
      <c r="ACD57" s="95"/>
      <c r="ACE57" s="95"/>
      <c r="ACF57" s="95"/>
      <c r="ACG57" s="95"/>
      <c r="ACH57" s="95"/>
      <c r="ACI57" s="95"/>
      <c r="ACJ57" s="95"/>
      <c r="ACK57" s="95"/>
      <c r="ACL57" s="95"/>
      <c r="ACM57" s="95"/>
      <c r="ACN57" s="95"/>
      <c r="ACO57" s="95"/>
      <c r="ACP57" s="95"/>
      <c r="ACQ57" s="95"/>
      <c r="ACR57" s="95"/>
      <c r="ACS57" s="95"/>
      <c r="ACT57" s="95"/>
      <c r="ACU57" s="95"/>
      <c r="ACV57" s="95"/>
      <c r="ACW57" s="95"/>
      <c r="ACX57" s="95"/>
      <c r="ACY57" s="95"/>
      <c r="ACZ57" s="95"/>
      <c r="ADA57" s="95"/>
      <c r="ADB57" s="95"/>
      <c r="ADC57" s="95"/>
      <c r="ADD57" s="95"/>
      <c r="ADE57" s="95"/>
      <c r="ADF57" s="95"/>
      <c r="ADG57" s="95"/>
      <c r="ADH57" s="95"/>
      <c r="ADI57" s="95"/>
      <c r="ADJ57" s="95"/>
      <c r="ADK57" s="95"/>
      <c r="ADL57" s="95"/>
      <c r="ADM57" s="95"/>
      <c r="ADN57" s="95"/>
      <c r="ADO57" s="95"/>
      <c r="ADP57" s="95"/>
      <c r="ADQ57" s="95"/>
      <c r="ADR57" s="95"/>
      <c r="ADS57" s="95"/>
      <c r="ADT57" s="95"/>
      <c r="ADU57" s="95"/>
      <c r="ADV57" s="95"/>
      <c r="ADW57" s="95"/>
      <c r="ADX57" s="95"/>
      <c r="ADY57" s="95"/>
      <c r="ADZ57" s="95"/>
      <c r="AEA57" s="95"/>
      <c r="AEB57" s="95"/>
      <c r="AEC57" s="95"/>
      <c r="AED57" s="95"/>
      <c r="AEE57" s="95"/>
      <c r="AEF57" s="95"/>
      <c r="AEG57" s="95"/>
      <c r="AEH57" s="95"/>
      <c r="AEI57" s="95"/>
      <c r="AEJ57" s="95"/>
      <c r="AEK57" s="95"/>
      <c r="AEL57" s="95"/>
      <c r="AEM57" s="95"/>
      <c r="AEN57" s="95"/>
      <c r="AEO57" s="95"/>
      <c r="AEP57" s="95"/>
      <c r="AEQ57" s="95"/>
      <c r="AER57" s="95"/>
      <c r="AES57" s="95"/>
      <c r="AET57" s="95"/>
      <c r="AEU57" s="95"/>
      <c r="AEV57" s="95"/>
      <c r="AEW57" s="95"/>
      <c r="AEX57" s="95"/>
      <c r="AEY57" s="95"/>
      <c r="AEZ57" s="95"/>
      <c r="AFA57" s="95"/>
      <c r="AFB57" s="95"/>
      <c r="AFC57" s="95"/>
      <c r="AFD57" s="95"/>
      <c r="AFE57" s="95"/>
      <c r="AFF57" s="95"/>
      <c r="AFG57" s="95"/>
      <c r="AFH57" s="95"/>
      <c r="AFI57" s="95"/>
      <c r="AFJ57" s="95"/>
      <c r="AFK57" s="95"/>
      <c r="AFL57" s="95"/>
      <c r="AFM57" s="95"/>
      <c r="AFN57" s="95"/>
      <c r="AFO57" s="95"/>
      <c r="AFP57" s="95"/>
      <c r="AFQ57" s="95"/>
      <c r="AFR57" s="95"/>
      <c r="AFS57" s="95"/>
      <c r="AFT57" s="95"/>
      <c r="AFU57" s="95"/>
      <c r="AFV57" s="95"/>
      <c r="AFW57" s="95"/>
      <c r="AFX57" s="95"/>
      <c r="AFY57" s="95"/>
      <c r="AFZ57" s="95"/>
      <c r="AGA57" s="95"/>
      <c r="AGB57" s="95"/>
      <c r="AGC57" s="95"/>
      <c r="AGD57" s="95"/>
      <c r="AGE57" s="95"/>
      <c r="AGF57" s="95"/>
      <c r="AGG57" s="95"/>
      <c r="AGH57" s="95"/>
      <c r="AGI57" s="95"/>
      <c r="AGJ57" s="95"/>
      <c r="AGK57" s="95"/>
      <c r="AGL57" s="95"/>
      <c r="AGM57" s="95"/>
      <c r="AGN57" s="95"/>
      <c r="AGO57" s="95"/>
      <c r="AGP57" s="95"/>
      <c r="AGQ57" s="95"/>
      <c r="AGR57" s="95"/>
      <c r="AGS57" s="95"/>
      <c r="AGT57" s="95"/>
      <c r="AGU57" s="95"/>
      <c r="AGV57" s="95"/>
      <c r="AGW57" s="95"/>
      <c r="AGX57" s="95"/>
      <c r="AGY57" s="95"/>
      <c r="AGZ57" s="95"/>
      <c r="AHA57" s="95"/>
      <c r="AHB57" s="95"/>
      <c r="AHC57" s="95"/>
      <c r="AHD57" s="95"/>
      <c r="AHE57" s="95"/>
      <c r="AHF57" s="95"/>
      <c r="AHG57" s="95"/>
      <c r="AHH57" s="95"/>
      <c r="AHI57" s="95"/>
      <c r="AHJ57" s="95"/>
      <c r="AHK57" s="95"/>
      <c r="AHL57" s="95"/>
      <c r="AHM57" s="95"/>
      <c r="AHN57" s="95"/>
      <c r="AHO57" s="95"/>
      <c r="AHP57" s="95"/>
      <c r="AHQ57" s="95"/>
      <c r="AHR57" s="95"/>
      <c r="AHS57" s="95"/>
      <c r="AHT57" s="95"/>
      <c r="AHU57" s="95"/>
      <c r="AHV57" s="95"/>
      <c r="AHW57" s="95"/>
      <c r="AHX57" s="95"/>
      <c r="AHY57" s="95"/>
      <c r="AHZ57" s="95"/>
      <c r="AIA57" s="95"/>
      <c r="AIB57" s="95"/>
      <c r="AIC57" s="95"/>
      <c r="AID57" s="95"/>
      <c r="AIE57" s="95"/>
      <c r="AIF57" s="95"/>
      <c r="AIG57" s="95"/>
      <c r="AIH57" s="95"/>
      <c r="AII57" s="95"/>
      <c r="AIJ57" s="95"/>
      <c r="AIK57" s="95"/>
      <c r="AIL57" s="95"/>
      <c r="AIM57" s="95"/>
      <c r="AIN57" s="95"/>
      <c r="AIO57" s="95"/>
      <c r="AIP57" s="95"/>
      <c r="AIQ57" s="95"/>
      <c r="AIR57" s="95"/>
      <c r="AIS57" s="95"/>
      <c r="AIT57" s="95"/>
      <c r="AIU57" s="95"/>
      <c r="AIV57" s="95"/>
      <c r="AIW57" s="95"/>
      <c r="AIX57" s="95"/>
      <c r="AIY57" s="95"/>
      <c r="AIZ57" s="95"/>
      <c r="AJA57" s="95"/>
      <c r="AJB57" s="95"/>
      <c r="AJC57" s="95"/>
      <c r="AJD57" s="95"/>
      <c r="AJE57" s="95"/>
      <c r="AJF57" s="95"/>
      <c r="AJG57" s="95"/>
      <c r="AJH57" s="95"/>
      <c r="AJI57" s="95"/>
      <c r="AJJ57" s="95"/>
      <c r="AJK57" s="95"/>
      <c r="AJL57" s="95"/>
      <c r="AJM57" s="95"/>
      <c r="AJN57" s="95"/>
      <c r="AJO57" s="95"/>
      <c r="AJP57" s="95"/>
      <c r="AJQ57" s="95"/>
      <c r="AJR57" s="95"/>
      <c r="AJS57" s="95"/>
      <c r="AJT57" s="95"/>
      <c r="AJU57" s="95"/>
      <c r="AJV57" s="95"/>
      <c r="AJW57" s="95"/>
      <c r="AJX57" s="95"/>
      <c r="AJY57" s="95"/>
      <c r="AJZ57" s="95"/>
      <c r="AKA57" s="95"/>
      <c r="AKB57" s="95"/>
      <c r="AKC57" s="95"/>
      <c r="AKD57" s="95"/>
      <c r="AKE57" s="95"/>
      <c r="AKF57" s="95"/>
      <c r="AKG57" s="95"/>
      <c r="AKH57" s="95"/>
      <c r="AKI57" s="95"/>
      <c r="AKJ57" s="95"/>
      <c r="AKK57" s="95"/>
      <c r="AKL57" s="95"/>
      <c r="AKM57" s="95"/>
      <c r="AKN57" s="95"/>
      <c r="AKO57" s="95"/>
      <c r="AKP57" s="95"/>
      <c r="AKQ57" s="95"/>
      <c r="AKR57" s="95"/>
      <c r="AKS57" s="95"/>
      <c r="AKT57" s="95"/>
      <c r="AKU57" s="95"/>
      <c r="AKV57" s="95"/>
      <c r="AKW57" s="95"/>
      <c r="AKX57" s="95"/>
      <c r="AKY57" s="95"/>
      <c r="AKZ57" s="95"/>
      <c r="ALA57" s="95"/>
      <c r="ALB57" s="95"/>
      <c r="ALC57" s="95"/>
      <c r="ALD57" s="95"/>
      <c r="ALE57" s="95"/>
      <c r="ALF57" s="95"/>
      <c r="ALG57" s="95"/>
      <c r="ALH57" s="95"/>
      <c r="ALI57" s="95"/>
      <c r="ALJ57" s="95"/>
      <c r="ALK57" s="95"/>
      <c r="ALL57" s="95"/>
      <c r="ALM57" s="95"/>
      <c r="ALN57" s="95"/>
      <c r="ALO57" s="95"/>
      <c r="ALP57" s="95"/>
      <c r="ALQ57" s="95"/>
      <c r="ALR57" s="95"/>
      <c r="ALS57" s="95"/>
      <c r="ALT57" s="95"/>
      <c r="ALU57" s="95"/>
      <c r="ALV57" s="95"/>
      <c r="ALW57" s="95"/>
      <c r="ALX57" s="95"/>
      <c r="ALY57" s="95"/>
      <c r="ALZ57" s="95"/>
      <c r="AMA57" s="95"/>
      <c r="AMB57" s="95"/>
      <c r="AMC57" s="95"/>
      <c r="AMD57" s="95"/>
      <c r="AME57" s="95"/>
      <c r="AMF57" s="95"/>
      <c r="AMG57" s="95"/>
      <c r="AMH57" s="95"/>
      <c r="AMI57" s="95"/>
      <c r="AMJ57" s="95"/>
      <c r="AMK57" s="95"/>
      <c r="AML57" s="95"/>
      <c r="AMM57" s="95"/>
      <c r="AMN57" s="95"/>
      <c r="AMO57" s="95"/>
      <c r="AMP57" s="95"/>
      <c r="AMQ57" s="95"/>
      <c r="AMR57" s="95"/>
      <c r="AMS57" s="95"/>
      <c r="AMT57" s="95"/>
      <c r="AMU57" s="95"/>
      <c r="AMV57" s="95"/>
      <c r="AMW57" s="95"/>
      <c r="AMX57" s="95"/>
      <c r="AMY57" s="95"/>
      <c r="AMZ57" s="95"/>
      <c r="ANA57" s="95"/>
      <c r="ANB57" s="95"/>
      <c r="ANC57" s="95"/>
      <c r="AND57" s="95"/>
      <c r="ANE57" s="95"/>
      <c r="ANF57" s="95"/>
      <c r="ANG57" s="95"/>
      <c r="ANH57" s="95"/>
      <c r="ANI57" s="95"/>
      <c r="ANJ57" s="95"/>
      <c r="ANK57" s="95"/>
      <c r="ANL57" s="95"/>
      <c r="ANM57" s="95"/>
      <c r="ANN57" s="95"/>
      <c r="ANO57" s="95"/>
      <c r="ANP57" s="95"/>
      <c r="ANQ57" s="95"/>
      <c r="ANR57" s="95"/>
      <c r="ANS57" s="95"/>
      <c r="ANT57" s="95"/>
      <c r="ANU57" s="95"/>
      <c r="ANV57" s="95"/>
      <c r="ANW57" s="95"/>
      <c r="ANX57" s="95"/>
      <c r="ANY57" s="95"/>
      <c r="ANZ57" s="95"/>
      <c r="AOA57" s="95"/>
      <c r="AOB57" s="95"/>
      <c r="AOC57" s="95"/>
      <c r="AOD57" s="95"/>
      <c r="AOE57" s="95"/>
      <c r="AOF57" s="95"/>
      <c r="AOG57" s="95"/>
      <c r="AOH57" s="95"/>
      <c r="AOI57" s="95"/>
      <c r="AOJ57" s="95"/>
      <c r="AOK57" s="95"/>
      <c r="AOL57" s="95"/>
      <c r="AOM57" s="95"/>
      <c r="AON57" s="95"/>
      <c r="AOO57" s="95"/>
      <c r="AOP57" s="95"/>
      <c r="AOQ57" s="95"/>
      <c r="AOR57" s="95"/>
      <c r="AOS57" s="95"/>
      <c r="AOT57" s="95"/>
      <c r="AOU57" s="95"/>
      <c r="AOV57" s="95"/>
      <c r="AOW57" s="95"/>
      <c r="AOX57" s="95"/>
      <c r="AOY57" s="95"/>
      <c r="AOZ57" s="95"/>
      <c r="APA57" s="95"/>
      <c r="APB57" s="95"/>
      <c r="APC57" s="95"/>
      <c r="APD57" s="95"/>
      <c r="APE57" s="95"/>
      <c r="APF57" s="95"/>
      <c r="APG57" s="95"/>
      <c r="APH57" s="95"/>
      <c r="API57" s="95"/>
      <c r="APJ57" s="95"/>
      <c r="APK57" s="95"/>
      <c r="APL57" s="95"/>
      <c r="APM57" s="95"/>
      <c r="APN57" s="95"/>
      <c r="APO57" s="95"/>
      <c r="APP57" s="95"/>
      <c r="APQ57" s="95"/>
      <c r="APR57" s="95"/>
      <c r="APS57" s="95"/>
      <c r="APT57" s="95"/>
      <c r="APU57" s="95"/>
      <c r="APV57" s="95"/>
      <c r="APW57" s="95"/>
      <c r="APX57" s="95"/>
      <c r="APY57" s="95"/>
      <c r="APZ57" s="95"/>
      <c r="AQA57" s="95"/>
      <c r="AQB57" s="95"/>
      <c r="AQC57" s="95"/>
      <c r="AQD57" s="95"/>
      <c r="AQE57" s="95"/>
      <c r="AQF57" s="95"/>
      <c r="AQG57" s="95"/>
      <c r="AQH57" s="95"/>
      <c r="AQI57" s="95"/>
      <c r="AQJ57" s="95"/>
      <c r="AQK57" s="95"/>
      <c r="AQL57" s="95"/>
      <c r="AQM57" s="95"/>
      <c r="AQN57" s="95"/>
      <c r="AQO57" s="95"/>
      <c r="AQP57" s="95"/>
      <c r="AQQ57" s="95"/>
      <c r="AQR57" s="95"/>
      <c r="AQS57" s="95"/>
      <c r="AQT57" s="95"/>
      <c r="AQU57" s="95"/>
      <c r="AQV57" s="95"/>
      <c r="AQW57" s="95"/>
      <c r="AQX57" s="95"/>
      <c r="AQY57" s="95"/>
      <c r="AQZ57" s="95"/>
      <c r="ARA57" s="95"/>
      <c r="ARB57" s="95"/>
      <c r="ARC57" s="95"/>
      <c r="ARD57" s="95"/>
      <c r="ARE57" s="95"/>
      <c r="ARF57" s="95"/>
      <c r="ARG57" s="95"/>
      <c r="ARH57" s="95"/>
      <c r="ARI57" s="95"/>
      <c r="ARJ57" s="95"/>
      <c r="ARK57" s="95"/>
      <c r="ARL57" s="95"/>
      <c r="ARM57" s="95"/>
      <c r="ARN57" s="95"/>
      <c r="ARO57" s="95"/>
      <c r="ARP57" s="95"/>
      <c r="ARQ57" s="95"/>
      <c r="ARR57" s="95"/>
      <c r="ARS57" s="95"/>
      <c r="ART57" s="95"/>
      <c r="ARU57" s="95"/>
      <c r="ARV57" s="95"/>
      <c r="ARW57" s="95"/>
      <c r="ARX57" s="95"/>
      <c r="ARY57" s="95"/>
      <c r="ARZ57" s="95"/>
      <c r="ASA57" s="95"/>
      <c r="ASB57" s="95"/>
      <c r="ASC57" s="95"/>
      <c r="ASD57" s="95"/>
      <c r="ASE57" s="95"/>
      <c r="ASF57" s="95"/>
      <c r="ASG57" s="95"/>
      <c r="ASH57" s="95"/>
      <c r="ASI57" s="95"/>
      <c r="ASJ57" s="95"/>
      <c r="ASK57" s="95"/>
      <c r="ASL57" s="95"/>
      <c r="ASM57" s="95"/>
      <c r="ASN57" s="95"/>
      <c r="ASO57" s="95"/>
      <c r="ASP57" s="95"/>
      <c r="ASQ57" s="95"/>
      <c r="ASR57" s="95"/>
      <c r="ASS57" s="95"/>
      <c r="AST57" s="95"/>
      <c r="ASU57" s="95"/>
      <c r="ASV57" s="95"/>
      <c r="ASW57" s="95"/>
      <c r="ASX57" s="95"/>
      <c r="ASY57" s="95"/>
      <c r="ASZ57" s="95"/>
      <c r="ATA57" s="95"/>
      <c r="ATB57" s="95"/>
      <c r="ATC57" s="95"/>
      <c r="ATD57" s="95"/>
      <c r="ATE57" s="95"/>
      <c r="ATF57" s="95"/>
      <c r="ATG57" s="95"/>
      <c r="ATH57" s="95"/>
      <c r="ATI57" s="95"/>
      <c r="ATJ57" s="95"/>
      <c r="ATK57" s="95"/>
      <c r="ATL57" s="95"/>
      <c r="ATM57" s="95"/>
      <c r="ATN57" s="95"/>
      <c r="ATO57" s="95"/>
      <c r="ATP57" s="95"/>
      <c r="ATQ57" s="95"/>
      <c r="ATR57" s="95"/>
      <c r="ATS57" s="95"/>
      <c r="ATT57" s="95"/>
      <c r="ATU57" s="95"/>
      <c r="ATV57" s="95"/>
      <c r="ATW57" s="95"/>
      <c r="ATX57" s="95"/>
      <c r="ATY57" s="95"/>
      <c r="ATZ57" s="95"/>
      <c r="AUA57" s="95"/>
      <c r="AUB57" s="95"/>
      <c r="AUC57" s="95"/>
      <c r="AUD57" s="95"/>
      <c r="AUE57" s="95"/>
      <c r="AUF57" s="95"/>
      <c r="AUG57" s="95"/>
      <c r="AUH57" s="95"/>
      <c r="AUI57" s="95"/>
      <c r="AUJ57" s="95"/>
      <c r="AUK57" s="95"/>
      <c r="AUL57" s="95"/>
      <c r="AUM57" s="95"/>
      <c r="AUN57" s="95"/>
      <c r="AUO57" s="95"/>
      <c r="AUP57" s="95"/>
      <c r="AUQ57" s="95"/>
      <c r="AUR57" s="95"/>
      <c r="AUS57" s="95"/>
      <c r="AUT57" s="95"/>
      <c r="AUU57" s="95"/>
      <c r="AUV57" s="95"/>
      <c r="AUW57" s="95"/>
      <c r="AUX57" s="95"/>
      <c r="AUY57" s="95"/>
      <c r="AUZ57" s="95"/>
      <c r="AVA57" s="95"/>
      <c r="AVB57" s="95"/>
      <c r="AVC57" s="95"/>
      <c r="AVD57" s="95"/>
      <c r="AVE57" s="95"/>
      <c r="AVF57" s="95"/>
      <c r="AVG57" s="95"/>
      <c r="AVH57" s="95"/>
      <c r="AVI57" s="95"/>
      <c r="AVJ57" s="95"/>
      <c r="AVK57" s="95"/>
      <c r="AVL57" s="95"/>
      <c r="AVM57" s="95"/>
      <c r="AVN57" s="95"/>
      <c r="AVO57" s="95"/>
      <c r="AVP57" s="95"/>
      <c r="AVQ57" s="95"/>
      <c r="AVR57" s="95"/>
      <c r="AVS57" s="95"/>
      <c r="AVT57" s="95"/>
      <c r="AVU57" s="95"/>
      <c r="AVV57" s="95"/>
      <c r="AVW57" s="95"/>
      <c r="AVX57" s="95"/>
      <c r="AVY57" s="95"/>
      <c r="AVZ57" s="95"/>
      <c r="AWA57" s="95"/>
      <c r="AWB57" s="95"/>
      <c r="AWC57" s="95"/>
      <c r="AWD57" s="95"/>
      <c r="AWE57" s="95"/>
      <c r="AWF57" s="95"/>
      <c r="AWG57" s="95"/>
      <c r="AWH57" s="95"/>
      <c r="AWI57" s="95"/>
      <c r="AWJ57" s="95"/>
      <c r="AWK57" s="95"/>
      <c r="AWL57" s="95"/>
      <c r="AWM57" s="95"/>
      <c r="AWN57" s="95"/>
      <c r="AWO57" s="95"/>
      <c r="AWP57" s="95"/>
      <c r="AWQ57" s="95"/>
      <c r="AWR57" s="95"/>
      <c r="AWS57" s="95"/>
      <c r="AWT57" s="95"/>
      <c r="AWU57" s="95"/>
      <c r="AWV57" s="95"/>
      <c r="AWW57" s="95"/>
      <c r="AWX57" s="95"/>
      <c r="AWY57" s="95"/>
      <c r="AWZ57" s="95"/>
      <c r="AXA57" s="95"/>
      <c r="AXB57" s="95"/>
      <c r="AXC57" s="95"/>
      <c r="AXD57" s="95"/>
      <c r="AXE57" s="95"/>
      <c r="AXF57" s="95"/>
      <c r="AXG57" s="95"/>
      <c r="AXH57" s="95"/>
      <c r="AXI57" s="95"/>
      <c r="AXJ57" s="95"/>
      <c r="AXK57" s="95"/>
      <c r="AXL57" s="95"/>
      <c r="AXM57" s="95"/>
      <c r="AXN57" s="95"/>
      <c r="AXO57" s="95"/>
      <c r="AXP57" s="95"/>
      <c r="AXQ57" s="95"/>
      <c r="AXR57" s="95"/>
      <c r="AXS57" s="95"/>
      <c r="AXT57" s="95"/>
      <c r="AXU57" s="95"/>
      <c r="AXV57" s="95"/>
      <c r="AXW57" s="95"/>
      <c r="AXX57" s="95"/>
      <c r="AXY57" s="95"/>
      <c r="AXZ57" s="95"/>
      <c r="AYA57" s="95"/>
      <c r="AYB57" s="95"/>
      <c r="AYC57" s="95"/>
      <c r="AYD57" s="95"/>
      <c r="AYE57" s="95"/>
      <c r="AYF57" s="95"/>
      <c r="AYG57" s="95"/>
      <c r="AYH57" s="95"/>
      <c r="AYI57" s="95"/>
      <c r="AYJ57" s="95"/>
      <c r="AYK57" s="95"/>
      <c r="AYL57" s="95"/>
      <c r="AYM57" s="95"/>
      <c r="AYN57" s="95"/>
      <c r="AYO57" s="95"/>
      <c r="AYP57" s="95"/>
      <c r="AYQ57" s="95"/>
      <c r="AYR57" s="95"/>
      <c r="AYS57" s="95"/>
      <c r="AYT57" s="95"/>
      <c r="AYU57" s="95"/>
      <c r="AYV57" s="95"/>
      <c r="AYW57" s="95"/>
      <c r="AYX57" s="95"/>
      <c r="AYY57" s="95"/>
      <c r="AYZ57" s="95"/>
      <c r="AZA57" s="95"/>
      <c r="AZB57" s="95"/>
      <c r="AZC57" s="95"/>
      <c r="AZD57" s="95"/>
      <c r="AZE57" s="95"/>
      <c r="AZF57" s="95"/>
      <c r="AZG57" s="95"/>
      <c r="AZH57" s="95"/>
      <c r="AZI57" s="95"/>
      <c r="AZJ57" s="95"/>
      <c r="AZK57" s="95"/>
      <c r="AZL57" s="95"/>
      <c r="AZM57" s="95"/>
      <c r="AZN57" s="95"/>
      <c r="AZO57" s="95"/>
      <c r="AZP57" s="95"/>
      <c r="AZQ57" s="95"/>
      <c r="AZR57" s="95"/>
      <c r="AZS57" s="95"/>
      <c r="AZT57" s="95"/>
      <c r="AZU57" s="95"/>
      <c r="AZV57" s="95"/>
      <c r="AZW57" s="95"/>
      <c r="AZX57" s="95"/>
      <c r="AZY57" s="95"/>
      <c r="AZZ57" s="95"/>
      <c r="BAA57" s="95"/>
      <c r="BAB57" s="95"/>
      <c r="BAC57" s="95"/>
      <c r="BAD57" s="95"/>
      <c r="BAE57" s="95"/>
      <c r="BAF57" s="95"/>
      <c r="BAG57" s="95"/>
      <c r="BAH57" s="95"/>
      <c r="BAI57" s="95"/>
      <c r="BAJ57" s="95"/>
      <c r="BAK57" s="95"/>
      <c r="BAL57" s="95"/>
      <c r="BAM57" s="95"/>
      <c r="BAN57" s="95"/>
      <c r="BAO57" s="95"/>
      <c r="BAP57" s="95"/>
      <c r="BAQ57" s="95"/>
      <c r="BAR57" s="95"/>
      <c r="BAS57" s="95"/>
      <c r="BAT57" s="95"/>
      <c r="BAU57" s="95"/>
      <c r="BAV57" s="95"/>
      <c r="BAW57" s="95"/>
      <c r="BAX57" s="95"/>
      <c r="BAY57" s="95"/>
      <c r="BAZ57" s="95"/>
      <c r="BBA57" s="95"/>
      <c r="BBB57" s="95"/>
      <c r="BBC57" s="95"/>
      <c r="BBD57" s="95"/>
      <c r="BBE57" s="95"/>
      <c r="BBF57" s="95"/>
      <c r="BBG57" s="95"/>
      <c r="BBH57" s="95"/>
      <c r="BBI57" s="95"/>
      <c r="BBJ57" s="95"/>
      <c r="BBK57" s="95"/>
      <c r="BBL57" s="95"/>
      <c r="BBM57" s="95"/>
      <c r="BBN57" s="95"/>
      <c r="BBO57" s="95"/>
      <c r="BBP57" s="95"/>
      <c r="BBQ57" s="95"/>
      <c r="BBR57" s="95"/>
      <c r="BBS57" s="95"/>
      <c r="BBT57" s="95"/>
      <c r="BBU57" s="95"/>
      <c r="BBV57" s="95"/>
      <c r="BBW57" s="95"/>
      <c r="BBX57" s="95"/>
      <c r="BBY57" s="95"/>
      <c r="BBZ57" s="95"/>
      <c r="BCA57" s="95"/>
      <c r="BCB57" s="95"/>
      <c r="BCC57" s="95"/>
      <c r="BCD57" s="95"/>
      <c r="BCE57" s="95"/>
      <c r="BCF57" s="95"/>
      <c r="BCG57" s="95"/>
      <c r="BCH57" s="95"/>
      <c r="BCI57" s="95"/>
      <c r="BCJ57" s="95"/>
      <c r="BCK57" s="95"/>
      <c r="BCL57" s="95"/>
      <c r="BCM57" s="95"/>
      <c r="BCN57" s="95"/>
      <c r="BCO57" s="95"/>
      <c r="BCP57" s="95"/>
      <c r="BCQ57" s="95"/>
      <c r="BCR57" s="95"/>
      <c r="BCS57" s="95"/>
      <c r="BCT57" s="95"/>
      <c r="BCU57" s="95"/>
      <c r="BCV57" s="95"/>
      <c r="BCW57" s="95"/>
      <c r="BCX57" s="95"/>
      <c r="BCY57" s="95"/>
      <c r="BCZ57" s="95"/>
      <c r="BDA57" s="95"/>
      <c r="BDB57" s="95"/>
      <c r="BDC57" s="95"/>
      <c r="BDD57" s="95"/>
      <c r="BDE57" s="95"/>
      <c r="BDF57" s="95"/>
      <c r="BDG57" s="95"/>
      <c r="BDH57" s="95"/>
      <c r="BDI57" s="95"/>
      <c r="BDJ57" s="95"/>
      <c r="BDK57" s="95"/>
      <c r="BDL57" s="95"/>
      <c r="BDM57" s="95"/>
      <c r="BDN57" s="95"/>
      <c r="BDO57" s="95"/>
      <c r="BDP57" s="95"/>
      <c r="BDQ57" s="95"/>
      <c r="BDR57" s="95"/>
      <c r="BDS57" s="95"/>
      <c r="BDT57" s="95"/>
      <c r="BDU57" s="95"/>
      <c r="BDV57" s="95"/>
      <c r="BDW57" s="95"/>
      <c r="BDX57" s="95"/>
      <c r="BDY57" s="95"/>
      <c r="BDZ57" s="95"/>
      <c r="BEA57" s="95"/>
      <c r="BEB57" s="95"/>
      <c r="BEC57" s="95"/>
      <c r="BED57" s="95"/>
      <c r="BEE57" s="95"/>
      <c r="BEF57" s="95"/>
      <c r="BEG57" s="95"/>
      <c r="BEH57" s="95"/>
      <c r="BEI57" s="95"/>
      <c r="BEJ57" s="95"/>
      <c r="BEK57" s="95"/>
      <c r="BEL57" s="95"/>
      <c r="BEM57" s="95"/>
      <c r="BEN57" s="95"/>
      <c r="BEO57" s="95"/>
      <c r="BEP57" s="95"/>
      <c r="BEQ57" s="95"/>
      <c r="BER57" s="95"/>
      <c r="BES57" s="95"/>
      <c r="BET57" s="95"/>
      <c r="BEU57" s="95"/>
      <c r="BEV57" s="95"/>
      <c r="BEW57" s="95"/>
      <c r="BEX57" s="95"/>
      <c r="BEY57" s="95"/>
      <c r="BEZ57" s="95"/>
      <c r="BFA57" s="95"/>
      <c r="BFB57" s="95"/>
      <c r="BFC57" s="95"/>
      <c r="BFD57" s="95"/>
      <c r="BFE57" s="95"/>
      <c r="BFF57" s="95"/>
      <c r="BFG57" s="95"/>
      <c r="BFH57" s="95"/>
      <c r="BFI57" s="95"/>
      <c r="BFJ57" s="95"/>
      <c r="BFK57" s="95"/>
      <c r="BFL57" s="95"/>
      <c r="BFM57" s="95"/>
      <c r="BFN57" s="95"/>
      <c r="BFO57" s="95"/>
      <c r="BFP57" s="95"/>
      <c r="BFQ57" s="95"/>
      <c r="BFR57" s="95"/>
      <c r="BFS57" s="95"/>
      <c r="BFT57" s="95"/>
      <c r="BFU57" s="95"/>
      <c r="BFV57" s="95"/>
      <c r="BFW57" s="95"/>
      <c r="BFX57" s="95"/>
      <c r="BFY57" s="95"/>
      <c r="BFZ57" s="95"/>
      <c r="BGA57" s="95"/>
      <c r="BGB57" s="95"/>
      <c r="BGC57" s="95"/>
      <c r="BGD57" s="95"/>
      <c r="BGE57" s="95"/>
      <c r="BGF57" s="95"/>
      <c r="BGG57" s="95"/>
      <c r="BGH57" s="95"/>
      <c r="BGI57" s="95"/>
      <c r="BGJ57" s="95"/>
      <c r="BGK57" s="95"/>
      <c r="BGL57" s="95"/>
      <c r="BGM57" s="95"/>
      <c r="BGN57" s="95"/>
      <c r="BGO57" s="95"/>
      <c r="BGP57" s="95"/>
      <c r="BGQ57" s="95"/>
      <c r="BGR57" s="95"/>
      <c r="BGS57" s="95"/>
      <c r="BGT57" s="95"/>
      <c r="BGU57" s="95"/>
      <c r="BGV57" s="95"/>
      <c r="BGW57" s="95"/>
      <c r="BGX57" s="95"/>
      <c r="BGY57" s="95"/>
      <c r="BGZ57" s="95"/>
      <c r="BHA57" s="95"/>
      <c r="BHB57" s="95"/>
      <c r="BHC57" s="95"/>
      <c r="BHD57" s="95"/>
      <c r="BHE57" s="95"/>
      <c r="BHF57" s="95"/>
      <c r="BHG57" s="95"/>
      <c r="BHH57" s="95"/>
      <c r="BHI57" s="95"/>
      <c r="BHJ57" s="95"/>
      <c r="BHK57" s="95"/>
      <c r="BHL57" s="95"/>
      <c r="BHM57" s="95"/>
      <c r="BHN57" s="95"/>
      <c r="BHO57" s="95"/>
      <c r="BHP57" s="95"/>
      <c r="BHQ57" s="95"/>
      <c r="BHR57" s="95"/>
      <c r="BHS57" s="95"/>
      <c r="BHT57" s="95"/>
      <c r="BHU57" s="95"/>
      <c r="BHV57" s="95"/>
      <c r="BHW57" s="95"/>
      <c r="BHX57" s="95"/>
      <c r="BHY57" s="95"/>
      <c r="BHZ57" s="95"/>
      <c r="BIA57" s="95"/>
      <c r="BIB57" s="95"/>
      <c r="BIC57" s="95"/>
      <c r="BID57" s="95"/>
      <c r="BIE57" s="95"/>
      <c r="BIF57" s="95"/>
      <c r="BIG57" s="95"/>
      <c r="BIH57" s="95"/>
      <c r="BII57" s="95"/>
      <c r="BIJ57" s="95"/>
      <c r="BIK57" s="95"/>
      <c r="BIL57" s="95"/>
      <c r="BIM57" s="95"/>
      <c r="BIN57" s="95"/>
      <c r="BIO57" s="95"/>
      <c r="BIP57" s="95"/>
      <c r="BIQ57" s="95"/>
      <c r="BIR57" s="95"/>
      <c r="BIS57" s="95"/>
      <c r="BIT57" s="95"/>
      <c r="BIU57" s="95"/>
      <c r="BIV57" s="95"/>
      <c r="BIW57" s="95"/>
      <c r="BIX57" s="95"/>
      <c r="BIY57" s="95"/>
      <c r="BIZ57" s="95"/>
      <c r="BJA57" s="95"/>
      <c r="BJB57" s="95"/>
      <c r="BJC57" s="95"/>
      <c r="BJD57" s="95"/>
      <c r="BJE57" s="95"/>
      <c r="BJF57" s="95"/>
      <c r="BJG57" s="95"/>
      <c r="BJH57" s="95"/>
      <c r="BJI57" s="95"/>
      <c r="BJJ57" s="95"/>
      <c r="BJK57" s="95"/>
      <c r="BJL57" s="95"/>
      <c r="BJM57" s="95"/>
      <c r="BJN57" s="95"/>
      <c r="BJO57" s="95"/>
      <c r="BJP57" s="95"/>
      <c r="BJQ57" s="95"/>
      <c r="BJR57" s="95"/>
      <c r="BJS57" s="95"/>
      <c r="BJT57" s="95"/>
      <c r="BJU57" s="95"/>
      <c r="BJV57" s="95"/>
      <c r="BJW57" s="95"/>
      <c r="BJX57" s="95"/>
      <c r="BJY57" s="95"/>
      <c r="BJZ57" s="95"/>
      <c r="BKA57" s="95"/>
      <c r="BKB57" s="95"/>
      <c r="BKC57" s="95"/>
      <c r="BKD57" s="95"/>
      <c r="BKE57" s="95"/>
      <c r="BKF57" s="95"/>
      <c r="BKG57" s="95"/>
      <c r="BKH57" s="95"/>
      <c r="BKI57" s="95"/>
      <c r="BKJ57" s="95"/>
      <c r="BKK57" s="95"/>
      <c r="BKL57" s="95"/>
      <c r="BKM57" s="95"/>
      <c r="BKN57" s="95"/>
      <c r="BKO57" s="95"/>
      <c r="BKP57" s="95"/>
      <c r="BKQ57" s="95"/>
      <c r="BKR57" s="95"/>
      <c r="BKS57" s="95"/>
      <c r="BKT57" s="95"/>
      <c r="BKU57" s="95"/>
      <c r="BKV57" s="95"/>
      <c r="BKW57" s="95"/>
      <c r="BKX57" s="95"/>
      <c r="BKY57" s="95"/>
      <c r="BKZ57" s="95"/>
      <c r="BLA57" s="95"/>
      <c r="BLB57" s="95"/>
      <c r="BLC57" s="95"/>
      <c r="BLD57" s="95"/>
      <c r="BLE57" s="95"/>
      <c r="BLF57" s="95"/>
      <c r="BLG57" s="95"/>
      <c r="BLH57" s="95"/>
      <c r="BLI57" s="95"/>
      <c r="BLJ57" s="95"/>
      <c r="BLK57" s="95"/>
      <c r="BLL57" s="95"/>
      <c r="BLM57" s="95"/>
      <c r="BLN57" s="95"/>
      <c r="BLO57" s="95"/>
      <c r="BLP57" s="95"/>
      <c r="BLQ57" s="95"/>
      <c r="BLR57" s="95"/>
      <c r="BLS57" s="95"/>
      <c r="BLT57" s="95"/>
      <c r="BLU57" s="95"/>
      <c r="BLV57" s="95"/>
      <c r="BLW57" s="95"/>
      <c r="BLX57" s="95"/>
      <c r="BLY57" s="95"/>
      <c r="BLZ57" s="95"/>
      <c r="BMA57" s="95"/>
      <c r="BMB57" s="95"/>
      <c r="BMC57" s="95"/>
      <c r="BMD57" s="95"/>
      <c r="BME57" s="95"/>
      <c r="BMF57" s="95"/>
      <c r="BMG57" s="95"/>
      <c r="BMH57" s="95"/>
      <c r="BMI57" s="95"/>
      <c r="BMJ57" s="95"/>
      <c r="BMK57" s="95"/>
      <c r="BML57" s="95"/>
      <c r="BMM57" s="95"/>
      <c r="BMN57" s="95"/>
      <c r="BMO57" s="95"/>
      <c r="BMP57" s="95"/>
      <c r="BMQ57" s="95"/>
      <c r="BMR57" s="95"/>
      <c r="BMS57" s="95"/>
      <c r="BMT57" s="95"/>
      <c r="BMU57" s="95"/>
      <c r="BMV57" s="95"/>
      <c r="BMW57" s="95"/>
      <c r="BMX57" s="95"/>
      <c r="BMY57" s="95"/>
      <c r="BMZ57" s="95"/>
      <c r="BNA57" s="95"/>
      <c r="BNB57" s="95"/>
      <c r="BNC57" s="95"/>
      <c r="BND57" s="95"/>
      <c r="BNE57" s="95"/>
      <c r="BNF57" s="95"/>
      <c r="BNG57" s="95"/>
      <c r="BNH57" s="95"/>
      <c r="BNI57" s="95"/>
      <c r="BNJ57" s="95"/>
      <c r="BNK57" s="95"/>
      <c r="BNL57" s="95"/>
      <c r="BNM57" s="95"/>
      <c r="BNN57" s="95"/>
      <c r="BNO57" s="95"/>
      <c r="BNP57" s="95"/>
      <c r="BNQ57" s="95"/>
      <c r="BNR57" s="95"/>
      <c r="BNS57" s="95"/>
      <c r="BNT57" s="95"/>
      <c r="BNU57" s="95"/>
      <c r="BNV57" s="95"/>
      <c r="BNW57" s="95"/>
      <c r="BNX57" s="95"/>
      <c r="BNY57" s="95"/>
      <c r="BNZ57" s="95"/>
      <c r="BOA57" s="95"/>
      <c r="BOB57" s="95"/>
      <c r="BOC57" s="95"/>
      <c r="BOD57" s="95"/>
      <c r="BOE57" s="95"/>
      <c r="BOF57" s="95"/>
      <c r="BOG57" s="95"/>
      <c r="BOH57" s="95"/>
      <c r="BOI57" s="95"/>
      <c r="BOJ57" s="95"/>
      <c r="BOK57" s="95"/>
      <c r="BOL57" s="95"/>
      <c r="BOM57" s="95"/>
      <c r="BON57" s="95"/>
      <c r="BOO57" s="95"/>
      <c r="BOP57" s="95"/>
      <c r="BOQ57" s="95"/>
      <c r="BOR57" s="95"/>
      <c r="BOS57" s="95"/>
      <c r="BOT57" s="95"/>
      <c r="BOU57" s="95"/>
      <c r="BOV57" s="95"/>
      <c r="BOW57" s="95"/>
      <c r="BOX57" s="95"/>
      <c r="BOY57" s="95"/>
      <c r="BOZ57" s="95"/>
      <c r="BPA57" s="95"/>
      <c r="BPB57" s="95"/>
      <c r="BPC57" s="95"/>
      <c r="BPD57" s="95"/>
      <c r="BPE57" s="95"/>
      <c r="BPF57" s="95"/>
      <c r="BPG57" s="95"/>
      <c r="BPH57" s="95"/>
      <c r="BPI57" s="95"/>
      <c r="BPJ57" s="95"/>
      <c r="BPK57" s="95"/>
      <c r="BPL57" s="95"/>
      <c r="BPM57" s="95"/>
      <c r="BPN57" s="95"/>
      <c r="BPO57" s="95"/>
      <c r="BPP57" s="95"/>
      <c r="BPQ57" s="95"/>
      <c r="BPR57" s="95"/>
      <c r="BPS57" s="95"/>
      <c r="BPT57" s="95"/>
      <c r="BPU57" s="95"/>
      <c r="BPV57" s="95"/>
      <c r="BPW57" s="95"/>
      <c r="BPX57" s="95"/>
      <c r="BPY57" s="95"/>
      <c r="BPZ57" s="95"/>
      <c r="BQA57" s="95"/>
      <c r="BQB57" s="95"/>
      <c r="BQC57" s="95"/>
      <c r="BQD57" s="95"/>
      <c r="BQE57" s="95"/>
      <c r="BQF57" s="95"/>
      <c r="BQG57" s="95"/>
      <c r="BQH57" s="95"/>
      <c r="BQI57" s="95"/>
      <c r="BQJ57" s="95"/>
      <c r="BQK57" s="95"/>
      <c r="BQL57" s="95"/>
      <c r="BQM57" s="95"/>
      <c r="BQN57" s="95"/>
      <c r="BQO57" s="95"/>
      <c r="BQP57" s="95"/>
      <c r="BQQ57" s="95"/>
      <c r="BQR57" s="95"/>
      <c r="BQS57" s="95"/>
      <c r="BQT57" s="95"/>
      <c r="BQU57" s="95"/>
      <c r="BQV57" s="95"/>
      <c r="BQW57" s="95"/>
      <c r="BQX57" s="95"/>
      <c r="BQY57" s="95"/>
      <c r="BQZ57" s="95"/>
      <c r="BRA57" s="95"/>
      <c r="BRB57" s="95"/>
      <c r="BRC57" s="95"/>
      <c r="BRD57" s="95"/>
      <c r="BRE57" s="95"/>
      <c r="BRF57" s="95"/>
      <c r="BRG57" s="95"/>
      <c r="BRH57" s="95"/>
      <c r="BRI57" s="95"/>
      <c r="BRJ57" s="95"/>
      <c r="BRK57" s="95"/>
      <c r="BRL57" s="95"/>
      <c r="BRM57" s="95"/>
      <c r="BRN57" s="95"/>
      <c r="BRO57" s="95"/>
      <c r="BRP57" s="95"/>
      <c r="BRQ57" s="95"/>
      <c r="BRR57" s="95"/>
      <c r="BRS57" s="95"/>
      <c r="BRT57" s="95"/>
      <c r="BRU57" s="95"/>
      <c r="BRV57" s="95"/>
      <c r="BRW57" s="95"/>
      <c r="BRX57" s="95"/>
      <c r="BRY57" s="95"/>
      <c r="BRZ57" s="95"/>
      <c r="BSA57" s="95"/>
      <c r="BSB57" s="95"/>
      <c r="BSC57" s="95"/>
      <c r="BSD57" s="95"/>
      <c r="BSE57" s="95"/>
      <c r="BSF57" s="95"/>
      <c r="BSG57" s="95"/>
      <c r="BSH57" s="95"/>
      <c r="BSI57" s="95"/>
      <c r="BSJ57" s="95"/>
      <c r="BSK57" s="95"/>
      <c r="BSL57" s="95"/>
      <c r="BSM57" s="95"/>
      <c r="BSN57" s="95"/>
      <c r="BSO57" s="95"/>
      <c r="BSP57" s="95"/>
      <c r="BSQ57" s="95"/>
      <c r="BSR57" s="95"/>
      <c r="BSS57" s="95"/>
      <c r="BST57" s="95"/>
      <c r="BSU57" s="95"/>
      <c r="BSV57" s="95"/>
      <c r="BSW57" s="95"/>
      <c r="BSX57" s="95"/>
      <c r="BSY57" s="95"/>
      <c r="BSZ57" s="95"/>
      <c r="BTA57" s="95"/>
      <c r="BTB57" s="95"/>
      <c r="BTC57" s="95"/>
      <c r="BTD57" s="95"/>
      <c r="BTE57" s="95"/>
      <c r="BTF57" s="95"/>
      <c r="BTG57" s="95"/>
      <c r="BTH57" s="95"/>
      <c r="BTI57" s="95"/>
      <c r="BTJ57" s="95"/>
      <c r="BTK57" s="95"/>
      <c r="BTL57" s="95"/>
      <c r="BTM57" s="95"/>
      <c r="BTN57" s="95"/>
      <c r="BTO57" s="95"/>
      <c r="BTP57" s="95"/>
      <c r="BTQ57" s="95"/>
      <c r="BTR57" s="95"/>
      <c r="BTS57" s="95"/>
      <c r="BTT57" s="95"/>
      <c r="BTU57" s="95"/>
      <c r="BTV57" s="95"/>
      <c r="BTW57" s="95"/>
      <c r="BTX57" s="95"/>
      <c r="BTY57" s="95"/>
      <c r="BTZ57" s="95"/>
      <c r="BUA57" s="95"/>
      <c r="BUB57" s="95"/>
      <c r="BUC57" s="95"/>
      <c r="BUD57" s="95"/>
      <c r="BUE57" s="95"/>
      <c r="BUF57" s="95"/>
      <c r="BUG57" s="95"/>
      <c r="BUH57" s="95"/>
      <c r="BUI57" s="95"/>
      <c r="BUJ57" s="95"/>
      <c r="BUK57" s="95"/>
      <c r="BUL57" s="95"/>
      <c r="BUM57" s="95"/>
      <c r="BUN57" s="95"/>
      <c r="BUO57" s="95"/>
      <c r="BUP57" s="95"/>
      <c r="BUQ57" s="95"/>
      <c r="BUR57" s="95"/>
      <c r="BUS57" s="95"/>
      <c r="BUT57" s="95"/>
      <c r="BUU57" s="95"/>
      <c r="BUV57" s="95"/>
      <c r="BUW57" s="95"/>
      <c r="BUX57" s="95"/>
      <c r="BUY57" s="95"/>
      <c r="BUZ57" s="95"/>
      <c r="BVA57" s="95"/>
      <c r="BVB57" s="95"/>
      <c r="BVC57" s="95"/>
      <c r="BVD57" s="95"/>
      <c r="BVE57" s="95"/>
      <c r="BVF57" s="95"/>
      <c r="BVG57" s="95"/>
      <c r="BVH57" s="95"/>
      <c r="BVI57" s="95"/>
      <c r="BVJ57" s="95"/>
      <c r="BVK57" s="95"/>
      <c r="BVL57" s="95"/>
      <c r="BVM57" s="95"/>
      <c r="BVN57" s="95"/>
      <c r="BVO57" s="95"/>
      <c r="BVP57" s="95"/>
      <c r="BVQ57" s="95"/>
      <c r="BVR57" s="95"/>
      <c r="BVS57" s="95"/>
      <c r="BVT57" s="95"/>
      <c r="BVU57" s="95"/>
      <c r="BVV57" s="95"/>
      <c r="BVW57" s="95"/>
      <c r="BVX57" s="95"/>
      <c r="BVY57" s="95"/>
      <c r="BVZ57" s="95"/>
      <c r="BWA57" s="95"/>
      <c r="BWB57" s="95"/>
      <c r="BWC57" s="95"/>
      <c r="BWD57" s="95"/>
      <c r="BWE57" s="95"/>
      <c r="BWF57" s="95"/>
      <c r="BWG57" s="95"/>
      <c r="BWH57" s="95"/>
      <c r="BWI57" s="95"/>
      <c r="BWJ57" s="95"/>
      <c r="BWK57" s="95"/>
      <c r="BWL57" s="95"/>
      <c r="BWM57" s="95"/>
      <c r="BWN57" s="95"/>
      <c r="BWO57" s="95"/>
      <c r="BWP57" s="95"/>
      <c r="BWQ57" s="95"/>
      <c r="BWR57" s="95"/>
      <c r="BWS57" s="95"/>
      <c r="BWT57" s="95"/>
      <c r="BWU57" s="95"/>
      <c r="BWV57" s="95"/>
      <c r="BWW57" s="95"/>
      <c r="BWX57" s="95"/>
      <c r="BWY57" s="95"/>
      <c r="BWZ57" s="95"/>
      <c r="BXA57" s="95"/>
      <c r="BXB57" s="95"/>
      <c r="BXC57" s="95"/>
      <c r="BXD57" s="95"/>
      <c r="BXE57" s="95"/>
      <c r="BXF57" s="95"/>
      <c r="BXG57" s="95"/>
      <c r="BXH57" s="95"/>
      <c r="BXI57" s="95"/>
      <c r="BXJ57" s="95"/>
      <c r="BXK57" s="95"/>
      <c r="BXL57" s="95"/>
      <c r="BXM57" s="95"/>
      <c r="BXN57" s="95"/>
      <c r="BXO57" s="95"/>
      <c r="BXP57" s="95"/>
      <c r="BXQ57" s="95"/>
      <c r="BXR57" s="95"/>
      <c r="BXS57" s="95"/>
      <c r="BXT57" s="95"/>
      <c r="BXU57" s="95"/>
      <c r="BXV57" s="95"/>
      <c r="BXW57" s="95"/>
      <c r="BXX57" s="95"/>
      <c r="BXY57" s="95"/>
      <c r="BXZ57" s="95"/>
      <c r="BYA57" s="95"/>
      <c r="BYB57" s="95"/>
      <c r="BYC57" s="95"/>
      <c r="BYD57" s="95"/>
      <c r="BYE57" s="95"/>
      <c r="BYF57" s="95"/>
      <c r="BYG57" s="95"/>
    </row>
    <row r="58" spans="1:2009" s="121" customFormat="1" ht="13.5" customHeight="1" thickBot="1" x14ac:dyDescent="0.3">
      <c r="A58" s="111"/>
      <c r="B58" s="111"/>
      <c r="C58" s="487"/>
      <c r="D58" s="182"/>
      <c r="E58" s="182"/>
      <c r="F58" s="182"/>
      <c r="G58" s="487"/>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121" customFormat="1" ht="24.95" hidden="1" customHeight="1" thickBot="1" x14ac:dyDescent="0.3">
      <c r="A59" s="516" t="s">
        <v>380</v>
      </c>
      <c r="B59" s="515"/>
      <c r="C59" s="488"/>
      <c r="D59" s="489"/>
      <c r="E59" s="489"/>
      <c r="F59" s="489"/>
      <c r="G59" s="490">
        <f>SUM(C59:F59)</f>
        <v>0</v>
      </c>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c r="IW59" s="95"/>
      <c r="IX59" s="95"/>
      <c r="IY59" s="95"/>
      <c r="IZ59" s="95"/>
      <c r="JA59" s="95"/>
      <c r="JB59" s="95"/>
      <c r="JC59" s="95"/>
      <c r="JD59" s="95"/>
      <c r="JE59" s="95"/>
      <c r="JF59" s="95"/>
      <c r="JG59" s="95"/>
      <c r="JH59" s="95"/>
      <c r="JI59" s="95"/>
      <c r="JJ59" s="95"/>
      <c r="JK59" s="95"/>
      <c r="JL59" s="95"/>
      <c r="JM59" s="95"/>
      <c r="JN59" s="95"/>
      <c r="JO59" s="95"/>
      <c r="JP59" s="95"/>
      <c r="JQ59" s="95"/>
      <c r="JR59" s="95"/>
      <c r="JS59" s="95"/>
      <c r="JT59" s="95"/>
      <c r="JU59" s="95"/>
      <c r="JV59" s="95"/>
      <c r="JW59" s="95"/>
      <c r="JX59" s="95"/>
      <c r="JY59" s="95"/>
      <c r="JZ59" s="95"/>
      <c r="KA59" s="95"/>
      <c r="KB59" s="95"/>
      <c r="KC59" s="95"/>
      <c r="KD59" s="95"/>
      <c r="KE59" s="95"/>
      <c r="KF59" s="95"/>
      <c r="KG59" s="95"/>
      <c r="KH59" s="95"/>
      <c r="KI59" s="95"/>
      <c r="KJ59" s="95"/>
      <c r="KK59" s="95"/>
      <c r="KL59" s="95"/>
      <c r="KM59" s="95"/>
      <c r="KN59" s="95"/>
      <c r="KO59" s="95"/>
      <c r="KP59" s="95"/>
      <c r="KQ59" s="95"/>
      <c r="KR59" s="95"/>
      <c r="KS59" s="95"/>
      <c r="KT59" s="95"/>
      <c r="KU59" s="95"/>
      <c r="KV59" s="95"/>
      <c r="KW59" s="95"/>
      <c r="KX59" s="95"/>
      <c r="KY59" s="95"/>
      <c r="KZ59" s="95"/>
      <c r="LA59" s="95"/>
      <c r="LB59" s="95"/>
      <c r="LC59" s="95"/>
      <c r="LD59" s="95"/>
      <c r="LE59" s="95"/>
      <c r="LF59" s="95"/>
      <c r="LG59" s="95"/>
      <c r="LH59" s="95"/>
      <c r="LI59" s="95"/>
      <c r="LJ59" s="95"/>
      <c r="LK59" s="95"/>
      <c r="LL59" s="95"/>
      <c r="LM59" s="95"/>
      <c r="LN59" s="95"/>
      <c r="LO59" s="95"/>
      <c r="LP59" s="95"/>
      <c r="LQ59" s="95"/>
      <c r="LR59" s="95"/>
      <c r="LS59" s="95"/>
      <c r="LT59" s="95"/>
      <c r="LU59" s="95"/>
      <c r="LV59" s="95"/>
      <c r="LW59" s="95"/>
      <c r="LX59" s="95"/>
      <c r="LY59" s="95"/>
      <c r="LZ59" s="95"/>
      <c r="MA59" s="95"/>
      <c r="MB59" s="95"/>
      <c r="MC59" s="95"/>
      <c r="MD59" s="95"/>
      <c r="ME59" s="95"/>
      <c r="MF59" s="95"/>
      <c r="MG59" s="95"/>
      <c r="MH59" s="95"/>
      <c r="MI59" s="95"/>
      <c r="MJ59" s="95"/>
      <c r="MK59" s="95"/>
      <c r="ML59" s="95"/>
      <c r="MM59" s="95"/>
      <c r="MN59" s="95"/>
      <c r="MO59" s="95"/>
      <c r="MP59" s="95"/>
      <c r="MQ59" s="95"/>
      <c r="MR59" s="95"/>
      <c r="MS59" s="95"/>
      <c r="MT59" s="95"/>
      <c r="MU59" s="95"/>
      <c r="MV59" s="95"/>
      <c r="MW59" s="95"/>
      <c r="MX59" s="95"/>
      <c r="MY59" s="95"/>
      <c r="MZ59" s="95"/>
      <c r="NA59" s="95"/>
      <c r="NB59" s="95"/>
      <c r="NC59" s="95"/>
      <c r="ND59" s="95"/>
      <c r="NE59" s="95"/>
      <c r="NF59" s="95"/>
      <c r="NG59" s="95"/>
      <c r="NH59" s="95"/>
      <c r="NI59" s="95"/>
      <c r="NJ59" s="95"/>
      <c r="NK59" s="95"/>
      <c r="NL59" s="95"/>
      <c r="NM59" s="95"/>
      <c r="NN59" s="95"/>
      <c r="NO59" s="95"/>
      <c r="NP59" s="95"/>
      <c r="NQ59" s="95"/>
      <c r="NR59" s="95"/>
      <c r="NS59" s="95"/>
      <c r="NT59" s="95"/>
      <c r="NU59" s="95"/>
      <c r="NV59" s="95"/>
      <c r="NW59" s="95"/>
      <c r="NX59" s="95"/>
      <c r="NY59" s="95"/>
      <c r="NZ59" s="95"/>
      <c r="OA59" s="95"/>
      <c r="OB59" s="95"/>
      <c r="OC59" s="95"/>
      <c r="OD59" s="95"/>
      <c r="OE59" s="95"/>
      <c r="OF59" s="95"/>
      <c r="OG59" s="95"/>
      <c r="OH59" s="95"/>
      <c r="OI59" s="95"/>
      <c r="OJ59" s="95"/>
      <c r="OK59" s="95"/>
      <c r="OL59" s="95"/>
      <c r="OM59" s="95"/>
      <c r="ON59" s="95"/>
      <c r="OO59" s="95"/>
      <c r="OP59" s="95"/>
      <c r="OQ59" s="95"/>
      <c r="OR59" s="95"/>
      <c r="OS59" s="95"/>
      <c r="OT59" s="95"/>
      <c r="OU59" s="95"/>
      <c r="OV59" s="95"/>
      <c r="OW59" s="95"/>
      <c r="OX59" s="95"/>
      <c r="OY59" s="95"/>
      <c r="OZ59" s="95"/>
      <c r="PA59" s="95"/>
      <c r="PB59" s="95"/>
      <c r="PC59" s="95"/>
      <c r="PD59" s="95"/>
      <c r="PE59" s="95"/>
      <c r="PF59" s="95"/>
      <c r="PG59" s="95"/>
      <c r="PH59" s="95"/>
      <c r="PI59" s="95"/>
      <c r="PJ59" s="95"/>
      <c r="PK59" s="95"/>
      <c r="PL59" s="95"/>
      <c r="PM59" s="95"/>
      <c r="PN59" s="95"/>
      <c r="PO59" s="95"/>
      <c r="PP59" s="95"/>
      <c r="PQ59" s="95"/>
      <c r="PR59" s="95"/>
      <c r="PS59" s="95"/>
      <c r="PT59" s="95"/>
      <c r="PU59" s="95"/>
      <c r="PV59" s="95"/>
      <c r="PW59" s="95"/>
      <c r="PX59" s="95"/>
      <c r="PY59" s="95"/>
      <c r="PZ59" s="95"/>
      <c r="QA59" s="95"/>
      <c r="QB59" s="95"/>
      <c r="QC59" s="95"/>
      <c r="QD59" s="95"/>
      <c r="QE59" s="95"/>
      <c r="QF59" s="95"/>
      <c r="QG59" s="95"/>
      <c r="QH59" s="95"/>
      <c r="QI59" s="95"/>
      <c r="QJ59" s="95"/>
      <c r="QK59" s="95"/>
      <c r="QL59" s="95"/>
      <c r="QM59" s="95"/>
      <c r="QN59" s="95"/>
      <c r="QO59" s="95"/>
      <c r="QP59" s="95"/>
      <c r="QQ59" s="95"/>
      <c r="QR59" s="95"/>
      <c r="QS59" s="95"/>
      <c r="QT59" s="95"/>
      <c r="QU59" s="95"/>
      <c r="QV59" s="95"/>
      <c r="QW59" s="95"/>
      <c r="QX59" s="95"/>
      <c r="QY59" s="95"/>
      <c r="QZ59" s="95"/>
      <c r="RA59" s="95"/>
      <c r="RB59" s="95"/>
      <c r="RC59" s="95"/>
      <c r="RD59" s="95"/>
      <c r="RE59" s="95"/>
      <c r="RF59" s="95"/>
      <c r="RG59" s="95"/>
      <c r="RH59" s="95"/>
      <c r="RI59" s="95"/>
      <c r="RJ59" s="95"/>
      <c r="RK59" s="95"/>
      <c r="RL59" s="95"/>
      <c r="RM59" s="95"/>
      <c r="RN59" s="95"/>
      <c r="RO59" s="95"/>
      <c r="RP59" s="95"/>
      <c r="RQ59" s="95"/>
      <c r="RR59" s="95"/>
      <c r="RS59" s="95"/>
      <c r="RT59" s="95"/>
      <c r="RU59" s="95"/>
      <c r="RV59" s="95"/>
      <c r="RW59" s="95"/>
      <c r="RX59" s="95"/>
      <c r="RY59" s="95"/>
      <c r="RZ59" s="95"/>
      <c r="SA59" s="95"/>
      <c r="SB59" s="95"/>
      <c r="SC59" s="95"/>
      <c r="SD59" s="95"/>
      <c r="SE59" s="95"/>
      <c r="SF59" s="95"/>
      <c r="SG59" s="95"/>
      <c r="SH59" s="95"/>
      <c r="SI59" s="95"/>
      <c r="SJ59" s="95"/>
      <c r="SK59" s="95"/>
      <c r="SL59" s="95"/>
      <c r="SM59" s="95"/>
      <c r="SN59" s="95"/>
      <c r="SO59" s="95"/>
      <c r="SP59" s="95"/>
      <c r="SQ59" s="95"/>
      <c r="SR59" s="95"/>
      <c r="SS59" s="95"/>
      <c r="ST59" s="95"/>
      <c r="SU59" s="95"/>
      <c r="SV59" s="95"/>
      <c r="SW59" s="95"/>
      <c r="SX59" s="95"/>
      <c r="SY59" s="95"/>
      <c r="SZ59" s="95"/>
      <c r="TA59" s="95"/>
      <c r="TB59" s="95"/>
      <c r="TC59" s="95"/>
      <c r="TD59" s="95"/>
      <c r="TE59" s="95"/>
      <c r="TF59" s="95"/>
      <c r="TG59" s="95"/>
      <c r="TH59" s="95"/>
      <c r="TI59" s="95"/>
      <c r="TJ59" s="95"/>
      <c r="TK59" s="95"/>
      <c r="TL59" s="95"/>
      <c r="TM59" s="95"/>
      <c r="TN59" s="95"/>
      <c r="TO59" s="95"/>
      <c r="TP59" s="95"/>
      <c r="TQ59" s="95"/>
      <c r="TR59" s="95"/>
      <c r="TS59" s="95"/>
      <c r="TT59" s="95"/>
      <c r="TU59" s="95"/>
      <c r="TV59" s="95"/>
      <c r="TW59" s="95"/>
      <c r="TX59" s="95"/>
      <c r="TY59" s="95"/>
      <c r="TZ59" s="95"/>
      <c r="UA59" s="95"/>
      <c r="UB59" s="95"/>
      <c r="UC59" s="95"/>
      <c r="UD59" s="95"/>
      <c r="UE59" s="95"/>
      <c r="UF59" s="95"/>
      <c r="UG59" s="95"/>
      <c r="UH59" s="95"/>
      <c r="UI59" s="95"/>
      <c r="UJ59" s="95"/>
      <c r="UK59" s="95"/>
      <c r="UL59" s="95"/>
      <c r="UM59" s="95"/>
      <c r="UN59" s="95"/>
      <c r="UO59" s="95"/>
      <c r="UP59" s="95"/>
      <c r="UQ59" s="95"/>
      <c r="UR59" s="95"/>
      <c r="US59" s="95"/>
      <c r="UT59" s="95"/>
      <c r="UU59" s="95"/>
      <c r="UV59" s="95"/>
      <c r="UW59" s="95"/>
      <c r="UX59" s="95"/>
      <c r="UY59" s="95"/>
      <c r="UZ59" s="95"/>
      <c r="VA59" s="95"/>
      <c r="VB59" s="95"/>
      <c r="VC59" s="95"/>
      <c r="VD59" s="95"/>
      <c r="VE59" s="95"/>
      <c r="VF59" s="95"/>
      <c r="VG59" s="95"/>
      <c r="VH59" s="95"/>
      <c r="VI59" s="95"/>
      <c r="VJ59" s="95"/>
      <c r="VK59" s="95"/>
      <c r="VL59" s="95"/>
      <c r="VM59" s="95"/>
      <c r="VN59" s="95"/>
      <c r="VO59" s="95"/>
      <c r="VP59" s="95"/>
      <c r="VQ59" s="95"/>
      <c r="VR59" s="95"/>
      <c r="VS59" s="95"/>
      <c r="VT59" s="95"/>
      <c r="VU59" s="95"/>
      <c r="VV59" s="95"/>
      <c r="VW59" s="95"/>
      <c r="VX59" s="95"/>
      <c r="VY59" s="95"/>
      <c r="VZ59" s="95"/>
      <c r="WA59" s="95"/>
      <c r="WB59" s="95"/>
      <c r="WC59" s="95"/>
      <c r="WD59" s="95"/>
      <c r="WE59" s="95"/>
      <c r="WF59" s="95"/>
      <c r="WG59" s="95"/>
      <c r="WH59" s="95"/>
      <c r="WI59" s="95"/>
      <c r="WJ59" s="95"/>
      <c r="WK59" s="95"/>
      <c r="WL59" s="95"/>
      <c r="WM59" s="95"/>
      <c r="WN59" s="95"/>
      <c r="WO59" s="95"/>
      <c r="WP59" s="95"/>
      <c r="WQ59" s="95"/>
      <c r="WR59" s="95"/>
      <c r="WS59" s="95"/>
      <c r="WT59" s="95"/>
      <c r="WU59" s="95"/>
      <c r="WV59" s="95"/>
      <c r="WW59" s="95"/>
      <c r="WX59" s="95"/>
      <c r="WY59" s="95"/>
      <c r="WZ59" s="95"/>
      <c r="XA59" s="95"/>
      <c r="XB59" s="95"/>
      <c r="XC59" s="95"/>
      <c r="XD59" s="95"/>
      <c r="XE59" s="95"/>
      <c r="XF59" s="95"/>
      <c r="XG59" s="95"/>
      <c r="XH59" s="95"/>
      <c r="XI59" s="95"/>
      <c r="XJ59" s="95"/>
      <c r="XK59" s="95"/>
      <c r="XL59" s="95"/>
      <c r="XM59" s="95"/>
      <c r="XN59" s="95"/>
      <c r="XO59" s="95"/>
      <c r="XP59" s="95"/>
      <c r="XQ59" s="95"/>
      <c r="XR59" s="95"/>
      <c r="XS59" s="95"/>
      <c r="XT59" s="95"/>
      <c r="XU59" s="95"/>
      <c r="XV59" s="95"/>
      <c r="XW59" s="95"/>
      <c r="XX59" s="95"/>
      <c r="XY59" s="95"/>
      <c r="XZ59" s="95"/>
      <c r="YA59" s="95"/>
      <c r="YB59" s="95"/>
      <c r="YC59" s="95"/>
      <c r="YD59" s="95"/>
      <c r="YE59" s="95"/>
      <c r="YF59" s="95"/>
      <c r="YG59" s="95"/>
      <c r="YH59" s="95"/>
      <c r="YI59" s="95"/>
      <c r="YJ59" s="95"/>
      <c r="YK59" s="95"/>
      <c r="YL59" s="95"/>
      <c r="YM59" s="95"/>
      <c r="YN59" s="95"/>
      <c r="YO59" s="95"/>
      <c r="YP59" s="95"/>
      <c r="YQ59" s="95"/>
      <c r="YR59" s="95"/>
      <c r="YS59" s="95"/>
      <c r="YT59" s="95"/>
      <c r="YU59" s="95"/>
      <c r="YV59" s="95"/>
      <c r="YW59" s="95"/>
      <c r="YX59" s="95"/>
      <c r="YY59" s="95"/>
      <c r="YZ59" s="95"/>
      <c r="ZA59" s="95"/>
      <c r="ZB59" s="95"/>
      <c r="ZC59" s="95"/>
      <c r="ZD59" s="95"/>
      <c r="ZE59" s="95"/>
      <c r="ZF59" s="95"/>
      <c r="ZG59" s="95"/>
      <c r="ZH59" s="95"/>
      <c r="ZI59" s="95"/>
      <c r="ZJ59" s="95"/>
      <c r="ZK59" s="95"/>
      <c r="ZL59" s="95"/>
      <c r="ZM59" s="95"/>
      <c r="ZN59" s="95"/>
      <c r="ZO59" s="95"/>
      <c r="ZP59" s="95"/>
      <c r="ZQ59" s="95"/>
      <c r="ZR59" s="95"/>
      <c r="ZS59" s="95"/>
      <c r="ZT59" s="95"/>
      <c r="ZU59" s="95"/>
      <c r="ZV59" s="95"/>
      <c r="ZW59" s="95"/>
      <c r="ZX59" s="95"/>
      <c r="ZY59" s="95"/>
      <c r="ZZ59" s="95"/>
      <c r="AAA59" s="95"/>
      <c r="AAB59" s="95"/>
      <c r="AAC59" s="95"/>
      <c r="AAD59" s="95"/>
      <c r="AAE59" s="95"/>
      <c r="AAF59" s="95"/>
      <c r="AAG59" s="95"/>
      <c r="AAH59" s="95"/>
      <c r="AAI59" s="95"/>
      <c r="AAJ59" s="95"/>
      <c r="AAK59" s="95"/>
      <c r="AAL59" s="95"/>
      <c r="AAM59" s="95"/>
      <c r="AAN59" s="95"/>
      <c r="AAO59" s="95"/>
      <c r="AAP59" s="95"/>
      <c r="AAQ59" s="95"/>
      <c r="AAR59" s="95"/>
      <c r="AAS59" s="95"/>
      <c r="AAT59" s="95"/>
      <c r="AAU59" s="95"/>
      <c r="AAV59" s="95"/>
      <c r="AAW59" s="95"/>
      <c r="AAX59" s="95"/>
      <c r="AAY59" s="95"/>
      <c r="AAZ59" s="95"/>
      <c r="ABA59" s="95"/>
      <c r="ABB59" s="95"/>
      <c r="ABC59" s="95"/>
      <c r="ABD59" s="95"/>
      <c r="ABE59" s="95"/>
      <c r="ABF59" s="95"/>
      <c r="ABG59" s="95"/>
      <c r="ABH59" s="95"/>
      <c r="ABI59" s="95"/>
      <c r="ABJ59" s="95"/>
      <c r="ABK59" s="95"/>
      <c r="ABL59" s="95"/>
      <c r="ABM59" s="95"/>
      <c r="ABN59" s="95"/>
      <c r="ABO59" s="95"/>
      <c r="ABP59" s="95"/>
      <c r="ABQ59" s="95"/>
      <c r="ABR59" s="95"/>
      <c r="ABS59" s="95"/>
      <c r="ABT59" s="95"/>
      <c r="ABU59" s="95"/>
      <c r="ABV59" s="95"/>
      <c r="ABW59" s="95"/>
      <c r="ABX59" s="95"/>
      <c r="ABY59" s="95"/>
      <c r="ABZ59" s="95"/>
      <c r="ACA59" s="95"/>
      <c r="ACB59" s="95"/>
      <c r="ACC59" s="95"/>
      <c r="ACD59" s="95"/>
      <c r="ACE59" s="95"/>
      <c r="ACF59" s="95"/>
      <c r="ACG59" s="95"/>
      <c r="ACH59" s="95"/>
      <c r="ACI59" s="95"/>
      <c r="ACJ59" s="95"/>
      <c r="ACK59" s="95"/>
      <c r="ACL59" s="95"/>
      <c r="ACM59" s="95"/>
      <c r="ACN59" s="95"/>
      <c r="ACO59" s="95"/>
      <c r="ACP59" s="95"/>
      <c r="ACQ59" s="95"/>
      <c r="ACR59" s="95"/>
      <c r="ACS59" s="95"/>
      <c r="ACT59" s="95"/>
      <c r="ACU59" s="95"/>
      <c r="ACV59" s="95"/>
      <c r="ACW59" s="95"/>
      <c r="ACX59" s="95"/>
      <c r="ACY59" s="95"/>
      <c r="ACZ59" s="95"/>
      <c r="ADA59" s="95"/>
      <c r="ADB59" s="95"/>
      <c r="ADC59" s="95"/>
      <c r="ADD59" s="95"/>
      <c r="ADE59" s="95"/>
      <c r="ADF59" s="95"/>
      <c r="ADG59" s="95"/>
      <c r="ADH59" s="95"/>
      <c r="ADI59" s="95"/>
      <c r="ADJ59" s="95"/>
      <c r="ADK59" s="95"/>
      <c r="ADL59" s="95"/>
      <c r="ADM59" s="95"/>
      <c r="ADN59" s="95"/>
      <c r="ADO59" s="95"/>
      <c r="ADP59" s="95"/>
      <c r="ADQ59" s="95"/>
      <c r="ADR59" s="95"/>
      <c r="ADS59" s="95"/>
      <c r="ADT59" s="95"/>
      <c r="ADU59" s="95"/>
      <c r="ADV59" s="95"/>
      <c r="ADW59" s="95"/>
      <c r="ADX59" s="95"/>
      <c r="ADY59" s="95"/>
      <c r="ADZ59" s="95"/>
      <c r="AEA59" s="95"/>
      <c r="AEB59" s="95"/>
      <c r="AEC59" s="95"/>
      <c r="AED59" s="95"/>
      <c r="AEE59" s="95"/>
      <c r="AEF59" s="95"/>
      <c r="AEG59" s="95"/>
      <c r="AEH59" s="95"/>
      <c r="AEI59" s="95"/>
      <c r="AEJ59" s="95"/>
      <c r="AEK59" s="95"/>
      <c r="AEL59" s="95"/>
      <c r="AEM59" s="95"/>
      <c r="AEN59" s="95"/>
      <c r="AEO59" s="95"/>
      <c r="AEP59" s="95"/>
      <c r="AEQ59" s="95"/>
      <c r="AER59" s="95"/>
      <c r="AES59" s="95"/>
      <c r="AET59" s="95"/>
      <c r="AEU59" s="95"/>
      <c r="AEV59" s="95"/>
      <c r="AEW59" s="95"/>
      <c r="AEX59" s="95"/>
      <c r="AEY59" s="95"/>
      <c r="AEZ59" s="95"/>
      <c r="AFA59" s="95"/>
      <c r="AFB59" s="95"/>
      <c r="AFC59" s="95"/>
      <c r="AFD59" s="95"/>
      <c r="AFE59" s="95"/>
      <c r="AFF59" s="95"/>
      <c r="AFG59" s="95"/>
      <c r="AFH59" s="95"/>
      <c r="AFI59" s="95"/>
      <c r="AFJ59" s="95"/>
      <c r="AFK59" s="95"/>
      <c r="AFL59" s="95"/>
      <c r="AFM59" s="95"/>
      <c r="AFN59" s="95"/>
      <c r="AFO59" s="95"/>
      <c r="AFP59" s="95"/>
      <c r="AFQ59" s="95"/>
      <c r="AFR59" s="95"/>
      <c r="AFS59" s="95"/>
      <c r="AFT59" s="95"/>
      <c r="AFU59" s="95"/>
      <c r="AFV59" s="95"/>
      <c r="AFW59" s="95"/>
      <c r="AFX59" s="95"/>
      <c r="AFY59" s="95"/>
      <c r="AFZ59" s="95"/>
      <c r="AGA59" s="95"/>
      <c r="AGB59" s="95"/>
      <c r="AGC59" s="95"/>
      <c r="AGD59" s="95"/>
      <c r="AGE59" s="95"/>
      <c r="AGF59" s="95"/>
      <c r="AGG59" s="95"/>
      <c r="AGH59" s="95"/>
      <c r="AGI59" s="95"/>
      <c r="AGJ59" s="95"/>
      <c r="AGK59" s="95"/>
      <c r="AGL59" s="95"/>
      <c r="AGM59" s="95"/>
      <c r="AGN59" s="95"/>
      <c r="AGO59" s="95"/>
      <c r="AGP59" s="95"/>
      <c r="AGQ59" s="95"/>
      <c r="AGR59" s="95"/>
      <c r="AGS59" s="95"/>
      <c r="AGT59" s="95"/>
      <c r="AGU59" s="95"/>
      <c r="AGV59" s="95"/>
      <c r="AGW59" s="95"/>
      <c r="AGX59" s="95"/>
      <c r="AGY59" s="95"/>
      <c r="AGZ59" s="95"/>
      <c r="AHA59" s="95"/>
      <c r="AHB59" s="95"/>
      <c r="AHC59" s="95"/>
      <c r="AHD59" s="95"/>
      <c r="AHE59" s="95"/>
      <c r="AHF59" s="95"/>
      <c r="AHG59" s="95"/>
      <c r="AHH59" s="95"/>
      <c r="AHI59" s="95"/>
      <c r="AHJ59" s="95"/>
      <c r="AHK59" s="95"/>
      <c r="AHL59" s="95"/>
      <c r="AHM59" s="95"/>
      <c r="AHN59" s="95"/>
      <c r="AHO59" s="95"/>
      <c r="AHP59" s="95"/>
      <c r="AHQ59" s="95"/>
      <c r="AHR59" s="95"/>
      <c r="AHS59" s="95"/>
      <c r="AHT59" s="95"/>
      <c r="AHU59" s="95"/>
      <c r="AHV59" s="95"/>
      <c r="AHW59" s="95"/>
      <c r="AHX59" s="95"/>
      <c r="AHY59" s="95"/>
      <c r="AHZ59" s="95"/>
      <c r="AIA59" s="95"/>
      <c r="AIB59" s="95"/>
      <c r="AIC59" s="95"/>
      <c r="AID59" s="95"/>
      <c r="AIE59" s="95"/>
      <c r="AIF59" s="95"/>
      <c r="AIG59" s="95"/>
      <c r="AIH59" s="95"/>
      <c r="AII59" s="95"/>
      <c r="AIJ59" s="95"/>
      <c r="AIK59" s="95"/>
      <c r="AIL59" s="95"/>
      <c r="AIM59" s="95"/>
      <c r="AIN59" s="95"/>
      <c r="AIO59" s="95"/>
      <c r="AIP59" s="95"/>
      <c r="AIQ59" s="95"/>
      <c r="AIR59" s="95"/>
      <c r="AIS59" s="95"/>
      <c r="AIT59" s="95"/>
      <c r="AIU59" s="95"/>
      <c r="AIV59" s="95"/>
      <c r="AIW59" s="95"/>
      <c r="AIX59" s="95"/>
      <c r="AIY59" s="95"/>
      <c r="AIZ59" s="95"/>
      <c r="AJA59" s="95"/>
      <c r="AJB59" s="95"/>
      <c r="AJC59" s="95"/>
      <c r="AJD59" s="95"/>
      <c r="AJE59" s="95"/>
      <c r="AJF59" s="95"/>
      <c r="AJG59" s="95"/>
      <c r="AJH59" s="95"/>
      <c r="AJI59" s="95"/>
      <c r="AJJ59" s="95"/>
      <c r="AJK59" s="95"/>
      <c r="AJL59" s="95"/>
      <c r="AJM59" s="95"/>
      <c r="AJN59" s="95"/>
      <c r="AJO59" s="95"/>
      <c r="AJP59" s="95"/>
      <c r="AJQ59" s="95"/>
      <c r="AJR59" s="95"/>
      <c r="AJS59" s="95"/>
      <c r="AJT59" s="95"/>
      <c r="AJU59" s="95"/>
      <c r="AJV59" s="95"/>
      <c r="AJW59" s="95"/>
      <c r="AJX59" s="95"/>
      <c r="AJY59" s="95"/>
      <c r="AJZ59" s="95"/>
      <c r="AKA59" s="95"/>
      <c r="AKB59" s="95"/>
      <c r="AKC59" s="95"/>
      <c r="AKD59" s="95"/>
      <c r="AKE59" s="95"/>
      <c r="AKF59" s="95"/>
      <c r="AKG59" s="95"/>
      <c r="AKH59" s="95"/>
      <c r="AKI59" s="95"/>
      <c r="AKJ59" s="95"/>
      <c r="AKK59" s="95"/>
      <c r="AKL59" s="95"/>
      <c r="AKM59" s="95"/>
      <c r="AKN59" s="95"/>
      <c r="AKO59" s="95"/>
      <c r="AKP59" s="95"/>
      <c r="AKQ59" s="95"/>
      <c r="AKR59" s="95"/>
      <c r="AKS59" s="95"/>
      <c r="AKT59" s="95"/>
      <c r="AKU59" s="95"/>
      <c r="AKV59" s="95"/>
      <c r="AKW59" s="95"/>
      <c r="AKX59" s="95"/>
      <c r="AKY59" s="95"/>
      <c r="AKZ59" s="95"/>
      <c r="ALA59" s="95"/>
      <c r="ALB59" s="95"/>
      <c r="ALC59" s="95"/>
      <c r="ALD59" s="95"/>
      <c r="ALE59" s="95"/>
      <c r="ALF59" s="95"/>
      <c r="ALG59" s="95"/>
      <c r="ALH59" s="95"/>
      <c r="ALI59" s="95"/>
      <c r="ALJ59" s="95"/>
      <c r="ALK59" s="95"/>
      <c r="ALL59" s="95"/>
      <c r="ALM59" s="95"/>
      <c r="ALN59" s="95"/>
      <c r="ALO59" s="95"/>
      <c r="ALP59" s="95"/>
      <c r="ALQ59" s="95"/>
      <c r="ALR59" s="95"/>
      <c r="ALS59" s="95"/>
      <c r="ALT59" s="95"/>
      <c r="ALU59" s="95"/>
      <c r="ALV59" s="95"/>
      <c r="ALW59" s="95"/>
      <c r="ALX59" s="95"/>
      <c r="ALY59" s="95"/>
      <c r="ALZ59" s="95"/>
      <c r="AMA59" s="95"/>
      <c r="AMB59" s="95"/>
      <c r="AMC59" s="95"/>
      <c r="AMD59" s="95"/>
      <c r="AME59" s="95"/>
      <c r="AMF59" s="95"/>
      <c r="AMG59" s="95"/>
      <c r="AMH59" s="95"/>
      <c r="AMI59" s="95"/>
      <c r="AMJ59" s="95"/>
      <c r="AMK59" s="95"/>
      <c r="AML59" s="95"/>
      <c r="AMM59" s="95"/>
      <c r="AMN59" s="95"/>
      <c r="AMO59" s="95"/>
      <c r="AMP59" s="95"/>
      <c r="AMQ59" s="95"/>
      <c r="AMR59" s="95"/>
      <c r="AMS59" s="95"/>
      <c r="AMT59" s="95"/>
      <c r="AMU59" s="95"/>
      <c r="AMV59" s="95"/>
      <c r="AMW59" s="95"/>
      <c r="AMX59" s="95"/>
      <c r="AMY59" s="95"/>
      <c r="AMZ59" s="95"/>
      <c r="ANA59" s="95"/>
      <c r="ANB59" s="95"/>
      <c r="ANC59" s="95"/>
      <c r="AND59" s="95"/>
      <c r="ANE59" s="95"/>
      <c r="ANF59" s="95"/>
      <c r="ANG59" s="95"/>
      <c r="ANH59" s="95"/>
      <c r="ANI59" s="95"/>
      <c r="ANJ59" s="95"/>
      <c r="ANK59" s="95"/>
      <c r="ANL59" s="95"/>
      <c r="ANM59" s="95"/>
      <c r="ANN59" s="95"/>
      <c r="ANO59" s="95"/>
      <c r="ANP59" s="95"/>
      <c r="ANQ59" s="95"/>
      <c r="ANR59" s="95"/>
      <c r="ANS59" s="95"/>
      <c r="ANT59" s="95"/>
      <c r="ANU59" s="95"/>
      <c r="ANV59" s="95"/>
      <c r="ANW59" s="95"/>
      <c r="ANX59" s="95"/>
      <c r="ANY59" s="95"/>
      <c r="ANZ59" s="95"/>
      <c r="AOA59" s="95"/>
      <c r="AOB59" s="95"/>
      <c r="AOC59" s="95"/>
      <c r="AOD59" s="95"/>
      <c r="AOE59" s="95"/>
      <c r="AOF59" s="95"/>
      <c r="AOG59" s="95"/>
      <c r="AOH59" s="95"/>
      <c r="AOI59" s="95"/>
      <c r="AOJ59" s="95"/>
      <c r="AOK59" s="95"/>
      <c r="AOL59" s="95"/>
      <c r="AOM59" s="95"/>
      <c r="AON59" s="95"/>
      <c r="AOO59" s="95"/>
      <c r="AOP59" s="95"/>
      <c r="AOQ59" s="95"/>
      <c r="AOR59" s="95"/>
      <c r="AOS59" s="95"/>
      <c r="AOT59" s="95"/>
      <c r="AOU59" s="95"/>
      <c r="AOV59" s="95"/>
      <c r="AOW59" s="95"/>
      <c r="AOX59" s="95"/>
      <c r="AOY59" s="95"/>
      <c r="AOZ59" s="95"/>
      <c r="APA59" s="95"/>
      <c r="APB59" s="95"/>
      <c r="APC59" s="95"/>
      <c r="APD59" s="95"/>
      <c r="APE59" s="95"/>
      <c r="APF59" s="95"/>
      <c r="APG59" s="95"/>
      <c r="APH59" s="95"/>
      <c r="API59" s="95"/>
      <c r="APJ59" s="95"/>
      <c r="APK59" s="95"/>
      <c r="APL59" s="95"/>
      <c r="APM59" s="95"/>
      <c r="APN59" s="95"/>
      <c r="APO59" s="95"/>
      <c r="APP59" s="95"/>
      <c r="APQ59" s="95"/>
      <c r="APR59" s="95"/>
      <c r="APS59" s="95"/>
      <c r="APT59" s="95"/>
      <c r="APU59" s="95"/>
      <c r="APV59" s="95"/>
      <c r="APW59" s="95"/>
      <c r="APX59" s="95"/>
      <c r="APY59" s="95"/>
      <c r="APZ59" s="95"/>
      <c r="AQA59" s="95"/>
      <c r="AQB59" s="95"/>
      <c r="AQC59" s="95"/>
      <c r="AQD59" s="95"/>
      <c r="AQE59" s="95"/>
      <c r="AQF59" s="95"/>
      <c r="AQG59" s="95"/>
      <c r="AQH59" s="95"/>
      <c r="AQI59" s="95"/>
      <c r="AQJ59" s="95"/>
      <c r="AQK59" s="95"/>
      <c r="AQL59" s="95"/>
      <c r="AQM59" s="95"/>
      <c r="AQN59" s="95"/>
      <c r="AQO59" s="95"/>
      <c r="AQP59" s="95"/>
      <c r="AQQ59" s="95"/>
      <c r="AQR59" s="95"/>
      <c r="AQS59" s="95"/>
      <c r="AQT59" s="95"/>
      <c r="AQU59" s="95"/>
      <c r="AQV59" s="95"/>
      <c r="AQW59" s="95"/>
      <c r="AQX59" s="95"/>
      <c r="AQY59" s="95"/>
      <c r="AQZ59" s="95"/>
      <c r="ARA59" s="95"/>
      <c r="ARB59" s="95"/>
      <c r="ARC59" s="95"/>
      <c r="ARD59" s="95"/>
      <c r="ARE59" s="95"/>
      <c r="ARF59" s="95"/>
      <c r="ARG59" s="95"/>
      <c r="ARH59" s="95"/>
      <c r="ARI59" s="95"/>
      <c r="ARJ59" s="95"/>
      <c r="ARK59" s="95"/>
      <c r="ARL59" s="95"/>
      <c r="ARM59" s="95"/>
      <c r="ARN59" s="95"/>
      <c r="ARO59" s="95"/>
      <c r="ARP59" s="95"/>
      <c r="ARQ59" s="95"/>
      <c r="ARR59" s="95"/>
      <c r="ARS59" s="95"/>
      <c r="ART59" s="95"/>
      <c r="ARU59" s="95"/>
      <c r="ARV59" s="95"/>
      <c r="ARW59" s="95"/>
      <c r="ARX59" s="95"/>
      <c r="ARY59" s="95"/>
      <c r="ARZ59" s="95"/>
      <c r="ASA59" s="95"/>
      <c r="ASB59" s="95"/>
      <c r="ASC59" s="95"/>
      <c r="ASD59" s="95"/>
      <c r="ASE59" s="95"/>
      <c r="ASF59" s="95"/>
      <c r="ASG59" s="95"/>
      <c r="ASH59" s="95"/>
      <c r="ASI59" s="95"/>
      <c r="ASJ59" s="95"/>
      <c r="ASK59" s="95"/>
      <c r="ASL59" s="95"/>
      <c r="ASM59" s="95"/>
      <c r="ASN59" s="95"/>
      <c r="ASO59" s="95"/>
      <c r="ASP59" s="95"/>
      <c r="ASQ59" s="95"/>
      <c r="ASR59" s="95"/>
      <c r="ASS59" s="95"/>
      <c r="AST59" s="95"/>
      <c r="ASU59" s="95"/>
      <c r="ASV59" s="95"/>
      <c r="ASW59" s="95"/>
      <c r="ASX59" s="95"/>
      <c r="ASY59" s="95"/>
      <c r="ASZ59" s="95"/>
      <c r="ATA59" s="95"/>
      <c r="ATB59" s="95"/>
      <c r="ATC59" s="95"/>
      <c r="ATD59" s="95"/>
      <c r="ATE59" s="95"/>
      <c r="ATF59" s="95"/>
      <c r="ATG59" s="95"/>
      <c r="ATH59" s="95"/>
      <c r="ATI59" s="95"/>
      <c r="ATJ59" s="95"/>
      <c r="ATK59" s="95"/>
      <c r="ATL59" s="95"/>
      <c r="ATM59" s="95"/>
      <c r="ATN59" s="95"/>
      <c r="ATO59" s="95"/>
      <c r="ATP59" s="95"/>
      <c r="ATQ59" s="95"/>
      <c r="ATR59" s="95"/>
      <c r="ATS59" s="95"/>
      <c r="ATT59" s="95"/>
      <c r="ATU59" s="95"/>
      <c r="ATV59" s="95"/>
      <c r="ATW59" s="95"/>
      <c r="ATX59" s="95"/>
      <c r="ATY59" s="95"/>
      <c r="ATZ59" s="95"/>
      <c r="AUA59" s="95"/>
      <c r="AUB59" s="95"/>
      <c r="AUC59" s="95"/>
      <c r="AUD59" s="95"/>
      <c r="AUE59" s="95"/>
      <c r="AUF59" s="95"/>
      <c r="AUG59" s="95"/>
      <c r="AUH59" s="95"/>
      <c r="AUI59" s="95"/>
      <c r="AUJ59" s="95"/>
      <c r="AUK59" s="95"/>
      <c r="AUL59" s="95"/>
      <c r="AUM59" s="95"/>
      <c r="AUN59" s="95"/>
      <c r="AUO59" s="95"/>
      <c r="AUP59" s="95"/>
      <c r="AUQ59" s="95"/>
      <c r="AUR59" s="95"/>
      <c r="AUS59" s="95"/>
      <c r="AUT59" s="95"/>
      <c r="AUU59" s="95"/>
      <c r="AUV59" s="95"/>
      <c r="AUW59" s="95"/>
      <c r="AUX59" s="95"/>
      <c r="AUY59" s="95"/>
      <c r="AUZ59" s="95"/>
      <c r="AVA59" s="95"/>
      <c r="AVB59" s="95"/>
      <c r="AVC59" s="95"/>
      <c r="AVD59" s="95"/>
      <c r="AVE59" s="95"/>
      <c r="AVF59" s="95"/>
      <c r="AVG59" s="95"/>
      <c r="AVH59" s="95"/>
      <c r="AVI59" s="95"/>
      <c r="AVJ59" s="95"/>
      <c r="AVK59" s="95"/>
      <c r="AVL59" s="95"/>
      <c r="AVM59" s="95"/>
      <c r="AVN59" s="95"/>
      <c r="AVO59" s="95"/>
      <c r="AVP59" s="95"/>
      <c r="AVQ59" s="95"/>
      <c r="AVR59" s="95"/>
      <c r="AVS59" s="95"/>
      <c r="AVT59" s="95"/>
      <c r="AVU59" s="95"/>
      <c r="AVV59" s="95"/>
      <c r="AVW59" s="95"/>
      <c r="AVX59" s="95"/>
      <c r="AVY59" s="95"/>
      <c r="AVZ59" s="95"/>
      <c r="AWA59" s="95"/>
      <c r="AWB59" s="95"/>
      <c r="AWC59" s="95"/>
      <c r="AWD59" s="95"/>
      <c r="AWE59" s="95"/>
      <c r="AWF59" s="95"/>
      <c r="AWG59" s="95"/>
      <c r="AWH59" s="95"/>
      <c r="AWI59" s="95"/>
      <c r="AWJ59" s="95"/>
      <c r="AWK59" s="95"/>
      <c r="AWL59" s="95"/>
      <c r="AWM59" s="95"/>
      <c r="AWN59" s="95"/>
      <c r="AWO59" s="95"/>
      <c r="AWP59" s="95"/>
      <c r="AWQ59" s="95"/>
      <c r="AWR59" s="95"/>
      <c r="AWS59" s="95"/>
      <c r="AWT59" s="95"/>
      <c r="AWU59" s="95"/>
      <c r="AWV59" s="95"/>
      <c r="AWW59" s="95"/>
      <c r="AWX59" s="95"/>
      <c r="AWY59" s="95"/>
      <c r="AWZ59" s="95"/>
      <c r="AXA59" s="95"/>
      <c r="AXB59" s="95"/>
      <c r="AXC59" s="95"/>
      <c r="AXD59" s="95"/>
      <c r="AXE59" s="95"/>
      <c r="AXF59" s="95"/>
      <c r="AXG59" s="95"/>
      <c r="AXH59" s="95"/>
      <c r="AXI59" s="95"/>
      <c r="AXJ59" s="95"/>
      <c r="AXK59" s="95"/>
      <c r="AXL59" s="95"/>
      <c r="AXM59" s="95"/>
      <c r="AXN59" s="95"/>
      <c r="AXO59" s="95"/>
      <c r="AXP59" s="95"/>
      <c r="AXQ59" s="95"/>
      <c r="AXR59" s="95"/>
      <c r="AXS59" s="95"/>
      <c r="AXT59" s="95"/>
      <c r="AXU59" s="95"/>
      <c r="AXV59" s="95"/>
      <c r="AXW59" s="95"/>
      <c r="AXX59" s="95"/>
      <c r="AXY59" s="95"/>
      <c r="AXZ59" s="95"/>
      <c r="AYA59" s="95"/>
      <c r="AYB59" s="95"/>
      <c r="AYC59" s="95"/>
      <c r="AYD59" s="95"/>
      <c r="AYE59" s="95"/>
      <c r="AYF59" s="95"/>
      <c r="AYG59" s="95"/>
      <c r="AYH59" s="95"/>
      <c r="AYI59" s="95"/>
      <c r="AYJ59" s="95"/>
      <c r="AYK59" s="95"/>
      <c r="AYL59" s="95"/>
      <c r="AYM59" s="95"/>
      <c r="AYN59" s="95"/>
      <c r="AYO59" s="95"/>
      <c r="AYP59" s="95"/>
      <c r="AYQ59" s="95"/>
      <c r="AYR59" s="95"/>
      <c r="AYS59" s="95"/>
      <c r="AYT59" s="95"/>
      <c r="AYU59" s="95"/>
      <c r="AYV59" s="95"/>
      <c r="AYW59" s="95"/>
      <c r="AYX59" s="95"/>
      <c r="AYY59" s="95"/>
      <c r="AYZ59" s="95"/>
      <c r="AZA59" s="95"/>
      <c r="AZB59" s="95"/>
      <c r="AZC59" s="95"/>
      <c r="AZD59" s="95"/>
      <c r="AZE59" s="95"/>
      <c r="AZF59" s="95"/>
      <c r="AZG59" s="95"/>
      <c r="AZH59" s="95"/>
      <c r="AZI59" s="95"/>
      <c r="AZJ59" s="95"/>
      <c r="AZK59" s="95"/>
      <c r="AZL59" s="95"/>
      <c r="AZM59" s="95"/>
      <c r="AZN59" s="95"/>
      <c r="AZO59" s="95"/>
      <c r="AZP59" s="95"/>
      <c r="AZQ59" s="95"/>
      <c r="AZR59" s="95"/>
      <c r="AZS59" s="95"/>
      <c r="AZT59" s="95"/>
      <c r="AZU59" s="95"/>
      <c r="AZV59" s="95"/>
      <c r="AZW59" s="95"/>
      <c r="AZX59" s="95"/>
      <c r="AZY59" s="95"/>
      <c r="AZZ59" s="95"/>
      <c r="BAA59" s="95"/>
      <c r="BAB59" s="95"/>
      <c r="BAC59" s="95"/>
      <c r="BAD59" s="95"/>
      <c r="BAE59" s="95"/>
      <c r="BAF59" s="95"/>
      <c r="BAG59" s="95"/>
      <c r="BAH59" s="95"/>
      <c r="BAI59" s="95"/>
      <c r="BAJ59" s="95"/>
      <c r="BAK59" s="95"/>
      <c r="BAL59" s="95"/>
      <c r="BAM59" s="95"/>
      <c r="BAN59" s="95"/>
      <c r="BAO59" s="95"/>
      <c r="BAP59" s="95"/>
      <c r="BAQ59" s="95"/>
      <c r="BAR59" s="95"/>
      <c r="BAS59" s="95"/>
      <c r="BAT59" s="95"/>
      <c r="BAU59" s="95"/>
      <c r="BAV59" s="95"/>
      <c r="BAW59" s="95"/>
      <c r="BAX59" s="95"/>
      <c r="BAY59" s="95"/>
      <c r="BAZ59" s="95"/>
      <c r="BBA59" s="95"/>
      <c r="BBB59" s="95"/>
      <c r="BBC59" s="95"/>
      <c r="BBD59" s="95"/>
      <c r="BBE59" s="95"/>
      <c r="BBF59" s="95"/>
      <c r="BBG59" s="95"/>
      <c r="BBH59" s="95"/>
      <c r="BBI59" s="95"/>
      <c r="BBJ59" s="95"/>
      <c r="BBK59" s="95"/>
      <c r="BBL59" s="95"/>
      <c r="BBM59" s="95"/>
      <c r="BBN59" s="95"/>
      <c r="BBO59" s="95"/>
      <c r="BBP59" s="95"/>
      <c r="BBQ59" s="95"/>
      <c r="BBR59" s="95"/>
      <c r="BBS59" s="95"/>
      <c r="BBT59" s="95"/>
      <c r="BBU59" s="95"/>
      <c r="BBV59" s="95"/>
      <c r="BBW59" s="95"/>
      <c r="BBX59" s="95"/>
      <c r="BBY59" s="95"/>
      <c r="BBZ59" s="95"/>
      <c r="BCA59" s="95"/>
      <c r="BCB59" s="95"/>
      <c r="BCC59" s="95"/>
      <c r="BCD59" s="95"/>
      <c r="BCE59" s="95"/>
      <c r="BCF59" s="95"/>
      <c r="BCG59" s="95"/>
      <c r="BCH59" s="95"/>
      <c r="BCI59" s="95"/>
      <c r="BCJ59" s="95"/>
      <c r="BCK59" s="95"/>
      <c r="BCL59" s="95"/>
      <c r="BCM59" s="95"/>
      <c r="BCN59" s="95"/>
      <c r="BCO59" s="95"/>
      <c r="BCP59" s="95"/>
      <c r="BCQ59" s="95"/>
      <c r="BCR59" s="95"/>
      <c r="BCS59" s="95"/>
      <c r="BCT59" s="95"/>
      <c r="BCU59" s="95"/>
      <c r="BCV59" s="95"/>
      <c r="BCW59" s="95"/>
      <c r="BCX59" s="95"/>
      <c r="BCY59" s="95"/>
      <c r="BCZ59" s="95"/>
      <c r="BDA59" s="95"/>
      <c r="BDB59" s="95"/>
      <c r="BDC59" s="95"/>
      <c r="BDD59" s="95"/>
      <c r="BDE59" s="95"/>
      <c r="BDF59" s="95"/>
      <c r="BDG59" s="95"/>
      <c r="BDH59" s="95"/>
      <c r="BDI59" s="95"/>
      <c r="BDJ59" s="95"/>
      <c r="BDK59" s="95"/>
      <c r="BDL59" s="95"/>
      <c r="BDM59" s="95"/>
      <c r="BDN59" s="95"/>
      <c r="BDO59" s="95"/>
      <c r="BDP59" s="95"/>
      <c r="BDQ59" s="95"/>
      <c r="BDR59" s="95"/>
      <c r="BDS59" s="95"/>
      <c r="BDT59" s="95"/>
      <c r="BDU59" s="95"/>
      <c r="BDV59" s="95"/>
      <c r="BDW59" s="95"/>
      <c r="BDX59" s="95"/>
      <c r="BDY59" s="95"/>
      <c r="BDZ59" s="95"/>
      <c r="BEA59" s="95"/>
      <c r="BEB59" s="95"/>
      <c r="BEC59" s="95"/>
      <c r="BED59" s="95"/>
      <c r="BEE59" s="95"/>
      <c r="BEF59" s="95"/>
      <c r="BEG59" s="95"/>
      <c r="BEH59" s="95"/>
      <c r="BEI59" s="95"/>
      <c r="BEJ59" s="95"/>
      <c r="BEK59" s="95"/>
      <c r="BEL59" s="95"/>
      <c r="BEM59" s="95"/>
      <c r="BEN59" s="95"/>
      <c r="BEO59" s="95"/>
      <c r="BEP59" s="95"/>
      <c r="BEQ59" s="95"/>
      <c r="BER59" s="95"/>
      <c r="BES59" s="95"/>
      <c r="BET59" s="95"/>
      <c r="BEU59" s="95"/>
      <c r="BEV59" s="95"/>
      <c r="BEW59" s="95"/>
      <c r="BEX59" s="95"/>
      <c r="BEY59" s="95"/>
      <c r="BEZ59" s="95"/>
      <c r="BFA59" s="95"/>
      <c r="BFB59" s="95"/>
      <c r="BFC59" s="95"/>
      <c r="BFD59" s="95"/>
      <c r="BFE59" s="95"/>
      <c r="BFF59" s="95"/>
      <c r="BFG59" s="95"/>
      <c r="BFH59" s="95"/>
      <c r="BFI59" s="95"/>
      <c r="BFJ59" s="95"/>
      <c r="BFK59" s="95"/>
      <c r="BFL59" s="95"/>
      <c r="BFM59" s="95"/>
      <c r="BFN59" s="95"/>
      <c r="BFO59" s="95"/>
      <c r="BFP59" s="95"/>
      <c r="BFQ59" s="95"/>
      <c r="BFR59" s="95"/>
      <c r="BFS59" s="95"/>
      <c r="BFT59" s="95"/>
      <c r="BFU59" s="95"/>
      <c r="BFV59" s="95"/>
      <c r="BFW59" s="95"/>
      <c r="BFX59" s="95"/>
      <c r="BFY59" s="95"/>
      <c r="BFZ59" s="95"/>
      <c r="BGA59" s="95"/>
      <c r="BGB59" s="95"/>
      <c r="BGC59" s="95"/>
      <c r="BGD59" s="95"/>
      <c r="BGE59" s="95"/>
      <c r="BGF59" s="95"/>
      <c r="BGG59" s="95"/>
      <c r="BGH59" s="95"/>
      <c r="BGI59" s="95"/>
      <c r="BGJ59" s="95"/>
      <c r="BGK59" s="95"/>
      <c r="BGL59" s="95"/>
      <c r="BGM59" s="95"/>
      <c r="BGN59" s="95"/>
      <c r="BGO59" s="95"/>
      <c r="BGP59" s="95"/>
      <c r="BGQ59" s="95"/>
      <c r="BGR59" s="95"/>
      <c r="BGS59" s="95"/>
      <c r="BGT59" s="95"/>
      <c r="BGU59" s="95"/>
      <c r="BGV59" s="95"/>
      <c r="BGW59" s="95"/>
      <c r="BGX59" s="95"/>
      <c r="BGY59" s="95"/>
      <c r="BGZ59" s="95"/>
      <c r="BHA59" s="95"/>
      <c r="BHB59" s="95"/>
      <c r="BHC59" s="95"/>
      <c r="BHD59" s="95"/>
      <c r="BHE59" s="95"/>
      <c r="BHF59" s="95"/>
      <c r="BHG59" s="95"/>
      <c r="BHH59" s="95"/>
      <c r="BHI59" s="95"/>
      <c r="BHJ59" s="95"/>
      <c r="BHK59" s="95"/>
      <c r="BHL59" s="95"/>
      <c r="BHM59" s="95"/>
      <c r="BHN59" s="95"/>
      <c r="BHO59" s="95"/>
      <c r="BHP59" s="95"/>
      <c r="BHQ59" s="95"/>
      <c r="BHR59" s="95"/>
      <c r="BHS59" s="95"/>
      <c r="BHT59" s="95"/>
      <c r="BHU59" s="95"/>
      <c r="BHV59" s="95"/>
      <c r="BHW59" s="95"/>
      <c r="BHX59" s="95"/>
      <c r="BHY59" s="95"/>
      <c r="BHZ59" s="95"/>
      <c r="BIA59" s="95"/>
      <c r="BIB59" s="95"/>
      <c r="BIC59" s="95"/>
      <c r="BID59" s="95"/>
      <c r="BIE59" s="95"/>
      <c r="BIF59" s="95"/>
      <c r="BIG59" s="95"/>
      <c r="BIH59" s="95"/>
      <c r="BII59" s="95"/>
      <c r="BIJ59" s="95"/>
      <c r="BIK59" s="95"/>
      <c r="BIL59" s="95"/>
      <c r="BIM59" s="95"/>
      <c r="BIN59" s="95"/>
      <c r="BIO59" s="95"/>
      <c r="BIP59" s="95"/>
      <c r="BIQ59" s="95"/>
      <c r="BIR59" s="95"/>
      <c r="BIS59" s="95"/>
      <c r="BIT59" s="95"/>
      <c r="BIU59" s="95"/>
      <c r="BIV59" s="95"/>
      <c r="BIW59" s="95"/>
      <c r="BIX59" s="95"/>
      <c r="BIY59" s="95"/>
      <c r="BIZ59" s="95"/>
      <c r="BJA59" s="95"/>
      <c r="BJB59" s="95"/>
      <c r="BJC59" s="95"/>
      <c r="BJD59" s="95"/>
      <c r="BJE59" s="95"/>
      <c r="BJF59" s="95"/>
      <c r="BJG59" s="95"/>
      <c r="BJH59" s="95"/>
      <c r="BJI59" s="95"/>
      <c r="BJJ59" s="95"/>
      <c r="BJK59" s="95"/>
      <c r="BJL59" s="95"/>
      <c r="BJM59" s="95"/>
      <c r="BJN59" s="95"/>
      <c r="BJO59" s="95"/>
      <c r="BJP59" s="95"/>
      <c r="BJQ59" s="95"/>
      <c r="BJR59" s="95"/>
      <c r="BJS59" s="95"/>
      <c r="BJT59" s="95"/>
      <c r="BJU59" s="95"/>
      <c r="BJV59" s="95"/>
      <c r="BJW59" s="95"/>
      <c r="BJX59" s="95"/>
      <c r="BJY59" s="95"/>
      <c r="BJZ59" s="95"/>
      <c r="BKA59" s="95"/>
      <c r="BKB59" s="95"/>
      <c r="BKC59" s="95"/>
      <c r="BKD59" s="95"/>
      <c r="BKE59" s="95"/>
      <c r="BKF59" s="95"/>
      <c r="BKG59" s="95"/>
      <c r="BKH59" s="95"/>
      <c r="BKI59" s="95"/>
      <c r="BKJ59" s="95"/>
      <c r="BKK59" s="95"/>
      <c r="BKL59" s="95"/>
      <c r="BKM59" s="95"/>
      <c r="BKN59" s="95"/>
      <c r="BKO59" s="95"/>
      <c r="BKP59" s="95"/>
      <c r="BKQ59" s="95"/>
      <c r="BKR59" s="95"/>
      <c r="BKS59" s="95"/>
      <c r="BKT59" s="95"/>
      <c r="BKU59" s="95"/>
      <c r="BKV59" s="95"/>
      <c r="BKW59" s="95"/>
      <c r="BKX59" s="95"/>
      <c r="BKY59" s="95"/>
      <c r="BKZ59" s="95"/>
      <c r="BLA59" s="95"/>
      <c r="BLB59" s="95"/>
      <c r="BLC59" s="95"/>
      <c r="BLD59" s="95"/>
      <c r="BLE59" s="95"/>
      <c r="BLF59" s="95"/>
      <c r="BLG59" s="95"/>
      <c r="BLH59" s="95"/>
      <c r="BLI59" s="95"/>
      <c r="BLJ59" s="95"/>
      <c r="BLK59" s="95"/>
      <c r="BLL59" s="95"/>
      <c r="BLM59" s="95"/>
      <c r="BLN59" s="95"/>
      <c r="BLO59" s="95"/>
      <c r="BLP59" s="95"/>
      <c r="BLQ59" s="95"/>
      <c r="BLR59" s="95"/>
      <c r="BLS59" s="95"/>
      <c r="BLT59" s="95"/>
      <c r="BLU59" s="95"/>
      <c r="BLV59" s="95"/>
      <c r="BLW59" s="95"/>
      <c r="BLX59" s="95"/>
      <c r="BLY59" s="95"/>
      <c r="BLZ59" s="95"/>
      <c r="BMA59" s="95"/>
      <c r="BMB59" s="95"/>
      <c r="BMC59" s="95"/>
      <c r="BMD59" s="95"/>
      <c r="BME59" s="95"/>
      <c r="BMF59" s="95"/>
      <c r="BMG59" s="95"/>
      <c r="BMH59" s="95"/>
      <c r="BMI59" s="95"/>
      <c r="BMJ59" s="95"/>
      <c r="BMK59" s="95"/>
      <c r="BML59" s="95"/>
      <c r="BMM59" s="95"/>
      <c r="BMN59" s="95"/>
      <c r="BMO59" s="95"/>
      <c r="BMP59" s="95"/>
      <c r="BMQ59" s="95"/>
      <c r="BMR59" s="95"/>
      <c r="BMS59" s="95"/>
      <c r="BMT59" s="95"/>
      <c r="BMU59" s="95"/>
      <c r="BMV59" s="95"/>
      <c r="BMW59" s="95"/>
      <c r="BMX59" s="95"/>
      <c r="BMY59" s="95"/>
      <c r="BMZ59" s="95"/>
      <c r="BNA59" s="95"/>
      <c r="BNB59" s="95"/>
      <c r="BNC59" s="95"/>
      <c r="BND59" s="95"/>
      <c r="BNE59" s="95"/>
      <c r="BNF59" s="95"/>
      <c r="BNG59" s="95"/>
      <c r="BNH59" s="95"/>
      <c r="BNI59" s="95"/>
      <c r="BNJ59" s="95"/>
      <c r="BNK59" s="95"/>
      <c r="BNL59" s="95"/>
      <c r="BNM59" s="95"/>
      <c r="BNN59" s="95"/>
      <c r="BNO59" s="95"/>
      <c r="BNP59" s="95"/>
      <c r="BNQ59" s="95"/>
      <c r="BNR59" s="95"/>
      <c r="BNS59" s="95"/>
      <c r="BNT59" s="95"/>
      <c r="BNU59" s="95"/>
      <c r="BNV59" s="95"/>
      <c r="BNW59" s="95"/>
      <c r="BNX59" s="95"/>
      <c r="BNY59" s="95"/>
      <c r="BNZ59" s="95"/>
      <c r="BOA59" s="95"/>
      <c r="BOB59" s="95"/>
      <c r="BOC59" s="95"/>
      <c r="BOD59" s="95"/>
      <c r="BOE59" s="95"/>
      <c r="BOF59" s="95"/>
      <c r="BOG59" s="95"/>
      <c r="BOH59" s="95"/>
      <c r="BOI59" s="95"/>
      <c r="BOJ59" s="95"/>
      <c r="BOK59" s="95"/>
      <c r="BOL59" s="95"/>
      <c r="BOM59" s="95"/>
      <c r="BON59" s="95"/>
      <c r="BOO59" s="95"/>
      <c r="BOP59" s="95"/>
      <c r="BOQ59" s="95"/>
      <c r="BOR59" s="95"/>
      <c r="BOS59" s="95"/>
      <c r="BOT59" s="95"/>
      <c r="BOU59" s="95"/>
      <c r="BOV59" s="95"/>
      <c r="BOW59" s="95"/>
      <c r="BOX59" s="95"/>
      <c r="BOY59" s="95"/>
      <c r="BOZ59" s="95"/>
      <c r="BPA59" s="95"/>
      <c r="BPB59" s="95"/>
      <c r="BPC59" s="95"/>
      <c r="BPD59" s="95"/>
      <c r="BPE59" s="95"/>
      <c r="BPF59" s="95"/>
      <c r="BPG59" s="95"/>
      <c r="BPH59" s="95"/>
      <c r="BPI59" s="95"/>
      <c r="BPJ59" s="95"/>
      <c r="BPK59" s="95"/>
      <c r="BPL59" s="95"/>
      <c r="BPM59" s="95"/>
      <c r="BPN59" s="95"/>
      <c r="BPO59" s="95"/>
      <c r="BPP59" s="95"/>
      <c r="BPQ59" s="95"/>
      <c r="BPR59" s="95"/>
      <c r="BPS59" s="95"/>
      <c r="BPT59" s="95"/>
      <c r="BPU59" s="95"/>
      <c r="BPV59" s="95"/>
      <c r="BPW59" s="95"/>
      <c r="BPX59" s="95"/>
      <c r="BPY59" s="95"/>
      <c r="BPZ59" s="95"/>
      <c r="BQA59" s="95"/>
      <c r="BQB59" s="95"/>
      <c r="BQC59" s="95"/>
      <c r="BQD59" s="95"/>
      <c r="BQE59" s="95"/>
      <c r="BQF59" s="95"/>
      <c r="BQG59" s="95"/>
      <c r="BQH59" s="95"/>
      <c r="BQI59" s="95"/>
      <c r="BQJ59" s="95"/>
      <c r="BQK59" s="95"/>
      <c r="BQL59" s="95"/>
      <c r="BQM59" s="95"/>
      <c r="BQN59" s="95"/>
      <c r="BQO59" s="95"/>
      <c r="BQP59" s="95"/>
      <c r="BQQ59" s="95"/>
      <c r="BQR59" s="95"/>
      <c r="BQS59" s="95"/>
      <c r="BQT59" s="95"/>
      <c r="BQU59" s="95"/>
      <c r="BQV59" s="95"/>
      <c r="BQW59" s="95"/>
      <c r="BQX59" s="95"/>
      <c r="BQY59" s="95"/>
      <c r="BQZ59" s="95"/>
      <c r="BRA59" s="95"/>
      <c r="BRB59" s="95"/>
      <c r="BRC59" s="95"/>
      <c r="BRD59" s="95"/>
      <c r="BRE59" s="95"/>
      <c r="BRF59" s="95"/>
      <c r="BRG59" s="95"/>
      <c r="BRH59" s="95"/>
      <c r="BRI59" s="95"/>
      <c r="BRJ59" s="95"/>
      <c r="BRK59" s="95"/>
      <c r="BRL59" s="95"/>
      <c r="BRM59" s="95"/>
      <c r="BRN59" s="95"/>
      <c r="BRO59" s="95"/>
      <c r="BRP59" s="95"/>
      <c r="BRQ59" s="95"/>
      <c r="BRR59" s="95"/>
      <c r="BRS59" s="95"/>
      <c r="BRT59" s="95"/>
      <c r="BRU59" s="95"/>
      <c r="BRV59" s="95"/>
      <c r="BRW59" s="95"/>
      <c r="BRX59" s="95"/>
      <c r="BRY59" s="95"/>
      <c r="BRZ59" s="95"/>
      <c r="BSA59" s="95"/>
      <c r="BSB59" s="95"/>
      <c r="BSC59" s="95"/>
      <c r="BSD59" s="95"/>
      <c r="BSE59" s="95"/>
      <c r="BSF59" s="95"/>
      <c r="BSG59" s="95"/>
      <c r="BSH59" s="95"/>
      <c r="BSI59" s="95"/>
      <c r="BSJ59" s="95"/>
      <c r="BSK59" s="95"/>
      <c r="BSL59" s="95"/>
      <c r="BSM59" s="95"/>
      <c r="BSN59" s="95"/>
      <c r="BSO59" s="95"/>
      <c r="BSP59" s="95"/>
      <c r="BSQ59" s="95"/>
      <c r="BSR59" s="95"/>
      <c r="BSS59" s="95"/>
      <c r="BST59" s="95"/>
      <c r="BSU59" s="95"/>
      <c r="BSV59" s="95"/>
      <c r="BSW59" s="95"/>
      <c r="BSX59" s="95"/>
      <c r="BSY59" s="95"/>
      <c r="BSZ59" s="95"/>
      <c r="BTA59" s="95"/>
      <c r="BTB59" s="95"/>
      <c r="BTC59" s="95"/>
      <c r="BTD59" s="95"/>
      <c r="BTE59" s="95"/>
      <c r="BTF59" s="95"/>
      <c r="BTG59" s="95"/>
      <c r="BTH59" s="95"/>
      <c r="BTI59" s="95"/>
      <c r="BTJ59" s="95"/>
      <c r="BTK59" s="95"/>
      <c r="BTL59" s="95"/>
      <c r="BTM59" s="95"/>
      <c r="BTN59" s="95"/>
      <c r="BTO59" s="95"/>
      <c r="BTP59" s="95"/>
      <c r="BTQ59" s="95"/>
      <c r="BTR59" s="95"/>
      <c r="BTS59" s="95"/>
      <c r="BTT59" s="95"/>
      <c r="BTU59" s="95"/>
      <c r="BTV59" s="95"/>
      <c r="BTW59" s="95"/>
      <c r="BTX59" s="95"/>
      <c r="BTY59" s="95"/>
      <c r="BTZ59" s="95"/>
      <c r="BUA59" s="95"/>
      <c r="BUB59" s="95"/>
      <c r="BUC59" s="95"/>
      <c r="BUD59" s="95"/>
      <c r="BUE59" s="95"/>
      <c r="BUF59" s="95"/>
      <c r="BUG59" s="95"/>
      <c r="BUH59" s="95"/>
      <c r="BUI59" s="95"/>
      <c r="BUJ59" s="95"/>
      <c r="BUK59" s="95"/>
      <c r="BUL59" s="95"/>
      <c r="BUM59" s="95"/>
      <c r="BUN59" s="95"/>
      <c r="BUO59" s="95"/>
      <c r="BUP59" s="95"/>
      <c r="BUQ59" s="95"/>
      <c r="BUR59" s="95"/>
      <c r="BUS59" s="95"/>
      <c r="BUT59" s="95"/>
      <c r="BUU59" s="95"/>
      <c r="BUV59" s="95"/>
      <c r="BUW59" s="95"/>
      <c r="BUX59" s="95"/>
      <c r="BUY59" s="95"/>
      <c r="BUZ59" s="95"/>
      <c r="BVA59" s="95"/>
      <c r="BVB59" s="95"/>
      <c r="BVC59" s="95"/>
      <c r="BVD59" s="95"/>
      <c r="BVE59" s="95"/>
      <c r="BVF59" s="95"/>
      <c r="BVG59" s="95"/>
      <c r="BVH59" s="95"/>
      <c r="BVI59" s="95"/>
      <c r="BVJ59" s="95"/>
      <c r="BVK59" s="95"/>
      <c r="BVL59" s="95"/>
      <c r="BVM59" s="95"/>
      <c r="BVN59" s="95"/>
      <c r="BVO59" s="95"/>
      <c r="BVP59" s="95"/>
      <c r="BVQ59" s="95"/>
      <c r="BVR59" s="95"/>
      <c r="BVS59" s="95"/>
      <c r="BVT59" s="95"/>
      <c r="BVU59" s="95"/>
      <c r="BVV59" s="95"/>
      <c r="BVW59" s="95"/>
      <c r="BVX59" s="95"/>
      <c r="BVY59" s="95"/>
      <c r="BVZ59" s="95"/>
      <c r="BWA59" s="95"/>
      <c r="BWB59" s="95"/>
      <c r="BWC59" s="95"/>
      <c r="BWD59" s="95"/>
      <c r="BWE59" s="95"/>
      <c r="BWF59" s="95"/>
      <c r="BWG59" s="95"/>
      <c r="BWH59" s="95"/>
      <c r="BWI59" s="95"/>
      <c r="BWJ59" s="95"/>
      <c r="BWK59" s="95"/>
      <c r="BWL59" s="95"/>
      <c r="BWM59" s="95"/>
      <c r="BWN59" s="95"/>
      <c r="BWO59" s="95"/>
      <c r="BWP59" s="95"/>
      <c r="BWQ59" s="95"/>
      <c r="BWR59" s="95"/>
      <c r="BWS59" s="95"/>
      <c r="BWT59" s="95"/>
      <c r="BWU59" s="95"/>
      <c r="BWV59" s="95"/>
      <c r="BWW59" s="95"/>
      <c r="BWX59" s="95"/>
      <c r="BWY59" s="95"/>
      <c r="BWZ59" s="95"/>
      <c r="BXA59" s="95"/>
      <c r="BXB59" s="95"/>
      <c r="BXC59" s="95"/>
      <c r="BXD59" s="95"/>
      <c r="BXE59" s="95"/>
      <c r="BXF59" s="95"/>
      <c r="BXG59" s="95"/>
      <c r="BXH59" s="95"/>
      <c r="BXI59" s="95"/>
      <c r="BXJ59" s="95"/>
      <c r="BXK59" s="95"/>
      <c r="BXL59" s="95"/>
      <c r="BXM59" s="95"/>
      <c r="BXN59" s="95"/>
      <c r="BXO59" s="95"/>
      <c r="BXP59" s="95"/>
      <c r="BXQ59" s="95"/>
      <c r="BXR59" s="95"/>
      <c r="BXS59" s="95"/>
      <c r="BXT59" s="95"/>
      <c r="BXU59" s="95"/>
      <c r="BXV59" s="95"/>
      <c r="BXW59" s="95"/>
      <c r="BXX59" s="95"/>
      <c r="BXY59" s="95"/>
      <c r="BXZ59" s="95"/>
      <c r="BYA59" s="95"/>
      <c r="BYB59" s="95"/>
      <c r="BYC59" s="95"/>
      <c r="BYD59" s="95"/>
      <c r="BYE59" s="95"/>
      <c r="BYF59" s="95"/>
      <c r="BYG59" s="95"/>
    </row>
    <row r="60" spans="1:2009" s="96" customFormat="1" ht="12.75" hidden="1" customHeight="1" thickBot="1" x14ac:dyDescent="0.3">
      <c r="A60" s="120"/>
      <c r="B60" s="120"/>
      <c r="C60" s="175"/>
      <c r="D60" s="175"/>
      <c r="E60" s="175"/>
      <c r="F60" s="175"/>
      <c r="G60" s="175"/>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248" customFormat="1" ht="24.95" customHeight="1" thickBot="1" x14ac:dyDescent="0.3">
      <c r="A61" s="247"/>
      <c r="B61" s="514" t="s">
        <v>459</v>
      </c>
      <c r="C61" s="305">
        <f>SUM(C8+C14+C23+C27+C32+C41+C53)+C36+C48+C57+C59+C55</f>
        <v>152083.33000000002</v>
      </c>
      <c r="D61" s="305">
        <f>SUM(D8+D14+D23+D27+D32+D41+D53)+D36+D48+D57+D55</f>
        <v>88684.71</v>
      </c>
      <c r="E61" s="305">
        <f>SUM(E8+E14+E23+E27+E32+E41+E53)+E36+E48+E57</f>
        <v>55732.49</v>
      </c>
      <c r="F61" s="305">
        <f>SUM(F8+F14+F23+F27+F32+F41+F53)+F36+F48+F57</f>
        <v>14830.47</v>
      </c>
      <c r="G61" s="305">
        <f>SUM(G8+G14+G23+G27+G32+G41+G53)+G36+G48+G57+G59+G55</f>
        <v>311330.99999999994</v>
      </c>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c r="EO61" s="212"/>
      <c r="EP61" s="212"/>
      <c r="EQ61" s="212"/>
      <c r="ER61" s="212"/>
      <c r="ES61" s="212"/>
      <c r="ET61" s="212"/>
      <c r="EU61" s="212"/>
      <c r="EV61" s="212"/>
      <c r="EW61" s="212"/>
      <c r="EX61" s="212"/>
      <c r="EY61" s="212"/>
      <c r="EZ61" s="212"/>
      <c r="FA61" s="212"/>
      <c r="FB61" s="212"/>
      <c r="FC61" s="212"/>
      <c r="FD61" s="212"/>
      <c r="FE61" s="212"/>
      <c r="FF61" s="212"/>
      <c r="FG61" s="212"/>
      <c r="FH61" s="212"/>
      <c r="FI61" s="212"/>
      <c r="FJ61" s="212"/>
      <c r="FK61" s="212"/>
      <c r="FL61" s="212"/>
      <c r="FM61" s="212"/>
      <c r="FN61" s="212"/>
      <c r="FO61" s="212"/>
      <c r="FP61" s="212"/>
      <c r="FQ61" s="212"/>
      <c r="FR61" s="212"/>
      <c r="FS61" s="212"/>
      <c r="FT61" s="212"/>
      <c r="FU61" s="212"/>
      <c r="FV61" s="212"/>
      <c r="FW61" s="212"/>
      <c r="FX61" s="212"/>
      <c r="FY61" s="212"/>
      <c r="FZ61" s="212"/>
      <c r="GA61" s="212"/>
      <c r="GB61" s="212"/>
      <c r="GC61" s="212"/>
      <c r="GD61" s="212"/>
      <c r="GE61" s="212"/>
      <c r="GF61" s="212"/>
      <c r="GG61" s="212"/>
      <c r="GH61" s="212"/>
      <c r="GI61" s="212"/>
      <c r="GJ61" s="212"/>
      <c r="GK61" s="212"/>
      <c r="GL61" s="212"/>
      <c r="GM61" s="212"/>
      <c r="GN61" s="212"/>
      <c r="GO61" s="212"/>
      <c r="GP61" s="212"/>
      <c r="GQ61" s="212"/>
      <c r="GR61" s="212"/>
      <c r="GS61" s="212"/>
      <c r="GT61" s="212"/>
      <c r="GU61" s="212"/>
      <c r="GV61" s="212"/>
      <c r="GW61" s="212"/>
      <c r="GX61" s="212"/>
      <c r="GY61" s="212"/>
      <c r="GZ61" s="212"/>
      <c r="HA61" s="212"/>
      <c r="HB61" s="212"/>
      <c r="HC61" s="212"/>
      <c r="HD61" s="212"/>
      <c r="HE61" s="212"/>
      <c r="HF61" s="212"/>
      <c r="HG61" s="212"/>
      <c r="HH61" s="212"/>
      <c r="HI61" s="212"/>
      <c r="HJ61" s="212"/>
      <c r="HK61" s="212"/>
      <c r="HL61" s="212"/>
      <c r="HM61" s="212"/>
      <c r="HN61" s="212"/>
      <c r="HO61" s="212"/>
      <c r="HP61" s="212"/>
      <c r="HQ61" s="212"/>
      <c r="HR61" s="212"/>
      <c r="HS61" s="212"/>
      <c r="HT61" s="212"/>
      <c r="HU61" s="212"/>
      <c r="HV61" s="212"/>
      <c r="HW61" s="212"/>
      <c r="HX61" s="212"/>
      <c r="HY61" s="212"/>
      <c r="HZ61" s="212"/>
      <c r="IA61" s="212"/>
      <c r="IB61" s="212"/>
      <c r="IC61" s="212"/>
      <c r="ID61" s="212"/>
      <c r="IE61" s="212"/>
      <c r="IF61" s="212"/>
      <c r="IG61" s="212"/>
      <c r="IH61" s="212"/>
      <c r="II61" s="212"/>
      <c r="IJ61" s="212"/>
      <c r="IK61" s="212"/>
      <c r="IL61" s="212"/>
      <c r="IM61" s="212"/>
      <c r="IN61" s="212"/>
      <c r="IO61" s="212"/>
      <c r="IP61" s="212"/>
      <c r="IQ61" s="212"/>
      <c r="IR61" s="212"/>
      <c r="IS61" s="212"/>
      <c r="IT61" s="212"/>
      <c r="IU61" s="212"/>
      <c r="IV61" s="212"/>
      <c r="IW61" s="212"/>
      <c r="IX61" s="212"/>
      <c r="IY61" s="212"/>
      <c r="IZ61" s="212"/>
      <c r="JA61" s="212"/>
      <c r="JB61" s="212"/>
      <c r="JC61" s="212"/>
      <c r="JD61" s="212"/>
      <c r="JE61" s="212"/>
      <c r="JF61" s="212"/>
      <c r="JG61" s="212"/>
      <c r="JH61" s="212"/>
      <c r="JI61" s="212"/>
      <c r="JJ61" s="212"/>
      <c r="JK61" s="212"/>
      <c r="JL61" s="212"/>
      <c r="JM61" s="212"/>
      <c r="JN61" s="212"/>
      <c r="JO61" s="212"/>
      <c r="JP61" s="212"/>
      <c r="JQ61" s="212"/>
      <c r="JR61" s="212"/>
      <c r="JS61" s="212"/>
      <c r="JT61" s="212"/>
      <c r="JU61" s="212"/>
      <c r="JV61" s="212"/>
      <c r="JW61" s="212"/>
      <c r="JX61" s="212"/>
      <c r="JY61" s="212"/>
      <c r="JZ61" s="212"/>
      <c r="KA61" s="212"/>
      <c r="KB61" s="212"/>
      <c r="KC61" s="212"/>
      <c r="KD61" s="212"/>
      <c r="KE61" s="212"/>
      <c r="KF61" s="212"/>
      <c r="KG61" s="212"/>
      <c r="KH61" s="212"/>
      <c r="KI61" s="212"/>
      <c r="KJ61" s="212"/>
      <c r="KK61" s="212"/>
      <c r="KL61" s="212"/>
      <c r="KM61" s="212"/>
      <c r="KN61" s="212"/>
      <c r="KO61" s="212"/>
      <c r="KP61" s="212"/>
      <c r="KQ61" s="212"/>
      <c r="KR61" s="212"/>
      <c r="KS61" s="212"/>
      <c r="KT61" s="212"/>
      <c r="KU61" s="212"/>
      <c r="KV61" s="212"/>
      <c r="KW61" s="212"/>
      <c r="KX61" s="212"/>
      <c r="KY61" s="212"/>
      <c r="KZ61" s="212"/>
      <c r="LA61" s="212"/>
      <c r="LB61" s="212"/>
      <c r="LC61" s="212"/>
      <c r="LD61" s="212"/>
      <c r="LE61" s="212"/>
      <c r="LF61" s="212"/>
      <c r="LG61" s="212"/>
      <c r="LH61" s="212"/>
      <c r="LI61" s="212"/>
      <c r="LJ61" s="212"/>
      <c r="LK61" s="212"/>
      <c r="LL61" s="212"/>
      <c r="LM61" s="212"/>
      <c r="LN61" s="212"/>
      <c r="LO61" s="212"/>
      <c r="LP61" s="212"/>
      <c r="LQ61" s="212"/>
      <c r="LR61" s="212"/>
      <c r="LS61" s="212"/>
      <c r="LT61" s="212"/>
      <c r="LU61" s="212"/>
      <c r="LV61" s="212"/>
      <c r="LW61" s="212"/>
      <c r="LX61" s="212"/>
      <c r="LY61" s="212"/>
      <c r="LZ61" s="212"/>
      <c r="MA61" s="212"/>
      <c r="MB61" s="212"/>
      <c r="MC61" s="212"/>
      <c r="MD61" s="212"/>
      <c r="ME61" s="212"/>
      <c r="MF61" s="212"/>
      <c r="MG61" s="212"/>
      <c r="MH61" s="212"/>
      <c r="MI61" s="212"/>
      <c r="MJ61" s="212"/>
      <c r="MK61" s="212"/>
      <c r="ML61" s="212"/>
      <c r="MM61" s="212"/>
      <c r="MN61" s="212"/>
      <c r="MO61" s="212"/>
      <c r="MP61" s="212"/>
      <c r="MQ61" s="212"/>
      <c r="MR61" s="212"/>
      <c r="MS61" s="212"/>
      <c r="MT61" s="212"/>
      <c r="MU61" s="212"/>
      <c r="MV61" s="212"/>
      <c r="MW61" s="212"/>
      <c r="MX61" s="212"/>
      <c r="MY61" s="212"/>
      <c r="MZ61" s="212"/>
      <c r="NA61" s="212"/>
      <c r="NB61" s="212"/>
      <c r="NC61" s="212"/>
      <c r="ND61" s="212"/>
      <c r="NE61" s="212"/>
      <c r="NF61" s="212"/>
      <c r="NG61" s="212"/>
      <c r="NH61" s="212"/>
      <c r="NI61" s="212"/>
      <c r="NJ61" s="212"/>
      <c r="NK61" s="212"/>
      <c r="NL61" s="212"/>
      <c r="NM61" s="212"/>
      <c r="NN61" s="212"/>
      <c r="NO61" s="212"/>
      <c r="NP61" s="212"/>
      <c r="NQ61" s="212"/>
      <c r="NR61" s="212"/>
      <c r="NS61" s="212"/>
      <c r="NT61" s="212"/>
      <c r="NU61" s="212"/>
      <c r="NV61" s="212"/>
      <c r="NW61" s="212"/>
      <c r="NX61" s="212"/>
      <c r="NY61" s="212"/>
      <c r="NZ61" s="212"/>
      <c r="OA61" s="212"/>
      <c r="OB61" s="212"/>
      <c r="OC61" s="212"/>
      <c r="OD61" s="212"/>
      <c r="OE61" s="212"/>
      <c r="OF61" s="212"/>
      <c r="OG61" s="212"/>
      <c r="OH61" s="212"/>
      <c r="OI61" s="212"/>
      <c r="OJ61" s="212"/>
      <c r="OK61" s="212"/>
      <c r="OL61" s="212"/>
      <c r="OM61" s="212"/>
      <c r="ON61" s="212"/>
      <c r="OO61" s="212"/>
      <c r="OP61" s="212"/>
      <c r="OQ61" s="212"/>
      <c r="OR61" s="212"/>
      <c r="OS61" s="212"/>
      <c r="OT61" s="212"/>
      <c r="OU61" s="212"/>
      <c r="OV61" s="212"/>
      <c r="OW61" s="212"/>
      <c r="OX61" s="212"/>
      <c r="OY61" s="212"/>
      <c r="OZ61" s="212"/>
      <c r="PA61" s="212"/>
      <c r="PB61" s="212"/>
      <c r="PC61" s="212"/>
      <c r="PD61" s="212"/>
      <c r="PE61" s="212"/>
      <c r="PF61" s="212"/>
      <c r="PG61" s="212"/>
      <c r="PH61" s="212"/>
      <c r="PI61" s="212"/>
      <c r="PJ61" s="212"/>
      <c r="PK61" s="212"/>
      <c r="PL61" s="212"/>
      <c r="PM61" s="212"/>
      <c r="PN61" s="212"/>
      <c r="PO61" s="212"/>
      <c r="PP61" s="212"/>
      <c r="PQ61" s="212"/>
      <c r="PR61" s="212"/>
      <c r="PS61" s="212"/>
      <c r="PT61" s="212"/>
      <c r="PU61" s="212"/>
      <c r="PV61" s="212"/>
      <c r="PW61" s="212"/>
      <c r="PX61" s="212"/>
      <c r="PY61" s="212"/>
      <c r="PZ61" s="212"/>
      <c r="QA61" s="212"/>
      <c r="QB61" s="212"/>
      <c r="QC61" s="212"/>
      <c r="QD61" s="212"/>
      <c r="QE61" s="212"/>
      <c r="QF61" s="212"/>
      <c r="QG61" s="212"/>
      <c r="QH61" s="212"/>
      <c r="QI61" s="212"/>
      <c r="QJ61" s="212"/>
      <c r="QK61" s="212"/>
      <c r="QL61" s="212"/>
      <c r="QM61" s="212"/>
      <c r="QN61" s="212"/>
      <c r="QO61" s="212"/>
      <c r="QP61" s="212"/>
      <c r="QQ61" s="212"/>
      <c r="QR61" s="212"/>
      <c r="QS61" s="212"/>
      <c r="QT61" s="212"/>
      <c r="QU61" s="212"/>
      <c r="QV61" s="212"/>
      <c r="QW61" s="212"/>
      <c r="QX61" s="212"/>
      <c r="QY61" s="212"/>
      <c r="QZ61" s="212"/>
      <c r="RA61" s="212"/>
      <c r="RB61" s="212"/>
      <c r="RC61" s="212"/>
      <c r="RD61" s="212"/>
      <c r="RE61" s="212"/>
      <c r="RF61" s="212"/>
      <c r="RG61" s="212"/>
      <c r="RH61" s="212"/>
      <c r="RI61" s="212"/>
      <c r="RJ61" s="212"/>
      <c r="RK61" s="212"/>
      <c r="RL61" s="212"/>
      <c r="RM61" s="212"/>
      <c r="RN61" s="212"/>
      <c r="RO61" s="212"/>
      <c r="RP61" s="212"/>
      <c r="RQ61" s="212"/>
      <c r="RR61" s="212"/>
      <c r="RS61" s="212"/>
      <c r="RT61" s="212"/>
      <c r="RU61" s="212"/>
      <c r="RV61" s="212"/>
      <c r="RW61" s="212"/>
      <c r="RX61" s="212"/>
      <c r="RY61" s="212"/>
      <c r="RZ61" s="212"/>
      <c r="SA61" s="212"/>
      <c r="SB61" s="212"/>
      <c r="SC61" s="212"/>
      <c r="SD61" s="212"/>
      <c r="SE61" s="212"/>
      <c r="SF61" s="212"/>
      <c r="SG61" s="212"/>
      <c r="SH61" s="212"/>
      <c r="SI61" s="212"/>
      <c r="SJ61" s="212"/>
      <c r="SK61" s="212"/>
      <c r="SL61" s="212"/>
      <c r="SM61" s="212"/>
      <c r="SN61" s="212"/>
      <c r="SO61" s="212"/>
      <c r="SP61" s="212"/>
      <c r="SQ61" s="212"/>
      <c r="SR61" s="212"/>
      <c r="SS61" s="212"/>
      <c r="ST61" s="212"/>
      <c r="SU61" s="212"/>
      <c r="SV61" s="212"/>
      <c r="SW61" s="212"/>
      <c r="SX61" s="212"/>
      <c r="SY61" s="212"/>
      <c r="SZ61" s="212"/>
      <c r="TA61" s="212"/>
      <c r="TB61" s="212"/>
      <c r="TC61" s="212"/>
      <c r="TD61" s="212"/>
      <c r="TE61" s="212"/>
      <c r="TF61" s="212"/>
      <c r="TG61" s="212"/>
      <c r="TH61" s="212"/>
      <c r="TI61" s="212"/>
      <c r="TJ61" s="212"/>
      <c r="TK61" s="212"/>
      <c r="TL61" s="212"/>
      <c r="TM61" s="212"/>
      <c r="TN61" s="212"/>
      <c r="TO61" s="212"/>
      <c r="TP61" s="212"/>
      <c r="TQ61" s="212"/>
      <c r="TR61" s="212"/>
      <c r="TS61" s="212"/>
      <c r="TT61" s="212"/>
      <c r="TU61" s="212"/>
      <c r="TV61" s="212"/>
      <c r="TW61" s="212"/>
      <c r="TX61" s="212"/>
      <c r="TY61" s="212"/>
      <c r="TZ61" s="212"/>
      <c r="UA61" s="212"/>
      <c r="UB61" s="212"/>
      <c r="UC61" s="212"/>
      <c r="UD61" s="212"/>
      <c r="UE61" s="212"/>
      <c r="UF61" s="212"/>
      <c r="UG61" s="212"/>
      <c r="UH61" s="212"/>
      <c r="UI61" s="212"/>
      <c r="UJ61" s="212"/>
      <c r="UK61" s="212"/>
      <c r="UL61" s="212"/>
      <c r="UM61" s="212"/>
      <c r="UN61" s="212"/>
      <c r="UO61" s="212"/>
      <c r="UP61" s="212"/>
      <c r="UQ61" s="212"/>
      <c r="UR61" s="212"/>
      <c r="US61" s="212"/>
      <c r="UT61" s="212"/>
      <c r="UU61" s="212"/>
      <c r="UV61" s="212"/>
      <c r="UW61" s="212"/>
      <c r="UX61" s="212"/>
      <c r="UY61" s="212"/>
      <c r="UZ61" s="212"/>
      <c r="VA61" s="212"/>
      <c r="VB61" s="212"/>
      <c r="VC61" s="212"/>
      <c r="VD61" s="212"/>
      <c r="VE61" s="212"/>
      <c r="VF61" s="212"/>
      <c r="VG61" s="212"/>
      <c r="VH61" s="212"/>
      <c r="VI61" s="212"/>
      <c r="VJ61" s="212"/>
      <c r="VK61" s="212"/>
      <c r="VL61" s="212"/>
      <c r="VM61" s="212"/>
      <c r="VN61" s="212"/>
      <c r="VO61" s="212"/>
      <c r="VP61" s="212"/>
      <c r="VQ61" s="212"/>
      <c r="VR61" s="212"/>
      <c r="VS61" s="212"/>
      <c r="VT61" s="212"/>
      <c r="VU61" s="212"/>
      <c r="VV61" s="212"/>
      <c r="VW61" s="212"/>
      <c r="VX61" s="212"/>
      <c r="VY61" s="212"/>
      <c r="VZ61" s="212"/>
      <c r="WA61" s="212"/>
      <c r="WB61" s="212"/>
      <c r="WC61" s="212"/>
      <c r="WD61" s="212"/>
      <c r="WE61" s="212"/>
      <c r="WF61" s="212"/>
      <c r="WG61" s="212"/>
      <c r="WH61" s="212"/>
      <c r="WI61" s="212"/>
      <c r="WJ61" s="212"/>
      <c r="WK61" s="212"/>
      <c r="WL61" s="212"/>
      <c r="WM61" s="212"/>
      <c r="WN61" s="212"/>
      <c r="WO61" s="212"/>
      <c r="WP61" s="212"/>
      <c r="WQ61" s="212"/>
      <c r="WR61" s="212"/>
      <c r="WS61" s="212"/>
      <c r="WT61" s="212"/>
      <c r="WU61" s="212"/>
      <c r="WV61" s="212"/>
      <c r="WW61" s="212"/>
      <c r="WX61" s="212"/>
      <c r="WY61" s="212"/>
      <c r="WZ61" s="212"/>
      <c r="XA61" s="212"/>
      <c r="XB61" s="212"/>
      <c r="XC61" s="212"/>
      <c r="XD61" s="212"/>
      <c r="XE61" s="212"/>
      <c r="XF61" s="212"/>
      <c r="XG61" s="212"/>
      <c r="XH61" s="212"/>
      <c r="XI61" s="212"/>
      <c r="XJ61" s="212"/>
      <c r="XK61" s="212"/>
      <c r="XL61" s="212"/>
      <c r="XM61" s="212"/>
      <c r="XN61" s="212"/>
      <c r="XO61" s="212"/>
      <c r="XP61" s="212"/>
      <c r="XQ61" s="212"/>
      <c r="XR61" s="212"/>
      <c r="XS61" s="212"/>
      <c r="XT61" s="212"/>
      <c r="XU61" s="212"/>
      <c r="XV61" s="212"/>
      <c r="XW61" s="212"/>
      <c r="XX61" s="212"/>
      <c r="XY61" s="212"/>
      <c r="XZ61" s="212"/>
      <c r="YA61" s="212"/>
      <c r="YB61" s="212"/>
      <c r="YC61" s="212"/>
      <c r="YD61" s="212"/>
      <c r="YE61" s="212"/>
      <c r="YF61" s="212"/>
      <c r="YG61" s="212"/>
      <c r="YH61" s="212"/>
      <c r="YI61" s="212"/>
      <c r="YJ61" s="212"/>
      <c r="YK61" s="212"/>
      <c r="YL61" s="212"/>
      <c r="YM61" s="212"/>
      <c r="YN61" s="212"/>
      <c r="YO61" s="212"/>
      <c r="YP61" s="212"/>
      <c r="YQ61" s="212"/>
      <c r="YR61" s="212"/>
      <c r="YS61" s="212"/>
      <c r="YT61" s="212"/>
      <c r="YU61" s="212"/>
      <c r="YV61" s="212"/>
      <c r="YW61" s="212"/>
      <c r="YX61" s="212"/>
      <c r="YY61" s="212"/>
      <c r="YZ61" s="212"/>
      <c r="ZA61" s="212"/>
      <c r="ZB61" s="212"/>
      <c r="ZC61" s="212"/>
      <c r="ZD61" s="212"/>
      <c r="ZE61" s="212"/>
      <c r="ZF61" s="212"/>
      <c r="ZG61" s="212"/>
      <c r="ZH61" s="212"/>
      <c r="ZI61" s="212"/>
      <c r="ZJ61" s="212"/>
      <c r="ZK61" s="212"/>
      <c r="ZL61" s="212"/>
      <c r="ZM61" s="212"/>
      <c r="ZN61" s="212"/>
      <c r="ZO61" s="212"/>
      <c r="ZP61" s="212"/>
      <c r="ZQ61" s="212"/>
      <c r="ZR61" s="212"/>
      <c r="ZS61" s="212"/>
      <c r="ZT61" s="212"/>
      <c r="ZU61" s="212"/>
      <c r="ZV61" s="212"/>
      <c r="ZW61" s="212"/>
      <c r="ZX61" s="212"/>
      <c r="ZY61" s="212"/>
      <c r="ZZ61" s="212"/>
      <c r="AAA61" s="212"/>
      <c r="AAB61" s="212"/>
      <c r="AAC61" s="212"/>
      <c r="AAD61" s="212"/>
      <c r="AAE61" s="212"/>
      <c r="AAF61" s="212"/>
      <c r="AAG61" s="212"/>
      <c r="AAH61" s="212"/>
      <c r="AAI61" s="212"/>
      <c r="AAJ61" s="212"/>
      <c r="AAK61" s="212"/>
      <c r="AAL61" s="212"/>
      <c r="AAM61" s="212"/>
      <c r="AAN61" s="212"/>
      <c r="AAO61" s="212"/>
      <c r="AAP61" s="212"/>
      <c r="AAQ61" s="212"/>
      <c r="AAR61" s="212"/>
      <c r="AAS61" s="212"/>
      <c r="AAT61" s="212"/>
      <c r="AAU61" s="212"/>
      <c r="AAV61" s="212"/>
      <c r="AAW61" s="212"/>
      <c r="AAX61" s="212"/>
      <c r="AAY61" s="212"/>
      <c r="AAZ61" s="212"/>
      <c r="ABA61" s="212"/>
      <c r="ABB61" s="212"/>
      <c r="ABC61" s="212"/>
      <c r="ABD61" s="212"/>
      <c r="ABE61" s="212"/>
      <c r="ABF61" s="212"/>
      <c r="ABG61" s="212"/>
      <c r="ABH61" s="212"/>
      <c r="ABI61" s="212"/>
      <c r="ABJ61" s="212"/>
      <c r="ABK61" s="212"/>
      <c r="ABL61" s="212"/>
      <c r="ABM61" s="212"/>
      <c r="ABN61" s="212"/>
      <c r="ABO61" s="212"/>
      <c r="ABP61" s="212"/>
      <c r="ABQ61" s="212"/>
      <c r="ABR61" s="212"/>
      <c r="ABS61" s="212"/>
      <c r="ABT61" s="212"/>
      <c r="ABU61" s="212"/>
      <c r="ABV61" s="212"/>
      <c r="ABW61" s="212"/>
      <c r="ABX61" s="212"/>
      <c r="ABY61" s="212"/>
      <c r="ABZ61" s="212"/>
      <c r="ACA61" s="212"/>
      <c r="ACB61" s="212"/>
      <c r="ACC61" s="212"/>
      <c r="ACD61" s="212"/>
      <c r="ACE61" s="212"/>
      <c r="ACF61" s="212"/>
      <c r="ACG61" s="212"/>
      <c r="ACH61" s="212"/>
      <c r="ACI61" s="212"/>
      <c r="ACJ61" s="212"/>
      <c r="ACK61" s="212"/>
      <c r="ACL61" s="212"/>
      <c r="ACM61" s="212"/>
      <c r="ACN61" s="212"/>
      <c r="ACO61" s="212"/>
      <c r="ACP61" s="212"/>
      <c r="ACQ61" s="212"/>
      <c r="ACR61" s="212"/>
      <c r="ACS61" s="212"/>
      <c r="ACT61" s="212"/>
      <c r="ACU61" s="212"/>
      <c r="ACV61" s="212"/>
      <c r="ACW61" s="212"/>
      <c r="ACX61" s="212"/>
      <c r="ACY61" s="212"/>
      <c r="ACZ61" s="212"/>
      <c r="ADA61" s="212"/>
      <c r="ADB61" s="212"/>
      <c r="ADC61" s="212"/>
      <c r="ADD61" s="212"/>
      <c r="ADE61" s="212"/>
      <c r="ADF61" s="212"/>
      <c r="ADG61" s="212"/>
      <c r="ADH61" s="212"/>
      <c r="ADI61" s="212"/>
      <c r="ADJ61" s="212"/>
      <c r="ADK61" s="212"/>
      <c r="ADL61" s="212"/>
      <c r="ADM61" s="212"/>
      <c r="ADN61" s="212"/>
      <c r="ADO61" s="212"/>
      <c r="ADP61" s="212"/>
      <c r="ADQ61" s="212"/>
      <c r="ADR61" s="212"/>
      <c r="ADS61" s="212"/>
      <c r="ADT61" s="212"/>
      <c r="ADU61" s="212"/>
      <c r="ADV61" s="212"/>
      <c r="ADW61" s="212"/>
      <c r="ADX61" s="212"/>
      <c r="ADY61" s="212"/>
      <c r="ADZ61" s="212"/>
      <c r="AEA61" s="212"/>
      <c r="AEB61" s="212"/>
      <c r="AEC61" s="212"/>
      <c r="AED61" s="212"/>
      <c r="AEE61" s="212"/>
      <c r="AEF61" s="212"/>
      <c r="AEG61" s="212"/>
      <c r="AEH61" s="212"/>
      <c r="AEI61" s="212"/>
      <c r="AEJ61" s="212"/>
      <c r="AEK61" s="212"/>
      <c r="AEL61" s="212"/>
      <c r="AEM61" s="212"/>
      <c r="AEN61" s="212"/>
      <c r="AEO61" s="212"/>
      <c r="AEP61" s="212"/>
      <c r="AEQ61" s="212"/>
      <c r="AER61" s="212"/>
      <c r="AES61" s="212"/>
      <c r="AET61" s="212"/>
      <c r="AEU61" s="212"/>
      <c r="AEV61" s="212"/>
      <c r="AEW61" s="212"/>
      <c r="AEX61" s="212"/>
      <c r="AEY61" s="212"/>
      <c r="AEZ61" s="212"/>
      <c r="AFA61" s="212"/>
      <c r="AFB61" s="212"/>
      <c r="AFC61" s="212"/>
      <c r="AFD61" s="212"/>
      <c r="AFE61" s="212"/>
      <c r="AFF61" s="212"/>
      <c r="AFG61" s="212"/>
      <c r="AFH61" s="212"/>
      <c r="AFI61" s="212"/>
      <c r="AFJ61" s="212"/>
      <c r="AFK61" s="212"/>
      <c r="AFL61" s="212"/>
      <c r="AFM61" s="212"/>
      <c r="AFN61" s="212"/>
      <c r="AFO61" s="212"/>
      <c r="AFP61" s="212"/>
      <c r="AFQ61" s="212"/>
      <c r="AFR61" s="212"/>
      <c r="AFS61" s="212"/>
      <c r="AFT61" s="212"/>
      <c r="AFU61" s="212"/>
      <c r="AFV61" s="212"/>
      <c r="AFW61" s="212"/>
      <c r="AFX61" s="212"/>
      <c r="AFY61" s="212"/>
      <c r="AFZ61" s="212"/>
      <c r="AGA61" s="212"/>
      <c r="AGB61" s="212"/>
      <c r="AGC61" s="212"/>
      <c r="AGD61" s="212"/>
      <c r="AGE61" s="212"/>
      <c r="AGF61" s="212"/>
      <c r="AGG61" s="212"/>
      <c r="AGH61" s="212"/>
      <c r="AGI61" s="212"/>
      <c r="AGJ61" s="212"/>
      <c r="AGK61" s="212"/>
      <c r="AGL61" s="212"/>
      <c r="AGM61" s="212"/>
      <c r="AGN61" s="212"/>
      <c r="AGO61" s="212"/>
      <c r="AGP61" s="212"/>
      <c r="AGQ61" s="212"/>
      <c r="AGR61" s="212"/>
      <c r="AGS61" s="212"/>
      <c r="AGT61" s="212"/>
      <c r="AGU61" s="212"/>
      <c r="AGV61" s="212"/>
      <c r="AGW61" s="212"/>
      <c r="AGX61" s="212"/>
      <c r="AGY61" s="212"/>
      <c r="AGZ61" s="212"/>
      <c r="AHA61" s="212"/>
      <c r="AHB61" s="212"/>
      <c r="AHC61" s="212"/>
      <c r="AHD61" s="212"/>
      <c r="AHE61" s="212"/>
      <c r="AHF61" s="212"/>
      <c r="AHG61" s="212"/>
      <c r="AHH61" s="212"/>
      <c r="AHI61" s="212"/>
      <c r="AHJ61" s="212"/>
      <c r="AHK61" s="212"/>
      <c r="AHL61" s="212"/>
      <c r="AHM61" s="212"/>
      <c r="AHN61" s="212"/>
      <c r="AHO61" s="212"/>
      <c r="AHP61" s="212"/>
      <c r="AHQ61" s="212"/>
      <c r="AHR61" s="212"/>
      <c r="AHS61" s="212"/>
      <c r="AHT61" s="212"/>
      <c r="AHU61" s="212"/>
      <c r="AHV61" s="212"/>
      <c r="AHW61" s="212"/>
      <c r="AHX61" s="212"/>
      <c r="AHY61" s="212"/>
      <c r="AHZ61" s="212"/>
      <c r="AIA61" s="212"/>
      <c r="AIB61" s="212"/>
      <c r="AIC61" s="212"/>
      <c r="AID61" s="212"/>
      <c r="AIE61" s="212"/>
      <c r="AIF61" s="212"/>
      <c r="AIG61" s="212"/>
      <c r="AIH61" s="212"/>
      <c r="AII61" s="212"/>
      <c r="AIJ61" s="212"/>
      <c r="AIK61" s="212"/>
      <c r="AIL61" s="212"/>
      <c r="AIM61" s="212"/>
      <c r="AIN61" s="212"/>
      <c r="AIO61" s="212"/>
      <c r="AIP61" s="212"/>
      <c r="AIQ61" s="212"/>
      <c r="AIR61" s="212"/>
      <c r="AIS61" s="212"/>
      <c r="AIT61" s="212"/>
      <c r="AIU61" s="212"/>
      <c r="AIV61" s="212"/>
      <c r="AIW61" s="212"/>
      <c r="AIX61" s="212"/>
      <c r="AIY61" s="212"/>
      <c r="AIZ61" s="212"/>
      <c r="AJA61" s="212"/>
      <c r="AJB61" s="212"/>
      <c r="AJC61" s="212"/>
      <c r="AJD61" s="212"/>
      <c r="AJE61" s="212"/>
      <c r="AJF61" s="212"/>
      <c r="AJG61" s="212"/>
      <c r="AJH61" s="212"/>
      <c r="AJI61" s="212"/>
      <c r="AJJ61" s="212"/>
      <c r="AJK61" s="212"/>
      <c r="AJL61" s="212"/>
      <c r="AJM61" s="212"/>
      <c r="AJN61" s="212"/>
      <c r="AJO61" s="212"/>
      <c r="AJP61" s="212"/>
      <c r="AJQ61" s="212"/>
      <c r="AJR61" s="212"/>
      <c r="AJS61" s="212"/>
      <c r="AJT61" s="212"/>
      <c r="AJU61" s="212"/>
      <c r="AJV61" s="212"/>
      <c r="AJW61" s="212"/>
      <c r="AJX61" s="212"/>
      <c r="AJY61" s="212"/>
      <c r="AJZ61" s="212"/>
      <c r="AKA61" s="212"/>
      <c r="AKB61" s="212"/>
      <c r="AKC61" s="212"/>
      <c r="AKD61" s="212"/>
      <c r="AKE61" s="212"/>
      <c r="AKF61" s="212"/>
      <c r="AKG61" s="212"/>
      <c r="AKH61" s="212"/>
      <c r="AKI61" s="212"/>
      <c r="AKJ61" s="212"/>
      <c r="AKK61" s="212"/>
      <c r="AKL61" s="212"/>
      <c r="AKM61" s="212"/>
      <c r="AKN61" s="212"/>
      <c r="AKO61" s="212"/>
      <c r="AKP61" s="212"/>
      <c r="AKQ61" s="212"/>
      <c r="AKR61" s="212"/>
      <c r="AKS61" s="212"/>
      <c r="AKT61" s="212"/>
      <c r="AKU61" s="212"/>
      <c r="AKV61" s="212"/>
      <c r="AKW61" s="212"/>
      <c r="AKX61" s="212"/>
      <c r="AKY61" s="212"/>
      <c r="AKZ61" s="212"/>
      <c r="ALA61" s="212"/>
      <c r="ALB61" s="212"/>
      <c r="ALC61" s="212"/>
      <c r="ALD61" s="212"/>
      <c r="ALE61" s="212"/>
      <c r="ALF61" s="212"/>
      <c r="ALG61" s="212"/>
      <c r="ALH61" s="212"/>
      <c r="ALI61" s="212"/>
      <c r="ALJ61" s="212"/>
      <c r="ALK61" s="212"/>
      <c r="ALL61" s="212"/>
      <c r="ALM61" s="212"/>
      <c r="ALN61" s="212"/>
      <c r="ALO61" s="212"/>
      <c r="ALP61" s="212"/>
      <c r="ALQ61" s="212"/>
      <c r="ALR61" s="212"/>
      <c r="ALS61" s="212"/>
      <c r="ALT61" s="212"/>
      <c r="ALU61" s="212"/>
      <c r="ALV61" s="212"/>
      <c r="ALW61" s="212"/>
      <c r="ALX61" s="212"/>
      <c r="ALY61" s="212"/>
      <c r="ALZ61" s="212"/>
      <c r="AMA61" s="212"/>
      <c r="AMB61" s="212"/>
      <c r="AMC61" s="212"/>
      <c r="AMD61" s="212"/>
      <c r="AME61" s="212"/>
      <c r="AMF61" s="212"/>
      <c r="AMG61" s="212"/>
      <c r="AMH61" s="212"/>
      <c r="AMI61" s="212"/>
      <c r="AMJ61" s="212"/>
      <c r="AMK61" s="212"/>
      <c r="AML61" s="212"/>
      <c r="AMM61" s="212"/>
      <c r="AMN61" s="212"/>
      <c r="AMO61" s="212"/>
      <c r="AMP61" s="212"/>
      <c r="AMQ61" s="212"/>
      <c r="AMR61" s="212"/>
      <c r="AMS61" s="212"/>
      <c r="AMT61" s="212"/>
      <c r="AMU61" s="212"/>
      <c r="AMV61" s="212"/>
      <c r="AMW61" s="212"/>
      <c r="AMX61" s="212"/>
      <c r="AMY61" s="212"/>
      <c r="AMZ61" s="212"/>
      <c r="ANA61" s="212"/>
      <c r="ANB61" s="212"/>
      <c r="ANC61" s="212"/>
      <c r="AND61" s="212"/>
      <c r="ANE61" s="212"/>
      <c r="ANF61" s="212"/>
      <c r="ANG61" s="212"/>
      <c r="ANH61" s="212"/>
      <c r="ANI61" s="212"/>
      <c r="ANJ61" s="212"/>
      <c r="ANK61" s="212"/>
      <c r="ANL61" s="212"/>
      <c r="ANM61" s="212"/>
      <c r="ANN61" s="212"/>
      <c r="ANO61" s="212"/>
      <c r="ANP61" s="212"/>
      <c r="ANQ61" s="212"/>
      <c r="ANR61" s="212"/>
      <c r="ANS61" s="212"/>
      <c r="ANT61" s="212"/>
      <c r="ANU61" s="212"/>
      <c r="ANV61" s="212"/>
      <c r="ANW61" s="212"/>
      <c r="ANX61" s="212"/>
      <c r="ANY61" s="212"/>
      <c r="ANZ61" s="212"/>
      <c r="AOA61" s="212"/>
      <c r="AOB61" s="212"/>
      <c r="AOC61" s="212"/>
      <c r="AOD61" s="212"/>
      <c r="AOE61" s="212"/>
      <c r="AOF61" s="212"/>
      <c r="AOG61" s="212"/>
      <c r="AOH61" s="212"/>
      <c r="AOI61" s="212"/>
      <c r="AOJ61" s="212"/>
      <c r="AOK61" s="212"/>
      <c r="AOL61" s="212"/>
      <c r="AOM61" s="212"/>
      <c r="AON61" s="212"/>
      <c r="AOO61" s="212"/>
      <c r="AOP61" s="212"/>
      <c r="AOQ61" s="212"/>
      <c r="AOR61" s="212"/>
      <c r="AOS61" s="212"/>
      <c r="AOT61" s="212"/>
      <c r="AOU61" s="212"/>
      <c r="AOV61" s="212"/>
      <c r="AOW61" s="212"/>
      <c r="AOX61" s="212"/>
      <c r="AOY61" s="212"/>
      <c r="AOZ61" s="212"/>
      <c r="APA61" s="212"/>
      <c r="APB61" s="212"/>
      <c r="APC61" s="212"/>
      <c r="APD61" s="212"/>
      <c r="APE61" s="212"/>
      <c r="APF61" s="212"/>
      <c r="APG61" s="212"/>
      <c r="APH61" s="212"/>
      <c r="API61" s="212"/>
      <c r="APJ61" s="212"/>
      <c r="APK61" s="212"/>
      <c r="APL61" s="212"/>
      <c r="APM61" s="212"/>
      <c r="APN61" s="212"/>
      <c r="APO61" s="212"/>
      <c r="APP61" s="212"/>
      <c r="APQ61" s="212"/>
      <c r="APR61" s="212"/>
      <c r="APS61" s="212"/>
      <c r="APT61" s="212"/>
      <c r="APU61" s="212"/>
      <c r="APV61" s="212"/>
      <c r="APW61" s="212"/>
      <c r="APX61" s="212"/>
      <c r="APY61" s="212"/>
      <c r="APZ61" s="212"/>
      <c r="AQA61" s="212"/>
      <c r="AQB61" s="212"/>
      <c r="AQC61" s="212"/>
      <c r="AQD61" s="212"/>
      <c r="AQE61" s="212"/>
      <c r="AQF61" s="212"/>
      <c r="AQG61" s="212"/>
      <c r="AQH61" s="212"/>
      <c r="AQI61" s="212"/>
      <c r="AQJ61" s="212"/>
      <c r="AQK61" s="212"/>
      <c r="AQL61" s="212"/>
      <c r="AQM61" s="212"/>
      <c r="AQN61" s="212"/>
      <c r="AQO61" s="212"/>
      <c r="AQP61" s="212"/>
      <c r="AQQ61" s="212"/>
      <c r="AQR61" s="212"/>
      <c r="AQS61" s="212"/>
      <c r="AQT61" s="212"/>
      <c r="AQU61" s="212"/>
      <c r="AQV61" s="212"/>
      <c r="AQW61" s="212"/>
      <c r="AQX61" s="212"/>
      <c r="AQY61" s="212"/>
      <c r="AQZ61" s="212"/>
      <c r="ARA61" s="212"/>
      <c r="ARB61" s="212"/>
      <c r="ARC61" s="212"/>
      <c r="ARD61" s="212"/>
      <c r="ARE61" s="212"/>
      <c r="ARF61" s="212"/>
      <c r="ARG61" s="212"/>
      <c r="ARH61" s="212"/>
      <c r="ARI61" s="212"/>
      <c r="ARJ61" s="212"/>
      <c r="ARK61" s="212"/>
      <c r="ARL61" s="212"/>
      <c r="ARM61" s="212"/>
      <c r="ARN61" s="212"/>
      <c r="ARO61" s="212"/>
      <c r="ARP61" s="212"/>
      <c r="ARQ61" s="212"/>
      <c r="ARR61" s="212"/>
      <c r="ARS61" s="212"/>
      <c r="ART61" s="212"/>
      <c r="ARU61" s="212"/>
      <c r="ARV61" s="212"/>
      <c r="ARW61" s="212"/>
      <c r="ARX61" s="212"/>
      <c r="ARY61" s="212"/>
      <c r="ARZ61" s="212"/>
      <c r="ASA61" s="212"/>
      <c r="ASB61" s="212"/>
      <c r="ASC61" s="212"/>
      <c r="ASD61" s="212"/>
      <c r="ASE61" s="212"/>
      <c r="ASF61" s="212"/>
      <c r="ASG61" s="212"/>
      <c r="ASH61" s="212"/>
      <c r="ASI61" s="212"/>
      <c r="ASJ61" s="212"/>
      <c r="ASK61" s="212"/>
      <c r="ASL61" s="212"/>
      <c r="ASM61" s="212"/>
      <c r="ASN61" s="212"/>
      <c r="ASO61" s="212"/>
      <c r="ASP61" s="212"/>
      <c r="ASQ61" s="212"/>
      <c r="ASR61" s="212"/>
      <c r="ASS61" s="212"/>
      <c r="AST61" s="212"/>
      <c r="ASU61" s="212"/>
      <c r="ASV61" s="212"/>
      <c r="ASW61" s="212"/>
      <c r="ASX61" s="212"/>
      <c r="ASY61" s="212"/>
      <c r="ASZ61" s="212"/>
      <c r="ATA61" s="212"/>
      <c r="ATB61" s="212"/>
      <c r="ATC61" s="212"/>
      <c r="ATD61" s="212"/>
      <c r="ATE61" s="212"/>
      <c r="ATF61" s="212"/>
      <c r="ATG61" s="212"/>
      <c r="ATH61" s="212"/>
      <c r="ATI61" s="212"/>
      <c r="ATJ61" s="212"/>
      <c r="ATK61" s="212"/>
      <c r="ATL61" s="212"/>
      <c r="ATM61" s="212"/>
      <c r="ATN61" s="212"/>
      <c r="ATO61" s="212"/>
      <c r="ATP61" s="212"/>
      <c r="ATQ61" s="212"/>
      <c r="ATR61" s="212"/>
      <c r="ATS61" s="212"/>
      <c r="ATT61" s="212"/>
      <c r="ATU61" s="212"/>
      <c r="ATV61" s="212"/>
      <c r="ATW61" s="212"/>
      <c r="ATX61" s="212"/>
      <c r="ATY61" s="212"/>
      <c r="ATZ61" s="212"/>
      <c r="AUA61" s="212"/>
      <c r="AUB61" s="212"/>
      <c r="AUC61" s="212"/>
      <c r="AUD61" s="212"/>
      <c r="AUE61" s="212"/>
      <c r="AUF61" s="212"/>
      <c r="AUG61" s="212"/>
      <c r="AUH61" s="212"/>
      <c r="AUI61" s="212"/>
      <c r="AUJ61" s="212"/>
      <c r="AUK61" s="212"/>
      <c r="AUL61" s="212"/>
      <c r="AUM61" s="212"/>
      <c r="AUN61" s="212"/>
      <c r="AUO61" s="212"/>
      <c r="AUP61" s="212"/>
      <c r="AUQ61" s="212"/>
      <c r="AUR61" s="212"/>
      <c r="AUS61" s="212"/>
      <c r="AUT61" s="212"/>
      <c r="AUU61" s="212"/>
      <c r="AUV61" s="212"/>
      <c r="AUW61" s="212"/>
      <c r="AUX61" s="212"/>
      <c r="AUY61" s="212"/>
      <c r="AUZ61" s="212"/>
      <c r="AVA61" s="212"/>
      <c r="AVB61" s="212"/>
      <c r="AVC61" s="212"/>
      <c r="AVD61" s="212"/>
      <c r="AVE61" s="212"/>
      <c r="AVF61" s="212"/>
      <c r="AVG61" s="212"/>
      <c r="AVH61" s="212"/>
      <c r="AVI61" s="212"/>
      <c r="AVJ61" s="212"/>
      <c r="AVK61" s="212"/>
      <c r="AVL61" s="212"/>
      <c r="AVM61" s="212"/>
      <c r="AVN61" s="212"/>
      <c r="AVO61" s="212"/>
      <c r="AVP61" s="212"/>
      <c r="AVQ61" s="212"/>
      <c r="AVR61" s="212"/>
      <c r="AVS61" s="212"/>
      <c r="AVT61" s="212"/>
      <c r="AVU61" s="212"/>
      <c r="AVV61" s="212"/>
      <c r="AVW61" s="212"/>
      <c r="AVX61" s="212"/>
      <c r="AVY61" s="212"/>
      <c r="AVZ61" s="212"/>
      <c r="AWA61" s="212"/>
      <c r="AWB61" s="212"/>
      <c r="AWC61" s="212"/>
      <c r="AWD61" s="212"/>
      <c r="AWE61" s="212"/>
      <c r="AWF61" s="212"/>
      <c r="AWG61" s="212"/>
      <c r="AWH61" s="212"/>
      <c r="AWI61" s="212"/>
      <c r="AWJ61" s="212"/>
      <c r="AWK61" s="212"/>
      <c r="AWL61" s="212"/>
      <c r="AWM61" s="212"/>
      <c r="AWN61" s="212"/>
      <c r="AWO61" s="212"/>
      <c r="AWP61" s="212"/>
      <c r="AWQ61" s="212"/>
      <c r="AWR61" s="212"/>
      <c r="AWS61" s="212"/>
      <c r="AWT61" s="212"/>
      <c r="AWU61" s="212"/>
      <c r="AWV61" s="212"/>
      <c r="AWW61" s="212"/>
      <c r="AWX61" s="212"/>
      <c r="AWY61" s="212"/>
      <c r="AWZ61" s="212"/>
      <c r="AXA61" s="212"/>
      <c r="AXB61" s="212"/>
      <c r="AXC61" s="212"/>
      <c r="AXD61" s="212"/>
      <c r="AXE61" s="212"/>
      <c r="AXF61" s="212"/>
      <c r="AXG61" s="212"/>
      <c r="AXH61" s="212"/>
      <c r="AXI61" s="212"/>
      <c r="AXJ61" s="212"/>
      <c r="AXK61" s="212"/>
      <c r="AXL61" s="212"/>
      <c r="AXM61" s="212"/>
      <c r="AXN61" s="212"/>
      <c r="AXO61" s="212"/>
      <c r="AXP61" s="212"/>
      <c r="AXQ61" s="212"/>
      <c r="AXR61" s="212"/>
      <c r="AXS61" s="212"/>
      <c r="AXT61" s="212"/>
      <c r="AXU61" s="212"/>
      <c r="AXV61" s="212"/>
      <c r="AXW61" s="212"/>
      <c r="AXX61" s="212"/>
      <c r="AXY61" s="212"/>
      <c r="AXZ61" s="212"/>
      <c r="AYA61" s="212"/>
      <c r="AYB61" s="212"/>
      <c r="AYC61" s="212"/>
      <c r="AYD61" s="212"/>
      <c r="AYE61" s="212"/>
      <c r="AYF61" s="212"/>
      <c r="AYG61" s="212"/>
      <c r="AYH61" s="212"/>
      <c r="AYI61" s="212"/>
      <c r="AYJ61" s="212"/>
      <c r="AYK61" s="212"/>
      <c r="AYL61" s="212"/>
      <c r="AYM61" s="212"/>
      <c r="AYN61" s="212"/>
      <c r="AYO61" s="212"/>
      <c r="AYP61" s="212"/>
      <c r="AYQ61" s="212"/>
      <c r="AYR61" s="212"/>
      <c r="AYS61" s="212"/>
      <c r="AYT61" s="212"/>
      <c r="AYU61" s="212"/>
      <c r="AYV61" s="212"/>
      <c r="AYW61" s="212"/>
      <c r="AYX61" s="212"/>
      <c r="AYY61" s="212"/>
      <c r="AYZ61" s="212"/>
      <c r="AZA61" s="212"/>
      <c r="AZB61" s="212"/>
      <c r="AZC61" s="212"/>
      <c r="AZD61" s="212"/>
      <c r="AZE61" s="212"/>
      <c r="AZF61" s="212"/>
      <c r="AZG61" s="212"/>
      <c r="AZH61" s="212"/>
      <c r="AZI61" s="212"/>
      <c r="AZJ61" s="212"/>
      <c r="AZK61" s="212"/>
      <c r="AZL61" s="212"/>
      <c r="AZM61" s="212"/>
      <c r="AZN61" s="212"/>
      <c r="AZO61" s="212"/>
      <c r="AZP61" s="212"/>
      <c r="AZQ61" s="212"/>
      <c r="AZR61" s="212"/>
      <c r="AZS61" s="212"/>
      <c r="AZT61" s="212"/>
      <c r="AZU61" s="212"/>
      <c r="AZV61" s="212"/>
      <c r="AZW61" s="212"/>
      <c r="AZX61" s="212"/>
      <c r="AZY61" s="212"/>
      <c r="AZZ61" s="212"/>
      <c r="BAA61" s="212"/>
      <c r="BAB61" s="212"/>
      <c r="BAC61" s="212"/>
      <c r="BAD61" s="212"/>
      <c r="BAE61" s="212"/>
      <c r="BAF61" s="212"/>
      <c r="BAG61" s="212"/>
      <c r="BAH61" s="212"/>
      <c r="BAI61" s="212"/>
      <c r="BAJ61" s="212"/>
      <c r="BAK61" s="212"/>
      <c r="BAL61" s="212"/>
      <c r="BAM61" s="212"/>
      <c r="BAN61" s="212"/>
      <c r="BAO61" s="212"/>
      <c r="BAP61" s="212"/>
      <c r="BAQ61" s="212"/>
      <c r="BAR61" s="212"/>
      <c r="BAS61" s="212"/>
      <c r="BAT61" s="212"/>
      <c r="BAU61" s="212"/>
      <c r="BAV61" s="212"/>
      <c r="BAW61" s="212"/>
      <c r="BAX61" s="212"/>
      <c r="BAY61" s="212"/>
      <c r="BAZ61" s="212"/>
      <c r="BBA61" s="212"/>
      <c r="BBB61" s="212"/>
      <c r="BBC61" s="212"/>
      <c r="BBD61" s="212"/>
      <c r="BBE61" s="212"/>
      <c r="BBF61" s="212"/>
      <c r="BBG61" s="212"/>
      <c r="BBH61" s="212"/>
      <c r="BBI61" s="212"/>
      <c r="BBJ61" s="212"/>
      <c r="BBK61" s="212"/>
      <c r="BBL61" s="212"/>
      <c r="BBM61" s="212"/>
      <c r="BBN61" s="212"/>
      <c r="BBO61" s="212"/>
      <c r="BBP61" s="212"/>
      <c r="BBQ61" s="212"/>
      <c r="BBR61" s="212"/>
      <c r="BBS61" s="212"/>
      <c r="BBT61" s="212"/>
      <c r="BBU61" s="212"/>
      <c r="BBV61" s="212"/>
      <c r="BBW61" s="212"/>
      <c r="BBX61" s="212"/>
      <c r="BBY61" s="212"/>
      <c r="BBZ61" s="212"/>
      <c r="BCA61" s="212"/>
      <c r="BCB61" s="212"/>
      <c r="BCC61" s="212"/>
      <c r="BCD61" s="212"/>
      <c r="BCE61" s="212"/>
      <c r="BCF61" s="212"/>
      <c r="BCG61" s="212"/>
      <c r="BCH61" s="212"/>
      <c r="BCI61" s="212"/>
      <c r="BCJ61" s="212"/>
      <c r="BCK61" s="212"/>
      <c r="BCL61" s="212"/>
      <c r="BCM61" s="212"/>
      <c r="BCN61" s="212"/>
      <c r="BCO61" s="212"/>
      <c r="BCP61" s="212"/>
      <c r="BCQ61" s="212"/>
      <c r="BCR61" s="212"/>
      <c r="BCS61" s="212"/>
      <c r="BCT61" s="212"/>
      <c r="BCU61" s="212"/>
      <c r="BCV61" s="212"/>
      <c r="BCW61" s="212"/>
      <c r="BCX61" s="212"/>
      <c r="BCY61" s="212"/>
      <c r="BCZ61" s="212"/>
      <c r="BDA61" s="212"/>
      <c r="BDB61" s="212"/>
      <c r="BDC61" s="212"/>
      <c r="BDD61" s="212"/>
      <c r="BDE61" s="212"/>
      <c r="BDF61" s="212"/>
      <c r="BDG61" s="212"/>
      <c r="BDH61" s="212"/>
      <c r="BDI61" s="212"/>
      <c r="BDJ61" s="212"/>
      <c r="BDK61" s="212"/>
      <c r="BDL61" s="212"/>
      <c r="BDM61" s="212"/>
      <c r="BDN61" s="212"/>
      <c r="BDO61" s="212"/>
      <c r="BDP61" s="212"/>
      <c r="BDQ61" s="212"/>
      <c r="BDR61" s="212"/>
      <c r="BDS61" s="212"/>
      <c r="BDT61" s="212"/>
      <c r="BDU61" s="212"/>
      <c r="BDV61" s="212"/>
      <c r="BDW61" s="212"/>
      <c r="BDX61" s="212"/>
      <c r="BDY61" s="212"/>
      <c r="BDZ61" s="212"/>
      <c r="BEA61" s="212"/>
      <c r="BEB61" s="212"/>
      <c r="BEC61" s="212"/>
      <c r="BED61" s="212"/>
      <c r="BEE61" s="212"/>
      <c r="BEF61" s="212"/>
      <c r="BEG61" s="212"/>
      <c r="BEH61" s="212"/>
      <c r="BEI61" s="212"/>
      <c r="BEJ61" s="212"/>
      <c r="BEK61" s="212"/>
      <c r="BEL61" s="212"/>
      <c r="BEM61" s="212"/>
      <c r="BEN61" s="212"/>
      <c r="BEO61" s="212"/>
      <c r="BEP61" s="212"/>
      <c r="BEQ61" s="212"/>
      <c r="BER61" s="212"/>
      <c r="BES61" s="212"/>
      <c r="BET61" s="212"/>
      <c r="BEU61" s="212"/>
      <c r="BEV61" s="212"/>
      <c r="BEW61" s="212"/>
      <c r="BEX61" s="212"/>
      <c r="BEY61" s="212"/>
      <c r="BEZ61" s="212"/>
      <c r="BFA61" s="212"/>
      <c r="BFB61" s="212"/>
      <c r="BFC61" s="212"/>
      <c r="BFD61" s="212"/>
      <c r="BFE61" s="212"/>
      <c r="BFF61" s="212"/>
      <c r="BFG61" s="212"/>
      <c r="BFH61" s="212"/>
      <c r="BFI61" s="212"/>
      <c r="BFJ61" s="212"/>
      <c r="BFK61" s="212"/>
      <c r="BFL61" s="212"/>
      <c r="BFM61" s="212"/>
      <c r="BFN61" s="212"/>
      <c r="BFO61" s="212"/>
      <c r="BFP61" s="212"/>
      <c r="BFQ61" s="212"/>
      <c r="BFR61" s="212"/>
      <c r="BFS61" s="212"/>
      <c r="BFT61" s="212"/>
      <c r="BFU61" s="212"/>
      <c r="BFV61" s="212"/>
      <c r="BFW61" s="212"/>
      <c r="BFX61" s="212"/>
      <c r="BFY61" s="212"/>
      <c r="BFZ61" s="212"/>
      <c r="BGA61" s="212"/>
      <c r="BGB61" s="212"/>
      <c r="BGC61" s="212"/>
      <c r="BGD61" s="212"/>
      <c r="BGE61" s="212"/>
      <c r="BGF61" s="212"/>
      <c r="BGG61" s="212"/>
      <c r="BGH61" s="212"/>
      <c r="BGI61" s="212"/>
      <c r="BGJ61" s="212"/>
      <c r="BGK61" s="212"/>
      <c r="BGL61" s="212"/>
      <c r="BGM61" s="212"/>
      <c r="BGN61" s="212"/>
      <c r="BGO61" s="212"/>
      <c r="BGP61" s="212"/>
      <c r="BGQ61" s="212"/>
      <c r="BGR61" s="212"/>
      <c r="BGS61" s="212"/>
      <c r="BGT61" s="212"/>
      <c r="BGU61" s="212"/>
      <c r="BGV61" s="212"/>
      <c r="BGW61" s="212"/>
      <c r="BGX61" s="212"/>
      <c r="BGY61" s="212"/>
      <c r="BGZ61" s="212"/>
      <c r="BHA61" s="212"/>
      <c r="BHB61" s="212"/>
      <c r="BHC61" s="212"/>
      <c r="BHD61" s="212"/>
      <c r="BHE61" s="212"/>
      <c r="BHF61" s="212"/>
      <c r="BHG61" s="212"/>
      <c r="BHH61" s="212"/>
      <c r="BHI61" s="212"/>
      <c r="BHJ61" s="212"/>
      <c r="BHK61" s="212"/>
      <c r="BHL61" s="212"/>
      <c r="BHM61" s="212"/>
      <c r="BHN61" s="212"/>
      <c r="BHO61" s="212"/>
      <c r="BHP61" s="212"/>
      <c r="BHQ61" s="212"/>
      <c r="BHR61" s="212"/>
      <c r="BHS61" s="212"/>
      <c r="BHT61" s="212"/>
      <c r="BHU61" s="212"/>
      <c r="BHV61" s="212"/>
      <c r="BHW61" s="212"/>
      <c r="BHX61" s="212"/>
      <c r="BHY61" s="212"/>
      <c r="BHZ61" s="212"/>
      <c r="BIA61" s="212"/>
      <c r="BIB61" s="212"/>
      <c r="BIC61" s="212"/>
      <c r="BID61" s="212"/>
      <c r="BIE61" s="212"/>
      <c r="BIF61" s="212"/>
      <c r="BIG61" s="212"/>
      <c r="BIH61" s="212"/>
      <c r="BII61" s="212"/>
      <c r="BIJ61" s="212"/>
      <c r="BIK61" s="212"/>
      <c r="BIL61" s="212"/>
      <c r="BIM61" s="212"/>
      <c r="BIN61" s="212"/>
      <c r="BIO61" s="212"/>
      <c r="BIP61" s="212"/>
      <c r="BIQ61" s="212"/>
      <c r="BIR61" s="212"/>
      <c r="BIS61" s="212"/>
      <c r="BIT61" s="212"/>
      <c r="BIU61" s="212"/>
      <c r="BIV61" s="212"/>
      <c r="BIW61" s="212"/>
      <c r="BIX61" s="212"/>
      <c r="BIY61" s="212"/>
      <c r="BIZ61" s="212"/>
      <c r="BJA61" s="212"/>
      <c r="BJB61" s="212"/>
      <c r="BJC61" s="212"/>
      <c r="BJD61" s="212"/>
      <c r="BJE61" s="212"/>
      <c r="BJF61" s="212"/>
      <c r="BJG61" s="212"/>
      <c r="BJH61" s="212"/>
      <c r="BJI61" s="212"/>
      <c r="BJJ61" s="212"/>
      <c r="BJK61" s="212"/>
      <c r="BJL61" s="212"/>
      <c r="BJM61" s="212"/>
      <c r="BJN61" s="212"/>
      <c r="BJO61" s="212"/>
      <c r="BJP61" s="212"/>
      <c r="BJQ61" s="212"/>
      <c r="BJR61" s="212"/>
      <c r="BJS61" s="212"/>
      <c r="BJT61" s="212"/>
      <c r="BJU61" s="212"/>
      <c r="BJV61" s="212"/>
      <c r="BJW61" s="212"/>
      <c r="BJX61" s="212"/>
      <c r="BJY61" s="212"/>
      <c r="BJZ61" s="212"/>
      <c r="BKA61" s="212"/>
      <c r="BKB61" s="212"/>
      <c r="BKC61" s="212"/>
      <c r="BKD61" s="212"/>
      <c r="BKE61" s="212"/>
      <c r="BKF61" s="212"/>
      <c r="BKG61" s="212"/>
      <c r="BKH61" s="212"/>
      <c r="BKI61" s="212"/>
      <c r="BKJ61" s="212"/>
      <c r="BKK61" s="212"/>
      <c r="BKL61" s="212"/>
      <c r="BKM61" s="212"/>
      <c r="BKN61" s="212"/>
      <c r="BKO61" s="212"/>
      <c r="BKP61" s="212"/>
      <c r="BKQ61" s="212"/>
      <c r="BKR61" s="212"/>
      <c r="BKS61" s="212"/>
      <c r="BKT61" s="212"/>
      <c r="BKU61" s="212"/>
      <c r="BKV61" s="212"/>
      <c r="BKW61" s="212"/>
      <c r="BKX61" s="212"/>
      <c r="BKY61" s="212"/>
      <c r="BKZ61" s="212"/>
      <c r="BLA61" s="212"/>
      <c r="BLB61" s="212"/>
      <c r="BLC61" s="212"/>
      <c r="BLD61" s="212"/>
      <c r="BLE61" s="212"/>
      <c r="BLF61" s="212"/>
      <c r="BLG61" s="212"/>
      <c r="BLH61" s="212"/>
      <c r="BLI61" s="212"/>
      <c r="BLJ61" s="212"/>
      <c r="BLK61" s="212"/>
      <c r="BLL61" s="212"/>
      <c r="BLM61" s="212"/>
      <c r="BLN61" s="212"/>
      <c r="BLO61" s="212"/>
      <c r="BLP61" s="212"/>
      <c r="BLQ61" s="212"/>
      <c r="BLR61" s="212"/>
      <c r="BLS61" s="212"/>
      <c r="BLT61" s="212"/>
      <c r="BLU61" s="212"/>
      <c r="BLV61" s="212"/>
      <c r="BLW61" s="212"/>
      <c r="BLX61" s="212"/>
      <c r="BLY61" s="212"/>
      <c r="BLZ61" s="212"/>
      <c r="BMA61" s="212"/>
      <c r="BMB61" s="212"/>
      <c r="BMC61" s="212"/>
      <c r="BMD61" s="212"/>
      <c r="BME61" s="212"/>
      <c r="BMF61" s="212"/>
      <c r="BMG61" s="212"/>
      <c r="BMH61" s="212"/>
      <c r="BMI61" s="212"/>
      <c r="BMJ61" s="212"/>
      <c r="BMK61" s="212"/>
      <c r="BML61" s="212"/>
      <c r="BMM61" s="212"/>
      <c r="BMN61" s="212"/>
      <c r="BMO61" s="212"/>
      <c r="BMP61" s="212"/>
      <c r="BMQ61" s="212"/>
      <c r="BMR61" s="212"/>
      <c r="BMS61" s="212"/>
      <c r="BMT61" s="212"/>
      <c r="BMU61" s="212"/>
      <c r="BMV61" s="212"/>
      <c r="BMW61" s="212"/>
      <c r="BMX61" s="212"/>
      <c r="BMY61" s="212"/>
      <c r="BMZ61" s="212"/>
      <c r="BNA61" s="212"/>
      <c r="BNB61" s="212"/>
      <c r="BNC61" s="212"/>
      <c r="BND61" s="212"/>
      <c r="BNE61" s="212"/>
      <c r="BNF61" s="212"/>
      <c r="BNG61" s="212"/>
      <c r="BNH61" s="212"/>
      <c r="BNI61" s="212"/>
      <c r="BNJ61" s="212"/>
      <c r="BNK61" s="212"/>
      <c r="BNL61" s="212"/>
      <c r="BNM61" s="212"/>
      <c r="BNN61" s="212"/>
      <c r="BNO61" s="212"/>
      <c r="BNP61" s="212"/>
      <c r="BNQ61" s="212"/>
      <c r="BNR61" s="212"/>
      <c r="BNS61" s="212"/>
      <c r="BNT61" s="212"/>
      <c r="BNU61" s="212"/>
      <c r="BNV61" s="212"/>
      <c r="BNW61" s="212"/>
      <c r="BNX61" s="212"/>
      <c r="BNY61" s="212"/>
      <c r="BNZ61" s="212"/>
      <c r="BOA61" s="212"/>
      <c r="BOB61" s="212"/>
      <c r="BOC61" s="212"/>
      <c r="BOD61" s="212"/>
      <c r="BOE61" s="212"/>
      <c r="BOF61" s="212"/>
      <c r="BOG61" s="212"/>
      <c r="BOH61" s="212"/>
      <c r="BOI61" s="212"/>
      <c r="BOJ61" s="212"/>
      <c r="BOK61" s="212"/>
      <c r="BOL61" s="212"/>
      <c r="BOM61" s="212"/>
      <c r="BON61" s="212"/>
      <c r="BOO61" s="212"/>
      <c r="BOP61" s="212"/>
      <c r="BOQ61" s="212"/>
      <c r="BOR61" s="212"/>
      <c r="BOS61" s="212"/>
      <c r="BOT61" s="212"/>
      <c r="BOU61" s="212"/>
      <c r="BOV61" s="212"/>
      <c r="BOW61" s="212"/>
      <c r="BOX61" s="212"/>
      <c r="BOY61" s="212"/>
      <c r="BOZ61" s="212"/>
      <c r="BPA61" s="212"/>
      <c r="BPB61" s="212"/>
      <c r="BPC61" s="212"/>
      <c r="BPD61" s="212"/>
      <c r="BPE61" s="212"/>
      <c r="BPF61" s="212"/>
      <c r="BPG61" s="212"/>
      <c r="BPH61" s="212"/>
      <c r="BPI61" s="212"/>
      <c r="BPJ61" s="212"/>
      <c r="BPK61" s="212"/>
      <c r="BPL61" s="212"/>
      <c r="BPM61" s="212"/>
      <c r="BPN61" s="212"/>
      <c r="BPO61" s="212"/>
      <c r="BPP61" s="212"/>
      <c r="BPQ61" s="212"/>
      <c r="BPR61" s="212"/>
      <c r="BPS61" s="212"/>
      <c r="BPT61" s="212"/>
      <c r="BPU61" s="212"/>
      <c r="BPV61" s="212"/>
      <c r="BPW61" s="212"/>
      <c r="BPX61" s="212"/>
      <c r="BPY61" s="212"/>
      <c r="BPZ61" s="212"/>
      <c r="BQA61" s="212"/>
      <c r="BQB61" s="212"/>
      <c r="BQC61" s="212"/>
      <c r="BQD61" s="212"/>
      <c r="BQE61" s="212"/>
      <c r="BQF61" s="212"/>
      <c r="BQG61" s="212"/>
      <c r="BQH61" s="212"/>
      <c r="BQI61" s="212"/>
      <c r="BQJ61" s="212"/>
      <c r="BQK61" s="212"/>
      <c r="BQL61" s="212"/>
      <c r="BQM61" s="212"/>
      <c r="BQN61" s="212"/>
      <c r="BQO61" s="212"/>
      <c r="BQP61" s="212"/>
      <c r="BQQ61" s="212"/>
      <c r="BQR61" s="212"/>
      <c r="BQS61" s="212"/>
      <c r="BQT61" s="212"/>
      <c r="BQU61" s="212"/>
      <c r="BQV61" s="212"/>
      <c r="BQW61" s="212"/>
      <c r="BQX61" s="212"/>
      <c r="BQY61" s="212"/>
      <c r="BQZ61" s="212"/>
      <c r="BRA61" s="212"/>
      <c r="BRB61" s="212"/>
      <c r="BRC61" s="212"/>
      <c r="BRD61" s="212"/>
      <c r="BRE61" s="212"/>
      <c r="BRF61" s="212"/>
      <c r="BRG61" s="212"/>
      <c r="BRH61" s="212"/>
      <c r="BRI61" s="212"/>
      <c r="BRJ61" s="212"/>
      <c r="BRK61" s="212"/>
      <c r="BRL61" s="212"/>
      <c r="BRM61" s="212"/>
      <c r="BRN61" s="212"/>
      <c r="BRO61" s="212"/>
      <c r="BRP61" s="212"/>
      <c r="BRQ61" s="212"/>
      <c r="BRR61" s="212"/>
      <c r="BRS61" s="212"/>
      <c r="BRT61" s="212"/>
      <c r="BRU61" s="212"/>
      <c r="BRV61" s="212"/>
      <c r="BRW61" s="212"/>
      <c r="BRX61" s="212"/>
      <c r="BRY61" s="212"/>
      <c r="BRZ61" s="212"/>
      <c r="BSA61" s="212"/>
      <c r="BSB61" s="212"/>
      <c r="BSC61" s="212"/>
      <c r="BSD61" s="212"/>
      <c r="BSE61" s="212"/>
      <c r="BSF61" s="212"/>
      <c r="BSG61" s="212"/>
      <c r="BSH61" s="212"/>
      <c r="BSI61" s="212"/>
      <c r="BSJ61" s="212"/>
      <c r="BSK61" s="212"/>
      <c r="BSL61" s="212"/>
      <c r="BSM61" s="212"/>
      <c r="BSN61" s="212"/>
      <c r="BSO61" s="212"/>
      <c r="BSP61" s="212"/>
      <c r="BSQ61" s="212"/>
      <c r="BSR61" s="212"/>
      <c r="BSS61" s="212"/>
      <c r="BST61" s="212"/>
      <c r="BSU61" s="212"/>
      <c r="BSV61" s="212"/>
      <c r="BSW61" s="212"/>
      <c r="BSX61" s="212"/>
      <c r="BSY61" s="212"/>
      <c r="BSZ61" s="212"/>
      <c r="BTA61" s="212"/>
      <c r="BTB61" s="212"/>
      <c r="BTC61" s="212"/>
      <c r="BTD61" s="212"/>
      <c r="BTE61" s="212"/>
      <c r="BTF61" s="212"/>
      <c r="BTG61" s="212"/>
      <c r="BTH61" s="212"/>
      <c r="BTI61" s="212"/>
      <c r="BTJ61" s="212"/>
      <c r="BTK61" s="212"/>
      <c r="BTL61" s="212"/>
      <c r="BTM61" s="212"/>
      <c r="BTN61" s="212"/>
      <c r="BTO61" s="212"/>
      <c r="BTP61" s="212"/>
      <c r="BTQ61" s="212"/>
      <c r="BTR61" s="212"/>
      <c r="BTS61" s="212"/>
      <c r="BTT61" s="212"/>
      <c r="BTU61" s="212"/>
      <c r="BTV61" s="212"/>
      <c r="BTW61" s="212"/>
      <c r="BTX61" s="212"/>
      <c r="BTY61" s="212"/>
      <c r="BTZ61" s="212"/>
      <c r="BUA61" s="212"/>
      <c r="BUB61" s="212"/>
      <c r="BUC61" s="212"/>
      <c r="BUD61" s="212"/>
      <c r="BUE61" s="212"/>
      <c r="BUF61" s="212"/>
      <c r="BUG61" s="212"/>
      <c r="BUH61" s="212"/>
      <c r="BUI61" s="212"/>
      <c r="BUJ61" s="212"/>
      <c r="BUK61" s="212"/>
      <c r="BUL61" s="212"/>
      <c r="BUM61" s="212"/>
      <c r="BUN61" s="212"/>
      <c r="BUO61" s="212"/>
      <c r="BUP61" s="212"/>
      <c r="BUQ61" s="212"/>
      <c r="BUR61" s="212"/>
      <c r="BUS61" s="212"/>
      <c r="BUT61" s="212"/>
      <c r="BUU61" s="212"/>
      <c r="BUV61" s="212"/>
      <c r="BUW61" s="212"/>
      <c r="BUX61" s="212"/>
      <c r="BUY61" s="212"/>
      <c r="BUZ61" s="212"/>
      <c r="BVA61" s="212"/>
      <c r="BVB61" s="212"/>
      <c r="BVC61" s="212"/>
      <c r="BVD61" s="212"/>
      <c r="BVE61" s="212"/>
      <c r="BVF61" s="212"/>
      <c r="BVG61" s="212"/>
      <c r="BVH61" s="212"/>
      <c r="BVI61" s="212"/>
      <c r="BVJ61" s="212"/>
      <c r="BVK61" s="212"/>
      <c r="BVL61" s="212"/>
      <c r="BVM61" s="212"/>
      <c r="BVN61" s="212"/>
      <c r="BVO61" s="212"/>
      <c r="BVP61" s="212"/>
      <c r="BVQ61" s="212"/>
      <c r="BVR61" s="212"/>
      <c r="BVS61" s="212"/>
      <c r="BVT61" s="212"/>
      <c r="BVU61" s="212"/>
      <c r="BVV61" s="212"/>
      <c r="BVW61" s="212"/>
      <c r="BVX61" s="212"/>
      <c r="BVY61" s="212"/>
      <c r="BVZ61" s="212"/>
      <c r="BWA61" s="212"/>
      <c r="BWB61" s="212"/>
      <c r="BWC61" s="212"/>
      <c r="BWD61" s="212"/>
      <c r="BWE61" s="212"/>
      <c r="BWF61" s="212"/>
      <c r="BWG61" s="212"/>
      <c r="BWH61" s="212"/>
      <c r="BWI61" s="212"/>
      <c r="BWJ61" s="212"/>
      <c r="BWK61" s="212"/>
      <c r="BWL61" s="212"/>
      <c r="BWM61" s="212"/>
      <c r="BWN61" s="212"/>
      <c r="BWO61" s="212"/>
      <c r="BWP61" s="212"/>
      <c r="BWQ61" s="212"/>
      <c r="BWR61" s="212"/>
      <c r="BWS61" s="212"/>
      <c r="BWT61" s="212"/>
      <c r="BWU61" s="212"/>
      <c r="BWV61" s="212"/>
      <c r="BWW61" s="212"/>
      <c r="BWX61" s="212"/>
      <c r="BWY61" s="212"/>
      <c r="BWZ61" s="212"/>
      <c r="BXA61" s="212"/>
      <c r="BXB61" s="212"/>
      <c r="BXC61" s="212"/>
      <c r="BXD61" s="212"/>
      <c r="BXE61" s="212"/>
      <c r="BXF61" s="212"/>
      <c r="BXG61" s="212"/>
      <c r="BXH61" s="212"/>
      <c r="BXI61" s="212"/>
      <c r="BXJ61" s="212"/>
      <c r="BXK61" s="212"/>
      <c r="BXL61" s="212"/>
      <c r="BXM61" s="212"/>
      <c r="BXN61" s="212"/>
      <c r="BXO61" s="212"/>
      <c r="BXP61" s="212"/>
      <c r="BXQ61" s="212"/>
      <c r="BXR61" s="212"/>
      <c r="BXS61" s="212"/>
      <c r="BXT61" s="212"/>
      <c r="BXU61" s="212"/>
      <c r="BXV61" s="212"/>
      <c r="BXW61" s="212"/>
      <c r="BXX61" s="212"/>
      <c r="BXY61" s="212"/>
      <c r="BXZ61" s="212"/>
      <c r="BYA61" s="212"/>
      <c r="BYB61" s="212"/>
      <c r="BYC61" s="212"/>
      <c r="BYD61" s="212"/>
      <c r="BYE61" s="212"/>
      <c r="BYF61" s="212"/>
      <c r="BYG61" s="212"/>
    </row>
    <row r="62" spans="1:2009" s="96" customFormat="1" ht="10.5" customHeight="1" x14ac:dyDescent="0.25">
      <c r="A62" s="122"/>
      <c r="B62" s="122"/>
      <c r="C62" s="204"/>
      <c r="D62" s="204"/>
      <c r="E62" s="204"/>
      <c r="F62" s="204"/>
      <c r="G62" s="20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c r="AHA62" s="95"/>
      <c r="AHB62" s="95"/>
      <c r="AHC62" s="95"/>
      <c r="AHD62" s="95"/>
      <c r="AHE62" s="95"/>
      <c r="AHF62" s="95"/>
      <c r="AHG62" s="95"/>
      <c r="AHH62" s="95"/>
      <c r="AHI62" s="95"/>
      <c r="AHJ62" s="95"/>
      <c r="AHK62" s="95"/>
      <c r="AHL62" s="95"/>
      <c r="AHM62" s="95"/>
      <c r="AHN62" s="95"/>
      <c r="AHO62" s="95"/>
      <c r="AHP62" s="95"/>
      <c r="AHQ62" s="95"/>
      <c r="AHR62" s="95"/>
      <c r="AHS62" s="95"/>
      <c r="AHT62" s="95"/>
      <c r="AHU62" s="95"/>
      <c r="AHV62" s="95"/>
      <c r="AHW62" s="95"/>
      <c r="AHX62" s="95"/>
      <c r="AHY62" s="95"/>
      <c r="AHZ62" s="95"/>
      <c r="AIA62" s="95"/>
      <c r="AIB62" s="95"/>
      <c r="AIC62" s="95"/>
      <c r="AID62" s="95"/>
      <c r="AIE62" s="95"/>
      <c r="AIF62" s="95"/>
      <c r="AIG62" s="95"/>
      <c r="AIH62" s="95"/>
      <c r="AII62" s="95"/>
      <c r="AIJ62" s="95"/>
      <c r="AIK62" s="95"/>
      <c r="AIL62" s="95"/>
      <c r="AIM62" s="95"/>
      <c r="AIN62" s="95"/>
      <c r="AIO62" s="95"/>
      <c r="AIP62" s="95"/>
      <c r="AIQ62" s="95"/>
      <c r="AIR62" s="95"/>
      <c r="AIS62" s="95"/>
      <c r="AIT62" s="95"/>
      <c r="AIU62" s="95"/>
      <c r="AIV62" s="95"/>
      <c r="AIW62" s="95"/>
      <c r="AIX62" s="95"/>
      <c r="AIY62" s="95"/>
      <c r="AIZ62" s="95"/>
      <c r="AJA62" s="95"/>
      <c r="AJB62" s="95"/>
      <c r="AJC62" s="95"/>
      <c r="AJD62" s="95"/>
      <c r="AJE62" s="95"/>
      <c r="AJF62" s="95"/>
      <c r="AJG62" s="95"/>
      <c r="AJH62" s="95"/>
      <c r="AJI62" s="95"/>
      <c r="AJJ62" s="95"/>
      <c r="AJK62" s="95"/>
      <c r="AJL62" s="95"/>
      <c r="AJM62" s="95"/>
      <c r="AJN62" s="95"/>
      <c r="AJO62" s="95"/>
      <c r="AJP62" s="95"/>
      <c r="AJQ62" s="95"/>
      <c r="AJR62" s="95"/>
      <c r="AJS62" s="95"/>
      <c r="AJT62" s="95"/>
      <c r="AJU62" s="95"/>
      <c r="AJV62" s="95"/>
      <c r="AJW62" s="95"/>
      <c r="AJX62" s="95"/>
      <c r="AJY62" s="95"/>
      <c r="AJZ62" s="95"/>
      <c r="AKA62" s="95"/>
      <c r="AKB62" s="95"/>
      <c r="AKC62" s="95"/>
      <c r="AKD62" s="95"/>
      <c r="AKE62" s="95"/>
      <c r="AKF62" s="95"/>
      <c r="AKG62" s="95"/>
      <c r="AKH62" s="95"/>
      <c r="AKI62" s="95"/>
      <c r="AKJ62" s="95"/>
      <c r="AKK62" s="95"/>
      <c r="AKL62" s="95"/>
      <c r="AKM62" s="95"/>
      <c r="AKN62" s="95"/>
      <c r="AKO62" s="95"/>
      <c r="AKP62" s="95"/>
      <c r="AKQ62" s="95"/>
      <c r="AKR62" s="95"/>
      <c r="AKS62" s="95"/>
      <c r="AKT62" s="95"/>
      <c r="AKU62" s="95"/>
      <c r="AKV62" s="95"/>
      <c r="AKW62" s="95"/>
      <c r="AKX62" s="95"/>
      <c r="AKY62" s="95"/>
      <c r="AKZ62" s="95"/>
      <c r="ALA62" s="95"/>
      <c r="ALB62" s="95"/>
      <c r="ALC62" s="95"/>
      <c r="ALD62" s="95"/>
      <c r="ALE62" s="95"/>
      <c r="ALF62" s="95"/>
      <c r="ALG62" s="95"/>
      <c r="ALH62" s="95"/>
      <c r="ALI62" s="95"/>
      <c r="ALJ62" s="95"/>
      <c r="ALK62" s="95"/>
      <c r="ALL62" s="95"/>
      <c r="ALM62" s="95"/>
      <c r="ALN62" s="95"/>
      <c r="ALO62" s="95"/>
      <c r="ALP62" s="95"/>
      <c r="ALQ62" s="95"/>
      <c r="ALR62" s="95"/>
      <c r="ALS62" s="95"/>
      <c r="ALT62" s="95"/>
      <c r="ALU62" s="95"/>
      <c r="ALV62" s="95"/>
      <c r="ALW62" s="95"/>
      <c r="ALX62" s="95"/>
      <c r="ALY62" s="95"/>
      <c r="ALZ62" s="95"/>
      <c r="AMA62" s="95"/>
      <c r="AMB62" s="95"/>
      <c r="AMC62" s="95"/>
      <c r="AMD62" s="95"/>
      <c r="AME62" s="95"/>
      <c r="AMF62" s="95"/>
      <c r="AMG62" s="95"/>
      <c r="AMH62" s="95"/>
      <c r="AMI62" s="95"/>
      <c r="AMJ62" s="95"/>
      <c r="AMK62" s="95"/>
      <c r="AML62" s="95"/>
      <c r="AMM62" s="95"/>
      <c r="AMN62" s="95"/>
      <c r="AMO62" s="95"/>
      <c r="AMP62" s="95"/>
      <c r="AMQ62" s="95"/>
      <c r="AMR62" s="95"/>
      <c r="AMS62" s="95"/>
      <c r="AMT62" s="95"/>
      <c r="AMU62" s="95"/>
      <c r="AMV62" s="95"/>
      <c r="AMW62" s="95"/>
      <c r="AMX62" s="95"/>
      <c r="AMY62" s="95"/>
      <c r="AMZ62" s="95"/>
      <c r="ANA62" s="95"/>
      <c r="ANB62" s="95"/>
      <c r="ANC62" s="95"/>
      <c r="AND62" s="95"/>
      <c r="ANE62" s="95"/>
      <c r="ANF62" s="95"/>
      <c r="ANG62" s="95"/>
      <c r="ANH62" s="95"/>
      <c r="ANI62" s="95"/>
      <c r="ANJ62" s="95"/>
      <c r="ANK62" s="95"/>
      <c r="ANL62" s="95"/>
      <c r="ANM62" s="95"/>
      <c r="ANN62" s="95"/>
      <c r="ANO62" s="95"/>
      <c r="ANP62" s="95"/>
      <c r="ANQ62" s="95"/>
      <c r="ANR62" s="95"/>
      <c r="ANS62" s="95"/>
      <c r="ANT62" s="95"/>
      <c r="ANU62" s="95"/>
      <c r="ANV62" s="95"/>
      <c r="ANW62" s="95"/>
      <c r="ANX62" s="95"/>
      <c r="ANY62" s="95"/>
      <c r="ANZ62" s="95"/>
      <c r="AOA62" s="95"/>
      <c r="AOB62" s="95"/>
      <c r="AOC62" s="95"/>
      <c r="AOD62" s="95"/>
      <c r="AOE62" s="95"/>
      <c r="AOF62" s="95"/>
      <c r="AOG62" s="95"/>
      <c r="AOH62" s="95"/>
      <c r="AOI62" s="95"/>
      <c r="AOJ62" s="95"/>
      <c r="AOK62" s="95"/>
      <c r="AOL62" s="95"/>
      <c r="AOM62" s="95"/>
      <c r="AON62" s="95"/>
      <c r="AOO62" s="95"/>
      <c r="AOP62" s="95"/>
      <c r="AOQ62" s="95"/>
      <c r="AOR62" s="95"/>
      <c r="AOS62" s="95"/>
      <c r="AOT62" s="95"/>
      <c r="AOU62" s="95"/>
      <c r="AOV62" s="95"/>
      <c r="AOW62" s="95"/>
      <c r="AOX62" s="95"/>
      <c r="AOY62" s="95"/>
      <c r="AOZ62" s="95"/>
      <c r="APA62" s="95"/>
      <c r="APB62" s="95"/>
      <c r="APC62" s="95"/>
      <c r="APD62" s="95"/>
      <c r="APE62" s="95"/>
      <c r="APF62" s="95"/>
      <c r="APG62" s="95"/>
      <c r="APH62" s="95"/>
      <c r="API62" s="95"/>
      <c r="APJ62" s="95"/>
      <c r="APK62" s="95"/>
      <c r="APL62" s="95"/>
      <c r="APM62" s="95"/>
      <c r="APN62" s="95"/>
      <c r="APO62" s="95"/>
      <c r="APP62" s="95"/>
      <c r="APQ62" s="95"/>
      <c r="APR62" s="95"/>
      <c r="APS62" s="95"/>
      <c r="APT62" s="95"/>
      <c r="APU62" s="95"/>
      <c r="APV62" s="95"/>
      <c r="APW62" s="95"/>
      <c r="APX62" s="95"/>
      <c r="APY62" s="95"/>
      <c r="APZ62" s="95"/>
      <c r="AQA62" s="95"/>
      <c r="AQB62" s="95"/>
      <c r="AQC62" s="95"/>
      <c r="AQD62" s="95"/>
      <c r="AQE62" s="95"/>
      <c r="AQF62" s="95"/>
      <c r="AQG62" s="95"/>
      <c r="AQH62" s="95"/>
      <c r="AQI62" s="95"/>
      <c r="AQJ62" s="95"/>
      <c r="AQK62" s="95"/>
      <c r="AQL62" s="95"/>
      <c r="AQM62" s="95"/>
      <c r="AQN62" s="95"/>
      <c r="AQO62" s="95"/>
      <c r="AQP62" s="95"/>
      <c r="AQQ62" s="95"/>
      <c r="AQR62" s="95"/>
      <c r="AQS62" s="95"/>
      <c r="AQT62" s="95"/>
      <c r="AQU62" s="95"/>
      <c r="AQV62" s="95"/>
      <c r="AQW62" s="95"/>
      <c r="AQX62" s="95"/>
      <c r="AQY62" s="95"/>
      <c r="AQZ62" s="95"/>
      <c r="ARA62" s="95"/>
      <c r="ARB62" s="95"/>
      <c r="ARC62" s="95"/>
      <c r="ARD62" s="95"/>
      <c r="ARE62" s="95"/>
      <c r="ARF62" s="95"/>
      <c r="ARG62" s="95"/>
      <c r="ARH62" s="95"/>
      <c r="ARI62" s="95"/>
      <c r="ARJ62" s="95"/>
      <c r="ARK62" s="95"/>
      <c r="ARL62" s="95"/>
      <c r="ARM62" s="95"/>
      <c r="ARN62" s="95"/>
      <c r="ARO62" s="95"/>
      <c r="ARP62" s="95"/>
      <c r="ARQ62" s="95"/>
      <c r="ARR62" s="95"/>
      <c r="ARS62" s="95"/>
      <c r="ART62" s="95"/>
      <c r="ARU62" s="95"/>
      <c r="ARV62" s="95"/>
      <c r="ARW62" s="95"/>
      <c r="ARX62" s="95"/>
      <c r="ARY62" s="95"/>
      <c r="ARZ62" s="95"/>
      <c r="ASA62" s="95"/>
      <c r="ASB62" s="95"/>
      <c r="ASC62" s="95"/>
      <c r="ASD62" s="95"/>
      <c r="ASE62" s="95"/>
      <c r="ASF62" s="95"/>
      <c r="ASG62" s="95"/>
      <c r="ASH62" s="95"/>
      <c r="ASI62" s="95"/>
      <c r="ASJ62" s="95"/>
      <c r="ASK62" s="95"/>
      <c r="ASL62" s="95"/>
      <c r="ASM62" s="95"/>
      <c r="ASN62" s="95"/>
      <c r="ASO62" s="95"/>
      <c r="ASP62" s="95"/>
      <c r="ASQ62" s="95"/>
      <c r="ASR62" s="95"/>
      <c r="ASS62" s="95"/>
      <c r="AST62" s="95"/>
      <c r="ASU62" s="95"/>
      <c r="ASV62" s="95"/>
      <c r="ASW62" s="95"/>
      <c r="ASX62" s="95"/>
      <c r="ASY62" s="95"/>
      <c r="ASZ62" s="95"/>
      <c r="ATA62" s="95"/>
      <c r="ATB62" s="95"/>
      <c r="ATC62" s="95"/>
      <c r="ATD62" s="95"/>
      <c r="ATE62" s="95"/>
      <c r="ATF62" s="95"/>
      <c r="ATG62" s="95"/>
      <c r="ATH62" s="95"/>
      <c r="ATI62" s="95"/>
      <c r="ATJ62" s="95"/>
      <c r="ATK62" s="95"/>
      <c r="ATL62" s="95"/>
      <c r="ATM62" s="95"/>
      <c r="ATN62" s="95"/>
      <c r="ATO62" s="95"/>
      <c r="ATP62" s="95"/>
      <c r="ATQ62" s="95"/>
      <c r="ATR62" s="95"/>
      <c r="ATS62" s="95"/>
      <c r="ATT62" s="95"/>
      <c r="ATU62" s="95"/>
      <c r="ATV62" s="95"/>
      <c r="ATW62" s="95"/>
      <c r="ATX62" s="95"/>
      <c r="ATY62" s="95"/>
      <c r="ATZ62" s="95"/>
      <c r="AUA62" s="95"/>
      <c r="AUB62" s="95"/>
      <c r="AUC62" s="95"/>
      <c r="AUD62" s="95"/>
      <c r="AUE62" s="95"/>
      <c r="AUF62" s="95"/>
      <c r="AUG62" s="95"/>
      <c r="AUH62" s="95"/>
      <c r="AUI62" s="95"/>
      <c r="AUJ62" s="95"/>
      <c r="AUK62" s="95"/>
      <c r="AUL62" s="95"/>
      <c r="AUM62" s="95"/>
      <c r="AUN62" s="95"/>
      <c r="AUO62" s="95"/>
      <c r="AUP62" s="95"/>
      <c r="AUQ62" s="95"/>
      <c r="AUR62" s="95"/>
      <c r="AUS62" s="95"/>
      <c r="AUT62" s="95"/>
      <c r="AUU62" s="95"/>
      <c r="AUV62" s="95"/>
      <c r="AUW62" s="95"/>
      <c r="AUX62" s="95"/>
      <c r="AUY62" s="95"/>
      <c r="AUZ62" s="95"/>
      <c r="AVA62" s="95"/>
      <c r="AVB62" s="95"/>
      <c r="AVC62" s="95"/>
      <c r="AVD62" s="95"/>
      <c r="AVE62" s="95"/>
      <c r="AVF62" s="95"/>
      <c r="AVG62" s="95"/>
      <c r="AVH62" s="95"/>
      <c r="AVI62" s="95"/>
      <c r="AVJ62" s="95"/>
      <c r="AVK62" s="95"/>
      <c r="AVL62" s="95"/>
      <c r="AVM62" s="95"/>
      <c r="AVN62" s="95"/>
      <c r="AVO62" s="95"/>
      <c r="AVP62" s="95"/>
      <c r="AVQ62" s="95"/>
      <c r="AVR62" s="95"/>
      <c r="AVS62" s="95"/>
      <c r="AVT62" s="95"/>
      <c r="AVU62" s="95"/>
      <c r="AVV62" s="95"/>
      <c r="AVW62" s="95"/>
      <c r="AVX62" s="95"/>
      <c r="AVY62" s="95"/>
      <c r="AVZ62" s="95"/>
      <c r="AWA62" s="95"/>
      <c r="AWB62" s="95"/>
      <c r="AWC62" s="95"/>
      <c r="AWD62" s="95"/>
      <c r="AWE62" s="95"/>
      <c r="AWF62" s="95"/>
      <c r="AWG62" s="95"/>
      <c r="AWH62" s="95"/>
      <c r="AWI62" s="95"/>
      <c r="AWJ62" s="95"/>
      <c r="AWK62" s="95"/>
      <c r="AWL62" s="95"/>
      <c r="AWM62" s="95"/>
      <c r="AWN62" s="95"/>
      <c r="AWO62" s="95"/>
      <c r="AWP62" s="95"/>
      <c r="AWQ62" s="95"/>
      <c r="AWR62" s="95"/>
      <c r="AWS62" s="95"/>
      <c r="AWT62" s="95"/>
      <c r="AWU62" s="95"/>
      <c r="AWV62" s="95"/>
      <c r="AWW62" s="95"/>
      <c r="AWX62" s="95"/>
      <c r="AWY62" s="95"/>
      <c r="AWZ62" s="95"/>
      <c r="AXA62" s="95"/>
      <c r="AXB62" s="95"/>
      <c r="AXC62" s="95"/>
      <c r="AXD62" s="95"/>
      <c r="AXE62" s="95"/>
      <c r="AXF62" s="95"/>
      <c r="AXG62" s="95"/>
      <c r="AXH62" s="95"/>
      <c r="AXI62" s="95"/>
      <c r="AXJ62" s="95"/>
      <c r="AXK62" s="95"/>
      <c r="AXL62" s="95"/>
      <c r="AXM62" s="95"/>
      <c r="AXN62" s="95"/>
      <c r="AXO62" s="95"/>
      <c r="AXP62" s="95"/>
      <c r="AXQ62" s="95"/>
      <c r="AXR62" s="95"/>
      <c r="AXS62" s="95"/>
      <c r="AXT62" s="95"/>
      <c r="AXU62" s="95"/>
      <c r="AXV62" s="95"/>
      <c r="AXW62" s="95"/>
      <c r="AXX62" s="95"/>
      <c r="AXY62" s="95"/>
      <c r="AXZ62" s="95"/>
      <c r="AYA62" s="95"/>
      <c r="AYB62" s="95"/>
      <c r="AYC62" s="95"/>
      <c r="AYD62" s="95"/>
      <c r="AYE62" s="95"/>
      <c r="AYF62" s="95"/>
      <c r="AYG62" s="95"/>
      <c r="AYH62" s="95"/>
      <c r="AYI62" s="95"/>
      <c r="AYJ62" s="95"/>
      <c r="AYK62" s="95"/>
      <c r="AYL62" s="95"/>
      <c r="AYM62" s="95"/>
      <c r="AYN62" s="95"/>
      <c r="AYO62" s="95"/>
      <c r="AYP62" s="95"/>
      <c r="AYQ62" s="95"/>
      <c r="AYR62" s="95"/>
      <c r="AYS62" s="95"/>
      <c r="AYT62" s="95"/>
      <c r="AYU62" s="95"/>
      <c r="AYV62" s="95"/>
      <c r="AYW62" s="95"/>
      <c r="AYX62" s="95"/>
      <c r="AYY62" s="95"/>
      <c r="AYZ62" s="95"/>
      <c r="AZA62" s="95"/>
      <c r="AZB62" s="95"/>
      <c r="AZC62" s="95"/>
      <c r="AZD62" s="95"/>
      <c r="AZE62" s="95"/>
      <c r="AZF62" s="95"/>
      <c r="AZG62" s="95"/>
      <c r="AZH62" s="95"/>
      <c r="AZI62" s="95"/>
      <c r="AZJ62" s="95"/>
      <c r="AZK62" s="95"/>
      <c r="AZL62" s="95"/>
      <c r="AZM62" s="95"/>
      <c r="AZN62" s="95"/>
      <c r="AZO62" s="95"/>
      <c r="AZP62" s="95"/>
      <c r="AZQ62" s="95"/>
      <c r="AZR62" s="95"/>
      <c r="AZS62" s="95"/>
      <c r="AZT62" s="95"/>
      <c r="AZU62" s="95"/>
      <c r="AZV62" s="95"/>
      <c r="AZW62" s="95"/>
      <c r="AZX62" s="95"/>
      <c r="AZY62" s="95"/>
      <c r="AZZ62" s="95"/>
      <c r="BAA62" s="95"/>
      <c r="BAB62" s="95"/>
      <c r="BAC62" s="95"/>
      <c r="BAD62" s="95"/>
      <c r="BAE62" s="95"/>
      <c r="BAF62" s="95"/>
      <c r="BAG62" s="95"/>
      <c r="BAH62" s="95"/>
      <c r="BAI62" s="95"/>
      <c r="BAJ62" s="95"/>
      <c r="BAK62" s="95"/>
      <c r="BAL62" s="95"/>
      <c r="BAM62" s="95"/>
      <c r="BAN62" s="95"/>
      <c r="BAO62" s="95"/>
      <c r="BAP62" s="95"/>
      <c r="BAQ62" s="95"/>
      <c r="BAR62" s="95"/>
      <c r="BAS62" s="95"/>
      <c r="BAT62" s="95"/>
      <c r="BAU62" s="95"/>
      <c r="BAV62" s="95"/>
      <c r="BAW62" s="95"/>
      <c r="BAX62" s="95"/>
      <c r="BAY62" s="95"/>
      <c r="BAZ62" s="95"/>
      <c r="BBA62" s="95"/>
      <c r="BBB62" s="95"/>
      <c r="BBC62" s="95"/>
      <c r="BBD62" s="95"/>
      <c r="BBE62" s="95"/>
      <c r="BBF62" s="95"/>
      <c r="BBG62" s="95"/>
      <c r="BBH62" s="95"/>
      <c r="BBI62" s="95"/>
      <c r="BBJ62" s="95"/>
      <c r="BBK62" s="95"/>
      <c r="BBL62" s="95"/>
      <c r="BBM62" s="95"/>
      <c r="BBN62" s="95"/>
      <c r="BBO62" s="95"/>
      <c r="BBP62" s="95"/>
      <c r="BBQ62" s="95"/>
      <c r="BBR62" s="95"/>
      <c r="BBS62" s="95"/>
      <c r="BBT62" s="95"/>
      <c r="BBU62" s="95"/>
      <c r="BBV62" s="95"/>
      <c r="BBW62" s="95"/>
      <c r="BBX62" s="95"/>
      <c r="BBY62" s="95"/>
      <c r="BBZ62" s="95"/>
      <c r="BCA62" s="95"/>
      <c r="BCB62" s="95"/>
      <c r="BCC62" s="95"/>
      <c r="BCD62" s="95"/>
      <c r="BCE62" s="95"/>
      <c r="BCF62" s="95"/>
      <c r="BCG62" s="95"/>
      <c r="BCH62" s="95"/>
      <c r="BCI62" s="95"/>
      <c r="BCJ62" s="95"/>
      <c r="BCK62" s="95"/>
      <c r="BCL62" s="95"/>
      <c r="BCM62" s="95"/>
      <c r="BCN62" s="95"/>
      <c r="BCO62" s="95"/>
      <c r="BCP62" s="95"/>
      <c r="BCQ62" s="95"/>
      <c r="BCR62" s="95"/>
      <c r="BCS62" s="95"/>
      <c r="BCT62" s="95"/>
      <c r="BCU62" s="95"/>
      <c r="BCV62" s="95"/>
      <c r="BCW62" s="95"/>
      <c r="BCX62" s="95"/>
      <c r="BCY62" s="95"/>
      <c r="BCZ62" s="95"/>
      <c r="BDA62" s="95"/>
      <c r="BDB62" s="95"/>
      <c r="BDC62" s="95"/>
      <c r="BDD62" s="95"/>
      <c r="BDE62" s="95"/>
      <c r="BDF62" s="95"/>
      <c r="BDG62" s="95"/>
      <c r="BDH62" s="95"/>
      <c r="BDI62" s="95"/>
      <c r="BDJ62" s="95"/>
      <c r="BDK62" s="95"/>
      <c r="BDL62" s="95"/>
      <c r="BDM62" s="95"/>
      <c r="BDN62" s="95"/>
      <c r="BDO62" s="95"/>
      <c r="BDP62" s="95"/>
      <c r="BDQ62" s="95"/>
      <c r="BDR62" s="95"/>
      <c r="BDS62" s="95"/>
      <c r="BDT62" s="95"/>
      <c r="BDU62" s="95"/>
      <c r="BDV62" s="95"/>
      <c r="BDW62" s="95"/>
      <c r="BDX62" s="95"/>
      <c r="BDY62" s="95"/>
      <c r="BDZ62" s="95"/>
      <c r="BEA62" s="95"/>
      <c r="BEB62" s="95"/>
      <c r="BEC62" s="95"/>
      <c r="BED62" s="95"/>
      <c r="BEE62" s="95"/>
      <c r="BEF62" s="95"/>
      <c r="BEG62" s="95"/>
      <c r="BEH62" s="95"/>
      <c r="BEI62" s="95"/>
      <c r="BEJ62" s="95"/>
      <c r="BEK62" s="95"/>
      <c r="BEL62" s="95"/>
      <c r="BEM62" s="95"/>
      <c r="BEN62" s="95"/>
      <c r="BEO62" s="95"/>
      <c r="BEP62" s="95"/>
      <c r="BEQ62" s="95"/>
      <c r="BER62" s="95"/>
      <c r="BES62" s="95"/>
      <c r="BET62" s="95"/>
      <c r="BEU62" s="95"/>
      <c r="BEV62" s="95"/>
      <c r="BEW62" s="95"/>
      <c r="BEX62" s="95"/>
      <c r="BEY62" s="95"/>
      <c r="BEZ62" s="95"/>
      <c r="BFA62" s="95"/>
      <c r="BFB62" s="95"/>
      <c r="BFC62" s="95"/>
      <c r="BFD62" s="95"/>
      <c r="BFE62" s="95"/>
      <c r="BFF62" s="95"/>
      <c r="BFG62" s="95"/>
      <c r="BFH62" s="95"/>
      <c r="BFI62" s="95"/>
      <c r="BFJ62" s="95"/>
      <c r="BFK62" s="95"/>
      <c r="BFL62" s="95"/>
      <c r="BFM62" s="95"/>
      <c r="BFN62" s="95"/>
      <c r="BFO62" s="95"/>
      <c r="BFP62" s="95"/>
      <c r="BFQ62" s="95"/>
      <c r="BFR62" s="95"/>
      <c r="BFS62" s="95"/>
      <c r="BFT62" s="95"/>
      <c r="BFU62" s="95"/>
      <c r="BFV62" s="95"/>
      <c r="BFW62" s="95"/>
      <c r="BFX62" s="95"/>
      <c r="BFY62" s="95"/>
      <c r="BFZ62" s="95"/>
      <c r="BGA62" s="95"/>
      <c r="BGB62" s="95"/>
      <c r="BGC62" s="95"/>
      <c r="BGD62" s="95"/>
      <c r="BGE62" s="95"/>
      <c r="BGF62" s="95"/>
      <c r="BGG62" s="95"/>
      <c r="BGH62" s="95"/>
      <c r="BGI62" s="95"/>
      <c r="BGJ62" s="95"/>
      <c r="BGK62" s="95"/>
      <c r="BGL62" s="95"/>
      <c r="BGM62" s="95"/>
      <c r="BGN62" s="95"/>
      <c r="BGO62" s="95"/>
      <c r="BGP62" s="95"/>
      <c r="BGQ62" s="95"/>
      <c r="BGR62" s="95"/>
      <c r="BGS62" s="95"/>
      <c r="BGT62" s="95"/>
      <c r="BGU62" s="95"/>
      <c r="BGV62" s="95"/>
      <c r="BGW62" s="95"/>
      <c r="BGX62" s="95"/>
      <c r="BGY62" s="95"/>
      <c r="BGZ62" s="95"/>
      <c r="BHA62" s="95"/>
      <c r="BHB62" s="95"/>
      <c r="BHC62" s="95"/>
      <c r="BHD62" s="95"/>
      <c r="BHE62" s="95"/>
      <c r="BHF62" s="95"/>
      <c r="BHG62" s="95"/>
      <c r="BHH62" s="95"/>
      <c r="BHI62" s="95"/>
      <c r="BHJ62" s="95"/>
      <c r="BHK62" s="95"/>
      <c r="BHL62" s="95"/>
      <c r="BHM62" s="95"/>
      <c r="BHN62" s="95"/>
      <c r="BHO62" s="95"/>
      <c r="BHP62" s="95"/>
      <c r="BHQ62" s="95"/>
      <c r="BHR62" s="95"/>
      <c r="BHS62" s="95"/>
      <c r="BHT62" s="95"/>
      <c r="BHU62" s="95"/>
      <c r="BHV62" s="95"/>
      <c r="BHW62" s="95"/>
      <c r="BHX62" s="95"/>
      <c r="BHY62" s="95"/>
      <c r="BHZ62" s="95"/>
      <c r="BIA62" s="95"/>
      <c r="BIB62" s="95"/>
      <c r="BIC62" s="95"/>
      <c r="BID62" s="95"/>
      <c r="BIE62" s="95"/>
      <c r="BIF62" s="95"/>
      <c r="BIG62" s="95"/>
      <c r="BIH62" s="95"/>
      <c r="BII62" s="95"/>
      <c r="BIJ62" s="95"/>
      <c r="BIK62" s="95"/>
      <c r="BIL62" s="95"/>
      <c r="BIM62" s="95"/>
      <c r="BIN62" s="95"/>
      <c r="BIO62" s="95"/>
      <c r="BIP62" s="95"/>
      <c r="BIQ62" s="95"/>
      <c r="BIR62" s="95"/>
      <c r="BIS62" s="95"/>
      <c r="BIT62" s="95"/>
      <c r="BIU62" s="95"/>
      <c r="BIV62" s="95"/>
      <c r="BIW62" s="95"/>
      <c r="BIX62" s="95"/>
      <c r="BIY62" s="95"/>
      <c r="BIZ62" s="95"/>
      <c r="BJA62" s="95"/>
      <c r="BJB62" s="95"/>
      <c r="BJC62" s="95"/>
      <c r="BJD62" s="95"/>
      <c r="BJE62" s="95"/>
      <c r="BJF62" s="95"/>
      <c r="BJG62" s="95"/>
      <c r="BJH62" s="95"/>
      <c r="BJI62" s="95"/>
      <c r="BJJ62" s="95"/>
      <c r="BJK62" s="95"/>
      <c r="BJL62" s="95"/>
      <c r="BJM62" s="95"/>
      <c r="BJN62" s="95"/>
      <c r="BJO62" s="95"/>
      <c r="BJP62" s="95"/>
      <c r="BJQ62" s="95"/>
      <c r="BJR62" s="95"/>
      <c r="BJS62" s="95"/>
      <c r="BJT62" s="95"/>
      <c r="BJU62" s="95"/>
      <c r="BJV62" s="95"/>
      <c r="BJW62" s="95"/>
      <c r="BJX62" s="95"/>
      <c r="BJY62" s="95"/>
      <c r="BJZ62" s="95"/>
      <c r="BKA62" s="95"/>
      <c r="BKB62" s="95"/>
      <c r="BKC62" s="95"/>
      <c r="BKD62" s="95"/>
      <c r="BKE62" s="95"/>
      <c r="BKF62" s="95"/>
      <c r="BKG62" s="95"/>
      <c r="BKH62" s="95"/>
      <c r="BKI62" s="95"/>
      <c r="BKJ62" s="95"/>
      <c r="BKK62" s="95"/>
      <c r="BKL62" s="95"/>
      <c r="BKM62" s="95"/>
      <c r="BKN62" s="95"/>
      <c r="BKO62" s="95"/>
      <c r="BKP62" s="95"/>
      <c r="BKQ62" s="95"/>
      <c r="BKR62" s="95"/>
      <c r="BKS62" s="95"/>
      <c r="BKT62" s="95"/>
      <c r="BKU62" s="95"/>
      <c r="BKV62" s="95"/>
      <c r="BKW62" s="95"/>
      <c r="BKX62" s="95"/>
      <c r="BKY62" s="95"/>
      <c r="BKZ62" s="95"/>
      <c r="BLA62" s="95"/>
      <c r="BLB62" s="95"/>
      <c r="BLC62" s="95"/>
      <c r="BLD62" s="95"/>
      <c r="BLE62" s="95"/>
      <c r="BLF62" s="95"/>
      <c r="BLG62" s="95"/>
      <c r="BLH62" s="95"/>
      <c r="BLI62" s="95"/>
      <c r="BLJ62" s="95"/>
      <c r="BLK62" s="95"/>
      <c r="BLL62" s="95"/>
      <c r="BLM62" s="95"/>
      <c r="BLN62" s="95"/>
      <c r="BLO62" s="95"/>
      <c r="BLP62" s="95"/>
      <c r="BLQ62" s="95"/>
      <c r="BLR62" s="95"/>
      <c r="BLS62" s="95"/>
      <c r="BLT62" s="95"/>
      <c r="BLU62" s="95"/>
      <c r="BLV62" s="95"/>
      <c r="BLW62" s="95"/>
      <c r="BLX62" s="95"/>
      <c r="BLY62" s="95"/>
      <c r="BLZ62" s="95"/>
      <c r="BMA62" s="95"/>
      <c r="BMB62" s="95"/>
      <c r="BMC62" s="95"/>
      <c r="BMD62" s="95"/>
      <c r="BME62" s="95"/>
      <c r="BMF62" s="95"/>
      <c r="BMG62" s="95"/>
      <c r="BMH62" s="95"/>
      <c r="BMI62" s="95"/>
      <c r="BMJ62" s="95"/>
      <c r="BMK62" s="95"/>
      <c r="BML62" s="95"/>
      <c r="BMM62" s="95"/>
      <c r="BMN62" s="95"/>
      <c r="BMO62" s="95"/>
      <c r="BMP62" s="95"/>
      <c r="BMQ62" s="95"/>
      <c r="BMR62" s="95"/>
      <c r="BMS62" s="95"/>
      <c r="BMT62" s="95"/>
      <c r="BMU62" s="95"/>
      <c r="BMV62" s="95"/>
      <c r="BMW62" s="95"/>
      <c r="BMX62" s="95"/>
      <c r="BMY62" s="95"/>
      <c r="BMZ62" s="95"/>
      <c r="BNA62" s="95"/>
      <c r="BNB62" s="95"/>
      <c r="BNC62" s="95"/>
      <c r="BND62" s="95"/>
      <c r="BNE62" s="95"/>
      <c r="BNF62" s="95"/>
      <c r="BNG62" s="95"/>
      <c r="BNH62" s="95"/>
      <c r="BNI62" s="95"/>
      <c r="BNJ62" s="95"/>
      <c r="BNK62" s="95"/>
      <c r="BNL62" s="95"/>
      <c r="BNM62" s="95"/>
      <c r="BNN62" s="95"/>
      <c r="BNO62" s="95"/>
      <c r="BNP62" s="95"/>
      <c r="BNQ62" s="95"/>
      <c r="BNR62" s="95"/>
      <c r="BNS62" s="95"/>
      <c r="BNT62" s="95"/>
      <c r="BNU62" s="95"/>
      <c r="BNV62" s="95"/>
      <c r="BNW62" s="95"/>
      <c r="BNX62" s="95"/>
      <c r="BNY62" s="95"/>
      <c r="BNZ62" s="95"/>
      <c r="BOA62" s="95"/>
      <c r="BOB62" s="95"/>
      <c r="BOC62" s="95"/>
      <c r="BOD62" s="95"/>
      <c r="BOE62" s="95"/>
      <c r="BOF62" s="95"/>
      <c r="BOG62" s="95"/>
      <c r="BOH62" s="95"/>
      <c r="BOI62" s="95"/>
      <c r="BOJ62" s="95"/>
      <c r="BOK62" s="95"/>
      <c r="BOL62" s="95"/>
      <c r="BOM62" s="95"/>
      <c r="BON62" s="95"/>
      <c r="BOO62" s="95"/>
      <c r="BOP62" s="95"/>
      <c r="BOQ62" s="95"/>
      <c r="BOR62" s="95"/>
      <c r="BOS62" s="95"/>
      <c r="BOT62" s="95"/>
      <c r="BOU62" s="95"/>
      <c r="BOV62" s="95"/>
      <c r="BOW62" s="95"/>
      <c r="BOX62" s="95"/>
      <c r="BOY62" s="95"/>
      <c r="BOZ62" s="95"/>
      <c r="BPA62" s="95"/>
      <c r="BPB62" s="95"/>
      <c r="BPC62" s="95"/>
      <c r="BPD62" s="95"/>
      <c r="BPE62" s="95"/>
      <c r="BPF62" s="95"/>
      <c r="BPG62" s="95"/>
      <c r="BPH62" s="95"/>
      <c r="BPI62" s="95"/>
      <c r="BPJ62" s="95"/>
      <c r="BPK62" s="95"/>
      <c r="BPL62" s="95"/>
      <c r="BPM62" s="95"/>
      <c r="BPN62" s="95"/>
      <c r="BPO62" s="95"/>
      <c r="BPP62" s="95"/>
      <c r="BPQ62" s="95"/>
      <c r="BPR62" s="95"/>
      <c r="BPS62" s="95"/>
      <c r="BPT62" s="95"/>
      <c r="BPU62" s="95"/>
      <c r="BPV62" s="95"/>
      <c r="BPW62" s="95"/>
      <c r="BPX62" s="95"/>
      <c r="BPY62" s="95"/>
      <c r="BPZ62" s="95"/>
      <c r="BQA62" s="95"/>
      <c r="BQB62" s="95"/>
      <c r="BQC62" s="95"/>
      <c r="BQD62" s="95"/>
      <c r="BQE62" s="95"/>
      <c r="BQF62" s="95"/>
      <c r="BQG62" s="95"/>
      <c r="BQH62" s="95"/>
      <c r="BQI62" s="95"/>
      <c r="BQJ62" s="95"/>
      <c r="BQK62" s="95"/>
      <c r="BQL62" s="95"/>
      <c r="BQM62" s="95"/>
      <c r="BQN62" s="95"/>
      <c r="BQO62" s="95"/>
      <c r="BQP62" s="95"/>
      <c r="BQQ62" s="95"/>
      <c r="BQR62" s="95"/>
      <c r="BQS62" s="95"/>
      <c r="BQT62" s="95"/>
      <c r="BQU62" s="95"/>
      <c r="BQV62" s="95"/>
      <c r="BQW62" s="95"/>
      <c r="BQX62" s="95"/>
      <c r="BQY62" s="95"/>
      <c r="BQZ62" s="95"/>
      <c r="BRA62" s="95"/>
      <c r="BRB62" s="95"/>
      <c r="BRC62" s="95"/>
      <c r="BRD62" s="95"/>
      <c r="BRE62" s="95"/>
      <c r="BRF62" s="95"/>
      <c r="BRG62" s="95"/>
      <c r="BRH62" s="95"/>
      <c r="BRI62" s="95"/>
      <c r="BRJ62" s="95"/>
      <c r="BRK62" s="95"/>
      <c r="BRL62" s="95"/>
      <c r="BRM62" s="95"/>
      <c r="BRN62" s="95"/>
      <c r="BRO62" s="95"/>
      <c r="BRP62" s="95"/>
      <c r="BRQ62" s="95"/>
      <c r="BRR62" s="95"/>
      <c r="BRS62" s="95"/>
      <c r="BRT62" s="95"/>
      <c r="BRU62" s="95"/>
      <c r="BRV62" s="95"/>
      <c r="BRW62" s="95"/>
      <c r="BRX62" s="95"/>
      <c r="BRY62" s="95"/>
      <c r="BRZ62" s="95"/>
      <c r="BSA62" s="95"/>
      <c r="BSB62" s="95"/>
      <c r="BSC62" s="95"/>
      <c r="BSD62" s="95"/>
      <c r="BSE62" s="95"/>
      <c r="BSF62" s="95"/>
      <c r="BSG62" s="95"/>
      <c r="BSH62" s="95"/>
      <c r="BSI62" s="95"/>
      <c r="BSJ62" s="95"/>
      <c r="BSK62" s="95"/>
      <c r="BSL62" s="95"/>
      <c r="BSM62" s="95"/>
      <c r="BSN62" s="95"/>
      <c r="BSO62" s="95"/>
      <c r="BSP62" s="95"/>
      <c r="BSQ62" s="95"/>
      <c r="BSR62" s="95"/>
      <c r="BSS62" s="95"/>
      <c r="BST62" s="95"/>
      <c r="BSU62" s="95"/>
      <c r="BSV62" s="95"/>
      <c r="BSW62" s="95"/>
      <c r="BSX62" s="95"/>
      <c r="BSY62" s="95"/>
      <c r="BSZ62" s="95"/>
      <c r="BTA62" s="95"/>
      <c r="BTB62" s="95"/>
      <c r="BTC62" s="95"/>
      <c r="BTD62" s="95"/>
      <c r="BTE62" s="95"/>
      <c r="BTF62" s="95"/>
      <c r="BTG62" s="95"/>
      <c r="BTH62" s="95"/>
      <c r="BTI62" s="95"/>
      <c r="BTJ62" s="95"/>
      <c r="BTK62" s="95"/>
      <c r="BTL62" s="95"/>
      <c r="BTM62" s="95"/>
      <c r="BTN62" s="95"/>
      <c r="BTO62" s="95"/>
      <c r="BTP62" s="95"/>
      <c r="BTQ62" s="95"/>
      <c r="BTR62" s="95"/>
      <c r="BTS62" s="95"/>
      <c r="BTT62" s="95"/>
      <c r="BTU62" s="95"/>
      <c r="BTV62" s="95"/>
      <c r="BTW62" s="95"/>
      <c r="BTX62" s="95"/>
      <c r="BTY62" s="95"/>
      <c r="BTZ62" s="95"/>
      <c r="BUA62" s="95"/>
      <c r="BUB62" s="95"/>
      <c r="BUC62" s="95"/>
      <c r="BUD62" s="95"/>
      <c r="BUE62" s="95"/>
      <c r="BUF62" s="95"/>
      <c r="BUG62" s="95"/>
      <c r="BUH62" s="95"/>
      <c r="BUI62" s="95"/>
      <c r="BUJ62" s="95"/>
      <c r="BUK62" s="95"/>
      <c r="BUL62" s="95"/>
      <c r="BUM62" s="95"/>
      <c r="BUN62" s="95"/>
      <c r="BUO62" s="95"/>
      <c r="BUP62" s="95"/>
      <c r="BUQ62" s="95"/>
      <c r="BUR62" s="95"/>
      <c r="BUS62" s="95"/>
      <c r="BUT62" s="95"/>
      <c r="BUU62" s="95"/>
      <c r="BUV62" s="95"/>
      <c r="BUW62" s="95"/>
      <c r="BUX62" s="95"/>
      <c r="BUY62" s="95"/>
      <c r="BUZ62" s="95"/>
      <c r="BVA62" s="95"/>
      <c r="BVB62" s="95"/>
      <c r="BVC62" s="95"/>
      <c r="BVD62" s="95"/>
      <c r="BVE62" s="95"/>
      <c r="BVF62" s="95"/>
      <c r="BVG62" s="95"/>
      <c r="BVH62" s="95"/>
      <c r="BVI62" s="95"/>
      <c r="BVJ62" s="95"/>
      <c r="BVK62" s="95"/>
      <c r="BVL62" s="95"/>
      <c r="BVM62" s="95"/>
      <c r="BVN62" s="95"/>
      <c r="BVO62" s="95"/>
      <c r="BVP62" s="95"/>
      <c r="BVQ62" s="95"/>
      <c r="BVR62" s="95"/>
      <c r="BVS62" s="95"/>
      <c r="BVT62" s="95"/>
      <c r="BVU62" s="95"/>
      <c r="BVV62" s="95"/>
      <c r="BVW62" s="95"/>
      <c r="BVX62" s="95"/>
      <c r="BVY62" s="95"/>
      <c r="BVZ62" s="95"/>
      <c r="BWA62" s="95"/>
      <c r="BWB62" s="95"/>
      <c r="BWC62" s="95"/>
      <c r="BWD62" s="95"/>
      <c r="BWE62" s="95"/>
      <c r="BWF62" s="95"/>
      <c r="BWG62" s="95"/>
      <c r="BWH62" s="95"/>
      <c r="BWI62" s="95"/>
      <c r="BWJ62" s="95"/>
      <c r="BWK62" s="95"/>
      <c r="BWL62" s="95"/>
      <c r="BWM62" s="95"/>
      <c r="BWN62" s="95"/>
      <c r="BWO62" s="95"/>
      <c r="BWP62" s="95"/>
      <c r="BWQ62" s="95"/>
      <c r="BWR62" s="95"/>
      <c r="BWS62" s="95"/>
      <c r="BWT62" s="95"/>
      <c r="BWU62" s="95"/>
      <c r="BWV62" s="95"/>
      <c r="BWW62" s="95"/>
      <c r="BWX62" s="95"/>
      <c r="BWY62" s="95"/>
      <c r="BWZ62" s="95"/>
      <c r="BXA62" s="95"/>
      <c r="BXB62" s="95"/>
      <c r="BXC62" s="95"/>
      <c r="BXD62" s="95"/>
      <c r="BXE62" s="95"/>
      <c r="BXF62" s="95"/>
      <c r="BXG62" s="95"/>
      <c r="BXH62" s="95"/>
      <c r="BXI62" s="95"/>
      <c r="BXJ62" s="95"/>
      <c r="BXK62" s="95"/>
      <c r="BXL62" s="95"/>
      <c r="BXM62" s="95"/>
      <c r="BXN62" s="95"/>
      <c r="BXO62" s="95"/>
      <c r="BXP62" s="95"/>
      <c r="BXQ62" s="95"/>
      <c r="BXR62" s="95"/>
      <c r="BXS62" s="95"/>
      <c r="BXT62" s="95"/>
      <c r="BXU62" s="95"/>
      <c r="BXV62" s="95"/>
      <c r="BXW62" s="95"/>
      <c r="BXX62" s="95"/>
      <c r="BXY62" s="95"/>
      <c r="BXZ62" s="95"/>
      <c r="BYA62" s="95"/>
      <c r="BYB62" s="95"/>
      <c r="BYC62" s="95"/>
      <c r="BYD62" s="95"/>
      <c r="BYE62" s="95"/>
      <c r="BYF62" s="95"/>
      <c r="BYG62" s="95"/>
    </row>
    <row r="63" spans="1:2009" s="96" customFormat="1" ht="10.5" customHeight="1" x14ac:dyDescent="0.25">
      <c r="A63" s="122"/>
      <c r="B63" s="122"/>
      <c r="C63" s="204"/>
      <c r="D63" s="204"/>
      <c r="E63" s="204"/>
      <c r="F63" s="204"/>
      <c r="G63" s="20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96" customFormat="1" ht="10.5" customHeight="1" x14ac:dyDescent="0.25">
      <c r="A64" s="122"/>
      <c r="B64" s="122"/>
      <c r="C64" s="204"/>
      <c r="D64" s="204"/>
      <c r="E64" s="204"/>
      <c r="F64" s="204"/>
      <c r="G64" s="20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7" ht="15" customHeight="1" x14ac:dyDescent="0.25">
      <c r="A65" s="123"/>
      <c r="B65" s="344" t="s">
        <v>418</v>
      </c>
      <c r="C65" s="205"/>
      <c r="D65" s="205"/>
      <c r="E65" s="205"/>
      <c r="F65" s="205"/>
      <c r="G65" s="205"/>
    </row>
    <row r="66" spans="1:7" ht="8.25" customHeight="1" x14ac:dyDescent="0.25">
      <c r="A66" s="123"/>
      <c r="B66" s="162"/>
      <c r="C66" s="706"/>
      <c r="D66" s="205"/>
      <c r="E66" s="205"/>
      <c r="F66" s="205"/>
      <c r="G66" s="205"/>
    </row>
    <row r="67" spans="1:7" ht="14.25" customHeight="1" x14ac:dyDescent="0.25">
      <c r="A67" s="123"/>
      <c r="B67" s="625" t="s">
        <v>51</v>
      </c>
      <c r="C67" s="686">
        <v>11881.09</v>
      </c>
      <c r="D67" s="205"/>
      <c r="E67" s="205"/>
      <c r="F67" s="205"/>
      <c r="G67" s="205"/>
    </row>
    <row r="68" spans="1:7" ht="14.25" customHeight="1" x14ac:dyDescent="0.25">
      <c r="A68" s="123"/>
      <c r="B68" s="625" t="s">
        <v>425</v>
      </c>
      <c r="C68" s="686">
        <v>14830.47</v>
      </c>
      <c r="D68" s="205"/>
      <c r="E68" s="205"/>
      <c r="F68" s="205"/>
      <c r="G68" s="205"/>
    </row>
    <row r="69" spans="1:7" ht="14.25" customHeight="1" x14ac:dyDescent="0.25">
      <c r="A69" s="123"/>
      <c r="B69" s="625" t="s">
        <v>426</v>
      </c>
      <c r="C69" s="686">
        <v>22687.119999999999</v>
      </c>
      <c r="D69" s="205"/>
      <c r="E69" s="205"/>
      <c r="F69" s="205"/>
      <c r="G69" s="205"/>
    </row>
    <row r="70" spans="1:7" ht="14.25" customHeight="1" x14ac:dyDescent="0.25">
      <c r="A70" s="123"/>
      <c r="B70" s="625" t="s">
        <v>423</v>
      </c>
      <c r="C70" s="686">
        <v>22258.97</v>
      </c>
      <c r="D70" s="205"/>
      <c r="E70" s="205"/>
      <c r="F70" s="205"/>
      <c r="G70" s="205"/>
    </row>
    <row r="71" spans="1:7" ht="14.25" customHeight="1" x14ac:dyDescent="0.25">
      <c r="A71" s="123"/>
      <c r="B71" s="625" t="s">
        <v>381</v>
      </c>
      <c r="C71" s="686">
        <v>1669.02</v>
      </c>
      <c r="D71" s="205"/>
      <c r="E71" s="205"/>
      <c r="F71" s="205"/>
      <c r="G71" s="205"/>
    </row>
    <row r="72" spans="1:7" ht="14.25" customHeight="1" x14ac:dyDescent="0.25">
      <c r="A72" s="123"/>
      <c r="B72" s="625" t="s">
        <v>427</v>
      </c>
      <c r="C72" s="686">
        <v>3975.61</v>
      </c>
      <c r="D72" s="205"/>
      <c r="E72" s="205"/>
      <c r="F72" s="205"/>
      <c r="G72" s="205"/>
    </row>
    <row r="73" spans="1:7" ht="14.25" customHeight="1" x14ac:dyDescent="0.25">
      <c r="A73" s="123"/>
      <c r="B73" s="625" t="s">
        <v>422</v>
      </c>
      <c r="C73" s="686">
        <v>1139.32</v>
      </c>
      <c r="D73" s="205"/>
      <c r="E73" s="205"/>
      <c r="F73" s="205"/>
      <c r="G73" s="205"/>
    </row>
    <row r="74" spans="1:7" ht="15" x14ac:dyDescent="0.25">
      <c r="A74" s="445"/>
      <c r="B74" s="163" t="s">
        <v>419</v>
      </c>
      <c r="C74" s="391">
        <f>SUM(C66:C73)</f>
        <v>78441.600000000006</v>
      </c>
      <c r="D74" s="206"/>
      <c r="E74" s="206"/>
      <c r="F74" s="206"/>
      <c r="G74" s="206"/>
    </row>
    <row r="75" spans="1:7" ht="5.25" customHeight="1" x14ac:dyDescent="0.2">
      <c r="C75" s="206"/>
      <c r="D75" s="206"/>
      <c r="E75" s="206"/>
      <c r="F75" s="206"/>
      <c r="G75" s="206"/>
    </row>
    <row r="76" spans="1:7" ht="15.75" thickBot="1" x14ac:dyDescent="0.3">
      <c r="B76" s="163" t="s">
        <v>428</v>
      </c>
      <c r="C76" s="430">
        <f>G61-C74</f>
        <v>232889.39999999994</v>
      </c>
      <c r="D76" s="206"/>
      <c r="E76" s="206"/>
      <c r="F76" s="206"/>
      <c r="G76" s="206"/>
    </row>
    <row r="77" spans="1:7" ht="12" customHeight="1" thickTop="1" x14ac:dyDescent="0.2">
      <c r="C77" s="206"/>
      <c r="D77" s="206"/>
      <c r="E77" s="206"/>
      <c r="F77" s="206"/>
      <c r="G77" s="206"/>
    </row>
    <row r="78" spans="1:7" ht="15.75" x14ac:dyDescent="0.25">
      <c r="B78" s="344" t="s">
        <v>195</v>
      </c>
      <c r="C78" s="206"/>
      <c r="D78" s="206"/>
      <c r="E78" s="206"/>
      <c r="F78" s="206"/>
      <c r="G78" s="206"/>
    </row>
    <row r="79" spans="1:7" ht="16.5" customHeight="1" x14ac:dyDescent="0.2">
      <c r="B79" s="626" t="s">
        <v>400</v>
      </c>
      <c r="C79" s="627">
        <v>1000</v>
      </c>
      <c r="D79" s="206"/>
      <c r="E79" s="206"/>
      <c r="F79" s="206"/>
      <c r="G79" s="206"/>
    </row>
    <row r="80" spans="1:7" ht="16.5" customHeight="1" x14ac:dyDescent="0.2">
      <c r="B80" s="626" t="s">
        <v>448</v>
      </c>
      <c r="C80" s="627">
        <v>2500</v>
      </c>
      <c r="D80" s="206"/>
      <c r="E80" s="206"/>
      <c r="F80" s="206"/>
      <c r="G80" s="206"/>
    </row>
    <row r="81" spans="2:7" ht="16.5" customHeight="1" x14ac:dyDescent="0.2">
      <c r="B81" s="626" t="s">
        <v>449</v>
      </c>
      <c r="C81" s="627">
        <v>18000</v>
      </c>
      <c r="D81" s="206"/>
      <c r="E81" s="206"/>
      <c r="F81" s="206"/>
      <c r="G81" s="206"/>
    </row>
    <row r="82" spans="2:7" ht="16.5" customHeight="1" x14ac:dyDescent="0.2">
      <c r="B82" s="626" t="s">
        <v>452</v>
      </c>
      <c r="C82" s="627">
        <v>3122.52</v>
      </c>
      <c r="D82" s="206"/>
      <c r="E82" s="206"/>
      <c r="F82" s="206"/>
      <c r="G82" s="206"/>
    </row>
    <row r="83" spans="2:7" ht="15" x14ac:dyDescent="0.2">
      <c r="B83" s="597"/>
      <c r="C83" s="206"/>
      <c r="D83" s="206"/>
      <c r="E83" s="206"/>
      <c r="F83" s="206"/>
      <c r="G83" s="206"/>
    </row>
    <row r="84" spans="2:7" hidden="1" x14ac:dyDescent="0.2">
      <c r="B84" s="478"/>
      <c r="C84" s="206"/>
      <c r="D84" s="206"/>
      <c r="E84" s="206"/>
      <c r="F84" s="206"/>
      <c r="G84" s="206"/>
    </row>
    <row r="85" spans="2:7" hidden="1" x14ac:dyDescent="0.2">
      <c r="B85" s="478"/>
      <c r="C85" s="206"/>
      <c r="D85" s="206"/>
      <c r="E85" s="206"/>
      <c r="F85" s="206"/>
      <c r="G85" s="206"/>
    </row>
    <row r="86" spans="2:7" hidden="1" x14ac:dyDescent="0.2">
      <c r="B86" s="478"/>
      <c r="C86" s="206"/>
      <c r="D86" s="206"/>
      <c r="E86" s="206"/>
      <c r="F86" s="206"/>
      <c r="G86" s="206"/>
    </row>
    <row r="87" spans="2:7" hidden="1" x14ac:dyDescent="0.2">
      <c r="B87" s="478"/>
      <c r="C87" s="206"/>
      <c r="D87" s="206"/>
      <c r="E87" s="206"/>
      <c r="F87" s="206"/>
      <c r="G87" s="206"/>
    </row>
    <row r="88" spans="2:7" hidden="1" x14ac:dyDescent="0.2">
      <c r="B88" s="478"/>
      <c r="C88" s="206"/>
      <c r="D88" s="206"/>
      <c r="E88" s="206"/>
      <c r="F88" s="206"/>
      <c r="G88" s="206"/>
    </row>
    <row r="89" spans="2:7" hidden="1" x14ac:dyDescent="0.2">
      <c r="B89" s="478"/>
      <c r="C89" s="398"/>
      <c r="D89" s="206"/>
      <c r="E89" s="206"/>
      <c r="F89" s="206"/>
      <c r="G89" s="206"/>
    </row>
    <row r="90" spans="2:7" hidden="1" x14ac:dyDescent="0.2">
      <c r="B90" s="478"/>
      <c r="C90" s="398"/>
      <c r="D90" s="206"/>
      <c r="E90" s="206"/>
      <c r="F90" s="206"/>
      <c r="G90" s="206"/>
    </row>
    <row r="91" spans="2:7" ht="16.5" customHeight="1" x14ac:dyDescent="0.25">
      <c r="B91" s="491" t="s">
        <v>339</v>
      </c>
      <c r="C91" s="398"/>
      <c r="D91" s="206"/>
      <c r="E91" s="206"/>
      <c r="F91" s="206"/>
      <c r="G91" s="206"/>
    </row>
    <row r="92" spans="2:7" ht="16.5" customHeight="1" x14ac:dyDescent="0.25">
      <c r="B92" s="625" t="s">
        <v>429</v>
      </c>
      <c r="C92" s="206">
        <v>43395.45</v>
      </c>
      <c r="D92" s="206"/>
      <c r="E92" s="206"/>
      <c r="F92" s="206"/>
      <c r="G92" s="206"/>
    </row>
    <row r="93" spans="2:7" ht="16.5" customHeight="1" x14ac:dyDescent="0.25">
      <c r="B93" s="625" t="s">
        <v>421</v>
      </c>
      <c r="C93" s="206">
        <v>4563.93</v>
      </c>
      <c r="D93" s="206"/>
      <c r="E93" s="206"/>
      <c r="F93" s="206"/>
      <c r="G93" s="206"/>
    </row>
    <row r="94" spans="2:7" ht="16.5" customHeight="1" x14ac:dyDescent="0.2">
      <c r="B94" s="306" t="s">
        <v>430</v>
      </c>
      <c r="C94" s="206">
        <v>79750</v>
      </c>
      <c r="D94" s="206"/>
      <c r="E94" s="206"/>
      <c r="F94" s="206"/>
      <c r="G94" s="206"/>
    </row>
    <row r="95" spans="2:7" ht="12" customHeight="1" x14ac:dyDescent="0.2">
      <c r="B95" s="306"/>
      <c r="C95" s="206"/>
      <c r="D95" s="206"/>
      <c r="E95" s="206"/>
      <c r="F95" s="206"/>
      <c r="G95" s="206"/>
    </row>
    <row r="96" spans="2:7" ht="12" customHeight="1" x14ac:dyDescent="0.2">
      <c r="C96" s="206"/>
      <c r="D96" s="206"/>
      <c r="E96" s="206"/>
      <c r="F96" s="206"/>
      <c r="G96" s="206"/>
    </row>
    <row r="97" spans="3:7" ht="12" customHeight="1" x14ac:dyDescent="0.2">
      <c r="C97" s="206"/>
      <c r="D97" s="206"/>
      <c r="E97" s="206"/>
      <c r="F97" s="206"/>
      <c r="G97" s="206"/>
    </row>
    <row r="98" spans="3:7" ht="12" customHeight="1" x14ac:dyDescent="0.2">
      <c r="C98" s="206"/>
      <c r="D98" s="206"/>
      <c r="E98" s="206"/>
      <c r="F98" s="206"/>
      <c r="G98" s="206"/>
    </row>
    <row r="99" spans="3:7" ht="12" customHeight="1" x14ac:dyDescent="0.2">
      <c r="C99" s="206"/>
      <c r="D99" s="206"/>
      <c r="E99" s="206"/>
      <c r="F99" s="206"/>
      <c r="G99" s="206"/>
    </row>
    <row r="100" spans="3:7" ht="12" customHeight="1" x14ac:dyDescent="0.2">
      <c r="C100" s="206"/>
      <c r="D100" s="206"/>
      <c r="E100" s="206"/>
      <c r="F100" s="206"/>
      <c r="G100" s="206"/>
    </row>
    <row r="101" spans="3:7" ht="12" customHeight="1" x14ac:dyDescent="0.2">
      <c r="C101" s="206"/>
      <c r="D101" s="206"/>
      <c r="E101" s="206"/>
      <c r="F101" s="206"/>
      <c r="G101" s="206"/>
    </row>
    <row r="102" spans="3:7" ht="12" customHeight="1" x14ac:dyDescent="0.2">
      <c r="C102" s="206"/>
      <c r="D102" s="206"/>
      <c r="E102" s="206"/>
      <c r="F102" s="206"/>
      <c r="G102" s="206"/>
    </row>
    <row r="103" spans="3:7" ht="12" customHeight="1" x14ac:dyDescent="0.2">
      <c r="C103" s="206"/>
      <c r="D103" s="206"/>
      <c r="E103" s="206"/>
      <c r="F103" s="206"/>
      <c r="G103" s="206"/>
    </row>
    <row r="104" spans="3:7" ht="12" customHeight="1" x14ac:dyDescent="0.2">
      <c r="C104" s="206"/>
      <c r="D104" s="206"/>
      <c r="E104" s="206"/>
      <c r="F104" s="206"/>
      <c r="G104" s="206"/>
    </row>
    <row r="105" spans="3:7" ht="12" customHeight="1" x14ac:dyDescent="0.2">
      <c r="C105" s="206"/>
      <c r="D105" s="206"/>
      <c r="E105" s="206"/>
      <c r="F105" s="206"/>
      <c r="G105" s="206"/>
    </row>
    <row r="106" spans="3:7" ht="12" customHeight="1" x14ac:dyDescent="0.2">
      <c r="C106" s="206"/>
      <c r="D106" s="206"/>
      <c r="E106" s="206"/>
      <c r="F106" s="206"/>
      <c r="G106" s="206"/>
    </row>
    <row r="107" spans="3:7" ht="12" customHeight="1" x14ac:dyDescent="0.2">
      <c r="C107" s="206"/>
      <c r="D107" s="206"/>
      <c r="E107" s="206"/>
      <c r="F107" s="206"/>
      <c r="G107" s="206"/>
    </row>
    <row r="108" spans="3:7" ht="12" customHeight="1" x14ac:dyDescent="0.2">
      <c r="C108" s="206"/>
      <c r="D108" s="206"/>
      <c r="E108" s="206"/>
      <c r="F108" s="206"/>
      <c r="G108" s="206"/>
    </row>
    <row r="109" spans="3:7" ht="12" customHeight="1" x14ac:dyDescent="0.2">
      <c r="C109" s="206"/>
      <c r="D109" s="206"/>
      <c r="E109" s="206"/>
      <c r="F109" s="206"/>
      <c r="G109" s="206"/>
    </row>
    <row r="110" spans="3:7" ht="12" customHeight="1" x14ac:dyDescent="0.2">
      <c r="C110" s="206"/>
      <c r="D110" s="206"/>
      <c r="E110" s="206"/>
      <c r="F110" s="206"/>
      <c r="G110" s="206"/>
    </row>
    <row r="111" spans="3:7" ht="12" customHeight="1" x14ac:dyDescent="0.2">
      <c r="C111" s="206"/>
      <c r="D111" s="206"/>
      <c r="E111" s="206"/>
      <c r="F111" s="206"/>
      <c r="G111" s="206"/>
    </row>
    <row r="112" spans="3:7" ht="12" customHeight="1" x14ac:dyDescent="0.2">
      <c r="C112" s="206"/>
      <c r="D112" s="206"/>
      <c r="E112" s="206"/>
      <c r="F112" s="206"/>
      <c r="G112" s="206"/>
    </row>
    <row r="113" spans="3:7" ht="12" customHeight="1" x14ac:dyDescent="0.2">
      <c r="C113" s="206"/>
      <c r="D113" s="206"/>
      <c r="E113" s="206"/>
      <c r="F113" s="206"/>
      <c r="G113" s="206"/>
    </row>
    <row r="114" spans="3:7" ht="12" customHeight="1" x14ac:dyDescent="0.2">
      <c r="C114" s="206"/>
      <c r="D114" s="206"/>
      <c r="E114" s="206"/>
      <c r="F114" s="206"/>
      <c r="G114" s="206"/>
    </row>
    <row r="115" spans="3:7" ht="12" customHeight="1" x14ac:dyDescent="0.2">
      <c r="C115" s="206"/>
      <c r="D115" s="206"/>
      <c r="E115" s="206"/>
      <c r="F115" s="206"/>
      <c r="G115" s="206"/>
    </row>
    <row r="116" spans="3:7" ht="12" customHeight="1" x14ac:dyDescent="0.2">
      <c r="C116" s="206"/>
      <c r="D116" s="206"/>
      <c r="E116" s="206"/>
      <c r="F116" s="206"/>
      <c r="G116" s="206"/>
    </row>
    <row r="117" spans="3:7" ht="12" customHeight="1" x14ac:dyDescent="0.2">
      <c r="C117" s="206"/>
      <c r="D117" s="206"/>
      <c r="E117" s="206"/>
      <c r="F117" s="206"/>
      <c r="G117" s="206"/>
    </row>
    <row r="118" spans="3:7" ht="12" customHeight="1" x14ac:dyDescent="0.2">
      <c r="C118" s="206"/>
      <c r="D118" s="206"/>
      <c r="E118" s="206"/>
      <c r="F118" s="206"/>
      <c r="G118" s="206"/>
    </row>
    <row r="119" spans="3:7" ht="12" customHeight="1" x14ac:dyDescent="0.2">
      <c r="C119" s="206"/>
      <c r="D119" s="206"/>
      <c r="E119" s="206"/>
      <c r="F119" s="206"/>
      <c r="G119" s="206"/>
    </row>
    <row r="120" spans="3:7" ht="12" customHeight="1" x14ac:dyDescent="0.2">
      <c r="C120" s="206"/>
      <c r="D120" s="206"/>
      <c r="E120" s="206"/>
      <c r="F120" s="206"/>
      <c r="G120" s="206"/>
    </row>
    <row r="121" spans="3:7" ht="12" customHeight="1" x14ac:dyDescent="0.2">
      <c r="C121" s="206"/>
      <c r="D121" s="206"/>
      <c r="E121" s="206"/>
      <c r="F121" s="206"/>
      <c r="G121" s="206"/>
    </row>
    <row r="122" spans="3:7" ht="12" customHeight="1" x14ac:dyDescent="0.2">
      <c r="C122" s="206"/>
      <c r="D122" s="206"/>
      <c r="E122" s="206"/>
      <c r="F122" s="206"/>
      <c r="G122" s="206"/>
    </row>
    <row r="123" spans="3:7" ht="12" customHeight="1" x14ac:dyDescent="0.2">
      <c r="C123" s="206"/>
      <c r="D123" s="206"/>
      <c r="E123" s="206"/>
      <c r="F123" s="206"/>
      <c r="G123" s="206"/>
    </row>
    <row r="124" spans="3:7" ht="12" customHeight="1" x14ac:dyDescent="0.2">
      <c r="C124" s="206"/>
      <c r="D124" s="206"/>
      <c r="E124" s="206"/>
      <c r="F124" s="206"/>
      <c r="G124" s="206"/>
    </row>
    <row r="125" spans="3:7" ht="12" customHeight="1" x14ac:dyDescent="0.2">
      <c r="C125" s="206"/>
      <c r="D125" s="206"/>
      <c r="E125" s="206"/>
      <c r="F125" s="206"/>
      <c r="G125" s="206"/>
    </row>
    <row r="126" spans="3:7" ht="12" customHeight="1" x14ac:dyDescent="0.2">
      <c r="C126" s="206"/>
      <c r="D126" s="206"/>
      <c r="E126" s="206"/>
      <c r="F126" s="206"/>
      <c r="G126" s="206"/>
    </row>
    <row r="127" spans="3:7" ht="12" customHeight="1" x14ac:dyDescent="0.2">
      <c r="C127" s="206"/>
      <c r="D127" s="206"/>
      <c r="E127" s="206"/>
      <c r="F127" s="206"/>
      <c r="G127" s="206"/>
    </row>
    <row r="128" spans="3:7" ht="12" customHeight="1" x14ac:dyDescent="0.2">
      <c r="C128" s="206"/>
      <c r="D128" s="206"/>
      <c r="E128" s="206"/>
      <c r="F128" s="206"/>
      <c r="G128" s="206"/>
    </row>
    <row r="129" spans="3:7" ht="12" customHeight="1" x14ac:dyDescent="0.2">
      <c r="C129" s="206"/>
      <c r="D129" s="206"/>
      <c r="E129" s="206"/>
      <c r="F129" s="206"/>
      <c r="G129" s="206"/>
    </row>
    <row r="130" spans="3:7" ht="12" customHeight="1" x14ac:dyDescent="0.2">
      <c r="C130" s="206"/>
      <c r="D130" s="206"/>
      <c r="E130" s="206"/>
      <c r="F130" s="206"/>
      <c r="G130" s="206"/>
    </row>
    <row r="131" spans="3:7" ht="12" customHeight="1" x14ac:dyDescent="0.2">
      <c r="C131" s="206"/>
      <c r="D131" s="206"/>
      <c r="E131" s="206"/>
      <c r="F131" s="206"/>
      <c r="G131" s="206"/>
    </row>
    <row r="132" spans="3:7" ht="12" customHeight="1" x14ac:dyDescent="0.2">
      <c r="C132" s="206"/>
      <c r="D132" s="206"/>
      <c r="E132" s="206"/>
      <c r="F132" s="206"/>
      <c r="G132" s="206"/>
    </row>
    <row r="133" spans="3:7" ht="12" customHeight="1" x14ac:dyDescent="0.2">
      <c r="C133" s="206"/>
      <c r="D133" s="206"/>
      <c r="E133" s="206"/>
      <c r="F133" s="206"/>
      <c r="G133" s="206"/>
    </row>
    <row r="134" spans="3:7" ht="12" customHeight="1" x14ac:dyDescent="0.2">
      <c r="C134" s="206"/>
      <c r="D134" s="206"/>
      <c r="E134" s="206"/>
      <c r="F134" s="206"/>
      <c r="G134" s="206"/>
    </row>
    <row r="135" spans="3:7" ht="12" customHeight="1" x14ac:dyDescent="0.2">
      <c r="C135" s="206"/>
      <c r="D135" s="206"/>
      <c r="E135" s="206"/>
      <c r="F135" s="206"/>
      <c r="G135" s="206"/>
    </row>
    <row r="136" spans="3:7" ht="12" customHeight="1" x14ac:dyDescent="0.2">
      <c r="C136" s="206"/>
      <c r="D136" s="206"/>
      <c r="E136" s="206"/>
      <c r="F136" s="206"/>
      <c r="G136" s="206"/>
    </row>
    <row r="137" spans="3:7" ht="12" customHeight="1" x14ac:dyDescent="0.2">
      <c r="C137" s="206"/>
      <c r="D137" s="206"/>
      <c r="E137" s="206"/>
      <c r="F137" s="206"/>
      <c r="G137" s="206"/>
    </row>
    <row r="138" spans="3:7" ht="12" customHeight="1" x14ac:dyDescent="0.2">
      <c r="C138" s="206"/>
      <c r="D138" s="206"/>
      <c r="E138" s="206"/>
      <c r="F138" s="206"/>
      <c r="G138" s="206"/>
    </row>
    <row r="139" spans="3:7" ht="12" customHeight="1" x14ac:dyDescent="0.2">
      <c r="C139" s="206"/>
      <c r="D139" s="206"/>
      <c r="E139" s="206"/>
      <c r="F139" s="206"/>
      <c r="G139" s="206"/>
    </row>
    <row r="140" spans="3:7" ht="12" customHeight="1" x14ac:dyDescent="0.2">
      <c r="C140" s="206"/>
      <c r="D140" s="206"/>
      <c r="E140" s="206"/>
      <c r="F140" s="206"/>
      <c r="G140" s="206"/>
    </row>
    <row r="141" spans="3:7" ht="12" customHeight="1" x14ac:dyDescent="0.2">
      <c r="C141" s="206"/>
      <c r="D141" s="206"/>
      <c r="E141" s="206"/>
      <c r="F141" s="206"/>
      <c r="G141" s="206"/>
    </row>
    <row r="142" spans="3:7" ht="12" customHeight="1" x14ac:dyDescent="0.2">
      <c r="C142" s="206"/>
      <c r="D142" s="206"/>
      <c r="E142" s="206"/>
      <c r="F142" s="206"/>
      <c r="G142" s="206"/>
    </row>
    <row r="143" spans="3:7" ht="12" customHeight="1" x14ac:dyDescent="0.2">
      <c r="C143" s="206"/>
      <c r="D143" s="206"/>
      <c r="E143" s="206"/>
      <c r="F143" s="206"/>
      <c r="G143" s="206"/>
    </row>
    <row r="144" spans="3:7" ht="12" customHeight="1" x14ac:dyDescent="0.2">
      <c r="C144" s="206"/>
      <c r="D144" s="206"/>
      <c r="E144" s="206"/>
      <c r="F144" s="206"/>
      <c r="G144" s="206"/>
    </row>
    <row r="145" spans="2:7" ht="12" customHeight="1" x14ac:dyDescent="0.2">
      <c r="C145" s="206"/>
      <c r="D145" s="206"/>
      <c r="E145" s="206"/>
      <c r="F145" s="206"/>
      <c r="G145" s="206"/>
    </row>
    <row r="146" spans="2:7" ht="12" customHeight="1" x14ac:dyDescent="0.2">
      <c r="C146" s="206"/>
      <c r="D146" s="206"/>
      <c r="E146" s="206"/>
      <c r="F146" s="206"/>
      <c r="G146" s="206"/>
    </row>
    <row r="147" spans="2:7" ht="12" customHeight="1" x14ac:dyDescent="0.2">
      <c r="C147" s="206"/>
      <c r="D147" s="206"/>
      <c r="E147" s="206"/>
      <c r="F147" s="206"/>
      <c r="G147" s="206"/>
    </row>
    <row r="148" spans="2:7" ht="12" customHeight="1" x14ac:dyDescent="0.2">
      <c r="C148" s="206"/>
      <c r="D148" s="206"/>
      <c r="E148" s="206"/>
      <c r="F148" s="206"/>
      <c r="G148" s="206"/>
    </row>
    <row r="149" spans="2:7" ht="12" customHeight="1" x14ac:dyDescent="0.2">
      <c r="C149" s="206"/>
      <c r="D149" s="206"/>
      <c r="E149" s="206"/>
      <c r="F149" s="206"/>
      <c r="G149" s="206"/>
    </row>
    <row r="150" spans="2:7" ht="12" customHeight="1" x14ac:dyDescent="0.2">
      <c r="C150" s="206"/>
      <c r="D150" s="206"/>
      <c r="E150" s="206"/>
      <c r="F150" s="206"/>
      <c r="G150" s="206"/>
    </row>
    <row r="151" spans="2:7" ht="12" customHeight="1" x14ac:dyDescent="0.2">
      <c r="C151" s="206"/>
      <c r="D151" s="206"/>
      <c r="E151" s="206"/>
      <c r="F151" s="206"/>
      <c r="G151" s="206"/>
    </row>
    <row r="152" spans="2:7" ht="12" customHeight="1" x14ac:dyDescent="0.2">
      <c r="C152" s="206"/>
      <c r="D152" s="206"/>
      <c r="E152" s="206"/>
      <c r="F152" s="206"/>
      <c r="G152" s="206"/>
    </row>
    <row r="153" spans="2:7" ht="12" customHeight="1" x14ac:dyDescent="0.2">
      <c r="C153" s="206"/>
      <c r="D153" s="206"/>
      <c r="E153" s="206"/>
      <c r="F153" s="206"/>
      <c r="G153" s="206"/>
    </row>
    <row r="154" spans="2:7" ht="12" customHeight="1" x14ac:dyDescent="0.2">
      <c r="C154" s="206"/>
      <c r="D154" s="206"/>
      <c r="E154" s="206"/>
      <c r="F154" s="206"/>
      <c r="G154" s="206"/>
    </row>
    <row r="155" spans="2:7" ht="12" customHeight="1" x14ac:dyDescent="0.2">
      <c r="C155" s="206"/>
      <c r="D155" s="206"/>
      <c r="E155" s="206"/>
      <c r="F155" s="206"/>
      <c r="G155" s="206"/>
    </row>
    <row r="156" spans="2:7" ht="12" customHeight="1" x14ac:dyDescent="0.2">
      <c r="C156" s="206"/>
      <c r="D156" s="206"/>
      <c r="E156" s="206"/>
      <c r="F156" s="206"/>
      <c r="G156" s="206"/>
    </row>
    <row r="157" spans="2:7" ht="12" customHeight="1" x14ac:dyDescent="0.2">
      <c r="C157" s="206"/>
      <c r="D157" s="206"/>
      <c r="E157" s="206"/>
      <c r="F157" s="206"/>
      <c r="G157" s="206"/>
    </row>
    <row r="158" spans="2:7" ht="12" customHeight="1" x14ac:dyDescent="0.2">
      <c r="C158" s="206"/>
      <c r="D158" s="206"/>
      <c r="E158" s="206"/>
      <c r="F158" s="206"/>
      <c r="G158" s="206"/>
    </row>
    <row r="159" spans="2:7" ht="14.25" customHeight="1" x14ac:dyDescent="0.2"/>
    <row r="160" spans="2:7" ht="15.75" hidden="1" x14ac:dyDescent="0.25">
      <c r="B160" s="390"/>
      <c r="C160" s="249"/>
    </row>
    <row r="161" spans="2:14" ht="15" hidden="1" x14ac:dyDescent="0.25">
      <c r="B161" s="345"/>
      <c r="C161" s="392"/>
    </row>
    <row r="162" spans="2:14" ht="15" hidden="1" x14ac:dyDescent="0.25">
      <c r="B162" s="345"/>
      <c r="C162" s="398"/>
    </row>
    <row r="163" spans="2:14" ht="15" hidden="1" x14ac:dyDescent="0.25">
      <c r="B163" s="345"/>
      <c r="C163" s="206"/>
    </row>
    <row r="164" spans="2:14" hidden="1" x14ac:dyDescent="0.2">
      <c r="B164" s="306"/>
    </row>
    <row r="165" spans="2:14" hidden="1" x14ac:dyDescent="0.2">
      <c r="B165" s="306"/>
    </row>
    <row r="166" spans="2:14" hidden="1" x14ac:dyDescent="0.2">
      <c r="B166" s="306"/>
    </row>
    <row r="167" spans="2:14" hidden="1" x14ac:dyDescent="0.2"/>
    <row r="168" spans="2:14" hidden="1" x14ac:dyDescent="0.2"/>
    <row r="169" spans="2:14" hidden="1" x14ac:dyDescent="0.2">
      <c r="C169" s="342">
        <v>41698</v>
      </c>
      <c r="D169" s="342">
        <v>41609</v>
      </c>
      <c r="E169" s="342">
        <v>41548</v>
      </c>
      <c r="F169" s="342">
        <v>41487</v>
      </c>
      <c r="G169" s="342">
        <v>41426</v>
      </c>
      <c r="H169" s="342">
        <v>41365</v>
      </c>
      <c r="I169" s="342">
        <v>41306</v>
      </c>
      <c r="J169" s="342">
        <v>41274</v>
      </c>
      <c r="K169" s="342">
        <v>41213</v>
      </c>
      <c r="L169" s="342">
        <v>41152</v>
      </c>
      <c r="M169" s="343">
        <v>41090</v>
      </c>
      <c r="N169" s="342">
        <v>41029</v>
      </c>
    </row>
    <row r="170" spans="2:14" hidden="1" x14ac:dyDescent="0.2">
      <c r="B170" s="58" t="s">
        <v>143</v>
      </c>
      <c r="C170" s="249">
        <f>C61</f>
        <v>152083.33000000002</v>
      </c>
      <c r="D170" s="249">
        <f>105452.64+311868.06-305987</f>
        <v>111333.70000000001</v>
      </c>
      <c r="E170" s="249">
        <v>85798.300000000017</v>
      </c>
      <c r="F170" s="206">
        <f>53253.08+18642.89</f>
        <v>71895.97</v>
      </c>
      <c r="G170" s="206">
        <v>126315</v>
      </c>
      <c r="H170" s="206">
        <v>69404</v>
      </c>
      <c r="I170" s="206">
        <v>75744</v>
      </c>
      <c r="J170" s="206">
        <v>119840.47</v>
      </c>
      <c r="K170" s="206">
        <v>120024</v>
      </c>
      <c r="L170" s="206">
        <v>109142</v>
      </c>
      <c r="M170" s="341">
        <v>142216.66</v>
      </c>
      <c r="N170" s="206">
        <v>104785.62</v>
      </c>
    </row>
    <row r="171" spans="2:14" hidden="1" x14ac:dyDescent="0.2">
      <c r="B171" s="58" t="s">
        <v>144</v>
      </c>
      <c r="C171" s="249">
        <f>D61</f>
        <v>88684.71</v>
      </c>
      <c r="D171" s="249">
        <f>74767.18-13600.56</f>
        <v>61166.619999999995</v>
      </c>
      <c r="E171" s="249">
        <v>86248.31</v>
      </c>
      <c r="F171" s="206">
        <v>43187.16</v>
      </c>
      <c r="G171" s="206">
        <v>60049</v>
      </c>
      <c r="H171" s="206">
        <v>101941</v>
      </c>
      <c r="I171" s="206">
        <v>43152</v>
      </c>
      <c r="J171" s="206">
        <v>58938.2</v>
      </c>
      <c r="K171" s="206">
        <v>85767</v>
      </c>
      <c r="L171" s="206">
        <v>119436</v>
      </c>
      <c r="M171" s="341">
        <v>73223.850000000006</v>
      </c>
      <c r="N171" s="206">
        <v>86907.23</v>
      </c>
    </row>
    <row r="172" spans="2:14" hidden="1" x14ac:dyDescent="0.2">
      <c r="B172" s="58" t="s">
        <v>145</v>
      </c>
      <c r="C172" s="249">
        <f>E61</f>
        <v>55732.49</v>
      </c>
      <c r="D172" s="249">
        <f>66720.93-13675.33</f>
        <v>53045.599999999991</v>
      </c>
      <c r="E172" s="249">
        <v>32950.589999999997</v>
      </c>
      <c r="F172" s="206">
        <v>65970.55</v>
      </c>
      <c r="G172" s="206">
        <v>18719</v>
      </c>
      <c r="H172" s="206">
        <v>3668</v>
      </c>
      <c r="I172" s="206">
        <v>50430</v>
      </c>
      <c r="J172" s="206">
        <v>88408.17</v>
      </c>
      <c r="K172" s="206">
        <v>26680</v>
      </c>
      <c r="L172" s="206">
        <v>51922</v>
      </c>
      <c r="M172" s="341">
        <v>77261.37</v>
      </c>
      <c r="N172" s="206">
        <v>11021.67</v>
      </c>
    </row>
    <row r="173" spans="2:14" hidden="1" x14ac:dyDescent="0.2">
      <c r="B173" s="58" t="s">
        <v>146</v>
      </c>
      <c r="C173" s="249">
        <f>F61</f>
        <v>14830.47</v>
      </c>
      <c r="D173" s="249">
        <v>86322.43</v>
      </c>
      <c r="E173" s="249">
        <v>66109.450000000012</v>
      </c>
      <c r="F173" s="206">
        <v>56011.13</v>
      </c>
      <c r="G173" s="206">
        <v>1250</v>
      </c>
      <c r="H173" s="206">
        <v>0</v>
      </c>
      <c r="I173" s="206">
        <v>9959</v>
      </c>
      <c r="J173" s="206">
        <v>18374.45</v>
      </c>
      <c r="K173" s="206">
        <v>22103</v>
      </c>
      <c r="L173" s="206">
        <v>71168</v>
      </c>
      <c r="M173" s="341">
        <v>55167.87</v>
      </c>
      <c r="N173" s="206"/>
    </row>
    <row r="174" spans="2:14" hidden="1" x14ac:dyDescent="0.2">
      <c r="C174" s="249">
        <f>SUM(C170:C173)</f>
        <v>311331</v>
      </c>
      <c r="D174" s="249">
        <f>SUM(D170:D173)</f>
        <v>311868.34999999998</v>
      </c>
      <c r="E174" s="249">
        <v>271106.65000000002</v>
      </c>
      <c r="F174" s="206">
        <f>SUM(F170:F173)</f>
        <v>237064.81</v>
      </c>
      <c r="G174" s="206">
        <f t="shared" ref="G174:N174" si="3">SUM(G170:G173)</f>
        <v>206333</v>
      </c>
      <c r="H174" s="206">
        <f t="shared" si="3"/>
        <v>175013</v>
      </c>
      <c r="I174" s="206">
        <f t="shared" si="3"/>
        <v>179285</v>
      </c>
      <c r="J174" s="206">
        <f t="shared" si="3"/>
        <v>285561.28999999998</v>
      </c>
      <c r="K174" s="206">
        <f t="shared" si="3"/>
        <v>254574</v>
      </c>
      <c r="L174" s="206">
        <f t="shared" si="3"/>
        <v>351668</v>
      </c>
      <c r="M174" s="206">
        <f t="shared" si="3"/>
        <v>347869.75</v>
      </c>
      <c r="N174" s="206">
        <f t="shared" si="3"/>
        <v>202714.52</v>
      </c>
    </row>
    <row r="175" spans="2:14" hidden="1" x14ac:dyDescent="0.2">
      <c r="D175" s="206"/>
      <c r="E175" s="206"/>
      <c r="F175" s="206"/>
      <c r="G175" s="206"/>
      <c r="H175" s="206"/>
      <c r="I175" s="206"/>
      <c r="J175" s="206"/>
      <c r="K175" s="206"/>
      <c r="L175" s="341"/>
    </row>
    <row r="176" spans="2:14" hidden="1" x14ac:dyDescent="0.2">
      <c r="C176" s="206"/>
      <c r="D176" s="206"/>
      <c r="E176" s="206"/>
      <c r="F176" s="206"/>
      <c r="G176" s="206"/>
      <c r="H176" s="341"/>
      <c r="I176" s="341"/>
      <c r="J176" s="341"/>
      <c r="K176" s="341"/>
    </row>
    <row r="177" spans="3:11" hidden="1" x14ac:dyDescent="0.2">
      <c r="C177" s="206"/>
      <c r="D177" s="206"/>
      <c r="E177" s="206"/>
      <c r="F177" s="206"/>
      <c r="G177" s="206"/>
      <c r="H177" s="341"/>
      <c r="I177" s="341"/>
      <c r="J177" s="341"/>
      <c r="K177" s="341"/>
    </row>
    <row r="178" spans="3:11" hidden="1" x14ac:dyDescent="0.2"/>
    <row r="179" spans="3:11" hidden="1" x14ac:dyDescent="0.2"/>
    <row r="180" spans="3:11" hidden="1" x14ac:dyDescent="0.2"/>
    <row r="181" spans="3:11" hidden="1" x14ac:dyDescent="0.2"/>
    <row r="182" spans="3:11" hidden="1" x14ac:dyDescent="0.2"/>
    <row r="183" spans="3:11" hidden="1" x14ac:dyDescent="0.2"/>
    <row r="184" spans="3:11" hidden="1" x14ac:dyDescent="0.2"/>
    <row r="185" spans="3:11" hidden="1" x14ac:dyDescent="0.2"/>
    <row r="186" spans="3:11" hidden="1" x14ac:dyDescent="0.2"/>
    <row r="187" spans="3:11" hidden="1" x14ac:dyDescent="0.2"/>
    <row r="188" spans="3:11" hidden="1" x14ac:dyDescent="0.2"/>
    <row r="189" spans="3:11" hidden="1" x14ac:dyDescent="0.2"/>
    <row r="190" spans="3:11" hidden="1" x14ac:dyDescent="0.2"/>
    <row r="191" spans="3:11" hidden="1" x14ac:dyDescent="0.2"/>
    <row r="192" spans="3:1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sheetData>
  <sortState ref="A82:J85">
    <sortCondition ref="A82:A85"/>
  </sortState>
  <mergeCells count="2">
    <mergeCell ref="A5:B5"/>
    <mergeCell ref="A53:B53"/>
  </mergeCells>
  <pageMargins left="0.95" right="0.25" top="0.25" bottom="0" header="0.3" footer="0.3"/>
  <pageSetup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5"/>
  <sheetViews>
    <sheetView zoomScale="75" zoomScaleNormal="75" workbookViewId="0">
      <selection activeCell="Q67" sqref="Q67"/>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4" style="18" customWidth="1"/>
    <col min="11" max="11" width="1.25" style="18" customWidth="1"/>
    <col min="12" max="12" width="24" style="18" customWidth="1"/>
    <col min="13" max="15" width="9" style="18"/>
    <col min="16" max="16" width="12.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103</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188</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9" t="s">
        <v>54</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7.75" thickTop="1" thickBot="1" x14ac:dyDescent="0.25">
      <c r="A6" s="65" t="s">
        <v>55</v>
      </c>
      <c r="B6" s="65"/>
      <c r="C6" s="65"/>
      <c r="D6" s="65"/>
      <c r="E6" s="65"/>
      <c r="F6" s="65"/>
      <c r="G6" s="263"/>
      <c r="H6" s="263"/>
      <c r="I6" s="263" t="s">
        <v>56</v>
      </c>
      <c r="J6" s="263"/>
      <c r="K6" s="263"/>
      <c r="L6" s="263"/>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row>
    <row r="8" spans="1:128" s="73" customFormat="1" ht="21" thickBot="1" x14ac:dyDescent="0.35">
      <c r="A8" s="70"/>
      <c r="B8" s="155" t="s">
        <v>57</v>
      </c>
      <c r="C8" s="155"/>
      <c r="D8" s="155"/>
      <c r="E8" s="155"/>
      <c r="F8" s="155"/>
      <c r="G8" s="357"/>
      <c r="H8" s="308">
        <v>43281</v>
      </c>
      <c r="I8" s="308"/>
      <c r="J8" s="308">
        <v>43100</v>
      </c>
      <c r="K8" s="72"/>
      <c r="L8" s="308">
        <f>H8-365</f>
        <v>42916</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74" t="s">
        <v>58</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8" customFormat="1" ht="20.25" hidden="1" x14ac:dyDescent="0.2">
      <c r="A11" s="76"/>
      <c r="B11" s="76"/>
      <c r="C11" s="76"/>
      <c r="D11" s="76" t="s">
        <v>85</v>
      </c>
      <c r="E11" s="76"/>
      <c r="F11" s="76"/>
      <c r="G11" s="287"/>
      <c r="H11" s="287" t="s">
        <v>109</v>
      </c>
      <c r="I11" s="287"/>
      <c r="J11" s="287" t="s">
        <v>109</v>
      </c>
      <c r="K11" s="77"/>
      <c r="L11" s="287" t="s">
        <v>109</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128" s="78" customFormat="1" ht="20.25" hidden="1" x14ac:dyDescent="0.2">
      <c r="A12" s="76"/>
      <c r="B12" s="76"/>
      <c r="C12" s="76"/>
      <c r="D12" s="76" t="s">
        <v>86</v>
      </c>
      <c r="E12" s="76"/>
      <c r="F12" s="76"/>
      <c r="G12" s="287"/>
      <c r="H12" s="287" t="s">
        <v>109</v>
      </c>
      <c r="I12" s="287"/>
      <c r="J12" s="287" t="s">
        <v>109</v>
      </c>
      <c r="K12" s="77"/>
      <c r="L12" s="287" t="s">
        <v>109</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128" s="78" customFormat="1" ht="20.25" x14ac:dyDescent="0.2">
      <c r="A13" s="76"/>
      <c r="B13" s="76"/>
      <c r="C13" s="76"/>
      <c r="D13" s="76" t="s">
        <v>203</v>
      </c>
      <c r="E13" s="76"/>
      <c r="F13" s="76"/>
      <c r="G13" s="267"/>
      <c r="H13" s="267">
        <v>195328.48</v>
      </c>
      <c r="I13" s="267"/>
      <c r="J13" s="267">
        <v>282558.58</v>
      </c>
      <c r="K13" s="77"/>
      <c r="L13" s="267">
        <v>261622.27</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128" s="78" customFormat="1" ht="20.25" x14ac:dyDescent="0.2">
      <c r="A14" s="76"/>
      <c r="B14" s="76"/>
      <c r="C14" s="76"/>
      <c r="D14" s="76" t="s">
        <v>204</v>
      </c>
      <c r="E14" s="76"/>
      <c r="F14" s="76"/>
      <c r="G14" s="256"/>
      <c r="H14" s="256">
        <v>1079.43</v>
      </c>
      <c r="I14" s="256"/>
      <c r="J14" s="256">
        <v>939.98</v>
      </c>
      <c r="K14" s="77"/>
      <c r="L14" s="256">
        <v>200.02</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128" s="78" customFormat="1" ht="20.25" x14ac:dyDescent="0.2">
      <c r="A15" s="76"/>
      <c r="B15" s="76"/>
      <c r="C15" s="79"/>
      <c r="D15" s="79" t="s">
        <v>87</v>
      </c>
      <c r="E15" s="79"/>
      <c r="F15" s="79"/>
      <c r="G15" s="254"/>
      <c r="H15" s="257">
        <v>200</v>
      </c>
      <c r="I15" s="254"/>
      <c r="J15" s="257">
        <v>200</v>
      </c>
      <c r="K15" s="77"/>
      <c r="L15" s="257">
        <v>200</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128" s="75" customFormat="1" ht="20.25" x14ac:dyDescent="0.2">
      <c r="A16" s="74"/>
      <c r="B16" s="74"/>
      <c r="C16" s="74" t="s">
        <v>59</v>
      </c>
      <c r="D16" s="74"/>
      <c r="E16" s="74"/>
      <c r="F16" s="74"/>
      <c r="G16" s="258"/>
      <c r="H16" s="258">
        <f>ROUND(SUM(H10:H15),5)</f>
        <v>196607.91</v>
      </c>
      <c r="I16" s="258"/>
      <c r="J16" s="258">
        <f>ROUND(SUM(J10:J15),5)</f>
        <v>283698.56</v>
      </c>
      <c r="K16" s="69"/>
      <c r="L16" s="258">
        <f>ROUND(SUM(L10:L15),5)</f>
        <v>262022.29</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14.25" customHeight="1" x14ac:dyDescent="0.2">
      <c r="A17" s="74"/>
      <c r="B17" s="74"/>
      <c r="C17" s="74"/>
      <c r="D17" s="74"/>
      <c r="E17" s="74"/>
      <c r="F17" s="74"/>
      <c r="G17" s="256"/>
      <c r="H17" s="256"/>
      <c r="I17" s="256"/>
      <c r="J17" s="256"/>
      <c r="K17" s="69"/>
      <c r="L17" s="256"/>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74" t="s">
        <v>61</v>
      </c>
      <c r="D18" s="74"/>
      <c r="E18" s="74"/>
      <c r="F18" s="74"/>
      <c r="G18" s="256"/>
      <c r="H18" s="256"/>
      <c r="I18" s="256"/>
      <c r="J18" s="256"/>
      <c r="K18" s="69"/>
      <c r="L18" s="256"/>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8" customFormat="1" ht="20.25" x14ac:dyDescent="0.2">
      <c r="A19" s="76"/>
      <c r="B19" s="76"/>
      <c r="C19" s="80"/>
      <c r="D19" s="80" t="s">
        <v>162</v>
      </c>
      <c r="E19" s="80"/>
      <c r="F19" s="80"/>
      <c r="G19" s="307"/>
      <c r="H19" s="307">
        <f>'June''18 AR Aging '!G61</f>
        <v>311330.99999999994</v>
      </c>
      <c r="I19" s="307"/>
      <c r="J19" s="307">
        <v>258260.86</v>
      </c>
      <c r="K19" s="270"/>
      <c r="L19" s="307">
        <v>248981.18</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s="78" customFormat="1" ht="20.25" x14ac:dyDescent="0.2">
      <c r="A20" s="436"/>
      <c r="B20" s="439"/>
      <c r="C20" s="80"/>
      <c r="D20" s="80" t="s">
        <v>179</v>
      </c>
      <c r="E20" s="80"/>
      <c r="F20" s="80"/>
      <c r="G20" s="307"/>
      <c r="H20" s="254">
        <v>3251.72</v>
      </c>
      <c r="I20" s="307"/>
      <c r="J20" s="307"/>
      <c r="K20" s="270"/>
      <c r="L20" s="30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s="78" customFormat="1" ht="20.25" x14ac:dyDescent="0.2">
      <c r="A21" s="76"/>
      <c r="B21" s="439"/>
      <c r="C21" s="76"/>
      <c r="D21" s="76" t="s">
        <v>248</v>
      </c>
      <c r="E21" s="76"/>
      <c r="F21" s="76"/>
      <c r="G21" s="256"/>
      <c r="H21" s="256">
        <v>164894.5</v>
      </c>
      <c r="I21" s="256"/>
      <c r="J21" s="256">
        <v>164937.87</v>
      </c>
      <c r="K21" s="270"/>
      <c r="L21" s="256">
        <v>160443.22</v>
      </c>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78" customFormat="1" ht="20.25" x14ac:dyDescent="0.2">
      <c r="A22" s="76"/>
      <c r="B22" s="439"/>
      <c r="C22" s="79"/>
      <c r="D22" s="79" t="s">
        <v>88</v>
      </c>
      <c r="E22" s="79"/>
      <c r="F22" s="79"/>
      <c r="G22" s="254"/>
      <c r="H22" s="257">
        <f>6698.46+1136.06</f>
        <v>7834.52</v>
      </c>
      <c r="I22" s="254"/>
      <c r="J22" s="446">
        <f>8145.25+1337.21</f>
        <v>9482.4599999999991</v>
      </c>
      <c r="K22" s="270"/>
      <c r="L22" s="257">
        <f>7387.27+1337.21</f>
        <v>8724.48</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s="75" customFormat="1" ht="20.25" x14ac:dyDescent="0.2">
      <c r="A23" s="74"/>
      <c r="B23" s="68"/>
      <c r="C23" s="68" t="s">
        <v>62</v>
      </c>
      <c r="D23" s="68"/>
      <c r="E23" s="68"/>
      <c r="F23" s="68"/>
      <c r="G23" s="259"/>
      <c r="H23" s="259">
        <f>SUM(H19:H22)</f>
        <v>487311.73999999993</v>
      </c>
      <c r="I23" s="259"/>
      <c r="J23" s="259">
        <f>SUM(J19:J22)</f>
        <v>432681.19</v>
      </c>
      <c r="K23" s="288"/>
      <c r="L23" s="259">
        <f>SUM(L19:L22)</f>
        <v>418148.88</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68"/>
      <c r="C24" s="68"/>
      <c r="D24" s="68"/>
      <c r="E24" s="68"/>
      <c r="F24" s="68"/>
      <c r="G24" s="254"/>
      <c r="H24" s="254"/>
      <c r="I24" s="254"/>
      <c r="J24" s="254"/>
      <c r="K24" s="69"/>
      <c r="L24" s="254"/>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1" thickBot="1" x14ac:dyDescent="0.25">
      <c r="A25" s="74"/>
      <c r="B25" s="81" t="s">
        <v>63</v>
      </c>
      <c r="C25" s="81"/>
      <c r="D25" s="81"/>
      <c r="E25" s="81"/>
      <c r="F25" s="81"/>
      <c r="G25" s="259"/>
      <c r="H25" s="260">
        <f>H16+H23</f>
        <v>683919.64999999991</v>
      </c>
      <c r="I25" s="259"/>
      <c r="J25" s="260">
        <f>J16+J23</f>
        <v>716379.75</v>
      </c>
      <c r="K25" s="69"/>
      <c r="L25" s="260">
        <f>L16+L23</f>
        <v>680171.17</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1" thickTop="1" x14ac:dyDescent="0.2">
      <c r="A26" s="74"/>
      <c r="B26" s="74"/>
      <c r="C26" s="74"/>
      <c r="D26" s="74"/>
      <c r="E26" s="74"/>
      <c r="F26" s="74"/>
      <c r="G26" s="259"/>
      <c r="H26" s="258"/>
      <c r="I26" s="259"/>
      <c r="J26" s="258"/>
      <c r="K26" s="69"/>
      <c r="L26" s="258"/>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3" customFormat="1" ht="20.25" x14ac:dyDescent="0.3">
      <c r="A27" s="70"/>
      <c r="B27" s="71" t="s">
        <v>64</v>
      </c>
      <c r="C27" s="71"/>
      <c r="D27" s="71"/>
      <c r="E27" s="71"/>
      <c r="F27" s="71"/>
      <c r="G27" s="293"/>
      <c r="H27" s="261"/>
      <c r="I27" s="293"/>
      <c r="J27" s="261"/>
      <c r="K27" s="72"/>
      <c r="L27" s="261"/>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61" s="78" customFormat="1" ht="20.25" x14ac:dyDescent="0.2">
      <c r="A28" s="76"/>
      <c r="B28" s="439"/>
      <c r="C28" s="76"/>
      <c r="D28" s="76" t="s">
        <v>89</v>
      </c>
      <c r="E28" s="76"/>
      <c r="F28" s="76"/>
      <c r="G28" s="254"/>
      <c r="H28" s="256">
        <f>192474.47+4000</f>
        <v>196474.47</v>
      </c>
      <c r="I28" s="254"/>
      <c r="J28" s="256">
        <v>192474.47</v>
      </c>
      <c r="K28" s="270"/>
      <c r="L28" s="256">
        <v>192474.47</v>
      </c>
      <c r="M28" s="77"/>
      <c r="N28" s="77"/>
      <c r="O28" s="77"/>
      <c r="P28" s="270"/>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s="78" customFormat="1" ht="20.25" x14ac:dyDescent="0.2">
      <c r="A29" s="76"/>
      <c r="B29" s="439"/>
      <c r="C29" s="76"/>
      <c r="D29" s="76" t="s">
        <v>90</v>
      </c>
      <c r="E29" s="76"/>
      <c r="F29" s="76"/>
      <c r="G29" s="254"/>
      <c r="H29" s="256">
        <v>49562</v>
      </c>
      <c r="I29" s="254"/>
      <c r="J29" s="256">
        <v>49562</v>
      </c>
      <c r="K29" s="270"/>
      <c r="L29" s="256">
        <v>49562</v>
      </c>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s="78" customFormat="1" ht="20.25" x14ac:dyDescent="0.2">
      <c r="A30" s="76"/>
      <c r="B30" s="439"/>
      <c r="C30" s="76"/>
      <c r="D30" s="76" t="s">
        <v>91</v>
      </c>
      <c r="E30" s="76"/>
      <c r="F30" s="76"/>
      <c r="G30" s="254"/>
      <c r="H30" s="256">
        <v>184742.74</v>
      </c>
      <c r="I30" s="254"/>
      <c r="J30" s="256">
        <v>162848.99</v>
      </c>
      <c r="K30" s="270"/>
      <c r="L30" s="256">
        <v>191459.06</v>
      </c>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s="78" customFormat="1" ht="20.25" x14ac:dyDescent="0.2">
      <c r="A31" s="76"/>
      <c r="B31" s="80"/>
      <c r="C31" s="80"/>
      <c r="D31" s="80" t="s">
        <v>92</v>
      </c>
      <c r="E31" s="80"/>
      <c r="F31" s="80"/>
      <c r="G31" s="254"/>
      <c r="H31" s="254">
        <f>-303223.04-258*3</f>
        <v>-303997.03999999998</v>
      </c>
      <c r="I31" s="254"/>
      <c r="J31" s="254">
        <v>-285865.03999999998</v>
      </c>
      <c r="K31" s="270"/>
      <c r="L31" s="254">
        <v>-298504.03999999998</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s="75" customFormat="1" ht="20.25" x14ac:dyDescent="0.2">
      <c r="A32" s="74"/>
      <c r="B32" s="81" t="s">
        <v>65</v>
      </c>
      <c r="C32" s="81"/>
      <c r="D32" s="81"/>
      <c r="E32" s="81"/>
      <c r="F32" s="81"/>
      <c r="G32" s="259"/>
      <c r="H32" s="262">
        <f>SUM(H28:H31)</f>
        <v>126782.16999999998</v>
      </c>
      <c r="I32" s="259"/>
      <c r="J32" s="262">
        <f>SUM(J28:J31)</f>
        <v>119020.41999999998</v>
      </c>
      <c r="K32" s="69"/>
      <c r="L32" s="262">
        <f>SUM(L28:L31)</f>
        <v>134991.49000000005</v>
      </c>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s="75" customFormat="1" ht="7.5" customHeight="1" x14ac:dyDescent="0.2">
      <c r="A33" s="74"/>
      <c r="B33" s="74"/>
      <c r="C33" s="74"/>
      <c r="D33" s="74"/>
      <c r="E33" s="74"/>
      <c r="F33" s="74"/>
      <c r="G33" s="259"/>
      <c r="H33" s="258"/>
      <c r="I33" s="259"/>
      <c r="J33" s="258"/>
      <c r="K33" s="69"/>
      <c r="L33" s="258"/>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s="75" customFormat="1" ht="12.75" customHeight="1" thickBot="1" x14ac:dyDescent="0.25">
      <c r="A34" s="74"/>
      <c r="B34" s="74"/>
      <c r="C34" s="74"/>
      <c r="D34" s="74"/>
      <c r="E34" s="74"/>
      <c r="F34" s="74"/>
      <c r="G34" s="254"/>
      <c r="H34" s="254"/>
      <c r="I34" s="254"/>
      <c r="J34" s="254"/>
      <c r="K34" s="69"/>
      <c r="L34" s="254"/>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s="84" customFormat="1" ht="27.75" thickTop="1" thickBot="1" x14ac:dyDescent="0.25">
      <c r="A35" s="82" t="s">
        <v>66</v>
      </c>
      <c r="B35" s="82"/>
      <c r="C35" s="82"/>
      <c r="D35" s="82"/>
      <c r="E35" s="82"/>
      <c r="F35" s="82"/>
      <c r="G35" s="295"/>
      <c r="H35" s="268">
        <f>H25+H32</f>
        <v>810701.81999999983</v>
      </c>
      <c r="I35" s="295"/>
      <c r="J35" s="268">
        <f>J25+J32</f>
        <v>835400.16999999993</v>
      </c>
      <c r="K35" s="83"/>
      <c r="L35" s="268">
        <f>L25+L32</f>
        <v>815162.66000000015</v>
      </c>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86" customFormat="1" ht="33" customHeight="1" thickTop="1" thickBot="1" x14ac:dyDescent="0.25">
      <c r="A36" s="74"/>
      <c r="B36" s="74"/>
      <c r="C36" s="74"/>
      <c r="D36" s="74"/>
      <c r="E36" s="74"/>
      <c r="F36" s="74"/>
      <c r="G36" s="359"/>
      <c r="H36" s="259"/>
      <c r="I36" s="259"/>
      <c r="J36" s="259"/>
      <c r="K36" s="85"/>
      <c r="L36" s="259"/>
      <c r="M36" s="85"/>
      <c r="N36" s="85"/>
      <c r="O36" s="85"/>
      <c r="P36" s="450"/>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row>
    <row r="37" spans="1:61" s="67" customFormat="1" ht="27.75" thickTop="1" thickBot="1" x14ac:dyDescent="0.25">
      <c r="A37" s="65" t="s">
        <v>67</v>
      </c>
      <c r="B37" s="65"/>
      <c r="C37" s="65"/>
      <c r="D37" s="65"/>
      <c r="E37" s="65"/>
      <c r="F37" s="65"/>
      <c r="G37" s="358"/>
      <c r="H37" s="263"/>
      <c r="I37" s="263"/>
      <c r="J37" s="263"/>
      <c r="K37" s="66"/>
      <c r="L37" s="263"/>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row>
    <row r="38" spans="1:61" s="75" customFormat="1" ht="12.75" customHeight="1" thickTop="1" x14ac:dyDescent="0.2">
      <c r="A38" s="74"/>
      <c r="B38" s="74"/>
      <c r="C38" s="74"/>
      <c r="D38" s="74"/>
      <c r="E38" s="74"/>
      <c r="F38" s="74"/>
      <c r="G38" s="256"/>
      <c r="H38" s="256"/>
      <c r="I38" s="254"/>
      <c r="J38" s="256"/>
      <c r="K38" s="69"/>
      <c r="L38" s="256"/>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s="75" customFormat="1" ht="24" thickBot="1" x14ac:dyDescent="0.25">
      <c r="A39" s="74"/>
      <c r="B39" s="87" t="s">
        <v>68</v>
      </c>
      <c r="C39" s="88"/>
      <c r="D39" s="88"/>
      <c r="E39" s="88"/>
      <c r="F39" s="88"/>
      <c r="G39" s="264"/>
      <c r="H39" s="264"/>
      <c r="I39" s="264"/>
      <c r="J39" s="264"/>
      <c r="K39" s="69"/>
      <c r="L39" s="264"/>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s="75" customFormat="1" ht="9" customHeight="1" x14ac:dyDescent="0.2">
      <c r="A40" s="74"/>
      <c r="B40" s="74"/>
      <c r="C40" s="74"/>
      <c r="D40" s="74"/>
      <c r="E40" s="74"/>
      <c r="F40" s="74"/>
      <c r="G40" s="254"/>
      <c r="H40" s="256"/>
      <c r="I40" s="254"/>
      <c r="J40" s="256"/>
      <c r="K40" s="69"/>
      <c r="L40" s="256"/>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s="73" customFormat="1" ht="21" thickBot="1" x14ac:dyDescent="0.35">
      <c r="A41" s="70"/>
      <c r="B41" s="155" t="s">
        <v>69</v>
      </c>
      <c r="C41" s="156"/>
      <c r="D41" s="155"/>
      <c r="E41" s="155"/>
      <c r="F41" s="155"/>
      <c r="G41" s="293"/>
      <c r="H41" s="255"/>
      <c r="I41" s="293"/>
      <c r="J41" s="255"/>
      <c r="K41" s="72"/>
      <c r="L41" s="255"/>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s="78" customFormat="1" ht="20.25" x14ac:dyDescent="0.2">
      <c r="A42" s="76"/>
      <c r="B42" s="76"/>
      <c r="C42" s="76"/>
      <c r="D42" s="76" t="s">
        <v>163</v>
      </c>
      <c r="F42" s="76"/>
      <c r="G42" s="269"/>
      <c r="H42" s="269">
        <f>29460.03+566.49+5839.57+218.67+160.5</f>
        <v>36245.259999999995</v>
      </c>
      <c r="I42" s="269"/>
      <c r="J42" s="269">
        <f>15469.59+566.49+1684.63+1090.94</f>
        <v>18811.649999999998</v>
      </c>
      <c r="K42" s="425"/>
      <c r="L42" s="269">
        <f>24582.97+2066.49+2685.42+4400.79</f>
        <v>33735.67</v>
      </c>
      <c r="M42" s="77"/>
      <c r="N42" s="425"/>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s="78" customFormat="1" ht="20.25" x14ac:dyDescent="0.2">
      <c r="A43" s="76"/>
      <c r="B43" s="76"/>
      <c r="C43" s="76"/>
      <c r="D43" s="76" t="s">
        <v>105</v>
      </c>
      <c r="F43" s="76"/>
      <c r="G43" s="254"/>
      <c r="H43" s="254">
        <v>34.99</v>
      </c>
      <c r="I43" s="254"/>
      <c r="J43" s="254">
        <v>100.9</v>
      </c>
      <c r="K43" s="77"/>
      <c r="L43" s="254">
        <v>826.65</v>
      </c>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s="78" customFormat="1" ht="20.25" x14ac:dyDescent="0.2">
      <c r="A44" s="76"/>
      <c r="B44" s="76"/>
      <c r="C44" s="76"/>
      <c r="D44" s="80" t="s">
        <v>93</v>
      </c>
      <c r="F44" s="76"/>
      <c r="G44" s="254"/>
      <c r="H44" s="256">
        <v>0</v>
      </c>
      <c r="I44" s="256"/>
      <c r="J44" s="256">
        <v>22029</v>
      </c>
      <c r="K44" s="77"/>
      <c r="L44" s="256"/>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s="78" customFormat="1" ht="20.25" hidden="1" x14ac:dyDescent="0.2">
      <c r="A45" s="76"/>
      <c r="B45" s="76"/>
      <c r="C45" s="76"/>
      <c r="D45" s="80" t="s">
        <v>171</v>
      </c>
      <c r="F45" s="76"/>
      <c r="G45" s="254"/>
      <c r="H45" s="256">
        <v>0</v>
      </c>
      <c r="I45" s="256"/>
      <c r="J45" s="256">
        <v>0</v>
      </c>
      <c r="K45" s="77"/>
      <c r="L45" s="256">
        <v>0</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s="78" customFormat="1" ht="20.25" x14ac:dyDescent="0.2">
      <c r="A46" s="76"/>
      <c r="B46" s="76"/>
      <c r="C46" s="76"/>
      <c r="D46" s="79" t="s">
        <v>104</v>
      </c>
      <c r="E46" s="154"/>
      <c r="F46" s="79"/>
      <c r="G46" s="254"/>
      <c r="H46" s="256">
        <f>'June''18 Revenues &amp; Expenses'!L41</f>
        <v>42612.649999999994</v>
      </c>
      <c r="I46" s="356"/>
      <c r="J46" s="256">
        <v>79051.83</v>
      </c>
      <c r="K46" s="270"/>
      <c r="L46" s="256">
        <v>28510.01</v>
      </c>
      <c r="M46" s="77"/>
      <c r="N46" s="77"/>
      <c r="O46" s="77"/>
      <c r="P46" s="270"/>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s="78" customFormat="1" ht="20.25" x14ac:dyDescent="0.2">
      <c r="A47" s="76"/>
      <c r="B47" s="76"/>
      <c r="C47" s="81" t="s">
        <v>80</v>
      </c>
      <c r="D47" s="76"/>
      <c r="F47" s="76"/>
      <c r="G47" s="254"/>
      <c r="H47" s="265">
        <f>SUM(H42:H46)</f>
        <v>78892.899999999994</v>
      </c>
      <c r="I47" s="356"/>
      <c r="J47" s="265">
        <f>SUM(J42:J46)</f>
        <v>119993.38</v>
      </c>
      <c r="K47" s="77"/>
      <c r="L47" s="265">
        <f>SUM(L42:L46)</f>
        <v>63072.33</v>
      </c>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s="78" customFormat="1" ht="9.75" customHeight="1" x14ac:dyDescent="0.2">
      <c r="A48" s="76"/>
      <c r="B48" s="76"/>
      <c r="C48" s="76"/>
      <c r="D48" s="76"/>
      <c r="E48" s="76"/>
      <c r="F48" s="76"/>
      <c r="G48" s="254"/>
      <c r="H48" s="256"/>
      <c r="I48" s="356"/>
      <c r="J48" s="256"/>
      <c r="K48" s="77"/>
      <c r="L48" s="256"/>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s="78" customFormat="1" ht="20.25" x14ac:dyDescent="0.2">
      <c r="A49" s="76"/>
      <c r="B49" s="76"/>
      <c r="C49" s="89" t="s">
        <v>82</v>
      </c>
      <c r="D49" s="89"/>
      <c r="E49" s="154"/>
      <c r="F49" s="154"/>
      <c r="G49" s="254"/>
      <c r="H49" s="257"/>
      <c r="I49" s="356"/>
      <c r="J49" s="257"/>
      <c r="K49" s="77"/>
      <c r="L49" s="25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s="78" customFormat="1" ht="20.25" x14ac:dyDescent="0.2">
      <c r="A50" s="76"/>
      <c r="B50" s="76"/>
      <c r="C50" s="76"/>
      <c r="D50" s="76" t="s">
        <v>96</v>
      </c>
      <c r="E50" s="76"/>
      <c r="F50" s="76"/>
      <c r="G50" s="254"/>
      <c r="H50" s="254">
        <f>17698.05+3800.13-H52-H53</f>
        <v>19754.5</v>
      </c>
      <c r="I50" s="356"/>
      <c r="J50" s="254">
        <f>18236.49+4310.12-J52-J53</f>
        <v>19348.59</v>
      </c>
      <c r="K50" s="77"/>
      <c r="L50" s="254">
        <f>18525.46+4595.83-L52-L53</f>
        <v>20397.05</v>
      </c>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s="78" customFormat="1" ht="20.25" x14ac:dyDescent="0.2">
      <c r="A51" s="76"/>
      <c r="B51" s="76"/>
      <c r="C51" s="76"/>
      <c r="D51" s="76" t="s">
        <v>97</v>
      </c>
      <c r="E51" s="76"/>
      <c r="F51" s="76"/>
      <c r="G51" s="254"/>
      <c r="H51" s="254">
        <v>32550.57</v>
      </c>
      <c r="I51" s="356"/>
      <c r="J51" s="254">
        <v>23212.11</v>
      </c>
      <c r="K51" s="77"/>
      <c r="L51" s="254">
        <v>26094.57</v>
      </c>
      <c r="M51" s="77"/>
      <c r="N51" s="77"/>
      <c r="O51" s="77"/>
      <c r="P51" s="77"/>
      <c r="Q51" s="270"/>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s="78" customFormat="1" ht="20.25" x14ac:dyDescent="0.2">
      <c r="A52" s="76"/>
      <c r="B52" s="76"/>
      <c r="C52" s="76"/>
      <c r="D52" s="76" t="s">
        <v>98</v>
      </c>
      <c r="E52" s="76"/>
      <c r="F52" s="76"/>
      <c r="G52" s="254"/>
      <c r="H52" s="256">
        <v>1601.64</v>
      </c>
      <c r="I52" s="356"/>
      <c r="J52" s="256">
        <v>2958.8</v>
      </c>
      <c r="K52" s="77"/>
      <c r="L52" s="256">
        <v>2428.9</v>
      </c>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s="78" customFormat="1" ht="20.25" x14ac:dyDescent="0.2">
      <c r="A53" s="76"/>
      <c r="B53" s="76"/>
      <c r="C53" s="76"/>
      <c r="D53" s="76" t="s">
        <v>99</v>
      </c>
      <c r="E53" s="76"/>
      <c r="F53" s="76"/>
      <c r="G53" s="254"/>
      <c r="H53" s="257">
        <v>142.04</v>
      </c>
      <c r="I53" s="356"/>
      <c r="J53" s="257">
        <v>239.22</v>
      </c>
      <c r="K53" s="77"/>
      <c r="L53" s="257">
        <v>295.33999999999997</v>
      </c>
      <c r="M53" s="77"/>
      <c r="N53" s="77"/>
      <c r="O53" s="77"/>
      <c r="P53" s="77"/>
      <c r="Q53" s="270"/>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s="78" customFormat="1" ht="20.25" x14ac:dyDescent="0.2">
      <c r="A54" s="76"/>
      <c r="B54" s="76"/>
      <c r="C54" s="68" t="s">
        <v>81</v>
      </c>
      <c r="D54" s="76"/>
      <c r="F54" s="80"/>
      <c r="G54" s="254"/>
      <c r="H54" s="254">
        <f>ROUND(SUM(H49:H53),5)</f>
        <v>54048.75</v>
      </c>
      <c r="I54" s="356"/>
      <c r="J54" s="254">
        <f>ROUND(SUM(J49:J53),5)</f>
        <v>45758.720000000001</v>
      </c>
      <c r="K54" s="77"/>
      <c r="L54" s="254">
        <f>ROUND(SUM(L49:L53),5)</f>
        <v>49215.86</v>
      </c>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s="78" customFormat="1" ht="7.5" customHeight="1" x14ac:dyDescent="0.2">
      <c r="A55" s="76"/>
      <c r="B55" s="76"/>
      <c r="C55" s="79"/>
      <c r="D55" s="79"/>
      <c r="E55" s="79"/>
      <c r="F55" s="79"/>
      <c r="G55" s="254"/>
      <c r="H55" s="257"/>
      <c r="I55" s="356"/>
      <c r="J55" s="257"/>
      <c r="K55" s="77"/>
      <c r="L55" s="25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s="75" customFormat="1" ht="20.25" x14ac:dyDescent="0.2">
      <c r="A56" s="74"/>
      <c r="B56" s="74"/>
      <c r="C56" s="74" t="s">
        <v>83</v>
      </c>
      <c r="D56" s="74"/>
      <c r="E56" s="74"/>
      <c r="F56" s="74"/>
      <c r="G56" s="259"/>
      <c r="H56" s="258">
        <f>H47+H54</f>
        <v>132941.65</v>
      </c>
      <c r="I56" s="431"/>
      <c r="J56" s="258">
        <f>J47+J54</f>
        <v>165752.1</v>
      </c>
      <c r="K56" s="288"/>
      <c r="L56" s="258">
        <f>L47+L54</f>
        <v>112288.19</v>
      </c>
      <c r="M56" s="69"/>
      <c r="N56" s="69"/>
      <c r="O56" s="69"/>
      <c r="P56" s="377"/>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row>
    <row r="57" spans="1:61" s="75" customFormat="1" ht="18.75" customHeight="1" x14ac:dyDescent="0.2">
      <c r="A57" s="74"/>
      <c r="B57" s="74"/>
      <c r="C57" s="74"/>
      <c r="D57" s="74"/>
      <c r="E57" s="74"/>
      <c r="F57" s="74"/>
      <c r="G57" s="259"/>
      <c r="H57" s="258"/>
      <c r="I57" s="431"/>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row>
    <row r="58" spans="1:61" s="75" customFormat="1" ht="24" thickBot="1" x14ac:dyDescent="0.25">
      <c r="A58" s="74"/>
      <c r="B58" s="87" t="s">
        <v>70</v>
      </c>
      <c r="C58" s="88"/>
      <c r="D58" s="88"/>
      <c r="E58" s="88"/>
      <c r="F58" s="88"/>
      <c r="G58" s="254"/>
      <c r="H58" s="264"/>
      <c r="I58" s="356"/>
      <c r="J58" s="264"/>
      <c r="K58" s="69"/>
      <c r="L58" s="264"/>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row>
    <row r="59" spans="1:61" s="78" customFormat="1" ht="20.25" x14ac:dyDescent="0.2">
      <c r="A59" s="76"/>
      <c r="B59" s="76"/>
      <c r="D59" s="76" t="s">
        <v>94</v>
      </c>
      <c r="E59" s="76"/>
      <c r="F59" s="76"/>
      <c r="G59" s="254"/>
      <c r="H59" s="256">
        <f>716307.41+8802.26-94300.37</f>
        <v>630809.30000000005</v>
      </c>
      <c r="I59" s="356"/>
      <c r="J59" s="256">
        <f>L59</f>
        <v>617788.41</v>
      </c>
      <c r="K59" s="270"/>
      <c r="L59" s="256">
        <f>569315.93+35972.48+12500</f>
        <v>617788.41</v>
      </c>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s="78" customFormat="1" ht="20.25" x14ac:dyDescent="0.2">
      <c r="A60" s="76"/>
      <c r="B60" s="76"/>
      <c r="D60" s="76" t="s">
        <v>100</v>
      </c>
      <c r="E60" s="76"/>
      <c r="F60" s="76"/>
      <c r="G60" s="254"/>
      <c r="H60" s="256">
        <f>'June''18 Revenues &amp; Expenses'!L62</f>
        <v>69814.51999999999</v>
      </c>
      <c r="I60" s="356"/>
      <c r="J60" s="256">
        <v>38838.769999999997</v>
      </c>
      <c r="K60" s="270"/>
      <c r="L60" s="256">
        <v>66725.070000000007</v>
      </c>
      <c r="M60" s="77"/>
      <c r="N60" s="77"/>
      <c r="O60" s="270"/>
      <c r="P60" s="270"/>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s="75" customFormat="1" ht="21" thickBot="1" x14ac:dyDescent="0.25">
      <c r="A61" s="74"/>
      <c r="B61" s="74"/>
      <c r="D61" s="76" t="s">
        <v>139</v>
      </c>
      <c r="E61" s="74"/>
      <c r="F61" s="88"/>
      <c r="G61" s="356"/>
      <c r="H61" s="264">
        <f>'June''18 State of Activities'!G57</f>
        <v>-22863.229999999865</v>
      </c>
      <c r="I61" s="356"/>
      <c r="J61" s="264">
        <f>'June''18 State of Activities'!H57</f>
        <v>13020.890000000363</v>
      </c>
      <c r="K61" s="69"/>
      <c r="L61" s="264">
        <f>'June''18 State of Activities'!J57</f>
        <v>18360.989999999874</v>
      </c>
      <c r="M61" s="69"/>
      <c r="N61" s="69"/>
      <c r="O61" s="69"/>
      <c r="P61" s="435"/>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row>
    <row r="62" spans="1:61" s="75" customFormat="1" ht="23.25" x14ac:dyDescent="0.2">
      <c r="A62" s="74"/>
      <c r="B62" s="90" t="s">
        <v>71</v>
      </c>
      <c r="C62" s="91"/>
      <c r="D62" s="91"/>
      <c r="E62" s="91"/>
      <c r="F62" s="68"/>
      <c r="G62" s="431"/>
      <c r="H62" s="259">
        <f>ROUND(SUM(H58:H61),5)</f>
        <v>677760.59</v>
      </c>
      <c r="I62" s="431"/>
      <c r="J62" s="259">
        <f>ROUND(SUM(J58:J61),5)</f>
        <v>669648.06999999995</v>
      </c>
      <c r="K62" s="69"/>
      <c r="L62" s="259">
        <f>ROUND(SUM(L58:L61),5)</f>
        <v>702874.47</v>
      </c>
      <c r="M62" s="69"/>
      <c r="N62" s="69"/>
      <c r="O62" s="69"/>
      <c r="P62" s="435"/>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row>
    <row r="63" spans="1:61" s="75" customFormat="1" ht="12.75" customHeight="1" x14ac:dyDescent="0.2">
      <c r="A63" s="74"/>
      <c r="B63" s="74"/>
      <c r="C63" s="74"/>
      <c r="D63" s="74"/>
      <c r="E63" s="74"/>
      <c r="F63" s="74"/>
      <c r="G63" s="356"/>
      <c r="H63" s="257"/>
      <c r="I63" s="356"/>
      <c r="J63" s="257"/>
      <c r="K63" s="69"/>
      <c r="L63" s="257"/>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row>
    <row r="64" spans="1:61" s="92" customFormat="1" ht="27" thickBot="1" x14ac:dyDescent="0.25">
      <c r="A64" s="82" t="s">
        <v>72</v>
      </c>
      <c r="B64" s="82"/>
      <c r="C64" s="82"/>
      <c r="D64" s="82"/>
      <c r="E64" s="82"/>
      <c r="F64" s="82"/>
      <c r="G64" s="432"/>
      <c r="H64" s="393">
        <f>SUM(H56+H62)</f>
        <v>810702.24</v>
      </c>
      <c r="I64" s="432"/>
      <c r="J64" s="393">
        <f>SUM(J56+J62)</f>
        <v>835400.16999999993</v>
      </c>
      <c r="K64" s="83"/>
      <c r="L64" s="393">
        <f>SUM(L56+L62)</f>
        <v>815162.65999999992</v>
      </c>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row>
    <row r="65" spans="3:12" ht="15" thickTop="1" x14ac:dyDescent="0.2">
      <c r="D65" s="378"/>
      <c r="G65" s="1"/>
      <c r="I65" s="1"/>
    </row>
    <row r="66" spans="3:12" hidden="1" x14ac:dyDescent="0.2">
      <c r="G66" s="433"/>
      <c r="H66" s="273"/>
      <c r="I66" s="273"/>
      <c r="J66" s="273"/>
      <c r="L66" s="273"/>
    </row>
    <row r="67" spans="3:12" ht="14.25" customHeight="1" x14ac:dyDescent="0.2">
      <c r="C67" s="769" t="s">
        <v>227</v>
      </c>
      <c r="D67" s="769"/>
      <c r="E67" s="769"/>
      <c r="F67" s="769"/>
      <c r="G67" s="1"/>
      <c r="H67" s="493">
        <f>(H19+H16)/H56</f>
        <v>3.8207658021395097</v>
      </c>
      <c r="J67" s="493">
        <f>(J19+J16)/J56</f>
        <v>3.2696986644513095</v>
      </c>
      <c r="K67" s="288"/>
      <c r="L67" s="493">
        <f>(L19+L16)/L56</f>
        <v>4.5508211504700533</v>
      </c>
    </row>
    <row r="70" spans="3:12" x14ac:dyDescent="0.2">
      <c r="G70" s="298"/>
      <c r="H70" s="273">
        <f>H64-H35</f>
        <v>0.42000000015832484</v>
      </c>
      <c r="I70" s="298"/>
      <c r="J70" s="273">
        <f>J64-J35</f>
        <v>0</v>
      </c>
    </row>
    <row r="71" spans="3:12" x14ac:dyDescent="0.2">
      <c r="L71" s="711"/>
    </row>
    <row r="75" spans="3:12" x14ac:dyDescent="0.2">
      <c r="H75" s="298"/>
    </row>
  </sheetData>
  <mergeCells count="1">
    <mergeCell ref="C67:F67"/>
  </mergeCells>
  <pageMargins left="0.7" right="0.45" top="0.25" bottom="0" header="0.3" footer="0"/>
  <pageSetup scale="6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2"/>
  <sheetViews>
    <sheetView zoomScale="75" zoomScaleNormal="75" workbookViewId="0">
      <selection activeCell="G27" sqref="G27"/>
    </sheetView>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23.125" style="18" customWidth="1"/>
    <col min="9" max="9" width="1.625" style="18" customWidth="1"/>
    <col min="10" max="10" width="23" style="18" customWidth="1"/>
    <col min="11" max="11" width="1.875" style="410" customWidth="1"/>
    <col min="12" max="12" width="17.25" style="18" customWidth="1"/>
    <col min="13" max="13" width="10" style="18" customWidth="1"/>
    <col min="14" max="14" width="78.625" style="606" customWidth="1"/>
    <col min="15"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103</v>
      </c>
      <c r="B1" s="60"/>
      <c r="C1" s="61"/>
      <c r="D1" s="61"/>
      <c r="E1" s="61"/>
      <c r="F1" s="60"/>
      <c r="G1" s="252"/>
      <c r="H1" s="60"/>
      <c r="I1" s="60"/>
      <c r="J1" s="60"/>
      <c r="K1" s="402"/>
      <c r="L1" s="60"/>
      <c r="M1" s="60"/>
      <c r="N1" s="598"/>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189</v>
      </c>
      <c r="B2" s="60"/>
      <c r="C2" s="61"/>
      <c r="D2" s="61"/>
      <c r="E2" s="61"/>
      <c r="F2" s="60"/>
      <c r="G2" s="252"/>
      <c r="H2" s="60"/>
      <c r="I2" s="60"/>
      <c r="J2" s="252"/>
      <c r="K2" s="402"/>
      <c r="L2" s="60"/>
      <c r="M2" s="60"/>
      <c r="N2" s="598"/>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9" t="s">
        <v>434</v>
      </c>
      <c r="B3" s="60"/>
      <c r="C3" s="61"/>
      <c r="D3" s="61"/>
      <c r="E3" s="61"/>
      <c r="F3" s="60"/>
      <c r="G3" s="252"/>
      <c r="H3" s="60"/>
      <c r="I3" s="60"/>
      <c r="J3" s="60"/>
      <c r="K3" s="402"/>
      <c r="L3" s="60"/>
      <c r="M3" s="60"/>
      <c r="N3" s="598"/>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385</v>
      </c>
      <c r="B4" s="60"/>
      <c r="C4" s="61"/>
      <c r="D4" s="61"/>
      <c r="E4" s="61"/>
      <c r="F4" s="60"/>
      <c r="G4" s="252"/>
      <c r="H4" s="60"/>
      <c r="I4" s="60"/>
      <c r="J4" s="60"/>
      <c r="K4" s="402"/>
      <c r="L4" s="60"/>
      <c r="M4" s="60"/>
      <c r="N4" s="598"/>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53"/>
      <c r="H5" s="63"/>
      <c r="I5" s="63"/>
      <c r="J5" s="63"/>
      <c r="K5" s="403"/>
      <c r="L5" s="63"/>
      <c r="M5" s="63"/>
      <c r="N5" s="599"/>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118</v>
      </c>
      <c r="B6" s="65"/>
      <c r="C6" s="65"/>
      <c r="D6" s="65"/>
      <c r="E6" s="65"/>
      <c r="F6" s="65"/>
      <c r="G6" s="771" t="s">
        <v>56</v>
      </c>
      <c r="H6" s="771"/>
      <c r="I6" s="771"/>
      <c r="J6" s="771"/>
      <c r="K6" s="404"/>
      <c r="L6" s="465" t="s">
        <v>208</v>
      </c>
      <c r="M6" s="462" t="s">
        <v>221</v>
      </c>
      <c r="N6" s="600"/>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54"/>
      <c r="K7" s="405"/>
      <c r="N7" s="600"/>
    </row>
    <row r="8" spans="1:113" s="73" customFormat="1" ht="21" thickBot="1" x14ac:dyDescent="0.35">
      <c r="A8" s="70"/>
      <c r="B8" s="155" t="s">
        <v>110</v>
      </c>
      <c r="C8" s="155"/>
      <c r="D8" s="155"/>
      <c r="E8" s="155"/>
      <c r="F8" s="155"/>
      <c r="G8" s="308">
        <f>'June''18 Financial Position'!H8</f>
        <v>43281</v>
      </c>
      <c r="H8" s="308">
        <v>43100</v>
      </c>
      <c r="I8" s="357"/>
      <c r="J8" s="308">
        <f>G8-365</f>
        <v>42916</v>
      </c>
      <c r="K8" s="406"/>
      <c r="L8" s="770" t="s">
        <v>435</v>
      </c>
      <c r="M8" s="770"/>
      <c r="N8" s="601" t="s">
        <v>207</v>
      </c>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111</v>
      </c>
      <c r="D9" s="76"/>
      <c r="E9" s="76"/>
      <c r="F9" s="74"/>
      <c r="G9" s="289">
        <v>521007.35999999999</v>
      </c>
      <c r="H9" s="289">
        <v>954931.56</v>
      </c>
      <c r="I9" s="360"/>
      <c r="J9" s="289">
        <v>536232.24</v>
      </c>
      <c r="K9" s="405"/>
      <c r="L9" s="424">
        <f t="shared" ref="L9:L27" si="0">G9-J9</f>
        <v>-15224.880000000005</v>
      </c>
      <c r="M9" s="494">
        <f>L9/J9</f>
        <v>-2.8392324937418917E-2</v>
      </c>
      <c r="N9" s="600" t="s">
        <v>450</v>
      </c>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74"/>
      <c r="C10" s="76" t="s">
        <v>194</v>
      </c>
      <c r="D10" s="76"/>
      <c r="E10" s="76"/>
      <c r="F10" s="74"/>
      <c r="G10" s="290">
        <v>3368.26</v>
      </c>
      <c r="H10" s="290">
        <v>11258.31</v>
      </c>
      <c r="I10" s="356"/>
      <c r="J10" s="290">
        <v>6156.67</v>
      </c>
      <c r="K10" s="405"/>
      <c r="L10" s="301">
        <f t="shared" si="0"/>
        <v>-2788.41</v>
      </c>
      <c r="M10" s="494">
        <f>L10/J10</f>
        <v>-0.45290879647601706</v>
      </c>
      <c r="N10" s="600"/>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40"/>
      <c r="C11" s="76" t="s">
        <v>164</v>
      </c>
      <c r="D11" s="76"/>
      <c r="E11" s="76"/>
      <c r="F11" s="74"/>
      <c r="G11" s="290">
        <v>67515.199999999997</v>
      </c>
      <c r="H11" s="290">
        <v>157409.59</v>
      </c>
      <c r="I11" s="356"/>
      <c r="J11" s="290">
        <v>83820.479999999996</v>
      </c>
      <c r="K11" s="405"/>
      <c r="L11" s="301">
        <f t="shared" si="0"/>
        <v>-16305.279999999999</v>
      </c>
      <c r="M11" s="494">
        <f>L11/J11</f>
        <v>-0.19452620648318883</v>
      </c>
      <c r="N11" s="600" t="s">
        <v>388</v>
      </c>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40"/>
      <c r="C12" s="76" t="s">
        <v>206</v>
      </c>
      <c r="D12" s="76"/>
      <c r="E12" s="76"/>
      <c r="F12" s="74"/>
      <c r="G12" s="290">
        <v>21670.39</v>
      </c>
      <c r="H12" s="290">
        <v>41803.1</v>
      </c>
      <c r="I12" s="356"/>
      <c r="J12" s="290">
        <v>19541.18</v>
      </c>
      <c r="K12" s="405"/>
      <c r="L12" s="301">
        <f t="shared" si="0"/>
        <v>2129.2099999999991</v>
      </c>
      <c r="M12" s="494">
        <f>L12/J12</f>
        <v>0.10896015491387925</v>
      </c>
      <c r="N12" s="600"/>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40"/>
      <c r="C13" s="76" t="s">
        <v>112</v>
      </c>
      <c r="D13" s="76"/>
      <c r="E13" s="76"/>
      <c r="F13" s="74"/>
      <c r="G13" s="290"/>
      <c r="H13" s="290"/>
      <c r="I13" s="356"/>
      <c r="J13" s="290"/>
      <c r="K13" s="405"/>
      <c r="L13" s="301">
        <f t="shared" si="0"/>
        <v>0</v>
      </c>
      <c r="M13" s="494"/>
      <c r="N13" s="600"/>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40"/>
      <c r="C14" s="78"/>
      <c r="D14" s="76" t="s">
        <v>153</v>
      </c>
      <c r="E14" s="76"/>
      <c r="F14" s="74"/>
      <c r="G14" s="290">
        <v>73754.5</v>
      </c>
      <c r="H14" s="290">
        <v>158914.15</v>
      </c>
      <c r="I14" s="356"/>
      <c r="J14" s="290">
        <v>76517.460000000006</v>
      </c>
      <c r="K14" s="405"/>
      <c r="L14" s="301">
        <f t="shared" si="0"/>
        <v>-2762.9600000000064</v>
      </c>
      <c r="M14" s="494">
        <f t="shared" ref="M14:M23" si="1">L14/J14</f>
        <v>-3.6108882861506458E-2</v>
      </c>
      <c r="N14" s="600"/>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40"/>
      <c r="C15" s="78"/>
      <c r="D15" s="76" t="s">
        <v>175</v>
      </c>
      <c r="E15" s="76"/>
      <c r="F15" s="74"/>
      <c r="G15" s="290">
        <v>7937.5</v>
      </c>
      <c r="H15" s="290">
        <v>11860</v>
      </c>
      <c r="I15" s="356"/>
      <c r="J15" s="290">
        <v>5105</v>
      </c>
      <c r="K15" s="405"/>
      <c r="L15" s="301">
        <f t="shared" si="0"/>
        <v>2832.5</v>
      </c>
      <c r="M15" s="494">
        <f t="shared" si="1"/>
        <v>0.5548481880509305</v>
      </c>
      <c r="N15" s="600"/>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40"/>
      <c r="C16" s="470" t="s">
        <v>310</v>
      </c>
      <c r="D16" s="554"/>
      <c r="E16" s="554"/>
      <c r="F16" s="554"/>
      <c r="G16" s="290"/>
      <c r="H16" s="290">
        <f>1587+433</f>
        <v>2020</v>
      </c>
      <c r="I16" s="356"/>
      <c r="J16" s="290">
        <f>1587+433</f>
        <v>2020</v>
      </c>
      <c r="K16" s="405"/>
      <c r="L16" s="301">
        <f t="shared" si="0"/>
        <v>-2020</v>
      </c>
      <c r="M16" s="494">
        <f t="shared" si="1"/>
        <v>-1</v>
      </c>
      <c r="N16" s="600"/>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40"/>
      <c r="C17" s="76" t="s">
        <v>113</v>
      </c>
      <c r="D17" s="76"/>
      <c r="E17" s="76"/>
      <c r="F17" s="74"/>
      <c r="G17" s="290">
        <f>'June''18 Revenues &amp; Expenses'!J53</f>
        <v>6223</v>
      </c>
      <c r="H17" s="290">
        <v>13675.25</v>
      </c>
      <c r="I17" s="356"/>
      <c r="J17" s="290">
        <v>5409.25</v>
      </c>
      <c r="K17" s="405"/>
      <c r="L17" s="301">
        <f t="shared" si="0"/>
        <v>813.75</v>
      </c>
      <c r="M17" s="494">
        <f t="shared" si="1"/>
        <v>0.15043675186023941</v>
      </c>
      <c r="N17" s="600"/>
      <c r="O17" s="69"/>
      <c r="P17" s="69"/>
      <c r="Q17" s="288"/>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40"/>
      <c r="C18" s="436" t="s">
        <v>180</v>
      </c>
      <c r="D18" s="436"/>
      <c r="E18" s="436"/>
      <c r="F18" s="74"/>
      <c r="G18" s="290">
        <v>347.5</v>
      </c>
      <c r="H18" s="290">
        <v>197.5</v>
      </c>
      <c r="I18" s="356"/>
      <c r="J18" s="290">
        <v>100</v>
      </c>
      <c r="K18" s="405"/>
      <c r="L18" s="301">
        <f t="shared" si="0"/>
        <v>247.5</v>
      </c>
      <c r="M18" s="494">
        <f t="shared" si="1"/>
        <v>2.4750000000000001</v>
      </c>
      <c r="N18" s="602"/>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40"/>
      <c r="C19" s="76" t="s">
        <v>120</v>
      </c>
      <c r="D19" s="76"/>
      <c r="E19" s="76"/>
      <c r="F19" s="74"/>
      <c r="G19" s="290">
        <v>495.4</v>
      </c>
      <c r="H19" s="290">
        <v>1213.8399999999999</v>
      </c>
      <c r="I19" s="356"/>
      <c r="J19" s="290">
        <v>599.29</v>
      </c>
      <c r="K19" s="405"/>
      <c r="L19" s="301">
        <f t="shared" si="0"/>
        <v>-103.88999999999999</v>
      </c>
      <c r="M19" s="494">
        <f t="shared" si="1"/>
        <v>-0.17335513691201254</v>
      </c>
      <c r="N19" s="600"/>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40"/>
      <c r="C20" s="436" t="s">
        <v>279</v>
      </c>
      <c r="D20" s="436"/>
      <c r="E20" s="436"/>
      <c r="F20" s="74"/>
      <c r="G20" s="290">
        <v>1871.53</v>
      </c>
      <c r="H20" s="290">
        <v>4345.8599999999997</v>
      </c>
      <c r="I20" s="356"/>
      <c r="J20" s="290">
        <v>1514.86</v>
      </c>
      <c r="K20" s="405"/>
      <c r="L20" s="301">
        <f t="shared" si="0"/>
        <v>356.67000000000007</v>
      </c>
      <c r="M20" s="494">
        <f t="shared" si="1"/>
        <v>0.2354475000990191</v>
      </c>
      <c r="N20" s="600"/>
      <c r="O20" s="69"/>
      <c r="P20" s="69"/>
      <c r="Q20" s="288"/>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40"/>
      <c r="C21" s="76" t="s">
        <v>384</v>
      </c>
      <c r="D21" s="76"/>
      <c r="E21" s="76"/>
      <c r="F21" s="74"/>
      <c r="G21" s="290">
        <v>-1914.9</v>
      </c>
      <c r="H21" s="290">
        <v>6058.88</v>
      </c>
      <c r="I21" s="356"/>
      <c r="J21" s="290">
        <v>4395.2299999999996</v>
      </c>
      <c r="K21" s="405"/>
      <c r="L21" s="301">
        <f t="shared" si="0"/>
        <v>-6310.1299999999992</v>
      </c>
      <c r="M21" s="494">
        <f t="shared" si="1"/>
        <v>-1.4356768587764464</v>
      </c>
      <c r="N21" s="600"/>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40"/>
      <c r="C22" s="76" t="s">
        <v>280</v>
      </c>
      <c r="D22" s="76"/>
      <c r="E22" s="76"/>
      <c r="F22" s="74"/>
      <c r="G22" s="290">
        <v>31196.42</v>
      </c>
      <c r="H22" s="290">
        <v>48050.080000000002</v>
      </c>
      <c r="I22" s="356"/>
      <c r="J22" s="290">
        <v>26829.09</v>
      </c>
      <c r="K22" s="405"/>
      <c r="L22" s="301">
        <f t="shared" si="0"/>
        <v>4367.3299999999981</v>
      </c>
      <c r="M22" s="494">
        <f t="shared" si="1"/>
        <v>0.16278338176956422</v>
      </c>
      <c r="N22" s="600" t="s">
        <v>451</v>
      </c>
      <c r="O22" s="69"/>
      <c r="P22" s="69"/>
      <c r="Q22" s="288"/>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40"/>
      <c r="C23" s="76" t="s">
        <v>159</v>
      </c>
      <c r="D23" s="76"/>
      <c r="E23" s="76"/>
      <c r="F23" s="74"/>
      <c r="G23" s="290">
        <v>3274.74</v>
      </c>
      <c r="H23" s="290">
        <f>4009.26-H16</f>
        <v>1989.2600000000002</v>
      </c>
      <c r="I23" s="356"/>
      <c r="J23" s="290">
        <f>2491.16-2020</f>
        <v>471.15999999999985</v>
      </c>
      <c r="K23" s="405"/>
      <c r="L23" s="301">
        <f t="shared" si="0"/>
        <v>2803.58</v>
      </c>
      <c r="M23" s="494">
        <f t="shared" si="1"/>
        <v>5.9503777909839561</v>
      </c>
      <c r="N23" s="602" t="s">
        <v>454</v>
      </c>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40"/>
      <c r="C24" s="76" t="s">
        <v>184</v>
      </c>
      <c r="D24" s="76"/>
      <c r="E24" s="76"/>
      <c r="F24" s="74"/>
      <c r="G24" s="290"/>
      <c r="H24" s="290">
        <v>5175</v>
      </c>
      <c r="I24" s="356"/>
      <c r="J24" s="290">
        <v>0</v>
      </c>
      <c r="K24" s="405"/>
      <c r="L24" s="301">
        <f t="shared" si="0"/>
        <v>0</v>
      </c>
      <c r="M24" s="494">
        <v>1</v>
      </c>
      <c r="N24" s="600"/>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1" thickBot="1" x14ac:dyDescent="0.25">
      <c r="A25" s="74"/>
      <c r="B25" s="440"/>
      <c r="C25" s="76" t="s">
        <v>119</v>
      </c>
      <c r="D25" s="76"/>
      <c r="E25" s="76"/>
      <c r="F25" s="74"/>
      <c r="G25" s="291">
        <v>23287.5</v>
      </c>
      <c r="H25" s="291">
        <v>46575</v>
      </c>
      <c r="I25" s="356"/>
      <c r="J25" s="291">
        <f>G25</f>
        <v>23287.5</v>
      </c>
      <c r="K25" s="405"/>
      <c r="L25" s="423">
        <f t="shared" si="0"/>
        <v>0</v>
      </c>
      <c r="M25" s="524">
        <f>L25/J25</f>
        <v>0</v>
      </c>
      <c r="N25" s="600"/>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0.25" x14ac:dyDescent="0.2">
      <c r="A26" s="74"/>
      <c r="B26" s="440"/>
      <c r="C26" s="76"/>
      <c r="D26" s="74" t="s">
        <v>115</v>
      </c>
      <c r="E26" s="76"/>
      <c r="F26" s="74"/>
      <c r="G26" s="256">
        <f>SUM(G9:G25)</f>
        <v>760034.4</v>
      </c>
      <c r="H26" s="256">
        <f>SUM(H9:H25)</f>
        <v>1465477.3800000004</v>
      </c>
      <c r="I26" s="254"/>
      <c r="J26" s="256">
        <f>SUM(J9:J25)</f>
        <v>791999.41</v>
      </c>
      <c r="K26" s="405"/>
      <c r="L26" s="256">
        <f t="shared" si="0"/>
        <v>-31965.010000000009</v>
      </c>
      <c r="M26" s="494">
        <f>L26/J26</f>
        <v>-4.0359891177191673E-2</v>
      </c>
      <c r="N26" s="600"/>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1" thickBot="1" x14ac:dyDescent="0.25">
      <c r="A27" s="74"/>
      <c r="B27" s="440"/>
      <c r="C27" s="74" t="s">
        <v>116</v>
      </c>
      <c r="D27" s="76"/>
      <c r="E27" s="76"/>
      <c r="F27" s="74"/>
      <c r="G27" s="264">
        <v>42814.25</v>
      </c>
      <c r="H27" s="264">
        <v>85323.47</v>
      </c>
      <c r="I27" s="254"/>
      <c r="J27" s="264">
        <v>40863.06</v>
      </c>
      <c r="K27" s="405"/>
      <c r="L27" s="264">
        <f t="shared" si="0"/>
        <v>1951.1900000000023</v>
      </c>
      <c r="M27" s="524">
        <f>L27/J27</f>
        <v>4.7749483274135675E-2</v>
      </c>
      <c r="N27" s="602"/>
      <c r="O27" s="69"/>
      <c r="P27" s="69"/>
      <c r="Q27" s="377"/>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0.25" x14ac:dyDescent="0.2">
      <c r="A28" s="74"/>
      <c r="B28" s="440"/>
      <c r="C28" s="76"/>
      <c r="D28" s="74" t="s">
        <v>117</v>
      </c>
      <c r="E28" s="76"/>
      <c r="F28" s="74"/>
      <c r="G28" s="256">
        <f>SUM(G26:G27)</f>
        <v>802848.65</v>
      </c>
      <c r="H28" s="256">
        <f>SUM(H26:H27)</f>
        <v>1550800.8500000003</v>
      </c>
      <c r="I28" s="254"/>
      <c r="J28" s="256">
        <f>SUM(J26:J27)</f>
        <v>832862.47</v>
      </c>
      <c r="K28" s="288"/>
      <c r="L28" s="256">
        <f>SUM(L26:L27)</f>
        <v>-30013.820000000007</v>
      </c>
      <c r="M28" s="494">
        <f>L28/J28</f>
        <v>-3.6036946171917203E-2</v>
      </c>
      <c r="N28" s="602"/>
      <c r="O28" s="288"/>
      <c r="P28" s="69"/>
      <c r="Q28" s="377"/>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6" customHeight="1" x14ac:dyDescent="0.2">
      <c r="A29" s="74"/>
      <c r="B29" s="440"/>
      <c r="C29" s="76"/>
      <c r="D29" s="74"/>
      <c r="E29" s="76"/>
      <c r="F29" s="74"/>
      <c r="G29" s="256"/>
      <c r="H29" s="256"/>
      <c r="I29" s="254"/>
      <c r="J29" s="256"/>
      <c r="K29" s="405"/>
      <c r="L29" s="452"/>
      <c r="M29" s="584"/>
      <c r="N29" s="600"/>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21" thickBot="1" x14ac:dyDescent="0.25">
      <c r="A30" s="74"/>
      <c r="B30" s="441" t="s">
        <v>121</v>
      </c>
      <c r="C30" s="88"/>
      <c r="D30" s="88"/>
      <c r="E30" s="88"/>
      <c r="F30" s="88"/>
      <c r="G30" s="264"/>
      <c r="H30" s="264"/>
      <c r="I30" s="69"/>
      <c r="J30" s="377"/>
      <c r="K30" s="405"/>
      <c r="L30" s="452"/>
      <c r="M30" s="584"/>
      <c r="N30" s="602"/>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69" customFormat="1" ht="20.25" x14ac:dyDescent="0.2">
      <c r="A31" s="68"/>
      <c r="B31" s="442"/>
      <c r="C31" s="80" t="s">
        <v>122</v>
      </c>
      <c r="D31" s="80"/>
      <c r="E31" s="80"/>
      <c r="F31" s="80"/>
      <c r="G31" s="254">
        <v>448082.55</v>
      </c>
      <c r="H31" s="254">
        <v>887011.74</v>
      </c>
      <c r="I31" s="301"/>
      <c r="J31" s="447">
        <v>438941.81</v>
      </c>
      <c r="K31" s="405"/>
      <c r="L31" s="301">
        <f t="shared" ref="L31:L53" si="2">G31-J31</f>
        <v>9140.7399999999907</v>
      </c>
      <c r="M31" s="494">
        <f t="shared" ref="M31:M52" si="3">L31/J31</f>
        <v>2.0824491519730124E-2</v>
      </c>
      <c r="N31" s="602" t="s">
        <v>415</v>
      </c>
    </row>
    <row r="32" spans="1:46" s="69" customFormat="1" ht="20.25" x14ac:dyDescent="0.2">
      <c r="A32" s="68"/>
      <c r="B32" s="442"/>
      <c r="C32" s="80" t="s">
        <v>123</v>
      </c>
      <c r="D32" s="80"/>
      <c r="E32" s="80"/>
      <c r="F32" s="80"/>
      <c r="G32" s="254">
        <v>85589.27</v>
      </c>
      <c r="H32" s="254">
        <v>176879.99</v>
      </c>
      <c r="I32" s="301"/>
      <c r="J32" s="447">
        <v>82008.100000000006</v>
      </c>
      <c r="K32" s="405"/>
      <c r="L32" s="301">
        <f t="shared" si="2"/>
        <v>3581.1699999999983</v>
      </c>
      <c r="M32" s="494">
        <f t="shared" si="3"/>
        <v>4.3668491283178103E-2</v>
      </c>
      <c r="N32" s="602" t="s">
        <v>455</v>
      </c>
    </row>
    <row r="33" spans="1:16" s="69" customFormat="1" ht="20.25" x14ac:dyDescent="0.2">
      <c r="A33" s="68"/>
      <c r="B33" s="442"/>
      <c r="C33" s="80" t="s">
        <v>124</v>
      </c>
      <c r="D33" s="80"/>
      <c r="E33" s="80"/>
      <c r="F33" s="80"/>
      <c r="G33" s="254">
        <f>24187.5-G25</f>
        <v>900</v>
      </c>
      <c r="H33" s="254">
        <f>48831-H25</f>
        <v>2256</v>
      </c>
      <c r="I33" s="301"/>
      <c r="J33" s="301">
        <f>24187.5-J34</f>
        <v>900</v>
      </c>
      <c r="K33" s="405"/>
      <c r="L33" s="301">
        <f t="shared" si="2"/>
        <v>0</v>
      </c>
      <c r="M33" s="494">
        <f t="shared" si="3"/>
        <v>0</v>
      </c>
      <c r="N33" s="600"/>
    </row>
    <row r="34" spans="1:16" s="69" customFormat="1" ht="20.25" x14ac:dyDescent="0.2">
      <c r="A34" s="68"/>
      <c r="B34" s="442"/>
      <c r="C34" s="80" t="s">
        <v>114</v>
      </c>
      <c r="D34" s="80"/>
      <c r="E34" s="80"/>
      <c r="F34" s="80"/>
      <c r="G34" s="254">
        <f>G25</f>
        <v>23287.5</v>
      </c>
      <c r="H34" s="254">
        <f>H25</f>
        <v>46575</v>
      </c>
      <c r="I34" s="301"/>
      <c r="J34" s="301">
        <f>J25</f>
        <v>23287.5</v>
      </c>
      <c r="K34" s="405"/>
      <c r="L34" s="301">
        <f t="shared" si="2"/>
        <v>0</v>
      </c>
      <c r="M34" s="494">
        <f t="shared" si="3"/>
        <v>0</v>
      </c>
      <c r="N34" s="600"/>
    </row>
    <row r="35" spans="1:16" s="69" customFormat="1" ht="20.25" x14ac:dyDescent="0.2">
      <c r="A35" s="68"/>
      <c r="B35" s="442"/>
      <c r="C35" s="80" t="s">
        <v>125</v>
      </c>
      <c r="D35" s="80"/>
      <c r="E35" s="80"/>
      <c r="F35" s="80"/>
      <c r="G35" s="254">
        <v>7927.87</v>
      </c>
      <c r="H35" s="254">
        <v>15174.44</v>
      </c>
      <c r="I35" s="301"/>
      <c r="J35" s="301">
        <v>8174.64</v>
      </c>
      <c r="K35" s="405"/>
      <c r="L35" s="301">
        <f t="shared" si="2"/>
        <v>-246.77000000000044</v>
      </c>
      <c r="M35" s="494">
        <f t="shared" si="3"/>
        <v>-3.018726206903306E-2</v>
      </c>
      <c r="N35" s="600"/>
    </row>
    <row r="36" spans="1:16" s="69" customFormat="1" ht="20.25" x14ac:dyDescent="0.2">
      <c r="A36" s="68"/>
      <c r="B36" s="442"/>
      <c r="C36" s="80" t="s">
        <v>126</v>
      </c>
      <c r="D36" s="80"/>
      <c r="E36" s="80"/>
      <c r="F36" s="80"/>
      <c r="G36" s="254">
        <v>1189.7</v>
      </c>
      <c r="H36" s="254">
        <v>3574.98</v>
      </c>
      <c r="I36" s="301"/>
      <c r="J36" s="301">
        <v>1834.42</v>
      </c>
      <c r="K36" s="405"/>
      <c r="L36" s="301">
        <f t="shared" si="2"/>
        <v>-644.72</v>
      </c>
      <c r="M36" s="494">
        <f t="shared" si="3"/>
        <v>-0.35145713631556569</v>
      </c>
      <c r="N36" s="600"/>
    </row>
    <row r="37" spans="1:16" s="69" customFormat="1" ht="20.25" x14ac:dyDescent="0.2">
      <c r="A37" s="68"/>
      <c r="B37" s="442"/>
      <c r="C37" s="80" t="s">
        <v>127</v>
      </c>
      <c r="D37" s="80"/>
      <c r="E37" s="80"/>
      <c r="F37" s="80"/>
      <c r="G37" s="254">
        <v>2361.5100000000002</v>
      </c>
      <c r="H37" s="254">
        <v>6468.46</v>
      </c>
      <c r="I37" s="301"/>
      <c r="J37" s="301">
        <v>2975.42</v>
      </c>
      <c r="K37" s="405"/>
      <c r="L37" s="301">
        <f t="shared" si="2"/>
        <v>-613.90999999999985</v>
      </c>
      <c r="M37" s="494">
        <f t="shared" si="3"/>
        <v>-0.20632717397879957</v>
      </c>
      <c r="N37" s="600"/>
    </row>
    <row r="38" spans="1:16" s="69" customFormat="1" ht="20.25" x14ac:dyDescent="0.2">
      <c r="A38" s="68"/>
      <c r="B38" s="442"/>
      <c r="C38" s="80" t="s">
        <v>128</v>
      </c>
      <c r="D38" s="80"/>
      <c r="E38" s="80"/>
      <c r="F38" s="80"/>
      <c r="G38" s="254">
        <v>6066.64</v>
      </c>
      <c r="H38" s="254">
        <v>4059.63</v>
      </c>
      <c r="I38" s="301"/>
      <c r="J38" s="301">
        <v>2904.37</v>
      </c>
      <c r="K38" s="405"/>
      <c r="L38" s="301">
        <f t="shared" si="2"/>
        <v>3162.2700000000004</v>
      </c>
      <c r="M38" s="494">
        <f t="shared" si="3"/>
        <v>1.088797226248722</v>
      </c>
      <c r="N38" s="600" t="s">
        <v>456</v>
      </c>
    </row>
    <row r="39" spans="1:16" s="69" customFormat="1" ht="20.25" x14ac:dyDescent="0.2">
      <c r="A39" s="68"/>
      <c r="B39" s="442"/>
      <c r="C39" s="80" t="s">
        <v>129</v>
      </c>
      <c r="D39" s="80"/>
      <c r="E39" s="80"/>
      <c r="F39" s="80"/>
      <c r="G39" s="254">
        <f>9394.73+6100.61</f>
        <v>15495.34</v>
      </c>
      <c r="H39" s="254">
        <f>24473.92+11152.44</f>
        <v>35626.36</v>
      </c>
      <c r="I39" s="301"/>
      <c r="J39" s="301">
        <f>13892.95+4097.41</f>
        <v>17990.36</v>
      </c>
      <c r="K39" s="405"/>
      <c r="L39" s="301">
        <f t="shared" si="2"/>
        <v>-2495.0200000000004</v>
      </c>
      <c r="M39" s="494">
        <f t="shared" si="3"/>
        <v>-0.13868649654592796</v>
      </c>
      <c r="N39" s="600"/>
    </row>
    <row r="40" spans="1:16" s="69" customFormat="1" ht="20.25" x14ac:dyDescent="0.2">
      <c r="A40" s="68"/>
      <c r="B40" s="442"/>
      <c r="C40" s="80" t="s">
        <v>130</v>
      </c>
      <c r="D40" s="80"/>
      <c r="E40" s="80"/>
      <c r="F40" s="80"/>
      <c r="G40" s="254">
        <v>2332.83</v>
      </c>
      <c r="H40" s="254">
        <v>4915.07</v>
      </c>
      <c r="I40" s="301"/>
      <c r="J40" s="301">
        <v>2331.54</v>
      </c>
      <c r="K40" s="405"/>
      <c r="L40" s="301">
        <f t="shared" si="2"/>
        <v>1.2899999999999636</v>
      </c>
      <c r="M40" s="494">
        <f t="shared" si="3"/>
        <v>5.5328237988623986E-4</v>
      </c>
      <c r="N40" s="600"/>
    </row>
    <row r="41" spans="1:16" s="69" customFormat="1" ht="20.25" x14ac:dyDescent="0.2">
      <c r="A41" s="68"/>
      <c r="B41" s="442"/>
      <c r="C41" s="80" t="s">
        <v>131</v>
      </c>
      <c r="D41" s="80"/>
      <c r="E41" s="80"/>
      <c r="F41" s="80"/>
      <c r="G41" s="254">
        <v>962.5</v>
      </c>
      <c r="H41" s="254">
        <v>1693</v>
      </c>
      <c r="I41" s="301"/>
      <c r="J41" s="301">
        <v>957.5</v>
      </c>
      <c r="K41" s="405"/>
      <c r="L41" s="301">
        <f t="shared" si="2"/>
        <v>5</v>
      </c>
      <c r="M41" s="494">
        <f t="shared" si="3"/>
        <v>5.2219321148825066E-3</v>
      </c>
      <c r="N41" s="600"/>
    </row>
    <row r="42" spans="1:16" s="69" customFormat="1" ht="20.25" x14ac:dyDescent="0.2">
      <c r="A42" s="68"/>
      <c r="B42" s="442"/>
      <c r="C42" s="80" t="s">
        <v>186</v>
      </c>
      <c r="D42" s="80"/>
      <c r="E42" s="80"/>
      <c r="F42" s="80"/>
      <c r="G42" s="254">
        <v>11444</v>
      </c>
      <c r="H42" s="254">
        <v>13502</v>
      </c>
      <c r="I42" s="301"/>
      <c r="J42" s="301">
        <v>11199</v>
      </c>
      <c r="K42" s="405"/>
      <c r="L42" s="301">
        <f t="shared" si="2"/>
        <v>245</v>
      </c>
      <c r="M42" s="494">
        <f t="shared" si="3"/>
        <v>2.1876953299401734E-2</v>
      </c>
      <c r="N42" s="600"/>
    </row>
    <row r="43" spans="1:16" s="77" customFormat="1" ht="20.25" x14ac:dyDescent="0.2">
      <c r="A43" s="80"/>
      <c r="B43" s="438"/>
      <c r="C43" s="80" t="s">
        <v>132</v>
      </c>
      <c r="D43" s="80"/>
      <c r="E43" s="80"/>
      <c r="F43" s="80"/>
      <c r="G43" s="356">
        <v>7984.14</v>
      </c>
      <c r="H43" s="356">
        <v>15421.71</v>
      </c>
      <c r="I43" s="448"/>
      <c r="J43" s="448">
        <v>9517.8799999999992</v>
      </c>
      <c r="K43" s="407"/>
      <c r="L43" s="301">
        <f t="shared" si="2"/>
        <v>-1533.7399999999989</v>
      </c>
      <c r="M43" s="494">
        <f t="shared" si="3"/>
        <v>-0.16114302764901417</v>
      </c>
      <c r="N43" s="600"/>
    </row>
    <row r="44" spans="1:16" s="77" customFormat="1" ht="20.25" x14ac:dyDescent="0.2">
      <c r="A44" s="80"/>
      <c r="B44" s="438"/>
      <c r="C44" s="80" t="s">
        <v>133</v>
      </c>
      <c r="D44" s="80"/>
      <c r="E44" s="80"/>
      <c r="F44" s="80"/>
      <c r="G44" s="254">
        <v>7072.07</v>
      </c>
      <c r="H44" s="254">
        <v>13766.09</v>
      </c>
      <c r="I44" s="254"/>
      <c r="J44" s="356">
        <v>6818.6</v>
      </c>
      <c r="K44" s="407"/>
      <c r="L44" s="301">
        <f t="shared" si="2"/>
        <v>253.46999999999935</v>
      </c>
      <c r="M44" s="494">
        <f t="shared" si="3"/>
        <v>3.7173320036371006E-2</v>
      </c>
      <c r="N44" s="600"/>
    </row>
    <row r="45" spans="1:16" s="77" customFormat="1" ht="20.25" x14ac:dyDescent="0.2">
      <c r="A45" s="80"/>
      <c r="B45" s="438"/>
      <c r="C45" s="80" t="s">
        <v>142</v>
      </c>
      <c r="D45" s="80"/>
      <c r="E45" s="80"/>
      <c r="F45" s="80"/>
      <c r="G45" s="254">
        <f>120+190</f>
        <v>310</v>
      </c>
      <c r="H45" s="254">
        <f>379+237</f>
        <v>616</v>
      </c>
      <c r="I45" s="254"/>
      <c r="J45" s="356">
        <f>259+34</f>
        <v>293</v>
      </c>
      <c r="K45" s="407"/>
      <c r="L45" s="301">
        <f t="shared" si="2"/>
        <v>17</v>
      </c>
      <c r="M45" s="494">
        <f t="shared" si="3"/>
        <v>5.8020477815699661E-2</v>
      </c>
      <c r="N45" s="603"/>
      <c r="P45" s="270"/>
    </row>
    <row r="46" spans="1:16" s="77" customFormat="1" ht="20.25" x14ac:dyDescent="0.2">
      <c r="A46" s="80"/>
      <c r="B46" s="438"/>
      <c r="C46" s="80" t="s">
        <v>134</v>
      </c>
      <c r="D46" s="80"/>
      <c r="E46" s="80"/>
      <c r="F46" s="80"/>
      <c r="G46" s="356">
        <f>2210+12518.28</f>
        <v>14728.28</v>
      </c>
      <c r="H46" s="356">
        <f>1584.72+10342.45</f>
        <v>11927.17</v>
      </c>
      <c r="I46" s="254"/>
      <c r="J46" s="254">
        <f>1584.72+8578.29</f>
        <v>10163.01</v>
      </c>
      <c r="K46" s="407"/>
      <c r="L46" s="301">
        <f t="shared" si="2"/>
        <v>4565.2700000000004</v>
      </c>
      <c r="M46" s="494">
        <f t="shared" si="3"/>
        <v>0.44920451716568227</v>
      </c>
      <c r="N46" s="602" t="s">
        <v>458</v>
      </c>
      <c r="P46" s="270"/>
    </row>
    <row r="47" spans="1:16" s="69" customFormat="1" ht="20.25" x14ac:dyDescent="0.2">
      <c r="A47" s="68"/>
      <c r="B47" s="442"/>
      <c r="C47" s="80" t="s">
        <v>228</v>
      </c>
      <c r="D47" s="80"/>
      <c r="E47" s="80"/>
      <c r="F47" s="80"/>
      <c r="G47" s="254">
        <v>9290.81</v>
      </c>
      <c r="H47" s="254">
        <v>17242.599999999999</v>
      </c>
      <c r="I47" s="254"/>
      <c r="J47" s="254">
        <v>9283.0499999999993</v>
      </c>
      <c r="K47" s="405"/>
      <c r="L47" s="301">
        <f t="shared" si="2"/>
        <v>7.7600000000002183</v>
      </c>
      <c r="M47" s="494">
        <f t="shared" si="3"/>
        <v>8.3593215591860632E-4</v>
      </c>
      <c r="N47" s="600"/>
    </row>
    <row r="48" spans="1:16" s="77" customFormat="1" ht="20.25" x14ac:dyDescent="0.2">
      <c r="A48" s="80"/>
      <c r="B48" s="438"/>
      <c r="C48" s="80" t="s">
        <v>135</v>
      </c>
      <c r="D48" s="80"/>
      <c r="E48" s="80"/>
      <c r="F48" s="80"/>
      <c r="G48" s="356">
        <v>18132</v>
      </c>
      <c r="H48" s="356">
        <v>38084</v>
      </c>
      <c r="I48" s="254"/>
      <c r="J48" s="254">
        <v>17728</v>
      </c>
      <c r="K48" s="407"/>
      <c r="L48" s="301">
        <f t="shared" si="2"/>
        <v>404</v>
      </c>
      <c r="M48" s="494">
        <f t="shared" si="3"/>
        <v>2.2788808664259929E-2</v>
      </c>
      <c r="N48" s="600"/>
    </row>
    <row r="49" spans="1:18" s="77" customFormat="1" ht="20.25" x14ac:dyDescent="0.2">
      <c r="A49" s="80"/>
      <c r="B49" s="438"/>
      <c r="C49" s="80" t="s">
        <v>136</v>
      </c>
      <c r="D49" s="80"/>
      <c r="E49" s="80"/>
      <c r="F49" s="80"/>
      <c r="G49" s="356">
        <f>9000+2056+2187.5</f>
        <v>13243.5</v>
      </c>
      <c r="H49" s="356">
        <f>1870+7831.36+18685.5</f>
        <v>28386.86</v>
      </c>
      <c r="I49" s="254"/>
      <c r="J49" s="254">
        <f>5834.36+17250.5</f>
        <v>23084.86</v>
      </c>
      <c r="K49" s="407"/>
      <c r="L49" s="301">
        <f t="shared" si="2"/>
        <v>-9841.36</v>
      </c>
      <c r="M49" s="494">
        <f t="shared" si="3"/>
        <v>-0.42631231031940414</v>
      </c>
      <c r="N49" s="600" t="s">
        <v>457</v>
      </c>
    </row>
    <row r="50" spans="1:18" s="77" customFormat="1" ht="20.25" x14ac:dyDescent="0.2">
      <c r="A50" s="80"/>
      <c r="B50" s="438"/>
      <c r="C50" s="80" t="s">
        <v>187</v>
      </c>
      <c r="D50" s="80"/>
      <c r="E50" s="80"/>
      <c r="F50" s="80"/>
      <c r="G50" s="254">
        <v>14966.33</v>
      </c>
      <c r="H50" s="254">
        <v>26257.759999999998</v>
      </c>
      <c r="I50" s="254"/>
      <c r="J50" s="254">
        <v>13737.09</v>
      </c>
      <c r="K50" s="407"/>
      <c r="L50" s="301">
        <f t="shared" si="2"/>
        <v>1229.2399999999998</v>
      </c>
      <c r="M50" s="494">
        <f t="shared" si="3"/>
        <v>8.9483289401175919E-2</v>
      </c>
      <c r="N50" s="600"/>
    </row>
    <row r="51" spans="1:18" s="77" customFormat="1" ht="20.25" x14ac:dyDescent="0.2">
      <c r="A51" s="80"/>
      <c r="B51" s="438"/>
      <c r="C51" s="80" t="s">
        <v>185</v>
      </c>
      <c r="D51" s="80"/>
      <c r="E51" s="80"/>
      <c r="F51" s="80"/>
      <c r="G51" s="254">
        <v>25082.3</v>
      </c>
      <c r="H51" s="254">
        <v>48922.63</v>
      </c>
      <c r="I51" s="254"/>
      <c r="J51" s="254">
        <v>23067.82</v>
      </c>
      <c r="K51" s="407"/>
      <c r="L51" s="301">
        <f t="shared" si="2"/>
        <v>2014.4799999999996</v>
      </c>
      <c r="M51" s="494">
        <f t="shared" si="3"/>
        <v>8.732858154780121E-2</v>
      </c>
      <c r="N51" s="600"/>
    </row>
    <row r="52" spans="1:18" s="77" customFormat="1" ht="20.25" x14ac:dyDescent="0.2">
      <c r="A52" s="80"/>
      <c r="B52" s="438"/>
      <c r="C52" s="80" t="s">
        <v>137</v>
      </c>
      <c r="D52" s="80"/>
      <c r="E52" s="80"/>
      <c r="F52" s="80"/>
      <c r="G52" s="254">
        <f>109162.74</f>
        <v>109162.74</v>
      </c>
      <c r="H52" s="254">
        <f>135469.43+3919.04</f>
        <v>139388.47</v>
      </c>
      <c r="I52" s="254"/>
      <c r="J52" s="254">
        <f>104724.62+2578.89</f>
        <v>107303.51</v>
      </c>
      <c r="K52" s="407"/>
      <c r="L52" s="301">
        <f t="shared" si="2"/>
        <v>1859.2300000000105</v>
      </c>
      <c r="M52" s="494">
        <f t="shared" si="3"/>
        <v>1.7326833017857576E-2</v>
      </c>
      <c r="N52" s="600"/>
    </row>
    <row r="53" spans="1:18" s="77" customFormat="1" ht="21" thickBot="1" x14ac:dyDescent="0.25">
      <c r="A53" s="80"/>
      <c r="B53" s="438"/>
      <c r="C53" s="80" t="s">
        <v>401</v>
      </c>
      <c r="D53" s="80"/>
      <c r="E53" s="80"/>
      <c r="F53" s="80"/>
      <c r="G53" s="264">
        <v>100</v>
      </c>
      <c r="H53" s="264">
        <v>30</v>
      </c>
      <c r="I53" s="264"/>
      <c r="J53" s="264"/>
      <c r="K53" s="628"/>
      <c r="L53" s="423">
        <f t="shared" si="2"/>
        <v>100</v>
      </c>
      <c r="M53" s="524"/>
      <c r="N53" s="600"/>
    </row>
    <row r="54" spans="1:18" s="77" customFormat="1" ht="21" hidden="1" thickBot="1" x14ac:dyDescent="0.25">
      <c r="A54" s="80"/>
      <c r="B54" s="438"/>
      <c r="C54" s="80"/>
      <c r="D54" s="80"/>
      <c r="E54" s="80"/>
      <c r="F54" s="80"/>
      <c r="G54" s="264"/>
      <c r="H54" s="264"/>
      <c r="I54" s="254"/>
      <c r="J54" s="264"/>
      <c r="K54" s="407"/>
      <c r="L54" s="423"/>
      <c r="M54" s="524"/>
      <c r="N54" s="600"/>
    </row>
    <row r="55" spans="1:18" s="69" customFormat="1" ht="20.25" x14ac:dyDescent="0.2">
      <c r="A55" s="68"/>
      <c r="B55" s="442"/>
      <c r="C55" s="68"/>
      <c r="D55" s="74" t="s">
        <v>138</v>
      </c>
      <c r="E55" s="68"/>
      <c r="F55" s="68"/>
      <c r="G55" s="259">
        <f>SUM(G31:G53)</f>
        <v>825711.87999999989</v>
      </c>
      <c r="H55" s="259">
        <f>SUM(H31:H53)</f>
        <v>1537779.96</v>
      </c>
      <c r="I55" s="254"/>
      <c r="J55" s="259">
        <f>SUM(J31:J53)</f>
        <v>814501.4800000001</v>
      </c>
      <c r="K55" s="405"/>
      <c r="L55" s="256">
        <f>SUM(L31:L53)</f>
        <v>11210.4</v>
      </c>
      <c r="M55" s="494">
        <f>L55/J55</f>
        <v>1.376351090239885E-2</v>
      </c>
      <c r="N55" s="604"/>
    </row>
    <row r="56" spans="1:18" s="69" customFormat="1" ht="10.5" customHeight="1" thickBot="1" x14ac:dyDescent="0.25">
      <c r="A56" s="68"/>
      <c r="B56" s="442"/>
      <c r="C56" s="68"/>
      <c r="D56" s="74"/>
      <c r="E56" s="68"/>
      <c r="F56" s="68"/>
      <c r="G56" s="264"/>
      <c r="H56" s="264"/>
      <c r="I56" s="254"/>
      <c r="J56" s="264"/>
      <c r="K56" s="405"/>
      <c r="L56" s="454"/>
      <c r="M56" s="585"/>
      <c r="N56" s="604"/>
    </row>
    <row r="57" spans="1:18" s="69" customFormat="1" ht="21" thickBot="1" x14ac:dyDescent="0.25">
      <c r="A57" s="68"/>
      <c r="B57" s="442"/>
      <c r="C57" s="68"/>
      <c r="D57" s="68" t="s">
        <v>139</v>
      </c>
      <c r="E57" s="68"/>
      <c r="F57" s="68"/>
      <c r="G57" s="264">
        <f>G28-G55</f>
        <v>-22863.229999999865</v>
      </c>
      <c r="H57" s="264">
        <f>H28-H55</f>
        <v>13020.890000000363</v>
      </c>
      <c r="I57" s="254"/>
      <c r="J57" s="264">
        <f>J28-J55</f>
        <v>18360.989999999874</v>
      </c>
      <c r="K57" s="405"/>
      <c r="L57" s="264">
        <f>L28-L55</f>
        <v>-41224.220000000008</v>
      </c>
      <c r="M57" s="579">
        <f>L57/J57</f>
        <v>-2.2452068216365397</v>
      </c>
      <c r="N57" s="604"/>
    </row>
    <row r="58" spans="1:18" s="69" customFormat="1" ht="11.25" customHeight="1" x14ac:dyDescent="0.2">
      <c r="A58" s="68"/>
      <c r="B58" s="442"/>
      <c r="C58" s="68"/>
      <c r="D58" s="68"/>
      <c r="E58" s="68"/>
      <c r="F58" s="68"/>
      <c r="G58" s="254"/>
      <c r="H58" s="254"/>
      <c r="I58" s="254"/>
      <c r="J58" s="254"/>
      <c r="K58" s="405"/>
      <c r="L58" s="452"/>
      <c r="M58" s="584"/>
      <c r="N58" s="600"/>
    </row>
    <row r="59" spans="1:18" s="77" customFormat="1" ht="21" thickBot="1" x14ac:dyDescent="0.25">
      <c r="A59" s="80"/>
      <c r="B59" s="441" t="s">
        <v>140</v>
      </c>
      <c r="C59" s="88"/>
      <c r="D59" s="88"/>
      <c r="E59" s="88"/>
      <c r="F59" s="88"/>
      <c r="G59" s="451"/>
      <c r="H59" s="254"/>
      <c r="I59" s="254"/>
      <c r="J59" s="254"/>
      <c r="K59" s="407"/>
      <c r="L59" s="452"/>
      <c r="M59" s="584"/>
      <c r="N59" s="600"/>
    </row>
    <row r="60" spans="1:18" s="77" customFormat="1" ht="20.25" x14ac:dyDescent="0.2">
      <c r="A60" s="80"/>
      <c r="B60" s="442"/>
      <c r="C60" s="68"/>
      <c r="D60" s="68" t="s">
        <v>155</v>
      </c>
      <c r="E60" s="68"/>
      <c r="F60" s="68"/>
      <c r="G60" s="254"/>
      <c r="H60" s="254"/>
      <c r="I60" s="254"/>
      <c r="J60" s="254"/>
      <c r="K60" s="407"/>
      <c r="L60" s="452"/>
      <c r="M60" s="584"/>
      <c r="N60" s="600"/>
    </row>
    <row r="61" spans="1:18" s="77" customFormat="1" ht="20.25" x14ac:dyDescent="0.2">
      <c r="A61" s="80"/>
      <c r="B61" s="442"/>
      <c r="C61" s="68"/>
      <c r="D61" s="68"/>
      <c r="E61" s="80" t="s">
        <v>156</v>
      </c>
      <c r="F61" s="68"/>
      <c r="G61" s="254">
        <v>50000</v>
      </c>
      <c r="H61" s="254">
        <v>49000</v>
      </c>
      <c r="I61" s="254"/>
      <c r="J61" s="254">
        <v>49000</v>
      </c>
      <c r="K61" s="407"/>
      <c r="L61" s="301">
        <f>G61-J61</f>
        <v>1000</v>
      </c>
      <c r="M61" s="494">
        <f>L61/J61</f>
        <v>2.0408163265306121E-2</v>
      </c>
      <c r="N61" s="600"/>
      <c r="R61" s="270"/>
    </row>
    <row r="62" spans="1:18" s="77" customFormat="1" ht="20.25" x14ac:dyDescent="0.2">
      <c r="A62" s="80"/>
      <c r="B62" s="442"/>
      <c r="C62" s="68"/>
      <c r="D62" s="68"/>
      <c r="E62" s="80" t="s">
        <v>190</v>
      </c>
      <c r="F62" s="68"/>
      <c r="G62" s="254">
        <v>19000</v>
      </c>
      <c r="H62" s="254">
        <v>19000</v>
      </c>
      <c r="I62" s="254"/>
      <c r="J62" s="254">
        <f>G62</f>
        <v>19000</v>
      </c>
      <c r="K62" s="407"/>
      <c r="L62" s="301">
        <f>G62-J62</f>
        <v>0</v>
      </c>
      <c r="M62" s="494">
        <f>L62/J62</f>
        <v>0</v>
      </c>
      <c r="N62" s="600"/>
    </row>
    <row r="63" spans="1:18" s="77" customFormat="1" ht="20.25" x14ac:dyDescent="0.2">
      <c r="A63" s="80"/>
      <c r="B63" s="442"/>
      <c r="C63" s="68"/>
      <c r="D63" s="68"/>
      <c r="E63" s="80" t="s">
        <v>154</v>
      </c>
      <c r="F63" s="68"/>
      <c r="G63" s="254">
        <f>'June''18 Revenues &amp; Expenses'!H55+'June''18 Revenues &amp; Expenses'!H56+'June''18 Revenues &amp; Expenses'!H54</f>
        <v>4790</v>
      </c>
      <c r="H63" s="254">
        <v>23508.26</v>
      </c>
      <c r="I63" s="254"/>
      <c r="J63" s="254">
        <f>3274.15+3660</f>
        <v>6934.15</v>
      </c>
      <c r="K63" s="407"/>
      <c r="L63" s="301">
        <f>G63-J63</f>
        <v>-2144.1499999999996</v>
      </c>
      <c r="M63" s="494">
        <f>L63/J63</f>
        <v>-0.30921598177137788</v>
      </c>
      <c r="N63" s="600"/>
    </row>
    <row r="64" spans="1:18" s="77" customFormat="1" ht="21" thickBot="1" x14ac:dyDescent="0.25">
      <c r="A64" s="80"/>
      <c r="B64" s="442"/>
      <c r="C64" s="68"/>
      <c r="D64" s="68" t="s">
        <v>116</v>
      </c>
      <c r="E64" s="68"/>
      <c r="F64" s="68"/>
      <c r="G64" s="264">
        <f>-G27</f>
        <v>-42814.25</v>
      </c>
      <c r="H64" s="264">
        <f>-H27</f>
        <v>-85323.47</v>
      </c>
      <c r="I64" s="254"/>
      <c r="J64" s="264">
        <f>-J27</f>
        <v>-40863.06</v>
      </c>
      <c r="K64" s="407"/>
      <c r="L64" s="423">
        <f>G64-J64</f>
        <v>-1951.1900000000023</v>
      </c>
      <c r="M64" s="524">
        <f>L64/J64</f>
        <v>4.7749483274135675E-2</v>
      </c>
      <c r="N64" s="600"/>
    </row>
    <row r="65" spans="1:14" s="77" customFormat="1" ht="21" thickBot="1" x14ac:dyDescent="0.25">
      <c r="A65" s="80"/>
      <c r="B65" s="442"/>
      <c r="C65" s="68"/>
      <c r="D65" s="68"/>
      <c r="E65" s="68" t="s">
        <v>141</v>
      </c>
      <c r="F65" s="68"/>
      <c r="G65" s="264">
        <f>SUM(G60:G64)</f>
        <v>30975.75</v>
      </c>
      <c r="H65" s="264">
        <f>SUM(H60:H64)</f>
        <v>6184.7899999999936</v>
      </c>
      <c r="I65" s="254"/>
      <c r="J65" s="264">
        <f>SUM(J60:J64)</f>
        <v>34071.089999999997</v>
      </c>
      <c r="K65" s="407"/>
      <c r="L65" s="264">
        <f>SUM(L61:L64)</f>
        <v>-3095.340000000002</v>
      </c>
      <c r="M65" s="524">
        <f>L65/J65</f>
        <v>-9.0849456239879681E-2</v>
      </c>
      <c r="N65" s="600"/>
    </row>
    <row r="66" spans="1:14" s="69" customFormat="1" ht="7.5" customHeight="1" x14ac:dyDescent="0.2">
      <c r="A66" s="68"/>
      <c r="B66" s="442"/>
      <c r="C66" s="68"/>
      <c r="D66" s="68"/>
      <c r="E66" s="68"/>
      <c r="F66" s="68"/>
      <c r="G66" s="299"/>
      <c r="H66" s="299"/>
      <c r="I66" s="299"/>
      <c r="J66" s="299"/>
      <c r="K66" s="405"/>
      <c r="L66" s="452"/>
      <c r="M66" s="452"/>
      <c r="N66" s="600"/>
    </row>
    <row r="67" spans="1:14" s="69" customFormat="1" ht="20.25" x14ac:dyDescent="0.2">
      <c r="A67" s="68"/>
      <c r="B67" s="442"/>
      <c r="C67" s="68"/>
      <c r="D67" s="68"/>
      <c r="E67" s="68" t="s">
        <v>95</v>
      </c>
      <c r="F67" s="68"/>
      <c r="G67" s="259">
        <f>G57+G65</f>
        <v>8112.520000000135</v>
      </c>
      <c r="H67" s="259">
        <f>H57+H65</f>
        <v>19205.680000000357</v>
      </c>
      <c r="I67" s="259"/>
      <c r="J67" s="259">
        <f>J57+J65</f>
        <v>52432.079999999871</v>
      </c>
      <c r="K67" s="405"/>
      <c r="L67" s="259">
        <f>L57+L65</f>
        <v>-44319.560000000012</v>
      </c>
      <c r="M67" s="259"/>
      <c r="N67" s="600"/>
    </row>
    <row r="68" spans="1:14" s="69" customFormat="1" ht="8.25" customHeight="1" x14ac:dyDescent="0.2">
      <c r="A68" s="68"/>
      <c r="B68" s="442"/>
      <c r="C68" s="68"/>
      <c r="D68" s="68"/>
      <c r="E68" s="68"/>
      <c r="F68" s="68"/>
      <c r="G68" s="254"/>
      <c r="H68" s="254"/>
      <c r="I68" s="254"/>
      <c r="J68" s="254"/>
      <c r="K68" s="405"/>
      <c r="L68" s="452"/>
      <c r="M68" s="452"/>
      <c r="N68" s="600"/>
    </row>
    <row r="69" spans="1:14" s="83" customFormat="1" ht="26.25" x14ac:dyDescent="0.2">
      <c r="A69" s="294"/>
      <c r="B69" s="443"/>
      <c r="C69" s="68"/>
      <c r="D69" s="68" t="s">
        <v>158</v>
      </c>
      <c r="E69" s="68"/>
      <c r="F69" s="68"/>
      <c r="G69" s="259">
        <f>H70</f>
        <v>669647.6800000004</v>
      </c>
      <c r="H69" s="259">
        <f>J69</f>
        <v>650442</v>
      </c>
      <c r="I69" s="259"/>
      <c r="J69" s="259">
        <v>650442</v>
      </c>
      <c r="K69" s="408"/>
      <c r="L69" s="453"/>
      <c r="M69" s="453"/>
      <c r="N69" s="605"/>
    </row>
    <row r="70" spans="1:14" s="85" customFormat="1" ht="21" thickBot="1" x14ac:dyDescent="0.25">
      <c r="A70" s="68"/>
      <c r="B70" s="442"/>
      <c r="C70" s="68"/>
      <c r="E70" s="68" t="s">
        <v>157</v>
      </c>
      <c r="F70" s="68"/>
      <c r="G70" s="355">
        <f>G67+G69</f>
        <v>677760.20000000054</v>
      </c>
      <c r="H70" s="355">
        <f>H67+H69</f>
        <v>669647.6800000004</v>
      </c>
      <c r="I70" s="299"/>
      <c r="J70" s="355">
        <f>J67+J69</f>
        <v>702874.07999999984</v>
      </c>
      <c r="K70" s="409"/>
      <c r="L70" s="299"/>
      <c r="M70" s="453"/>
      <c r="N70" s="605"/>
    </row>
    <row r="71" spans="1:14" s="66" customFormat="1" ht="6.75" customHeight="1" thickTop="1" x14ac:dyDescent="0.2">
      <c r="A71" s="294"/>
      <c r="B71" s="443"/>
      <c r="C71" s="68"/>
      <c r="D71" s="294"/>
      <c r="E71" s="294"/>
      <c r="F71" s="294"/>
      <c r="G71" s="296"/>
      <c r="H71" s="254"/>
      <c r="I71" s="254"/>
      <c r="J71" s="254"/>
      <c r="K71" s="404"/>
      <c r="L71" s="452"/>
      <c r="M71" s="452"/>
      <c r="N71" s="600"/>
    </row>
    <row r="72" spans="1:14" s="69" customFormat="1" ht="16.5" customHeight="1" x14ac:dyDescent="0.2">
      <c r="A72" s="68"/>
      <c r="B72" s="442"/>
      <c r="D72" s="378"/>
      <c r="E72" s="68"/>
      <c r="G72" s="254"/>
      <c r="H72" s="254"/>
      <c r="I72" s="254"/>
      <c r="J72" s="254"/>
      <c r="K72" s="405"/>
      <c r="L72" s="452"/>
      <c r="M72" s="452"/>
      <c r="N72" s="600"/>
    </row>
    <row r="73" spans="1:14" s="69" customFormat="1" ht="23.25" x14ac:dyDescent="0.2">
      <c r="A73" s="68"/>
      <c r="B73" s="444"/>
      <c r="C73" s="68"/>
      <c r="D73" s="68"/>
      <c r="E73" s="68"/>
      <c r="F73" s="68"/>
      <c r="G73" s="254"/>
      <c r="H73" s="254"/>
      <c r="I73" s="254"/>
      <c r="J73" s="254"/>
      <c r="K73" s="405"/>
      <c r="L73" s="452"/>
      <c r="M73" s="452"/>
      <c r="N73" s="600"/>
    </row>
    <row r="74" spans="1:14" s="69" customFormat="1" ht="20.25" x14ac:dyDescent="0.2">
      <c r="A74" s="68"/>
      <c r="B74" s="442"/>
      <c r="C74" s="68"/>
      <c r="D74" s="68"/>
      <c r="E74" s="68"/>
      <c r="F74" s="68"/>
      <c r="G74" s="254"/>
      <c r="H74" s="254"/>
      <c r="I74" s="254"/>
      <c r="J74" s="254"/>
      <c r="K74" s="405"/>
      <c r="L74" s="452"/>
      <c r="M74" s="452"/>
      <c r="N74" s="600"/>
    </row>
    <row r="75" spans="1:14" s="77" customFormat="1" ht="20.25" x14ac:dyDescent="0.2">
      <c r="A75" s="80"/>
      <c r="B75" s="438"/>
      <c r="C75" s="80"/>
      <c r="D75" s="80"/>
      <c r="F75" s="80"/>
      <c r="G75" s="269"/>
      <c r="H75" s="254"/>
      <c r="I75" s="254"/>
      <c r="J75" s="254"/>
      <c r="K75" s="407"/>
      <c r="L75" s="452"/>
      <c r="M75" s="452"/>
      <c r="N75" s="600"/>
    </row>
    <row r="76" spans="1:14" s="77" customFormat="1" ht="20.25" x14ac:dyDescent="0.2">
      <c r="A76" s="80"/>
      <c r="B76" s="438"/>
      <c r="C76" s="80"/>
      <c r="D76" s="80"/>
      <c r="F76" s="80"/>
      <c r="G76" s="254"/>
      <c r="H76" s="254"/>
      <c r="I76" s="254"/>
      <c r="J76" s="254"/>
      <c r="K76" s="407"/>
      <c r="L76" s="452"/>
      <c r="M76" s="452"/>
      <c r="N76" s="600"/>
    </row>
    <row r="77" spans="1:14" s="77" customFormat="1" ht="20.25" x14ac:dyDescent="0.2">
      <c r="A77" s="80"/>
      <c r="B77" s="438"/>
      <c r="C77" s="80"/>
      <c r="D77" s="80"/>
      <c r="F77" s="80"/>
      <c r="G77" s="254"/>
      <c r="H77" s="254"/>
      <c r="I77" s="254"/>
      <c r="J77" s="254"/>
      <c r="K77" s="407"/>
      <c r="L77" s="452"/>
      <c r="M77" s="452"/>
      <c r="N77" s="600"/>
    </row>
    <row r="78" spans="1:14" s="77" customFormat="1" ht="20.25" x14ac:dyDescent="0.2">
      <c r="A78" s="80"/>
      <c r="B78" s="80"/>
      <c r="C78" s="80"/>
      <c r="D78" s="80"/>
      <c r="F78" s="80"/>
      <c r="G78" s="254"/>
      <c r="H78" s="254"/>
      <c r="I78" s="254"/>
      <c r="J78" s="254"/>
      <c r="K78" s="407"/>
      <c r="L78" s="452"/>
      <c r="M78" s="452"/>
      <c r="N78" s="600"/>
    </row>
    <row r="79" spans="1:14" s="77" customFormat="1" ht="20.25" x14ac:dyDescent="0.2">
      <c r="A79" s="80"/>
      <c r="B79" s="80"/>
      <c r="C79" s="80"/>
      <c r="D79" s="80"/>
      <c r="F79" s="80"/>
      <c r="G79" s="254"/>
      <c r="H79" s="254"/>
      <c r="I79" s="254"/>
      <c r="J79" s="254"/>
      <c r="K79" s="407"/>
      <c r="L79" s="452"/>
      <c r="M79" s="452"/>
      <c r="N79" s="600"/>
    </row>
    <row r="80" spans="1:14" s="77" customFormat="1" ht="20.25" x14ac:dyDescent="0.2">
      <c r="A80" s="80"/>
      <c r="B80" s="80"/>
      <c r="C80" s="80"/>
      <c r="D80" s="80"/>
      <c r="F80" s="80"/>
      <c r="G80" s="254"/>
      <c r="H80" s="254"/>
      <c r="I80" s="254"/>
      <c r="J80" s="254"/>
      <c r="K80" s="407"/>
      <c r="L80" s="452"/>
      <c r="M80" s="452"/>
      <c r="N80" s="600"/>
    </row>
    <row r="81" spans="1:14" s="77" customFormat="1" ht="20.25" x14ac:dyDescent="0.2">
      <c r="A81" s="80"/>
      <c r="B81" s="80"/>
      <c r="C81" s="68"/>
      <c r="D81" s="80"/>
      <c r="F81" s="80"/>
      <c r="G81" s="254"/>
      <c r="H81" s="254"/>
      <c r="I81" s="254"/>
      <c r="J81" s="254"/>
      <c r="K81" s="407"/>
      <c r="L81" s="452"/>
      <c r="M81" s="452"/>
      <c r="N81" s="600"/>
    </row>
    <row r="82" spans="1:14" s="77" customFormat="1" ht="20.25" x14ac:dyDescent="0.2">
      <c r="A82" s="80"/>
      <c r="B82" s="80"/>
      <c r="C82" s="80"/>
      <c r="D82" s="80"/>
      <c r="E82" s="80"/>
      <c r="F82" s="80"/>
      <c r="G82" s="254"/>
      <c r="H82" s="254"/>
      <c r="I82" s="254"/>
      <c r="J82" s="254"/>
      <c r="K82" s="407"/>
      <c r="L82" s="452"/>
      <c r="M82" s="452"/>
      <c r="N82" s="600"/>
    </row>
    <row r="83" spans="1:14" s="77" customFormat="1" ht="20.25" x14ac:dyDescent="0.2">
      <c r="A83" s="80"/>
      <c r="B83" s="80"/>
      <c r="C83" s="68"/>
      <c r="D83" s="68"/>
      <c r="G83" s="254"/>
      <c r="H83" s="254"/>
      <c r="I83" s="254"/>
      <c r="J83" s="254"/>
      <c r="K83" s="407"/>
      <c r="L83" s="452"/>
      <c r="M83" s="452"/>
      <c r="N83" s="600"/>
    </row>
    <row r="84" spans="1:14" s="77" customFormat="1" ht="20.25" x14ac:dyDescent="0.2">
      <c r="A84" s="80"/>
      <c r="B84" s="80"/>
      <c r="C84" s="80"/>
      <c r="D84" s="80"/>
      <c r="E84" s="80"/>
      <c r="F84" s="80"/>
      <c r="G84" s="254"/>
      <c r="H84" s="254"/>
      <c r="I84" s="254"/>
      <c r="J84" s="254"/>
      <c r="K84" s="407"/>
      <c r="L84" s="452"/>
      <c r="M84" s="452"/>
      <c r="N84" s="600"/>
    </row>
    <row r="85" spans="1:14" s="77" customFormat="1" ht="20.25" x14ac:dyDescent="0.2">
      <c r="A85" s="80"/>
      <c r="B85" s="80"/>
      <c r="C85" s="80"/>
      <c r="D85" s="80"/>
      <c r="E85" s="80"/>
      <c r="F85" s="80"/>
      <c r="G85" s="254"/>
      <c r="H85" s="254"/>
      <c r="I85" s="254"/>
      <c r="J85" s="254"/>
      <c r="K85" s="407"/>
      <c r="L85" s="452"/>
      <c r="M85" s="452"/>
      <c r="N85" s="600"/>
    </row>
    <row r="86" spans="1:14" s="77" customFormat="1" ht="20.25" x14ac:dyDescent="0.2">
      <c r="A86" s="80"/>
      <c r="B86" s="80"/>
      <c r="C86" s="80"/>
      <c r="D86" s="80"/>
      <c r="E86" s="80"/>
      <c r="F86" s="80"/>
      <c r="G86" s="254"/>
      <c r="H86" s="254"/>
      <c r="I86" s="254"/>
      <c r="J86" s="254"/>
      <c r="K86" s="407"/>
      <c r="L86" s="452"/>
      <c r="M86" s="452"/>
      <c r="N86" s="600"/>
    </row>
    <row r="87" spans="1:14" s="77" customFormat="1" ht="20.25" x14ac:dyDescent="0.2">
      <c r="A87" s="80"/>
      <c r="B87" s="80"/>
      <c r="C87" s="80"/>
      <c r="D87" s="80"/>
      <c r="E87" s="80"/>
      <c r="F87" s="80"/>
      <c r="G87" s="254"/>
      <c r="H87" s="254"/>
      <c r="I87" s="254"/>
      <c r="J87" s="254"/>
      <c r="K87" s="407"/>
      <c r="L87" s="452"/>
      <c r="M87" s="452"/>
      <c r="N87" s="600"/>
    </row>
    <row r="88" spans="1:14" s="77" customFormat="1" ht="20.25" x14ac:dyDescent="0.2">
      <c r="A88" s="80"/>
      <c r="B88" s="80"/>
      <c r="C88" s="68"/>
      <c r="D88" s="80"/>
      <c r="F88" s="80"/>
      <c r="G88" s="254"/>
      <c r="H88" s="254"/>
      <c r="I88" s="254"/>
      <c r="J88" s="254"/>
      <c r="K88" s="407"/>
      <c r="L88" s="452"/>
      <c r="M88" s="452"/>
      <c r="N88" s="600"/>
    </row>
    <row r="89" spans="1:14" s="77" customFormat="1" ht="20.25" x14ac:dyDescent="0.2">
      <c r="A89" s="80"/>
      <c r="B89" s="80"/>
      <c r="C89" s="80"/>
      <c r="D89" s="80"/>
      <c r="E89" s="80"/>
      <c r="F89" s="80"/>
      <c r="G89" s="254"/>
      <c r="H89" s="254"/>
      <c r="I89" s="254"/>
      <c r="J89" s="254"/>
      <c r="K89" s="407"/>
      <c r="L89" s="452"/>
      <c r="M89" s="452"/>
      <c r="N89" s="600"/>
    </row>
    <row r="90" spans="1:14" s="69" customFormat="1" ht="20.25" x14ac:dyDescent="0.2">
      <c r="A90" s="68"/>
      <c r="B90" s="68"/>
      <c r="C90" s="68"/>
      <c r="D90" s="68"/>
      <c r="E90" s="68"/>
      <c r="F90" s="68"/>
      <c r="G90" s="259"/>
      <c r="H90" s="259"/>
      <c r="I90" s="259"/>
      <c r="J90" s="259"/>
      <c r="K90" s="405"/>
      <c r="N90" s="600"/>
    </row>
    <row r="91" spans="1:14" s="69" customFormat="1" ht="20.25" x14ac:dyDescent="0.2">
      <c r="A91" s="68"/>
      <c r="B91" s="68"/>
      <c r="C91" s="68"/>
      <c r="D91" s="68"/>
      <c r="E91" s="68"/>
      <c r="F91" s="68"/>
      <c r="G91" s="259"/>
      <c r="H91" s="259"/>
      <c r="I91" s="259"/>
      <c r="J91" s="259"/>
      <c r="K91" s="405"/>
      <c r="N91" s="600"/>
    </row>
    <row r="92" spans="1:14" s="69" customFormat="1" ht="23.25" x14ac:dyDescent="0.2">
      <c r="A92" s="68"/>
      <c r="B92" s="297"/>
      <c r="C92" s="68"/>
      <c r="D92" s="68"/>
      <c r="E92" s="68"/>
      <c r="F92" s="68"/>
      <c r="G92" s="254"/>
      <c r="H92" s="254"/>
      <c r="I92" s="254"/>
      <c r="J92" s="254"/>
      <c r="K92" s="405"/>
      <c r="N92" s="600"/>
    </row>
    <row r="93" spans="1:14" s="77" customFormat="1" ht="20.25" x14ac:dyDescent="0.2">
      <c r="A93" s="80"/>
      <c r="B93" s="80"/>
      <c r="D93" s="80"/>
      <c r="E93" s="80"/>
      <c r="F93" s="80"/>
      <c r="G93" s="254"/>
      <c r="H93" s="254"/>
      <c r="I93" s="254"/>
      <c r="J93" s="254"/>
      <c r="K93" s="407"/>
      <c r="N93" s="600"/>
    </row>
    <row r="94" spans="1:14" s="77" customFormat="1" ht="20.25" x14ac:dyDescent="0.2">
      <c r="A94" s="80"/>
      <c r="B94" s="80"/>
      <c r="D94" s="80"/>
      <c r="E94" s="80"/>
      <c r="F94" s="80"/>
      <c r="G94" s="254"/>
      <c r="H94" s="254"/>
      <c r="I94" s="254"/>
      <c r="J94" s="254"/>
      <c r="K94" s="407"/>
      <c r="N94" s="600"/>
    </row>
    <row r="95" spans="1:14" s="69" customFormat="1" ht="20.25" x14ac:dyDescent="0.2">
      <c r="A95" s="68"/>
      <c r="B95" s="68"/>
      <c r="D95" s="80"/>
      <c r="E95" s="68"/>
      <c r="F95" s="68"/>
      <c r="G95" s="254"/>
      <c r="H95" s="254"/>
      <c r="I95" s="254"/>
      <c r="J95" s="254"/>
      <c r="K95" s="405"/>
      <c r="N95" s="600"/>
    </row>
    <row r="96" spans="1:14" s="69" customFormat="1" ht="23.25" x14ac:dyDescent="0.2">
      <c r="A96" s="68"/>
      <c r="B96" s="297"/>
      <c r="C96" s="68"/>
      <c r="D96" s="68"/>
      <c r="E96" s="68"/>
      <c r="F96" s="68"/>
      <c r="G96" s="259"/>
      <c r="H96" s="259"/>
      <c r="I96" s="259"/>
      <c r="J96" s="259"/>
      <c r="K96" s="405"/>
      <c r="N96" s="600"/>
    </row>
    <row r="97" spans="1:14" s="69" customFormat="1" ht="20.25" x14ac:dyDescent="0.2">
      <c r="A97" s="68"/>
      <c r="B97" s="68"/>
      <c r="C97" s="68"/>
      <c r="D97" s="68"/>
      <c r="E97" s="68"/>
      <c r="F97" s="68"/>
      <c r="G97" s="254"/>
      <c r="H97" s="254"/>
      <c r="I97" s="254"/>
      <c r="J97" s="254"/>
      <c r="K97" s="405"/>
      <c r="N97" s="600"/>
    </row>
    <row r="98" spans="1:14" s="83" customFormat="1" ht="26.25" x14ac:dyDescent="0.2">
      <c r="A98" s="294"/>
      <c r="B98" s="294"/>
      <c r="C98" s="294"/>
      <c r="D98" s="294"/>
      <c r="E98" s="294"/>
      <c r="F98" s="294"/>
      <c r="G98" s="295"/>
      <c r="H98" s="259"/>
      <c r="I98" s="259"/>
      <c r="J98" s="259"/>
      <c r="K98" s="408"/>
      <c r="N98" s="605"/>
    </row>
    <row r="99" spans="1:14" s="18" customFormat="1" ht="20.25" x14ac:dyDescent="0.3">
      <c r="A99" s="123"/>
      <c r="B99" s="123"/>
      <c r="C99" s="123"/>
      <c r="D99" s="123"/>
      <c r="E99" s="123"/>
      <c r="F99" s="123"/>
      <c r="G99" s="298"/>
      <c r="H99" s="303"/>
      <c r="I99" s="303"/>
      <c r="J99" s="303"/>
      <c r="K99" s="410"/>
      <c r="N99" s="606"/>
    </row>
    <row r="100" spans="1:14" ht="20.25" x14ac:dyDescent="0.3">
      <c r="H100" s="303"/>
      <c r="I100" s="303"/>
      <c r="J100" s="303"/>
    </row>
    <row r="101" spans="1:14" ht="20.25" x14ac:dyDescent="0.3">
      <c r="H101" s="303"/>
      <c r="I101" s="303"/>
      <c r="J101" s="303"/>
    </row>
    <row r="102" spans="1:14" ht="20.25" x14ac:dyDescent="0.3">
      <c r="H102" s="300"/>
      <c r="I102" s="300"/>
      <c r="J102" s="300"/>
    </row>
  </sheetData>
  <mergeCells count="2">
    <mergeCell ref="L8:M8"/>
    <mergeCell ref="G6:J6"/>
  </mergeCells>
  <pageMargins left="0.9" right="0.15" top="0.25" bottom="0.25" header="0.3" footer="0.3"/>
  <pageSetup scale="44"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80"/>
  <sheetViews>
    <sheetView zoomScale="75" zoomScaleNormal="75" workbookViewId="0">
      <selection activeCell="C10" sqref="C10:F10"/>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2.25" style="266" hidden="1" customWidth="1"/>
    <col min="8" max="8" width="23.125" style="18" hidden="1" customWidth="1"/>
    <col min="9" max="9" width="1.625" style="18" hidden="1" customWidth="1"/>
    <col min="10" max="10" width="26.875" style="18" customWidth="1"/>
    <col min="11" max="11" width="22.625" style="18" customWidth="1"/>
    <col min="12" max="12" width="1.625" style="18" customWidth="1"/>
    <col min="13" max="13" width="23.125" style="18" customWidth="1"/>
    <col min="14" max="14" width="2.125" style="18" hidden="1" customWidth="1"/>
    <col min="15" max="15" width="21.625" style="18" hidden="1" customWidth="1"/>
    <col min="16" max="16" width="1.75" style="18" hidden="1" customWidth="1"/>
    <col min="17" max="17" width="15.25" style="18" bestFit="1" customWidth="1"/>
    <col min="18" max="18" width="10.625" style="18" customWidth="1"/>
    <col min="19" max="19" width="9" style="18"/>
    <col min="20" max="20" width="16.875" style="18" bestFit="1" customWidth="1"/>
    <col min="21" max="21" width="10" style="18" bestFit="1" customWidth="1"/>
    <col min="22"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103</v>
      </c>
      <c r="B1" s="60"/>
      <c r="C1" s="61"/>
      <c r="D1" s="61"/>
      <c r="E1" s="61"/>
      <c r="F1" s="60"/>
      <c r="G1" s="252"/>
      <c r="H1" s="60"/>
      <c r="I1" s="60"/>
      <c r="J1" s="60"/>
      <c r="K1" s="60"/>
      <c r="L1" s="523"/>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249</v>
      </c>
      <c r="B2" s="60"/>
      <c r="C2" s="61"/>
      <c r="D2" s="61"/>
      <c r="E2" s="61"/>
      <c r="F2" s="60"/>
      <c r="G2" s="252"/>
      <c r="H2" s="60"/>
      <c r="I2" s="60"/>
      <c r="J2" s="60"/>
      <c r="K2" s="60"/>
      <c r="L2" s="523"/>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75" customHeight="1" x14ac:dyDescent="0.4">
      <c r="A3" s="59" t="str">
        <f>'June''18 State of Activities'!A3</f>
        <v>Six Months Ended June 30, 2018 and 2017</v>
      </c>
      <c r="B3" s="60"/>
      <c r="C3" s="61"/>
      <c r="D3" s="61"/>
      <c r="E3" s="61"/>
      <c r="F3" s="60"/>
      <c r="G3" s="252"/>
      <c r="H3" s="60"/>
      <c r="I3" s="60"/>
      <c r="J3" s="60"/>
      <c r="K3" s="60"/>
      <c r="L3" s="523"/>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22.5" customHeight="1" x14ac:dyDescent="0.4">
      <c r="A4" s="59" t="str">
        <f>'June''18 State of Activities'!A4</f>
        <v>For the Year Ended December 31, 2017</v>
      </c>
      <c r="B4" s="60"/>
      <c r="C4" s="61"/>
      <c r="D4" s="61"/>
      <c r="E4" s="61"/>
      <c r="F4" s="60"/>
      <c r="G4" s="252"/>
      <c r="H4" s="60"/>
      <c r="I4" s="60"/>
      <c r="J4" s="60"/>
      <c r="K4" s="60"/>
      <c r="L4" s="523"/>
      <c r="M4" s="60"/>
      <c r="N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s="64" customFormat="1" ht="8.25" customHeight="1" thickBot="1" x14ac:dyDescent="0.25">
      <c r="A5" s="62"/>
      <c r="B5" s="62"/>
      <c r="C5" s="62"/>
      <c r="D5" s="62"/>
      <c r="E5" s="62"/>
      <c r="F5" s="62"/>
      <c r="G5" s="25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row>
    <row r="6" spans="1:130" s="67" customFormat="1" ht="24.75" customHeight="1" thickTop="1" thickBot="1" x14ac:dyDescent="0.25">
      <c r="A6" s="65" t="s">
        <v>118</v>
      </c>
      <c r="B6" s="65"/>
      <c r="C6" s="65"/>
      <c r="D6" s="65"/>
      <c r="E6" s="65"/>
      <c r="F6" s="65"/>
      <c r="G6" s="577"/>
      <c r="H6" s="263" t="s">
        <v>56</v>
      </c>
      <c r="I6" s="263"/>
      <c r="J6" s="771" t="s">
        <v>56</v>
      </c>
      <c r="K6" s="771"/>
      <c r="L6" s="771"/>
      <c r="M6" s="771"/>
      <c r="P6" s="66"/>
      <c r="Q6" s="465" t="s">
        <v>208</v>
      </c>
      <c r="R6" s="462" t="s">
        <v>221</v>
      </c>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row>
    <row r="7" spans="1:130" s="69" customFormat="1" ht="8.25" customHeight="1" thickTop="1" x14ac:dyDescent="0.2">
      <c r="A7" s="68"/>
      <c r="B7" s="68"/>
      <c r="C7" s="68"/>
      <c r="D7" s="68"/>
      <c r="E7" s="68"/>
      <c r="F7" s="68"/>
      <c r="G7" s="254"/>
    </row>
    <row r="8" spans="1:130" s="73" customFormat="1" ht="21" thickBot="1" x14ac:dyDescent="0.35">
      <c r="A8" s="70"/>
      <c r="B8" s="155" t="s">
        <v>110</v>
      </c>
      <c r="C8" s="155"/>
      <c r="D8" s="155"/>
      <c r="E8" s="155"/>
      <c r="F8" s="155"/>
      <c r="G8" s="308">
        <v>41090</v>
      </c>
      <c r="H8" s="308">
        <v>41274</v>
      </c>
      <c r="I8" s="357"/>
      <c r="J8" s="308">
        <f>'June''18 State of Activities'!G8</f>
        <v>43281</v>
      </c>
      <c r="K8" s="526">
        <f>'June''18 State of Activities'!H8</f>
        <v>43100</v>
      </c>
      <c r="L8" s="357"/>
      <c r="M8" s="308">
        <f>'June''18 State of Activities'!J8</f>
        <v>42916</v>
      </c>
      <c r="N8" s="72"/>
      <c r="O8" s="308">
        <v>42369</v>
      </c>
      <c r="P8" s="72"/>
      <c r="Q8" s="770" t="s">
        <v>435</v>
      </c>
      <c r="R8" s="770"/>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row>
    <row r="9" spans="1:130" s="75" customFormat="1" ht="20.25" x14ac:dyDescent="0.2">
      <c r="A9" s="74"/>
      <c r="B9" s="74"/>
      <c r="C9" s="470" t="s">
        <v>164</v>
      </c>
      <c r="D9" s="470"/>
      <c r="E9" s="470"/>
      <c r="F9" s="74"/>
      <c r="G9" s="290">
        <v>127719</v>
      </c>
      <c r="H9" s="290">
        <v>67566.5</v>
      </c>
      <c r="I9" s="356"/>
      <c r="J9" s="360">
        <f>'June''18 State of Activities'!G11</f>
        <v>67515.199999999997</v>
      </c>
      <c r="K9" s="360">
        <f>'June''18 State of Activities'!H11</f>
        <v>157409.59</v>
      </c>
      <c r="L9" s="360"/>
      <c r="M9" s="360">
        <f>'June''18 State of Activities'!J11</f>
        <v>83820.479999999996</v>
      </c>
      <c r="N9" s="556"/>
      <c r="O9" s="360">
        <v>156115.99</v>
      </c>
      <c r="P9" s="69"/>
      <c r="Q9" s="424">
        <f>J9-M9</f>
        <v>-16305.279999999999</v>
      </c>
      <c r="R9" s="463">
        <f>Q9/M9</f>
        <v>-0.19452620648318883</v>
      </c>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130" s="75" customFormat="1" ht="20.25" x14ac:dyDescent="0.2">
      <c r="A10" s="74"/>
      <c r="B10" s="74"/>
      <c r="C10" s="774" t="s">
        <v>453</v>
      </c>
      <c r="D10" s="774"/>
      <c r="E10" s="774"/>
      <c r="F10" s="774"/>
      <c r="G10" s="290"/>
      <c r="H10" s="290"/>
      <c r="I10" s="356"/>
      <c r="J10" s="722">
        <v>3122.52</v>
      </c>
      <c r="K10" s="360"/>
      <c r="L10" s="360"/>
      <c r="M10" s="360"/>
      <c r="N10" s="556"/>
      <c r="O10" s="360"/>
      <c r="P10" s="69"/>
      <c r="Q10" s="580">
        <f>J10-M10</f>
        <v>3122.52</v>
      </c>
      <c r="R10" s="494"/>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5" customFormat="1" ht="20.25" x14ac:dyDescent="0.2">
      <c r="A11" s="74"/>
      <c r="B11" s="74"/>
      <c r="C11" s="470" t="s">
        <v>250</v>
      </c>
      <c r="D11" s="470"/>
      <c r="E11" s="470"/>
      <c r="F11" s="74"/>
      <c r="G11" s="289">
        <v>875436</v>
      </c>
      <c r="H11" s="289">
        <v>372424.1</v>
      </c>
      <c r="I11" s="360"/>
      <c r="J11" s="356">
        <v>5239.78</v>
      </c>
      <c r="K11" s="356">
        <f>(2435.19+1402.42)*1.14+4437.21</f>
        <v>8812.0853999999999</v>
      </c>
      <c r="L11" s="360"/>
      <c r="M11" s="356">
        <f>3587.19+(2435.19+1402.42)*1.14</f>
        <v>7962.0653999999995</v>
      </c>
      <c r="N11" s="412"/>
      <c r="O11" s="356">
        <v>19926.495000000003</v>
      </c>
      <c r="P11" s="69"/>
      <c r="Q11" s="580">
        <f>J11-M11</f>
        <v>-2722.2853999999998</v>
      </c>
      <c r="R11" s="494">
        <f>Q11/M11</f>
        <v>-0.34190693786564474</v>
      </c>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row>
    <row r="12" spans="1:130" s="75" customFormat="1" ht="20.25" x14ac:dyDescent="0.2">
      <c r="A12" s="74"/>
      <c r="B12" s="74"/>
      <c r="C12" s="470" t="s">
        <v>112</v>
      </c>
      <c r="D12" s="470"/>
      <c r="E12" s="470"/>
      <c r="F12" s="74"/>
      <c r="G12" s="290"/>
      <c r="H12" s="290"/>
      <c r="I12" s="356"/>
      <c r="J12" s="356"/>
      <c r="K12" s="356"/>
      <c r="L12" s="356"/>
      <c r="M12" s="356"/>
      <c r="N12" s="412"/>
      <c r="O12" s="356"/>
      <c r="P12" s="69"/>
      <c r="Q12" s="580"/>
      <c r="R12" s="477"/>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row>
    <row r="13" spans="1:130" s="75" customFormat="1" ht="20.25" x14ac:dyDescent="0.2">
      <c r="A13" s="74"/>
      <c r="B13" s="74"/>
      <c r="C13" s="78"/>
      <c r="D13" s="470" t="s">
        <v>251</v>
      </c>
      <c r="E13" s="470"/>
      <c r="F13" s="74"/>
      <c r="G13" s="290">
        <v>94235.25</v>
      </c>
      <c r="H13" s="290">
        <v>37190.379999999997</v>
      </c>
      <c r="I13" s="356"/>
      <c r="J13" s="356">
        <f>'June''18 Revenues &amp; Expenses'!I20</f>
        <v>21250</v>
      </c>
      <c r="K13" s="356">
        <f>41500/12*12</f>
        <v>41500</v>
      </c>
      <c r="L13" s="356"/>
      <c r="M13" s="356">
        <f>41500/12*6</f>
        <v>20750</v>
      </c>
      <c r="N13" s="412"/>
      <c r="O13" s="356">
        <v>30000</v>
      </c>
      <c r="P13" s="69"/>
      <c r="Q13" s="580">
        <f t="shared" ref="Q13:Q18" si="0">J13-M13</f>
        <v>500</v>
      </c>
      <c r="R13" s="494">
        <f>Q13/M13</f>
        <v>2.4096385542168676E-2</v>
      </c>
      <c r="S13" s="69"/>
      <c r="T13" s="530"/>
      <c r="U13" s="531"/>
      <c r="V13" s="530"/>
      <c r="W13" s="530"/>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row>
    <row r="14" spans="1:130" s="75" customFormat="1" ht="20.25" x14ac:dyDescent="0.2">
      <c r="A14" s="74"/>
      <c r="B14" s="74"/>
      <c r="C14" s="78"/>
      <c r="D14" s="470" t="s">
        <v>175</v>
      </c>
      <c r="E14" s="470"/>
      <c r="F14" s="74"/>
      <c r="G14" s="290"/>
      <c r="H14" s="290"/>
      <c r="I14" s="356"/>
      <c r="J14" s="356">
        <f>750*6</f>
        <v>4500</v>
      </c>
      <c r="K14" s="356">
        <f>750*12</f>
        <v>9000</v>
      </c>
      <c r="L14" s="356"/>
      <c r="M14" s="356">
        <f>750*6</f>
        <v>4500</v>
      </c>
      <c r="N14" s="412"/>
      <c r="O14" s="356">
        <v>5416.6666666666661</v>
      </c>
      <c r="P14" s="69"/>
      <c r="Q14" s="580">
        <f t="shared" si="0"/>
        <v>0</v>
      </c>
      <c r="R14" s="494">
        <f>Q14/M14</f>
        <v>0</v>
      </c>
      <c r="S14" s="69"/>
      <c r="T14" s="69"/>
      <c r="U14" s="434"/>
      <c r="V14" s="532"/>
      <c r="W14" s="405"/>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470" t="s">
        <v>113</v>
      </c>
      <c r="D15" s="470"/>
      <c r="E15" s="470"/>
      <c r="F15" s="74"/>
      <c r="G15" s="290">
        <v>0</v>
      </c>
      <c r="H15" s="290">
        <v>3517</v>
      </c>
      <c r="I15" s="356"/>
      <c r="J15" s="356">
        <f>'June''18 State of Activities'!G17</f>
        <v>6223</v>
      </c>
      <c r="K15" s="356">
        <f>'June''18 State of Activities'!H17</f>
        <v>13675.25</v>
      </c>
      <c r="L15" s="356"/>
      <c r="M15" s="356">
        <f>'June''18 State of Activities'!J17</f>
        <v>5409.25</v>
      </c>
      <c r="N15" s="412"/>
      <c r="O15" s="356">
        <v>7518.43</v>
      </c>
      <c r="P15" s="69"/>
      <c r="Q15" s="580">
        <f t="shared" si="0"/>
        <v>813.75</v>
      </c>
      <c r="R15" s="494">
        <f>Q15/M15</f>
        <v>0.15043675186023941</v>
      </c>
      <c r="S15" s="69"/>
      <c r="T15" s="69"/>
      <c r="U15" s="434"/>
      <c r="V15" s="532"/>
      <c r="W15" s="405"/>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5" customFormat="1" ht="20.25" x14ac:dyDescent="0.2">
      <c r="A16" s="74"/>
      <c r="B16" s="74"/>
      <c r="C16" s="470" t="s">
        <v>252</v>
      </c>
      <c r="D16" s="470"/>
      <c r="E16" s="470"/>
      <c r="F16" s="74"/>
      <c r="G16" s="290">
        <v>31459</v>
      </c>
      <c r="H16" s="290">
        <v>13920.35</v>
      </c>
      <c r="I16" s="356"/>
      <c r="J16" s="356">
        <f>'June''18 Revenues &amp; Expenses'!H34</f>
        <v>12408.42</v>
      </c>
      <c r="K16" s="356">
        <v>25000</v>
      </c>
      <c r="L16" s="356"/>
      <c r="M16" s="356">
        <v>12657.44</v>
      </c>
      <c r="N16" s="412"/>
      <c r="O16" s="356">
        <v>21179.81</v>
      </c>
      <c r="P16" s="69"/>
      <c r="Q16" s="580">
        <f t="shared" si="0"/>
        <v>-249.02000000000044</v>
      </c>
      <c r="R16" s="494">
        <f>Q16/M16</f>
        <v>-1.9673804497591964E-2</v>
      </c>
      <c r="S16" s="69"/>
      <c r="T16" s="69"/>
      <c r="U16" s="434"/>
      <c r="V16" s="532"/>
      <c r="W16" s="405"/>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20.25" x14ac:dyDescent="0.2">
      <c r="A17" s="74"/>
      <c r="B17" s="74"/>
      <c r="C17" s="470" t="s">
        <v>271</v>
      </c>
      <c r="D17" s="470"/>
      <c r="E17" s="470"/>
      <c r="F17" s="74"/>
      <c r="G17" s="290">
        <v>1125</v>
      </c>
      <c r="H17" s="290">
        <v>6050</v>
      </c>
      <c r="I17" s="356"/>
      <c r="J17" s="356">
        <f>'June''18 State of Activities'!G24</f>
        <v>0</v>
      </c>
      <c r="K17" s="356">
        <f>'June''18 State of Activities'!H24</f>
        <v>5175</v>
      </c>
      <c r="L17" s="356"/>
      <c r="M17" s="356">
        <v>0</v>
      </c>
      <c r="N17" s="412"/>
      <c r="O17" s="356">
        <v>-6085</v>
      </c>
      <c r="P17" s="69"/>
      <c r="Q17" s="580">
        <f t="shared" si="0"/>
        <v>0</v>
      </c>
      <c r="R17" s="494"/>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1" thickBot="1" x14ac:dyDescent="0.25">
      <c r="A18" s="74"/>
      <c r="B18" s="74"/>
      <c r="C18" s="470" t="s">
        <v>253</v>
      </c>
      <c r="D18" s="470"/>
      <c r="E18" s="470"/>
      <c r="F18" s="74"/>
      <c r="G18" s="291">
        <v>31250</v>
      </c>
      <c r="H18" s="291">
        <v>15624.98</v>
      </c>
      <c r="I18" s="356"/>
      <c r="J18" s="291">
        <f>'June''18 State of Activities'!G25*0.2</f>
        <v>4657.5</v>
      </c>
      <c r="K18" s="291">
        <f>'June''18 State of Activities'!H25*0.2</f>
        <v>9315</v>
      </c>
      <c r="L18" s="356"/>
      <c r="M18" s="291">
        <f>'June''18 State of Activities'!J25*0.2</f>
        <v>4657.5</v>
      </c>
      <c r="N18" s="412"/>
      <c r="O18" s="291">
        <v>9315</v>
      </c>
      <c r="P18" s="69"/>
      <c r="Q18" s="581">
        <f t="shared" si="0"/>
        <v>0</v>
      </c>
      <c r="R18" s="464">
        <v>0</v>
      </c>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0.25" x14ac:dyDescent="0.2">
      <c r="A19" s="74"/>
      <c r="B19" s="74"/>
      <c r="C19" s="470"/>
      <c r="D19" s="74" t="s">
        <v>115</v>
      </c>
      <c r="E19" s="470"/>
      <c r="F19" s="74"/>
      <c r="G19" s="256">
        <v>1161224.25</v>
      </c>
      <c r="H19" s="256">
        <v>516293.30999999994</v>
      </c>
      <c r="I19" s="254"/>
      <c r="J19" s="290">
        <f>SUM(J9:J18)</f>
        <v>124916.42</v>
      </c>
      <c r="K19" s="290">
        <f>SUM(K9:K18)</f>
        <v>269886.92540000001</v>
      </c>
      <c r="L19" s="356"/>
      <c r="M19" s="290">
        <f>SUM(M9:M18)</f>
        <v>139756.73540000001</v>
      </c>
      <c r="N19" s="412"/>
      <c r="O19" s="290">
        <v>293387.3916666666</v>
      </c>
      <c r="P19" s="69"/>
      <c r="Q19" s="301">
        <f>SUM(Q9:Q18)</f>
        <v>-14840.315399999999</v>
      </c>
      <c r="R19" s="494">
        <f>Q19/M19</f>
        <v>-0.10618676343236906</v>
      </c>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75" customFormat="1" ht="21" thickBot="1" x14ac:dyDescent="0.25">
      <c r="A20" s="74"/>
      <c r="B20" s="74"/>
      <c r="C20" s="74" t="s">
        <v>254</v>
      </c>
      <c r="D20" s="470"/>
      <c r="E20" s="470"/>
      <c r="F20" s="74"/>
      <c r="G20" s="264">
        <v>150176</v>
      </c>
      <c r="H20" s="264">
        <v>47700.27</v>
      </c>
      <c r="I20" s="254"/>
      <c r="J20" s="356">
        <f>'June''18 Revenues &amp; Expenses'!J52</f>
        <v>9500</v>
      </c>
      <c r="K20" s="356">
        <v>19000</v>
      </c>
      <c r="L20" s="356"/>
      <c r="M20" s="356">
        <f>19000/12*6</f>
        <v>9500</v>
      </c>
      <c r="N20" s="412"/>
      <c r="O20" s="552">
        <v>15833.333333333332</v>
      </c>
      <c r="P20" s="69"/>
      <c r="Q20" s="580">
        <f>J20-M20</f>
        <v>0</v>
      </c>
      <c r="R20" s="463">
        <f>Q20/M20</f>
        <v>0</v>
      </c>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row>
    <row r="21" spans="1:63" s="75" customFormat="1" ht="21" thickBot="1" x14ac:dyDescent="0.25">
      <c r="A21" s="74"/>
      <c r="B21" s="74"/>
      <c r="C21" s="74" t="s">
        <v>255</v>
      </c>
      <c r="D21" s="470"/>
      <c r="E21" s="470"/>
      <c r="F21" s="74"/>
      <c r="G21" s="254"/>
      <c r="H21" s="254"/>
      <c r="I21" s="254"/>
      <c r="J21" s="291">
        <v>16180.47</v>
      </c>
      <c r="K21" s="291">
        <v>33410.949999999997</v>
      </c>
      <c r="L21" s="356"/>
      <c r="M21" s="291">
        <v>17069.21</v>
      </c>
      <c r="N21" s="412"/>
      <c r="O21" s="291">
        <v>29553.69</v>
      </c>
      <c r="P21" s="69"/>
      <c r="Q21" s="423">
        <f>J21-M21</f>
        <v>-888.73999999999978</v>
      </c>
      <c r="R21" s="524">
        <f>Q21/M21</f>
        <v>-5.2066850194004283E-2</v>
      </c>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row>
    <row r="22" spans="1:63" s="75" customFormat="1" ht="20.25" x14ac:dyDescent="0.2">
      <c r="A22" s="74"/>
      <c r="B22" s="74"/>
      <c r="C22" s="470"/>
      <c r="D22" s="74" t="s">
        <v>117</v>
      </c>
      <c r="E22" s="470"/>
      <c r="F22" s="74"/>
      <c r="G22" s="256">
        <v>1311400.25</v>
      </c>
      <c r="H22" s="256">
        <v>563993.57999999996</v>
      </c>
      <c r="I22" s="254"/>
      <c r="J22" s="290">
        <f>SUM(J19:J21)</f>
        <v>150596.88999999998</v>
      </c>
      <c r="K22" s="290">
        <f>SUM(K19:K21)</f>
        <v>322297.87540000002</v>
      </c>
      <c r="L22" s="356"/>
      <c r="M22" s="290">
        <f>SUM(M19:M21)</f>
        <v>166325.9454</v>
      </c>
      <c r="N22" s="412"/>
      <c r="O22" s="290">
        <v>338774.41499999992</v>
      </c>
      <c r="P22" s="69"/>
      <c r="Q22" s="301">
        <f>J22-M22</f>
        <v>-15729.055400000012</v>
      </c>
      <c r="R22" s="494">
        <f>Q22/M22</f>
        <v>-9.4567659676744645E-2</v>
      </c>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row>
    <row r="23" spans="1:63" s="75" customFormat="1" ht="20.25" x14ac:dyDescent="0.2">
      <c r="A23" s="74"/>
      <c r="B23" s="74"/>
      <c r="C23" s="470"/>
      <c r="D23" s="74"/>
      <c r="E23" s="470"/>
      <c r="F23" s="74"/>
      <c r="G23" s="256"/>
      <c r="H23" s="256"/>
      <c r="I23" s="254"/>
      <c r="J23" s="356"/>
      <c r="K23" s="356"/>
      <c r="L23" s="356"/>
      <c r="M23" s="356"/>
      <c r="N23" s="412"/>
      <c r="O23" s="356"/>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75" customFormat="1" ht="21" thickBot="1" x14ac:dyDescent="0.25">
      <c r="A24" s="74"/>
      <c r="B24" s="88" t="s">
        <v>121</v>
      </c>
      <c r="C24" s="88"/>
      <c r="D24" s="88"/>
      <c r="E24" s="88"/>
      <c r="F24" s="88"/>
      <c r="G24" s="264"/>
      <c r="H24" s="69"/>
      <c r="I24" s="69"/>
      <c r="J24" s="356"/>
      <c r="K24" s="412"/>
      <c r="L24" s="412"/>
      <c r="M24" s="412"/>
      <c r="N24" s="412"/>
      <c r="O24" s="412"/>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row>
    <row r="25" spans="1:63" s="69" customFormat="1" ht="20.25" x14ac:dyDescent="0.2">
      <c r="A25" s="68"/>
      <c r="B25" s="68"/>
      <c r="C25" s="80" t="s">
        <v>256</v>
      </c>
      <c r="D25" s="80"/>
      <c r="E25" s="80"/>
      <c r="F25" s="80"/>
      <c r="G25" s="254">
        <v>733747.79999999993</v>
      </c>
      <c r="H25" s="301">
        <v>361976</v>
      </c>
      <c r="I25" s="301"/>
      <c r="J25" s="356"/>
      <c r="K25" s="447"/>
      <c r="L25" s="447"/>
      <c r="M25" s="447"/>
      <c r="N25" s="412"/>
      <c r="O25" s="447"/>
    </row>
    <row r="26" spans="1:63" s="69" customFormat="1" ht="20.25" x14ac:dyDescent="0.2">
      <c r="A26" s="68"/>
      <c r="B26" s="68"/>
      <c r="C26" s="80"/>
      <c r="D26" s="773" t="s">
        <v>257</v>
      </c>
      <c r="E26" s="773"/>
      <c r="F26" s="773"/>
      <c r="G26" s="254"/>
      <c r="H26" s="301"/>
      <c r="I26" s="301"/>
      <c r="J26" s="356">
        <v>70204.33</v>
      </c>
      <c r="K26" s="356">
        <v>127641.57</v>
      </c>
      <c r="L26" s="447"/>
      <c r="M26" s="447">
        <v>61834.99</v>
      </c>
      <c r="N26" s="412"/>
      <c r="O26" s="447">
        <v>107250.37</v>
      </c>
      <c r="Q26" s="301">
        <f t="shared" ref="Q26:Q47" si="1">J26-M26</f>
        <v>8369.3400000000038</v>
      </c>
      <c r="R26" s="494">
        <f>Q26/M26</f>
        <v>0.13534958119989998</v>
      </c>
    </row>
    <row r="27" spans="1:63" s="69" customFormat="1" ht="20.25" x14ac:dyDescent="0.2">
      <c r="A27" s="68"/>
      <c r="B27" s="68"/>
      <c r="C27" s="80"/>
      <c r="D27" s="773" t="s">
        <v>258</v>
      </c>
      <c r="E27" s="773"/>
      <c r="F27" s="773"/>
      <c r="G27" s="254"/>
      <c r="H27" s="301"/>
      <c r="I27" s="301"/>
      <c r="J27" s="356">
        <f>18001.8+11429.83+315.5+140.78</f>
        <v>29887.909999999996</v>
      </c>
      <c r="K27" s="356">
        <f>34924.35+22312.7+586+303</f>
        <v>58126.05</v>
      </c>
      <c r="L27" s="447"/>
      <c r="M27" s="447">
        <f>17507.4+11056.37+278.2+97.5</f>
        <v>28939.470000000005</v>
      </c>
      <c r="N27" s="412"/>
      <c r="O27" s="447">
        <v>45647.57</v>
      </c>
      <c r="Q27" s="301">
        <f t="shared" si="1"/>
        <v>948.43999999999141</v>
      </c>
      <c r="R27" s="494">
        <f>Q27/M27</f>
        <v>3.2773233234747949E-2</v>
      </c>
      <c r="T27" s="288"/>
    </row>
    <row r="28" spans="1:63" s="69" customFormat="1" ht="20.25" x14ac:dyDescent="0.2">
      <c r="A28" s="68"/>
      <c r="B28" s="68"/>
      <c r="C28" s="80"/>
      <c r="D28" s="773" t="s">
        <v>123</v>
      </c>
      <c r="E28" s="773"/>
      <c r="F28" s="773"/>
      <c r="G28" s="254"/>
      <c r="H28" s="301"/>
      <c r="I28" s="301"/>
      <c r="J28" s="356">
        <f>(J26+J27)*0.19</f>
        <v>19017.525599999997</v>
      </c>
      <c r="K28" s="356">
        <f>(K26+K27)*0.2+1639.81</f>
        <v>38793.333999999995</v>
      </c>
      <c r="L28" s="447"/>
      <c r="M28" s="356">
        <f>(M26+M27)*0.19</f>
        <v>17247.147400000002</v>
      </c>
      <c r="N28" s="412"/>
      <c r="O28" s="447">
        <v>32108.5674</v>
      </c>
      <c r="Q28" s="301">
        <f t="shared" si="1"/>
        <v>1770.3781999999956</v>
      </c>
      <c r="R28" s="494">
        <f>Q28/M28</f>
        <v>0.10264759492923424</v>
      </c>
    </row>
    <row r="29" spans="1:63" s="69" customFormat="1" ht="20.25" x14ac:dyDescent="0.2">
      <c r="A29" s="68"/>
      <c r="B29" s="68"/>
      <c r="C29" s="80" t="s">
        <v>344</v>
      </c>
      <c r="D29" s="80"/>
      <c r="E29" s="80"/>
      <c r="F29" s="80"/>
      <c r="G29" s="254">
        <v>44745.18</v>
      </c>
      <c r="H29" s="254">
        <v>20974.21</v>
      </c>
      <c r="I29" s="254"/>
      <c r="J29" s="356"/>
      <c r="K29" s="687"/>
      <c r="L29" s="356"/>
      <c r="M29" s="356"/>
      <c r="N29" s="412"/>
      <c r="O29" s="356"/>
      <c r="Q29" s="301">
        <f t="shared" si="1"/>
        <v>0</v>
      </c>
      <c r="R29" s="494"/>
    </row>
    <row r="30" spans="1:63" s="69" customFormat="1" ht="20.25" x14ac:dyDescent="0.2">
      <c r="A30" s="68"/>
      <c r="B30" s="68"/>
      <c r="C30" s="80"/>
      <c r="D30" s="773" t="s">
        <v>259</v>
      </c>
      <c r="E30" s="773"/>
      <c r="F30" s="773"/>
      <c r="G30" s="254"/>
      <c r="H30" s="254"/>
      <c r="I30" s="254"/>
      <c r="J30" s="356">
        <v>12945.4</v>
      </c>
      <c r="K30" s="356">
        <f>21360.73-604</f>
        <v>20756.73</v>
      </c>
      <c r="L30" s="356"/>
      <c r="M30" s="356">
        <v>10364.6</v>
      </c>
      <c r="N30" s="412"/>
      <c r="O30" s="356">
        <v>15165.56</v>
      </c>
      <c r="Q30" s="301">
        <f t="shared" si="1"/>
        <v>2580.7999999999993</v>
      </c>
      <c r="R30" s="494">
        <f t="shared" ref="R30:R37" si="2">Q30/M30</f>
        <v>0.24900140864095086</v>
      </c>
    </row>
    <row r="31" spans="1:63" s="69" customFormat="1" ht="20.25" x14ac:dyDescent="0.2">
      <c r="A31" s="68"/>
      <c r="B31" s="68"/>
      <c r="C31" s="80"/>
      <c r="D31" s="773" t="s">
        <v>260</v>
      </c>
      <c r="E31" s="773"/>
      <c r="F31" s="773"/>
      <c r="G31" s="254"/>
      <c r="H31" s="254"/>
      <c r="I31" s="254"/>
      <c r="J31" s="356">
        <v>7368.33</v>
      </c>
      <c r="K31" s="356">
        <v>13639.75</v>
      </c>
      <c r="L31" s="356"/>
      <c r="M31" s="356">
        <v>6704.18</v>
      </c>
      <c r="N31" s="412"/>
      <c r="O31" s="356">
        <v>12730.77</v>
      </c>
      <c r="Q31" s="301">
        <f t="shared" si="1"/>
        <v>664.14999999999964</v>
      </c>
      <c r="R31" s="494">
        <f t="shared" si="2"/>
        <v>9.9065060902302687E-2</v>
      </c>
    </row>
    <row r="32" spans="1:63" s="69" customFormat="1" ht="20.25" x14ac:dyDescent="0.2">
      <c r="A32" s="68"/>
      <c r="B32" s="68"/>
      <c r="C32" s="80"/>
      <c r="D32" s="773" t="s">
        <v>389</v>
      </c>
      <c r="E32" s="773"/>
      <c r="F32" s="773"/>
      <c r="G32" s="254"/>
      <c r="H32" s="254"/>
      <c r="I32" s="254"/>
      <c r="J32" s="356">
        <v>4550.07</v>
      </c>
      <c r="K32" s="356">
        <v>11691.65</v>
      </c>
      <c r="L32" s="356"/>
      <c r="M32" s="356">
        <v>4110.04</v>
      </c>
      <c r="N32" s="412"/>
      <c r="O32" s="356">
        <v>6887.16</v>
      </c>
      <c r="Q32" s="301">
        <f t="shared" si="1"/>
        <v>440.02999999999975</v>
      </c>
      <c r="R32" s="494">
        <f t="shared" si="2"/>
        <v>0.10706221837257052</v>
      </c>
    </row>
    <row r="33" spans="1:18" s="69" customFormat="1" ht="20.25" x14ac:dyDescent="0.2">
      <c r="A33" s="68"/>
      <c r="B33" s="68"/>
      <c r="C33" s="80"/>
      <c r="D33" s="773" t="s">
        <v>261</v>
      </c>
      <c r="E33" s="773"/>
      <c r="F33" s="773"/>
      <c r="G33" s="254"/>
      <c r="H33" s="254"/>
      <c r="I33" s="254"/>
      <c r="J33" s="356"/>
      <c r="K33" s="356">
        <v>1100</v>
      </c>
      <c r="L33" s="356"/>
      <c r="M33" s="356">
        <v>1100</v>
      </c>
      <c r="N33" s="412"/>
      <c r="O33" s="356">
        <v>5500</v>
      </c>
      <c r="Q33" s="301">
        <f t="shared" si="1"/>
        <v>-1100</v>
      </c>
      <c r="R33" s="494">
        <f t="shared" si="2"/>
        <v>-1</v>
      </c>
    </row>
    <row r="34" spans="1:18" s="69" customFormat="1" ht="20.25" x14ac:dyDescent="0.2">
      <c r="A34" s="68"/>
      <c r="B34" s="68"/>
      <c r="C34" s="80"/>
      <c r="D34" s="773" t="s">
        <v>262</v>
      </c>
      <c r="E34" s="773"/>
      <c r="F34" s="773"/>
      <c r="G34" s="254"/>
      <c r="H34" s="254"/>
      <c r="I34" s="254"/>
      <c r="J34" s="356">
        <v>218.5</v>
      </c>
      <c r="K34" s="356">
        <v>1130.5</v>
      </c>
      <c r="L34" s="356"/>
      <c r="M34" s="356">
        <v>789</v>
      </c>
      <c r="N34" s="412"/>
      <c r="O34" s="356">
        <v>491.5</v>
      </c>
      <c r="Q34" s="301">
        <f t="shared" si="1"/>
        <v>-570.5</v>
      </c>
      <c r="R34" s="494">
        <f t="shared" si="2"/>
        <v>-0.72306717363751583</v>
      </c>
    </row>
    <row r="35" spans="1:18" s="69" customFormat="1" ht="20.25" x14ac:dyDescent="0.2">
      <c r="A35" s="68"/>
      <c r="B35" s="68"/>
      <c r="C35" s="80" t="s">
        <v>263</v>
      </c>
      <c r="D35" s="80"/>
      <c r="E35" s="80"/>
      <c r="F35" s="80"/>
      <c r="G35" s="254">
        <v>27200</v>
      </c>
      <c r="H35" s="254">
        <v>11327</v>
      </c>
      <c r="I35" s="254"/>
      <c r="J35" s="356">
        <f>11178+834</f>
        <v>12012</v>
      </c>
      <c r="K35" s="356">
        <f>1862.04+21745.96</f>
        <v>23608</v>
      </c>
      <c r="L35" s="356"/>
      <c r="M35" s="356">
        <f>931.02+9560.98</f>
        <v>10492</v>
      </c>
      <c r="N35" s="412"/>
      <c r="O35" s="356">
        <v>19880</v>
      </c>
      <c r="Q35" s="301">
        <f t="shared" si="1"/>
        <v>1520</v>
      </c>
      <c r="R35" s="494">
        <f t="shared" si="2"/>
        <v>0.14487228364468166</v>
      </c>
    </row>
    <row r="36" spans="1:18" s="69" customFormat="1" ht="20.25" x14ac:dyDescent="0.2">
      <c r="A36" s="68"/>
      <c r="B36" s="68"/>
      <c r="C36" s="80" t="s">
        <v>114</v>
      </c>
      <c r="D36" s="80"/>
      <c r="E36" s="80"/>
      <c r="F36" s="80"/>
      <c r="G36" s="254">
        <v>150176</v>
      </c>
      <c r="H36" s="301">
        <v>47700.27</v>
      </c>
      <c r="I36" s="301"/>
      <c r="J36" s="356">
        <f>J18</f>
        <v>4657.5</v>
      </c>
      <c r="K36" s="356">
        <f>K18</f>
        <v>9315</v>
      </c>
      <c r="L36" s="447"/>
      <c r="M36" s="447">
        <f>M18</f>
        <v>4657.5</v>
      </c>
      <c r="N36" s="412"/>
      <c r="O36" s="447">
        <v>9315</v>
      </c>
      <c r="Q36" s="301">
        <f t="shared" si="1"/>
        <v>0</v>
      </c>
      <c r="R36" s="494">
        <f t="shared" si="2"/>
        <v>0</v>
      </c>
    </row>
    <row r="37" spans="1:18" s="69" customFormat="1" ht="20.25" x14ac:dyDescent="0.2">
      <c r="A37" s="68"/>
      <c r="B37" s="68"/>
      <c r="C37" s="80" t="s">
        <v>270</v>
      </c>
      <c r="D37" s="80"/>
      <c r="E37" s="80"/>
      <c r="F37" s="80"/>
      <c r="G37" s="254"/>
      <c r="H37" s="301"/>
      <c r="I37" s="301"/>
      <c r="J37" s="356">
        <v>2056</v>
      </c>
      <c r="K37" s="356">
        <f>296.04+3688.96</f>
        <v>3985</v>
      </c>
      <c r="L37" s="447"/>
      <c r="M37" s="447">
        <v>1988</v>
      </c>
      <c r="N37" s="412"/>
      <c r="O37" s="447"/>
      <c r="Q37" s="301">
        <f t="shared" si="1"/>
        <v>68</v>
      </c>
      <c r="R37" s="494">
        <f t="shared" si="2"/>
        <v>3.4205231388329982E-2</v>
      </c>
    </row>
    <row r="38" spans="1:18" s="69" customFormat="1" ht="20.25" x14ac:dyDescent="0.2">
      <c r="A38" s="68"/>
      <c r="B38" s="68"/>
      <c r="C38" s="80" t="s">
        <v>264</v>
      </c>
      <c r="D38" s="80"/>
      <c r="E38" s="80"/>
      <c r="F38" s="80"/>
      <c r="G38" s="254"/>
      <c r="H38" s="301"/>
      <c r="I38" s="301"/>
      <c r="J38" s="356">
        <f>1290.16+15.2</f>
        <v>1305.3600000000001</v>
      </c>
      <c r="K38" s="356">
        <v>665</v>
      </c>
      <c r="L38" s="447"/>
      <c r="M38" s="447">
        <v>665</v>
      </c>
      <c r="N38" s="412"/>
      <c r="O38" s="447">
        <v>1454.17</v>
      </c>
      <c r="Q38" s="301">
        <f t="shared" si="1"/>
        <v>640.36000000000013</v>
      </c>
      <c r="R38" s="494"/>
    </row>
    <row r="39" spans="1:18" s="69" customFormat="1" ht="20.25" x14ac:dyDescent="0.2">
      <c r="A39" s="68"/>
      <c r="B39" s="68"/>
      <c r="C39" s="80" t="s">
        <v>125</v>
      </c>
      <c r="D39" s="80"/>
      <c r="E39" s="80"/>
      <c r="F39" s="80"/>
      <c r="G39" s="254">
        <v>10993.12</v>
      </c>
      <c r="H39" s="301">
        <v>4904.57</v>
      </c>
      <c r="I39" s="301"/>
      <c r="J39" s="356">
        <f>27.62+1696.28</f>
        <v>1723.8999999999999</v>
      </c>
      <c r="K39" s="356">
        <f>52.41+2480.43</f>
        <v>2532.8399999999997</v>
      </c>
      <c r="L39" s="447"/>
      <c r="M39" s="447">
        <f>26.11+1217.98</f>
        <v>1244.0899999999999</v>
      </c>
      <c r="N39" s="412"/>
      <c r="O39" s="447">
        <v>2085.69</v>
      </c>
      <c r="Q39" s="301">
        <f t="shared" si="1"/>
        <v>479.80999999999995</v>
      </c>
      <c r="R39" s="494">
        <f>Q39/M39</f>
        <v>0.38567145463752622</v>
      </c>
    </row>
    <row r="40" spans="1:18" s="69" customFormat="1" ht="20.25" x14ac:dyDescent="0.2">
      <c r="A40" s="68"/>
      <c r="B40" s="68"/>
      <c r="C40" s="80" t="s">
        <v>265</v>
      </c>
      <c r="D40" s="80"/>
      <c r="E40" s="80"/>
      <c r="F40" s="80"/>
      <c r="G40" s="254">
        <v>10250.949999999999</v>
      </c>
      <c r="H40" s="301">
        <v>3982.99</v>
      </c>
      <c r="I40" s="301"/>
      <c r="J40" s="356">
        <f>17.62+147.47+11.1+45.5</f>
        <v>221.69</v>
      </c>
      <c r="K40" s="356">
        <f>51.1+541.91</f>
        <v>593.01</v>
      </c>
      <c r="L40" s="447"/>
      <c r="M40" s="447">
        <f>78.13+237.73+44.4+6.7</f>
        <v>366.96</v>
      </c>
      <c r="N40" s="412"/>
      <c r="O40" s="447">
        <v>701.85</v>
      </c>
      <c r="Q40" s="301">
        <f t="shared" si="1"/>
        <v>-145.26999999999998</v>
      </c>
      <c r="R40" s="494">
        <f>Q40/M40</f>
        <v>-0.39587420972313053</v>
      </c>
    </row>
    <row r="41" spans="1:18" s="69" customFormat="1" ht="20.25" x14ac:dyDescent="0.2">
      <c r="A41" s="68"/>
      <c r="B41" s="68"/>
      <c r="C41" s="80" t="s">
        <v>132</v>
      </c>
      <c r="D41" s="80"/>
      <c r="E41" s="80"/>
      <c r="F41" s="80"/>
      <c r="G41" s="254">
        <v>4412.53</v>
      </c>
      <c r="H41" s="302">
        <v>5667</v>
      </c>
      <c r="I41" s="302"/>
      <c r="J41" s="356">
        <f>117.2+387.2</f>
        <v>504.4</v>
      </c>
      <c r="K41" s="356">
        <f>269.31+701.29</f>
        <v>970.59999999999991</v>
      </c>
      <c r="L41" s="448"/>
      <c r="M41" s="448">
        <f>65.92+324.08</f>
        <v>390</v>
      </c>
      <c r="N41" s="412"/>
      <c r="O41" s="356">
        <v>904.99</v>
      </c>
      <c r="Q41" s="301">
        <f t="shared" si="1"/>
        <v>114.39999999999998</v>
      </c>
      <c r="R41" s="494">
        <f>Q41/M41</f>
        <v>0.29333333333333328</v>
      </c>
    </row>
    <row r="42" spans="1:18" s="69" customFormat="1" ht="20.25" x14ac:dyDescent="0.2">
      <c r="A42" s="68"/>
      <c r="B42" s="68"/>
      <c r="C42" s="80" t="s">
        <v>130</v>
      </c>
      <c r="D42" s="80"/>
      <c r="E42" s="80"/>
      <c r="F42" s="80"/>
      <c r="G42" s="254">
        <v>7901</v>
      </c>
      <c r="H42" s="301">
        <v>4149.6000000000004</v>
      </c>
      <c r="I42" s="301"/>
      <c r="J42" s="356">
        <v>265.63</v>
      </c>
      <c r="K42" s="356">
        <f>4.1+426.89</f>
        <v>430.99</v>
      </c>
      <c r="L42" s="447"/>
      <c r="M42" s="447">
        <f>4.1+269.98</f>
        <v>274.08000000000004</v>
      </c>
      <c r="N42" s="412"/>
      <c r="O42" s="447">
        <v>587.55999999999995</v>
      </c>
      <c r="Q42" s="301">
        <f t="shared" si="1"/>
        <v>-8.4500000000000455</v>
      </c>
      <c r="R42" s="494">
        <f>Q42/M42</f>
        <v>-3.0830414477524971E-2</v>
      </c>
    </row>
    <row r="43" spans="1:18" s="69" customFormat="1" ht="20.25" hidden="1" x14ac:dyDescent="0.2">
      <c r="A43" s="68"/>
      <c r="B43" s="68"/>
      <c r="C43" s="80" t="s">
        <v>266</v>
      </c>
      <c r="D43" s="80"/>
      <c r="E43" s="80"/>
      <c r="F43" s="80"/>
      <c r="G43" s="254"/>
      <c r="H43" s="301"/>
      <c r="I43" s="301"/>
      <c r="J43" s="356"/>
      <c r="K43" s="356"/>
      <c r="L43" s="447"/>
      <c r="M43" s="447">
        <v>0</v>
      </c>
      <c r="N43" s="412"/>
      <c r="O43" s="447">
        <v>570</v>
      </c>
      <c r="Q43" s="301">
        <f t="shared" si="1"/>
        <v>0</v>
      </c>
      <c r="R43" s="494"/>
    </row>
    <row r="44" spans="1:18" s="77" customFormat="1" ht="20.25" x14ac:dyDescent="0.2">
      <c r="A44" s="80"/>
      <c r="B44" s="80"/>
      <c r="C44" s="80" t="s">
        <v>126</v>
      </c>
      <c r="D44" s="80"/>
      <c r="E44" s="80"/>
      <c r="F44" s="80"/>
      <c r="G44" s="254">
        <v>5428.37</v>
      </c>
      <c r="H44" s="301">
        <v>2024.52</v>
      </c>
      <c r="I44" s="301"/>
      <c r="J44" s="356">
        <v>148.62</v>
      </c>
      <c r="K44" s="356">
        <v>209.23</v>
      </c>
      <c r="L44" s="447"/>
      <c r="M44" s="447">
        <f>124.44</f>
        <v>124.44</v>
      </c>
      <c r="N44" s="411"/>
      <c r="O44" s="447">
        <v>90.95</v>
      </c>
      <c r="Q44" s="301">
        <f t="shared" si="1"/>
        <v>24.180000000000007</v>
      </c>
      <c r="R44" s="494">
        <f>Q44/M44</f>
        <v>0.19431051108968184</v>
      </c>
    </row>
    <row r="45" spans="1:18" s="77" customFormat="1" ht="20.25" x14ac:dyDescent="0.2">
      <c r="A45" s="80"/>
      <c r="B45" s="80"/>
      <c r="C45" s="80" t="s">
        <v>267</v>
      </c>
      <c r="D45" s="80"/>
      <c r="E45" s="80"/>
      <c r="F45" s="80"/>
      <c r="G45" s="254">
        <v>83462.91</v>
      </c>
      <c r="H45" s="254">
        <v>18995.71</v>
      </c>
      <c r="I45" s="254"/>
      <c r="J45" s="446">
        <f>55.86+30+110</f>
        <v>195.86</v>
      </c>
      <c r="K45" s="446">
        <f>10.7+280.5+25.7</f>
        <v>316.89999999999998</v>
      </c>
      <c r="L45" s="356"/>
      <c r="M45" s="356"/>
      <c r="N45" s="411"/>
      <c r="O45" s="356">
        <v>18</v>
      </c>
      <c r="Q45" s="583">
        <f t="shared" si="1"/>
        <v>195.86</v>
      </c>
      <c r="R45" s="582"/>
    </row>
    <row r="46" spans="1:18" s="69" customFormat="1" ht="21" thickBot="1" x14ac:dyDescent="0.25">
      <c r="A46" s="68"/>
      <c r="B46" s="68"/>
      <c r="C46" s="68"/>
      <c r="D46" s="74" t="s">
        <v>138</v>
      </c>
      <c r="E46" s="68"/>
      <c r="F46" s="68"/>
      <c r="G46" s="264">
        <v>1078317.8599999999</v>
      </c>
      <c r="H46" s="264">
        <v>481701.87000000005</v>
      </c>
      <c r="I46" s="254"/>
      <c r="J46" s="527">
        <f>SUM(J26:J45)</f>
        <v>167283.02559999994</v>
      </c>
      <c r="K46" s="527">
        <f>SUM(K26:K45)</f>
        <v>315506.15400000004</v>
      </c>
      <c r="L46" s="356"/>
      <c r="M46" s="527">
        <f>SUM(M26:M45)</f>
        <v>151291.49739999996</v>
      </c>
      <c r="N46" s="412"/>
      <c r="O46" s="527">
        <v>261389.70740000001</v>
      </c>
      <c r="Q46" s="527">
        <f t="shared" si="1"/>
        <v>15991.528199999972</v>
      </c>
      <c r="R46" s="524">
        <f>Q46/M46</f>
        <v>0.1057001118689435</v>
      </c>
    </row>
    <row r="47" spans="1:18" s="69" customFormat="1" ht="21" thickBot="1" x14ac:dyDescent="0.25">
      <c r="A47" s="68"/>
      <c r="B47" s="68"/>
      <c r="C47" s="68"/>
      <c r="D47" s="68" t="s">
        <v>139</v>
      </c>
      <c r="E47" s="68"/>
      <c r="F47" s="68"/>
      <c r="G47" s="264">
        <v>233082.39000000013</v>
      </c>
      <c r="H47" s="264">
        <v>82291.709999999905</v>
      </c>
      <c r="I47" s="254"/>
      <c r="J47" s="528">
        <f>J22-J46</f>
        <v>-16686.135599999951</v>
      </c>
      <c r="K47" s="528">
        <f>K22-K46</f>
        <v>6791.7213999999803</v>
      </c>
      <c r="L47" s="356"/>
      <c r="M47" s="528">
        <f>M22-M46</f>
        <v>15034.448000000033</v>
      </c>
      <c r="N47" s="412"/>
      <c r="O47" s="528">
        <v>77384.707599999907</v>
      </c>
      <c r="Q47" s="423">
        <f t="shared" si="1"/>
        <v>-31720.583599999984</v>
      </c>
      <c r="R47" s="524">
        <f>Q47/M47</f>
        <v>-2.1098602090346059</v>
      </c>
    </row>
    <row r="48" spans="1:18" s="69" customFormat="1" ht="20.25" x14ac:dyDescent="0.2">
      <c r="A48" s="68"/>
      <c r="B48" s="68"/>
      <c r="C48" s="68"/>
      <c r="D48" s="68"/>
      <c r="E48" s="68"/>
      <c r="F48" s="68"/>
      <c r="G48" s="254"/>
      <c r="H48" s="254"/>
      <c r="I48" s="254"/>
      <c r="J48" s="356"/>
      <c r="K48" s="356"/>
      <c r="L48" s="356"/>
      <c r="M48" s="356"/>
      <c r="N48" s="412"/>
      <c r="O48" s="356"/>
    </row>
    <row r="49" spans="1:18" s="66" customFormat="1" ht="26.25" x14ac:dyDescent="0.2">
      <c r="A49" s="294"/>
      <c r="B49" s="294"/>
      <c r="C49" s="80" t="s">
        <v>321</v>
      </c>
      <c r="E49" s="80"/>
      <c r="F49" s="80"/>
      <c r="G49" s="296"/>
      <c r="H49" s="254"/>
      <c r="I49" s="254"/>
      <c r="J49" s="356">
        <v>-21893.75</v>
      </c>
      <c r="K49" s="356">
        <v>-49047</v>
      </c>
      <c r="L49" s="356"/>
      <c r="M49" s="356">
        <f>K49</f>
        <v>-49047</v>
      </c>
      <c r="N49" s="557"/>
      <c r="O49" s="356">
        <v>-50000</v>
      </c>
      <c r="Q49" s="301">
        <f>J49-M49</f>
        <v>27153.25</v>
      </c>
      <c r="R49" s="463"/>
    </row>
    <row r="50" spans="1:18" s="69" customFormat="1" ht="20.25" x14ac:dyDescent="0.2">
      <c r="A50" s="68"/>
      <c r="B50" s="68"/>
      <c r="C50" s="80" t="s">
        <v>268</v>
      </c>
      <c r="E50" s="68"/>
      <c r="G50" s="254"/>
      <c r="H50" s="254"/>
      <c r="I50" s="254"/>
      <c r="J50" s="356">
        <f>J35</f>
        <v>12012</v>
      </c>
      <c r="K50" s="356">
        <f>K35</f>
        <v>23608</v>
      </c>
      <c r="L50" s="356"/>
      <c r="M50" s="356">
        <f>M35</f>
        <v>10492</v>
      </c>
      <c r="N50" s="412"/>
      <c r="O50" s="356">
        <v>19880</v>
      </c>
      <c r="Q50" s="301">
        <f>J50-M50</f>
        <v>1520</v>
      </c>
      <c r="R50" s="463">
        <v>3.5414486921529216E-2</v>
      </c>
    </row>
    <row r="51" spans="1:18" s="69" customFormat="1" ht="24" thickBot="1" x14ac:dyDescent="0.25">
      <c r="A51" s="68"/>
      <c r="B51" s="444"/>
      <c r="C51" s="68"/>
      <c r="D51" s="772" t="s">
        <v>269</v>
      </c>
      <c r="E51" s="772"/>
      <c r="F51" s="772"/>
      <c r="G51" s="254"/>
      <c r="H51" s="254"/>
      <c r="I51" s="254"/>
      <c r="J51" s="529">
        <f>J47+J49+J50</f>
        <v>-26567.885599999951</v>
      </c>
      <c r="K51" s="529">
        <f>K47+K49+K50</f>
        <v>-18647.27860000002</v>
      </c>
      <c r="L51" s="360"/>
      <c r="M51" s="529">
        <f>M47+M49+M50</f>
        <v>-23520.551999999967</v>
      </c>
      <c r="N51" s="556"/>
      <c r="O51" s="529">
        <v>47264.707599999907</v>
      </c>
      <c r="P51" s="434"/>
      <c r="Q51" s="525">
        <f>J51-M51</f>
        <v>-3047.3335999999836</v>
      </c>
      <c r="R51" s="572">
        <v>2.1062768618503362E-2</v>
      </c>
    </row>
    <row r="52" spans="1:18" s="69" customFormat="1" ht="42" customHeight="1" thickTop="1" x14ac:dyDescent="0.2">
      <c r="A52" s="68"/>
      <c r="B52" s="68"/>
      <c r="C52" s="68"/>
      <c r="D52" s="68"/>
      <c r="E52" s="68"/>
      <c r="F52" s="68"/>
      <c r="G52" s="254"/>
      <c r="H52" s="254"/>
      <c r="I52" s="254"/>
      <c r="J52" s="356"/>
      <c r="K52" s="254"/>
      <c r="L52" s="254"/>
      <c r="M52" s="254"/>
      <c r="O52" s="254"/>
    </row>
    <row r="53" spans="1:18" s="77" customFormat="1" ht="20.25" x14ac:dyDescent="0.2">
      <c r="A53" s="80"/>
      <c r="B53" s="80"/>
      <c r="C53" s="80"/>
      <c r="D53" s="80"/>
      <c r="F53" s="80" t="s">
        <v>402</v>
      </c>
      <c r="G53" s="269"/>
      <c r="H53" s="254"/>
      <c r="I53" s="254"/>
      <c r="J53" s="254">
        <v>106687</v>
      </c>
      <c r="K53" s="254">
        <v>201286</v>
      </c>
      <c r="L53" s="254"/>
      <c r="M53" s="254">
        <v>98982</v>
      </c>
    </row>
    <row r="54" spans="1:18" s="77" customFormat="1" ht="21" thickBot="1" x14ac:dyDescent="0.25">
      <c r="A54" s="80"/>
      <c r="B54" s="80"/>
      <c r="C54" s="80"/>
      <c r="D54" s="80"/>
      <c r="F54" s="80" t="s">
        <v>413</v>
      </c>
      <c r="G54" s="254"/>
      <c r="H54" s="254"/>
      <c r="I54" s="254"/>
      <c r="J54" s="713">
        <f>(J46-J35)/J53</f>
        <v>1.4553884315802295</v>
      </c>
      <c r="K54" s="713">
        <f>(K46-K35)/K53</f>
        <v>1.4501662013254775</v>
      </c>
      <c r="L54" s="712"/>
      <c r="M54" s="713">
        <f>(M46-M35)/M53</f>
        <v>1.4224757774140748</v>
      </c>
    </row>
    <row r="55" spans="1:18" s="77" customFormat="1" ht="20.25" x14ac:dyDescent="0.2">
      <c r="A55" s="80"/>
      <c r="B55" s="80"/>
      <c r="C55" s="80"/>
      <c r="D55" s="80"/>
      <c r="F55" s="80"/>
      <c r="G55" s="254"/>
      <c r="H55" s="254"/>
      <c r="I55" s="254"/>
      <c r="J55" s="254"/>
      <c r="K55" s="254"/>
      <c r="L55" s="254"/>
      <c r="M55" s="254"/>
    </row>
    <row r="56" spans="1:18" s="77" customFormat="1" ht="20.25" x14ac:dyDescent="0.2">
      <c r="A56" s="80"/>
      <c r="B56" s="80"/>
      <c r="C56" s="80"/>
      <c r="D56" s="80"/>
      <c r="F56" s="80" t="s">
        <v>436</v>
      </c>
      <c r="G56" s="254"/>
      <c r="H56" s="254"/>
      <c r="I56" s="254"/>
      <c r="J56" s="254">
        <v>7701</v>
      </c>
      <c r="K56" s="254">
        <v>14712</v>
      </c>
      <c r="L56" s="254"/>
      <c r="M56" s="254">
        <v>6730</v>
      </c>
    </row>
    <row r="57" spans="1:18" s="77" customFormat="1" ht="21" thickBot="1" x14ac:dyDescent="0.25">
      <c r="A57" s="80"/>
      <c r="B57" s="80"/>
      <c r="C57" s="80"/>
      <c r="D57" s="80"/>
      <c r="F57" s="80" t="s">
        <v>414</v>
      </c>
      <c r="G57" s="254"/>
      <c r="H57" s="254"/>
      <c r="I57" s="254"/>
      <c r="J57" s="713">
        <f>(J46-J35)/J56</f>
        <v>20.162449759771452</v>
      </c>
      <c r="K57" s="713">
        <f>(K46-K35)/K56</f>
        <v>19.840820690592714</v>
      </c>
      <c r="L57" s="254"/>
      <c r="M57" s="713">
        <f>(M46-M35)/M56</f>
        <v>20.921173462109952</v>
      </c>
    </row>
    <row r="58" spans="1:18" s="77" customFormat="1" ht="20.25" x14ac:dyDescent="0.2">
      <c r="A58" s="80"/>
      <c r="B58" s="80"/>
      <c r="C58" s="80"/>
      <c r="D58" s="80"/>
      <c r="F58" s="80"/>
      <c r="G58" s="254"/>
      <c r="H58" s="254"/>
      <c r="I58" s="254"/>
      <c r="J58" s="254"/>
      <c r="K58" s="254"/>
      <c r="L58" s="254"/>
      <c r="M58" s="254"/>
    </row>
    <row r="59" spans="1:18" s="77" customFormat="1" ht="20.25" x14ac:dyDescent="0.2">
      <c r="A59" s="80"/>
      <c r="B59" s="80"/>
      <c r="C59" s="68"/>
      <c r="D59" s="80"/>
      <c r="F59" s="80" t="s">
        <v>437</v>
      </c>
      <c r="G59" s="254"/>
      <c r="H59" s="254"/>
      <c r="I59" s="254"/>
      <c r="J59" s="254">
        <v>3312</v>
      </c>
      <c r="K59" s="254">
        <v>7273</v>
      </c>
      <c r="L59" s="254"/>
      <c r="M59" s="356">
        <v>3441</v>
      </c>
    </row>
    <row r="60" spans="1:18" s="77" customFormat="1" ht="21" thickBot="1" x14ac:dyDescent="0.25">
      <c r="A60" s="80"/>
      <c r="B60" s="80"/>
      <c r="C60" s="80"/>
      <c r="D60" s="80"/>
      <c r="E60" s="80"/>
      <c r="F60" s="80" t="s">
        <v>438</v>
      </c>
      <c r="G60" s="254"/>
      <c r="H60" s="254"/>
      <c r="I60" s="254"/>
      <c r="J60" s="713">
        <f t="shared" ref="J60:K60" si="3">J9/J59</f>
        <v>20.38502415458937</v>
      </c>
      <c r="K60" s="713">
        <f t="shared" si="3"/>
        <v>21.643007012237042</v>
      </c>
      <c r="L60" s="254"/>
      <c r="M60" s="713">
        <f>M9/M59</f>
        <v>24.359337401918047</v>
      </c>
    </row>
    <row r="61" spans="1:18" s="77" customFormat="1" ht="20.25" x14ac:dyDescent="0.2">
      <c r="A61" s="80"/>
      <c r="B61" s="80"/>
      <c r="C61" s="68"/>
      <c r="D61" s="68"/>
      <c r="G61" s="254"/>
      <c r="H61" s="254"/>
      <c r="I61" s="254"/>
      <c r="J61" s="254"/>
      <c r="K61" s="254"/>
      <c r="L61" s="254"/>
      <c r="M61" s="254"/>
    </row>
    <row r="62" spans="1:18" s="77" customFormat="1" ht="20.25" x14ac:dyDescent="0.2">
      <c r="A62" s="80"/>
      <c r="B62" s="80"/>
      <c r="C62" s="80"/>
      <c r="D62" s="80"/>
      <c r="E62" s="80"/>
      <c r="F62" s="80"/>
      <c r="G62" s="254"/>
      <c r="H62" s="254"/>
      <c r="I62" s="254"/>
      <c r="J62" s="254"/>
      <c r="K62" s="254"/>
      <c r="L62" s="254"/>
      <c r="M62" s="254"/>
    </row>
    <row r="63" spans="1:18" s="77" customFormat="1" ht="20.25" x14ac:dyDescent="0.2">
      <c r="A63" s="80"/>
      <c r="B63" s="80"/>
      <c r="C63" s="80"/>
      <c r="D63" s="80"/>
      <c r="E63" s="80"/>
      <c r="F63" s="80"/>
      <c r="G63" s="254"/>
      <c r="H63" s="254"/>
      <c r="I63" s="254"/>
      <c r="J63" s="254"/>
      <c r="K63" s="254"/>
      <c r="L63" s="254"/>
      <c r="M63" s="254"/>
    </row>
    <row r="64" spans="1:18" s="77" customFormat="1" ht="20.25" x14ac:dyDescent="0.2">
      <c r="A64" s="80"/>
      <c r="B64" s="80"/>
      <c r="C64" s="80"/>
      <c r="D64" s="80"/>
      <c r="E64" s="80"/>
      <c r="F64" s="80"/>
      <c r="G64" s="254"/>
      <c r="H64" s="254"/>
      <c r="I64" s="254"/>
      <c r="J64" s="254"/>
      <c r="K64" s="254"/>
      <c r="L64" s="254"/>
      <c r="M64" s="254"/>
    </row>
    <row r="65" spans="1:13" s="77" customFormat="1" ht="20.25" x14ac:dyDescent="0.2">
      <c r="A65" s="80"/>
      <c r="B65" s="80"/>
      <c r="C65" s="80"/>
      <c r="D65" s="80"/>
      <c r="E65" s="80"/>
      <c r="F65" s="80"/>
      <c r="G65" s="254"/>
      <c r="H65" s="254"/>
      <c r="I65" s="254"/>
      <c r="J65" s="254"/>
      <c r="K65" s="254"/>
      <c r="L65" s="254"/>
      <c r="M65" s="254"/>
    </row>
    <row r="66" spans="1:13" s="77" customFormat="1" ht="20.25" x14ac:dyDescent="0.2">
      <c r="A66" s="80"/>
      <c r="B66" s="80"/>
      <c r="C66" s="68"/>
      <c r="D66" s="80"/>
      <c r="F66" s="80"/>
      <c r="G66" s="254"/>
      <c r="H66" s="254"/>
      <c r="I66" s="254"/>
      <c r="J66" s="254"/>
      <c r="K66" s="254"/>
      <c r="L66" s="254"/>
      <c r="M66" s="254"/>
    </row>
    <row r="67" spans="1:13" s="77" customFormat="1" ht="20.25" x14ac:dyDescent="0.2">
      <c r="A67" s="80"/>
      <c r="B67" s="80"/>
      <c r="C67" s="80"/>
      <c r="D67" s="80"/>
      <c r="E67" s="80"/>
      <c r="F67" s="80"/>
      <c r="G67" s="254"/>
      <c r="H67" s="254"/>
      <c r="I67" s="254"/>
      <c r="J67" s="254"/>
      <c r="K67" s="254"/>
      <c r="L67" s="254"/>
      <c r="M67" s="254"/>
    </row>
    <row r="68" spans="1:13" s="69" customFormat="1" ht="20.25" x14ac:dyDescent="0.2">
      <c r="A68" s="68"/>
      <c r="B68" s="68"/>
      <c r="C68" s="68"/>
      <c r="D68" s="68"/>
      <c r="E68" s="68"/>
      <c r="F68" s="68"/>
      <c r="G68" s="259"/>
      <c r="H68" s="259"/>
      <c r="I68" s="259"/>
      <c r="J68" s="259"/>
      <c r="K68" s="259"/>
      <c r="L68" s="259"/>
      <c r="M68" s="259"/>
    </row>
    <row r="69" spans="1:13" s="69" customFormat="1" ht="20.25" x14ac:dyDescent="0.2">
      <c r="A69" s="68"/>
      <c r="B69" s="68"/>
      <c r="C69" s="68"/>
      <c r="D69" s="68"/>
      <c r="E69" s="68"/>
      <c r="F69" s="68"/>
      <c r="G69" s="259"/>
      <c r="H69" s="259"/>
      <c r="I69" s="259"/>
      <c r="J69" s="259"/>
      <c r="K69" s="259"/>
      <c r="L69" s="259"/>
      <c r="M69" s="259"/>
    </row>
    <row r="70" spans="1:13" s="69" customFormat="1" ht="23.25" x14ac:dyDescent="0.2">
      <c r="A70" s="68"/>
      <c r="B70" s="297"/>
      <c r="C70" s="68"/>
      <c r="D70" s="68"/>
      <c r="E70" s="68"/>
      <c r="F70" s="68"/>
      <c r="G70" s="254"/>
      <c r="H70" s="254"/>
      <c r="I70" s="254"/>
      <c r="J70" s="254"/>
      <c r="K70" s="254"/>
      <c r="L70" s="254"/>
      <c r="M70" s="254"/>
    </row>
    <row r="71" spans="1:13" s="77" customFormat="1" ht="20.25" x14ac:dyDescent="0.2">
      <c r="A71" s="80"/>
      <c r="B71" s="80"/>
      <c r="D71" s="80"/>
      <c r="E71" s="80"/>
      <c r="F71" s="80"/>
      <c r="G71" s="254"/>
      <c r="H71" s="254"/>
      <c r="I71" s="254"/>
      <c r="J71" s="254"/>
      <c r="K71" s="254"/>
      <c r="L71" s="254"/>
      <c r="M71" s="254"/>
    </row>
    <row r="72" spans="1:13" s="77" customFormat="1" ht="20.25" x14ac:dyDescent="0.2">
      <c r="A72" s="80"/>
      <c r="B72" s="80"/>
      <c r="D72" s="80"/>
      <c r="E72" s="80"/>
      <c r="F72" s="80"/>
      <c r="G72" s="254"/>
      <c r="H72" s="254"/>
      <c r="I72" s="254"/>
      <c r="J72" s="254"/>
      <c r="K72" s="254"/>
      <c r="L72" s="254"/>
      <c r="M72" s="254"/>
    </row>
    <row r="73" spans="1:13" s="69" customFormat="1" ht="20.25" x14ac:dyDescent="0.2">
      <c r="A73" s="68"/>
      <c r="B73" s="68"/>
      <c r="D73" s="80"/>
      <c r="E73" s="68"/>
      <c r="F73" s="68"/>
      <c r="G73" s="254"/>
      <c r="H73" s="254"/>
      <c r="I73" s="254"/>
      <c r="J73" s="254"/>
      <c r="K73" s="254"/>
      <c r="L73" s="254"/>
      <c r="M73" s="254"/>
    </row>
    <row r="74" spans="1:13" s="69" customFormat="1" ht="23.25" x14ac:dyDescent="0.2">
      <c r="A74" s="68"/>
      <c r="B74" s="297"/>
      <c r="C74" s="68"/>
      <c r="D74" s="68"/>
      <c r="E74" s="68"/>
      <c r="F74" s="68"/>
      <c r="G74" s="259"/>
      <c r="H74" s="259"/>
      <c r="I74" s="259"/>
      <c r="J74" s="259"/>
      <c r="K74" s="259"/>
      <c r="L74" s="259"/>
      <c r="M74" s="259"/>
    </row>
    <row r="75" spans="1:13" s="69" customFormat="1" ht="20.25" x14ac:dyDescent="0.2">
      <c r="A75" s="68"/>
      <c r="B75" s="68"/>
      <c r="C75" s="68"/>
      <c r="D75" s="68"/>
      <c r="E75" s="68"/>
      <c r="F75" s="68"/>
      <c r="G75" s="254"/>
      <c r="H75" s="254"/>
      <c r="I75" s="254"/>
      <c r="J75" s="254"/>
      <c r="K75" s="254"/>
      <c r="L75" s="254"/>
      <c r="M75" s="254"/>
    </row>
    <row r="76" spans="1:13" s="83" customFormat="1" ht="26.25" x14ac:dyDescent="0.2">
      <c r="A76" s="294"/>
      <c r="B76" s="294"/>
      <c r="C76" s="294"/>
      <c r="D76" s="294"/>
      <c r="E76" s="294"/>
      <c r="F76" s="294"/>
      <c r="G76" s="295"/>
      <c r="H76" s="259"/>
      <c r="I76" s="259"/>
      <c r="J76" s="259"/>
      <c r="K76" s="259"/>
      <c r="L76" s="259"/>
      <c r="M76" s="259"/>
    </row>
    <row r="77" spans="1:13" s="18" customFormat="1" ht="20.25" x14ac:dyDescent="0.3">
      <c r="A77" s="123"/>
      <c r="B77" s="123"/>
      <c r="C77" s="123"/>
      <c r="D77" s="123"/>
      <c r="E77" s="123"/>
      <c r="F77" s="123"/>
      <c r="G77" s="298"/>
      <c r="H77" s="303"/>
      <c r="I77" s="303"/>
      <c r="J77" s="303"/>
      <c r="K77" s="303"/>
      <c r="L77" s="303"/>
      <c r="M77" s="303"/>
    </row>
    <row r="78" spans="1:13" ht="20.25" x14ac:dyDescent="0.3">
      <c r="H78" s="303"/>
      <c r="I78" s="303"/>
      <c r="J78" s="303"/>
      <c r="K78" s="303"/>
      <c r="L78" s="303"/>
      <c r="M78" s="303"/>
    </row>
    <row r="79" spans="1:13" ht="20.25" x14ac:dyDescent="0.3">
      <c r="H79" s="303"/>
      <c r="I79" s="303"/>
      <c r="J79" s="303"/>
      <c r="K79" s="303"/>
      <c r="L79" s="303"/>
      <c r="M79" s="303"/>
    </row>
    <row r="80" spans="1:13" ht="20.25" x14ac:dyDescent="0.3">
      <c r="H80" s="300"/>
      <c r="I80" s="300"/>
      <c r="J80" s="300"/>
      <c r="K80" s="300"/>
      <c r="L80" s="300"/>
      <c r="M80" s="300"/>
    </row>
  </sheetData>
  <mergeCells count="12">
    <mergeCell ref="J6:M6"/>
    <mergeCell ref="D31:F31"/>
    <mergeCell ref="D32:F32"/>
    <mergeCell ref="D33:F33"/>
    <mergeCell ref="D34:F34"/>
    <mergeCell ref="C10:F10"/>
    <mergeCell ref="D51:F51"/>
    <mergeCell ref="Q8:R8"/>
    <mergeCell ref="D26:F26"/>
    <mergeCell ref="D27:F27"/>
    <mergeCell ref="D28:F28"/>
    <mergeCell ref="D30:F30"/>
  </mergeCells>
  <pageMargins left="0.2" right="0" top="0.5" bottom="0.5" header="0.3" footer="0.3"/>
  <pageSetup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634" hidden="1" customWidth="1"/>
    <col min="4" max="7" width="15" customWidth="1"/>
    <col min="8" max="8" width="14.625" customWidth="1"/>
  </cols>
  <sheetData>
    <row r="1" spans="1:130" ht="21" x14ac:dyDescent="0.35">
      <c r="A1" s="676" t="s">
        <v>103</v>
      </c>
      <c r="B1" s="60"/>
      <c r="C1" s="61"/>
      <c r="D1" s="61"/>
      <c r="E1" s="61"/>
      <c r="F1" s="60"/>
      <c r="G1" s="252"/>
      <c r="H1" s="60"/>
      <c r="I1" s="60"/>
      <c r="J1" s="60"/>
      <c r="K1" s="60"/>
      <c r="L1" s="523"/>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76" t="s">
        <v>376</v>
      </c>
      <c r="B2" s="60"/>
      <c r="C2" s="61"/>
      <c r="D2" s="61"/>
      <c r="E2" s="61"/>
      <c r="F2" s="60"/>
      <c r="G2" s="252"/>
      <c r="H2" s="60"/>
      <c r="I2" s="60"/>
      <c r="J2" s="60"/>
      <c r="K2" s="60"/>
      <c r="L2" s="523"/>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76" t="str">
        <f>'June''18 State of Activities'!A3</f>
        <v>Six Months Ended June 30, 2018 and 2017</v>
      </c>
      <c r="B3" s="60"/>
      <c r="C3" s="61"/>
      <c r="D3" s="61"/>
      <c r="E3" s="61"/>
      <c r="F3" s="60"/>
      <c r="G3" s="252"/>
      <c r="H3" s="60"/>
      <c r="I3" s="60"/>
      <c r="J3" s="60"/>
      <c r="K3" s="60"/>
      <c r="L3" s="523"/>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775" t="s">
        <v>347</v>
      </c>
      <c r="B5" s="776"/>
      <c r="C5" s="776"/>
      <c r="D5" s="776"/>
      <c r="E5" s="776"/>
      <c r="F5" s="776"/>
      <c r="G5" s="776"/>
      <c r="H5" s="777"/>
    </row>
    <row r="6" spans="1:130" ht="7.5" customHeight="1" thickBot="1" x14ac:dyDescent="0.25">
      <c r="E6" s="635"/>
      <c r="F6" s="635"/>
      <c r="G6" s="635"/>
    </row>
    <row r="7" spans="1:130" ht="15.75" x14ac:dyDescent="0.25">
      <c r="A7" s="636" t="s">
        <v>348</v>
      </c>
      <c r="B7" s="637" t="s">
        <v>349</v>
      </c>
      <c r="C7" s="637" t="s">
        <v>350</v>
      </c>
      <c r="D7" s="637" t="s">
        <v>351</v>
      </c>
      <c r="E7" s="637" t="s">
        <v>352</v>
      </c>
      <c r="F7" s="637" t="s">
        <v>353</v>
      </c>
      <c r="G7" s="637" t="s">
        <v>354</v>
      </c>
      <c r="H7" s="636" t="s">
        <v>355</v>
      </c>
    </row>
    <row r="8" spans="1:130" ht="16.5" thickBot="1" x14ac:dyDescent="0.3">
      <c r="A8" s="638"/>
      <c r="B8" s="639" t="s">
        <v>356</v>
      </c>
      <c r="C8" s="639" t="s">
        <v>356</v>
      </c>
      <c r="D8" s="639" t="s">
        <v>356</v>
      </c>
      <c r="E8" s="639" t="s">
        <v>356</v>
      </c>
      <c r="F8" s="639" t="s">
        <v>356</v>
      </c>
      <c r="G8" s="639" t="s">
        <v>356</v>
      </c>
      <c r="H8" s="640" t="s">
        <v>357</v>
      </c>
    </row>
    <row r="9" spans="1:130" x14ac:dyDescent="0.2">
      <c r="A9" s="641">
        <v>42741</v>
      </c>
      <c r="B9" s="642">
        <v>1059.72</v>
      </c>
      <c r="C9" s="643">
        <f>6123.86-3246.88</f>
        <v>2876.9799999999996</v>
      </c>
      <c r="D9" s="642">
        <f>160.4+1401.46</f>
        <v>1561.8600000000001</v>
      </c>
      <c r="E9" s="642">
        <f>2007.36+883.16</f>
        <v>2890.52</v>
      </c>
      <c r="F9" s="642">
        <v>4174.08</v>
      </c>
      <c r="G9" s="642">
        <v>3187.95</v>
      </c>
      <c r="H9" s="642">
        <f>G9-F9</f>
        <v>-986.13000000000011</v>
      </c>
    </row>
    <row r="10" spans="1:130" x14ac:dyDescent="0.2">
      <c r="A10" s="644">
        <v>42748</v>
      </c>
      <c r="B10" s="645">
        <v>1351.72</v>
      </c>
      <c r="C10" s="646">
        <f>7232.22-3246.88</f>
        <v>3985.34</v>
      </c>
      <c r="D10" s="645">
        <v>3927.82</v>
      </c>
      <c r="E10" s="645">
        <v>3364.16</v>
      </c>
      <c r="F10" s="642">
        <v>4643.2299999999996</v>
      </c>
      <c r="G10" s="642">
        <v>3858.57</v>
      </c>
      <c r="H10" s="642">
        <f t="shared" ref="H10:H21" si="0">G10-F10</f>
        <v>-784.6599999999994</v>
      </c>
    </row>
    <row r="11" spans="1:130" x14ac:dyDescent="0.2">
      <c r="A11" s="644">
        <v>42755</v>
      </c>
      <c r="B11" s="645">
        <v>1237.58</v>
      </c>
      <c r="C11" s="647">
        <f>5493.18-2496.78</f>
        <v>2996.4</v>
      </c>
      <c r="D11" s="645">
        <v>3463.28</v>
      </c>
      <c r="E11" s="645">
        <v>3723.22</v>
      </c>
      <c r="F11" s="642">
        <v>3257.98</v>
      </c>
      <c r="G11" s="642">
        <v>2816.13</v>
      </c>
      <c r="H11" s="642">
        <f t="shared" si="0"/>
        <v>-441.84999999999991</v>
      </c>
    </row>
    <row r="12" spans="1:130" x14ac:dyDescent="0.2">
      <c r="A12" s="644">
        <v>42762</v>
      </c>
      <c r="B12" s="645">
        <v>1829.66</v>
      </c>
      <c r="C12" s="647">
        <f>6125.18-2535</f>
        <v>3590.1800000000003</v>
      </c>
      <c r="D12" s="645">
        <v>2947.54</v>
      </c>
      <c r="E12" s="645">
        <v>3026.63</v>
      </c>
      <c r="F12" s="642">
        <v>3503.82</v>
      </c>
      <c r="G12" s="642">
        <v>2957.14</v>
      </c>
      <c r="H12" s="642">
        <f t="shared" si="0"/>
        <v>-546.68000000000029</v>
      </c>
    </row>
    <row r="13" spans="1:130" x14ac:dyDescent="0.2">
      <c r="A13" s="644">
        <v>42769</v>
      </c>
      <c r="B13" s="645">
        <v>2363.12</v>
      </c>
      <c r="C13" s="647">
        <f>-3488.68+8424.94</f>
        <v>4936.26</v>
      </c>
      <c r="D13" s="645">
        <v>3434.46</v>
      </c>
      <c r="E13" s="645">
        <v>2986.58</v>
      </c>
      <c r="F13" s="642">
        <v>4063.43</v>
      </c>
      <c r="G13" s="642">
        <v>3878.62</v>
      </c>
      <c r="H13" s="642">
        <f t="shared" si="0"/>
        <v>-184.80999999999995</v>
      </c>
    </row>
    <row r="14" spans="1:130" x14ac:dyDescent="0.2">
      <c r="A14" s="644">
        <v>42776</v>
      </c>
      <c r="B14" s="645">
        <v>1902.16</v>
      </c>
      <c r="C14" s="647">
        <f>-2931.5+7254.06</f>
        <v>4322.5600000000004</v>
      </c>
      <c r="D14" s="645">
        <v>2818.82</v>
      </c>
      <c r="E14" s="645">
        <f>2800.67</f>
        <v>2800.67</v>
      </c>
      <c r="F14" s="642">
        <v>4002.46</v>
      </c>
      <c r="G14" s="642">
        <v>2987.96</v>
      </c>
      <c r="H14" s="642">
        <f t="shared" si="0"/>
        <v>-1014.5</v>
      </c>
    </row>
    <row r="15" spans="1:130" x14ac:dyDescent="0.2">
      <c r="A15" s="644">
        <v>42783</v>
      </c>
      <c r="B15" s="645">
        <v>2134.56</v>
      </c>
      <c r="C15" s="647">
        <f>-3653.28+8329.5-700</f>
        <v>3976.2199999999993</v>
      </c>
      <c r="D15" s="645">
        <v>2157.96</v>
      </c>
      <c r="E15" s="645">
        <v>2584.04</v>
      </c>
      <c r="F15" s="642">
        <v>2886.61</v>
      </c>
      <c r="G15" s="642">
        <v>3373.08</v>
      </c>
      <c r="H15" s="642">
        <f t="shared" si="0"/>
        <v>486.4699999999998</v>
      </c>
    </row>
    <row r="16" spans="1:130" x14ac:dyDescent="0.2">
      <c r="A16" s="644">
        <v>42790</v>
      </c>
      <c r="B16" s="645">
        <v>1676.08</v>
      </c>
      <c r="C16" s="647">
        <f>-2869.88+6693.6</f>
        <v>3823.7200000000003</v>
      </c>
      <c r="D16" s="645">
        <v>3063.52</v>
      </c>
      <c r="E16" s="645">
        <v>3161.19</v>
      </c>
      <c r="F16" s="642">
        <v>3994.7</v>
      </c>
      <c r="G16" s="642">
        <v>3335.8</v>
      </c>
      <c r="H16" s="642">
        <f t="shared" si="0"/>
        <v>-658.89999999999964</v>
      </c>
    </row>
    <row r="17" spans="1:8" x14ac:dyDescent="0.2">
      <c r="A17" s="644">
        <v>42797</v>
      </c>
      <c r="B17" s="645">
        <v>1418.9</v>
      </c>
      <c r="C17" s="647">
        <f>-3427.32+8141.08</f>
        <v>4713.76</v>
      </c>
      <c r="D17" s="645">
        <v>4534.3</v>
      </c>
      <c r="E17" s="645">
        <v>3860.23</v>
      </c>
      <c r="F17" s="642">
        <v>4172.5600000000004</v>
      </c>
      <c r="G17" s="642">
        <v>2335.96</v>
      </c>
      <c r="H17" s="642">
        <f t="shared" si="0"/>
        <v>-1836.6000000000004</v>
      </c>
    </row>
    <row r="18" spans="1:8" x14ac:dyDescent="0.2">
      <c r="A18" s="644">
        <v>42804</v>
      </c>
      <c r="B18" s="645">
        <v>1013.74</v>
      </c>
      <c r="C18" s="647">
        <f>-2919.8+6449.26</f>
        <v>3529.46</v>
      </c>
      <c r="D18" s="645">
        <v>3673.88</v>
      </c>
      <c r="E18" s="645">
        <v>4004</v>
      </c>
      <c r="F18" s="642">
        <v>3762.8</v>
      </c>
      <c r="G18" s="642">
        <v>1711.94</v>
      </c>
      <c r="H18" s="642">
        <f t="shared" si="0"/>
        <v>-2050.86</v>
      </c>
    </row>
    <row r="19" spans="1:8" x14ac:dyDescent="0.2">
      <c r="A19" s="644">
        <v>42811</v>
      </c>
      <c r="B19" s="648">
        <v>3629.96</v>
      </c>
      <c r="C19" s="647">
        <f>-3708.38+7621.78</f>
        <v>3913.3999999999996</v>
      </c>
      <c r="D19" s="645">
        <v>4030.4</v>
      </c>
      <c r="E19" s="645">
        <v>3222.03</v>
      </c>
      <c r="F19" s="642">
        <v>4340.3</v>
      </c>
      <c r="G19" s="642">
        <v>942.16</v>
      </c>
      <c r="H19" s="642">
        <f t="shared" si="0"/>
        <v>-3398.1400000000003</v>
      </c>
    </row>
    <row r="20" spans="1:8" x14ac:dyDescent="0.2">
      <c r="A20" s="644">
        <v>42818</v>
      </c>
      <c r="B20" s="648">
        <v>3364</v>
      </c>
      <c r="C20" s="647">
        <f>-3726.84+7846.28</f>
        <v>4119.4399999999996</v>
      </c>
      <c r="D20" s="645">
        <v>3975.2</v>
      </c>
      <c r="E20" s="645">
        <v>3684.17</v>
      </c>
      <c r="F20" s="642">
        <v>3849.95</v>
      </c>
      <c r="G20" s="642">
        <v>1706.08</v>
      </c>
      <c r="H20" s="642">
        <f t="shared" si="0"/>
        <v>-2143.87</v>
      </c>
    </row>
    <row r="21" spans="1:8" ht="15" thickBot="1" x14ac:dyDescent="0.25">
      <c r="A21" s="644">
        <v>42825</v>
      </c>
      <c r="B21" s="648">
        <v>3587</v>
      </c>
      <c r="C21" s="647">
        <f>-3329.82+7562.9</f>
        <v>4233.08</v>
      </c>
      <c r="D21" s="645">
        <v>4280.8</v>
      </c>
      <c r="E21" s="648">
        <v>4118.96</v>
      </c>
      <c r="F21" s="649">
        <v>4082.74</v>
      </c>
      <c r="G21" s="649">
        <v>2002.52</v>
      </c>
      <c r="H21" s="642">
        <f t="shared" si="0"/>
        <v>-2080.2199999999998</v>
      </c>
    </row>
    <row r="22" spans="1:8" ht="16.5" thickBot="1" x14ac:dyDescent="0.25">
      <c r="A22" s="650" t="s">
        <v>358</v>
      </c>
      <c r="B22" s="651">
        <f t="shared" ref="B22:H22" si="1">SUM(B9:B21)</f>
        <v>26568.2</v>
      </c>
      <c r="C22" s="651">
        <f t="shared" si="1"/>
        <v>51016.80000000001</v>
      </c>
      <c r="D22" s="651">
        <f t="shared" si="1"/>
        <v>43869.84</v>
      </c>
      <c r="E22" s="651">
        <f t="shared" si="1"/>
        <v>43426.399999999994</v>
      </c>
      <c r="F22" s="651">
        <f t="shared" si="1"/>
        <v>50734.659999999996</v>
      </c>
      <c r="G22" s="651">
        <f t="shared" si="1"/>
        <v>35093.909999999989</v>
      </c>
      <c r="H22" s="651">
        <f t="shared" si="1"/>
        <v>-15640.749999999998</v>
      </c>
    </row>
    <row r="23" spans="1:8" x14ac:dyDescent="0.2">
      <c r="A23" s="652">
        <v>42832</v>
      </c>
      <c r="B23" s="645">
        <v>3525.02</v>
      </c>
      <c r="C23" s="642">
        <v>4517.8999999999996</v>
      </c>
      <c r="D23" s="642">
        <v>4162.12</v>
      </c>
      <c r="E23" s="642">
        <v>4043.7</v>
      </c>
      <c r="F23" s="642">
        <v>3768.69</v>
      </c>
      <c r="G23" s="642">
        <v>2018.44</v>
      </c>
      <c r="H23" s="642">
        <f>G23-F23</f>
        <v>-1750.25</v>
      </c>
    </row>
    <row r="24" spans="1:8" x14ac:dyDescent="0.2">
      <c r="A24" s="652">
        <v>42839</v>
      </c>
      <c r="B24" s="645">
        <v>3842.84</v>
      </c>
      <c r="C24" s="642">
        <v>4554.42</v>
      </c>
      <c r="D24" s="645">
        <v>4616</v>
      </c>
      <c r="E24" s="645">
        <v>4136.18</v>
      </c>
      <c r="F24" s="642">
        <v>4345.16</v>
      </c>
      <c r="G24" s="642">
        <v>5284.52</v>
      </c>
      <c r="H24" s="642">
        <f t="shared" ref="H24:H63" si="2">G24-F24</f>
        <v>939.36000000000058</v>
      </c>
    </row>
    <row r="25" spans="1:8" x14ac:dyDescent="0.2">
      <c r="A25" s="652">
        <v>42846</v>
      </c>
      <c r="B25" s="645">
        <v>5337.82</v>
      </c>
      <c r="C25" s="645">
        <v>4041.14</v>
      </c>
      <c r="D25" s="645">
        <v>3729.1</v>
      </c>
      <c r="E25" s="645">
        <v>4132.83</v>
      </c>
      <c r="F25" s="642">
        <v>4267.46</v>
      </c>
      <c r="G25" s="642">
        <v>4715.9799999999996</v>
      </c>
      <c r="H25" s="642">
        <f t="shared" si="2"/>
        <v>448.51999999999953</v>
      </c>
    </row>
    <row r="26" spans="1:8" x14ac:dyDescent="0.2">
      <c r="A26" s="652">
        <v>42853</v>
      </c>
      <c r="B26" s="645">
        <v>4973.68</v>
      </c>
      <c r="C26" s="645">
        <v>4321.8599999999997</v>
      </c>
      <c r="D26" s="645">
        <v>3706.08</v>
      </c>
      <c r="E26" s="645">
        <v>4536.74</v>
      </c>
      <c r="F26" s="642">
        <v>3953.61</v>
      </c>
      <c r="G26" s="642">
        <v>4499.7</v>
      </c>
      <c r="H26" s="642">
        <f t="shared" si="2"/>
        <v>546.08999999999969</v>
      </c>
    </row>
    <row r="27" spans="1:8" x14ac:dyDescent="0.2">
      <c r="A27" s="652">
        <v>42860</v>
      </c>
      <c r="B27" s="645">
        <v>3187.22</v>
      </c>
      <c r="C27" s="645">
        <v>4732.8999999999996</v>
      </c>
      <c r="D27" s="645">
        <v>3421.72</v>
      </c>
      <c r="E27" s="645">
        <f>3478.64+72+758.56</f>
        <v>4309.2</v>
      </c>
      <c r="F27" s="642">
        <v>4192.32</v>
      </c>
      <c r="G27" s="642">
        <v>4204.16</v>
      </c>
      <c r="H27" s="642">
        <f t="shared" si="2"/>
        <v>11.840000000000146</v>
      </c>
    </row>
    <row r="28" spans="1:8" x14ac:dyDescent="0.2">
      <c r="A28" s="652">
        <v>42867</v>
      </c>
      <c r="B28" s="645">
        <v>2237.2399999999998</v>
      </c>
      <c r="C28" s="645">
        <v>4138.8999999999996</v>
      </c>
      <c r="D28" s="645">
        <v>3907.94</v>
      </c>
      <c r="E28" s="645">
        <f>4050.94+212.76</f>
        <v>4263.7</v>
      </c>
      <c r="F28" s="642">
        <v>4361.47</v>
      </c>
      <c r="G28" s="642">
        <v>4571.82</v>
      </c>
      <c r="H28" s="642">
        <f t="shared" si="2"/>
        <v>210.34999999999945</v>
      </c>
    </row>
    <row r="29" spans="1:8" x14ac:dyDescent="0.2">
      <c r="A29" s="652">
        <v>42874</v>
      </c>
      <c r="B29" s="645">
        <v>3446.22</v>
      </c>
      <c r="C29" s="645">
        <v>5447.82</v>
      </c>
      <c r="D29" s="645">
        <f>3359.74+70.28</f>
        <v>3430.02</v>
      </c>
      <c r="E29" s="645">
        <v>3958.56</v>
      </c>
      <c r="F29" s="642">
        <v>3957.78</v>
      </c>
      <c r="G29" s="642">
        <v>4089.18</v>
      </c>
      <c r="H29" s="642">
        <f t="shared" si="2"/>
        <v>131.39999999999964</v>
      </c>
    </row>
    <row r="30" spans="1:8" x14ac:dyDescent="0.2">
      <c r="A30" s="652">
        <v>42881</v>
      </c>
      <c r="B30" s="645">
        <v>3507.94</v>
      </c>
      <c r="C30" s="645">
        <v>4315.03</v>
      </c>
      <c r="D30" s="645">
        <v>3880.8</v>
      </c>
      <c r="E30" s="645">
        <v>4314.9799999999996</v>
      </c>
      <c r="F30" s="642">
        <v>3634.01</v>
      </c>
      <c r="G30" s="642">
        <v>3993.63</v>
      </c>
      <c r="H30" s="642">
        <f t="shared" si="2"/>
        <v>359.61999999999989</v>
      </c>
    </row>
    <row r="31" spans="1:8" x14ac:dyDescent="0.2">
      <c r="A31" s="652">
        <v>42888</v>
      </c>
      <c r="B31" s="645">
        <v>3609.72</v>
      </c>
      <c r="C31" s="645">
        <v>3053.8</v>
      </c>
      <c r="D31" s="645">
        <v>2686.82</v>
      </c>
      <c r="E31" s="645">
        <v>2987.04</v>
      </c>
      <c r="F31" s="642">
        <v>2684.24</v>
      </c>
      <c r="G31" s="642">
        <v>2384.3200000000002</v>
      </c>
      <c r="H31" s="642">
        <f t="shared" si="2"/>
        <v>-299.91999999999962</v>
      </c>
    </row>
    <row r="32" spans="1:8" x14ac:dyDescent="0.2">
      <c r="A32" s="652">
        <v>42895</v>
      </c>
      <c r="B32" s="645">
        <v>2033.76</v>
      </c>
      <c r="C32" s="645">
        <v>4194.8599999999997</v>
      </c>
      <c r="D32" s="645">
        <v>3006.14</v>
      </c>
      <c r="E32" s="645">
        <v>3675.8</v>
      </c>
      <c r="F32" s="642">
        <v>3674.42</v>
      </c>
      <c r="G32" s="642">
        <v>3297.66</v>
      </c>
      <c r="H32" s="642">
        <f t="shared" si="2"/>
        <v>-376.76000000000022</v>
      </c>
    </row>
    <row r="33" spans="1:8" x14ac:dyDescent="0.2">
      <c r="A33" s="652">
        <v>42902</v>
      </c>
      <c r="B33" s="645">
        <v>2786.98</v>
      </c>
      <c r="C33" s="645">
        <v>3980.08</v>
      </c>
      <c r="D33" s="645">
        <v>3579.53</v>
      </c>
      <c r="E33" s="645">
        <v>4147.8999999999996</v>
      </c>
      <c r="F33" s="642">
        <v>4182.5200000000004</v>
      </c>
      <c r="G33" s="642">
        <v>3252.16</v>
      </c>
      <c r="H33" s="642">
        <f t="shared" si="2"/>
        <v>-930.36000000000058</v>
      </c>
    </row>
    <row r="34" spans="1:8" x14ac:dyDescent="0.2">
      <c r="A34" s="652">
        <v>42909</v>
      </c>
      <c r="B34" s="648">
        <v>2436.9</v>
      </c>
      <c r="C34" s="645">
        <v>4001.26</v>
      </c>
      <c r="D34" s="645">
        <v>3401.21</v>
      </c>
      <c r="E34" s="645">
        <v>3774.82</v>
      </c>
      <c r="F34" s="642">
        <v>3596.56</v>
      </c>
      <c r="G34" s="642">
        <v>3139.68</v>
      </c>
      <c r="H34" s="642">
        <f t="shared" si="2"/>
        <v>-456.88000000000011</v>
      </c>
    </row>
    <row r="35" spans="1:8" ht="15" thickBot="1" x14ac:dyDescent="0.25">
      <c r="A35" s="652">
        <v>42916</v>
      </c>
      <c r="B35" s="648">
        <v>2410.56</v>
      </c>
      <c r="C35" s="645">
        <v>3928.74</v>
      </c>
      <c r="D35" s="648">
        <v>3288.01</v>
      </c>
      <c r="E35" s="648">
        <v>3466.07</v>
      </c>
      <c r="F35" s="649">
        <v>3867.92</v>
      </c>
      <c r="G35" s="649">
        <v>3368.72</v>
      </c>
      <c r="H35" s="642">
        <f t="shared" si="2"/>
        <v>-499.20000000000027</v>
      </c>
    </row>
    <row r="36" spans="1:8" ht="16.5" thickBot="1" x14ac:dyDescent="0.25">
      <c r="A36" s="650" t="s">
        <v>359</v>
      </c>
      <c r="B36" s="651">
        <f t="shared" ref="B36:H36" si="3">SUM(B23:B35)</f>
        <v>43335.9</v>
      </c>
      <c r="C36" s="651">
        <f t="shared" si="3"/>
        <v>55228.710000000006</v>
      </c>
      <c r="D36" s="651">
        <f t="shared" si="3"/>
        <v>46815.49</v>
      </c>
      <c r="E36" s="651">
        <f t="shared" si="3"/>
        <v>51747.520000000004</v>
      </c>
      <c r="F36" s="651">
        <f t="shared" si="3"/>
        <v>50486.159999999989</v>
      </c>
      <c r="G36" s="651">
        <f t="shared" si="3"/>
        <v>48819.970000000008</v>
      </c>
      <c r="H36" s="651">
        <f t="shared" si="3"/>
        <v>-1666.1900000000019</v>
      </c>
    </row>
    <row r="37" spans="1:8" x14ac:dyDescent="0.2">
      <c r="A37" s="652">
        <v>42923</v>
      </c>
      <c r="B37" s="642">
        <f>899.92+2410.56</f>
        <v>3310.48</v>
      </c>
      <c r="C37" s="642">
        <v>3059.59</v>
      </c>
      <c r="D37" s="642">
        <f>952.56+2445.69</f>
        <v>3398.25</v>
      </c>
      <c r="E37" s="642">
        <f>1313.52+1315.48</f>
        <v>2629</v>
      </c>
      <c r="F37" s="642">
        <v>3092.18</v>
      </c>
      <c r="G37" s="642">
        <v>2501.6799999999998</v>
      </c>
      <c r="H37" s="642">
        <f t="shared" si="2"/>
        <v>-590.5</v>
      </c>
    </row>
    <row r="38" spans="1:8" x14ac:dyDescent="0.2">
      <c r="A38" s="644">
        <v>42930</v>
      </c>
      <c r="B38" s="642">
        <v>2613.8200000000002</v>
      </c>
      <c r="C38" s="642">
        <v>4164.28</v>
      </c>
      <c r="D38" s="645">
        <v>3621.49</v>
      </c>
      <c r="E38" s="645">
        <v>3328.78</v>
      </c>
      <c r="F38" s="642">
        <v>4363</v>
      </c>
      <c r="G38" s="642">
        <v>3463.97</v>
      </c>
      <c r="H38" s="642">
        <f t="shared" si="2"/>
        <v>-899.0300000000002</v>
      </c>
    </row>
    <row r="39" spans="1:8" x14ac:dyDescent="0.2">
      <c r="A39" s="644">
        <v>42937</v>
      </c>
      <c r="B39" s="645">
        <v>2285.09</v>
      </c>
      <c r="C39" s="645">
        <v>3698.36</v>
      </c>
      <c r="D39" s="645">
        <v>3478.53</v>
      </c>
      <c r="E39" s="645">
        <v>4114.08</v>
      </c>
      <c r="F39" s="642">
        <v>3936.33</v>
      </c>
      <c r="G39" s="642">
        <v>3416.66</v>
      </c>
      <c r="H39" s="642">
        <f t="shared" si="2"/>
        <v>-519.67000000000007</v>
      </c>
    </row>
    <row r="40" spans="1:8" x14ac:dyDescent="0.2">
      <c r="A40" s="644">
        <v>42944</v>
      </c>
      <c r="B40" s="645">
        <v>1982.06</v>
      </c>
      <c r="C40" s="645">
        <v>3907.78</v>
      </c>
      <c r="D40" s="645">
        <v>3713.11</v>
      </c>
      <c r="E40" s="645">
        <v>4010.57</v>
      </c>
      <c r="F40" s="642">
        <v>3962.85</v>
      </c>
      <c r="G40" s="642">
        <v>3139.68</v>
      </c>
      <c r="H40" s="642">
        <f t="shared" si="2"/>
        <v>-823.17000000000007</v>
      </c>
    </row>
    <row r="41" spans="1:8" x14ac:dyDescent="0.2">
      <c r="A41" s="644">
        <v>42951</v>
      </c>
      <c r="B41" s="645">
        <v>2442</v>
      </c>
      <c r="C41" s="645">
        <v>3807.12</v>
      </c>
      <c r="D41" s="645">
        <v>3318.21</v>
      </c>
      <c r="E41" s="645">
        <v>3520.16</v>
      </c>
      <c r="F41" s="642">
        <v>3810.8</v>
      </c>
      <c r="G41" s="642">
        <v>3171.9</v>
      </c>
      <c r="H41" s="642">
        <f t="shared" si="2"/>
        <v>-638.90000000000009</v>
      </c>
    </row>
    <row r="42" spans="1:8" x14ac:dyDescent="0.2">
      <c r="A42" s="644">
        <v>42958</v>
      </c>
      <c r="B42" s="645">
        <v>2003.68</v>
      </c>
      <c r="C42" s="645">
        <v>3636.64</v>
      </c>
      <c r="D42" s="645">
        <v>2999.63</v>
      </c>
      <c r="E42" s="645">
        <v>3150.64</v>
      </c>
      <c r="F42" s="642">
        <v>3905.08</v>
      </c>
      <c r="G42" s="642">
        <v>3339.76</v>
      </c>
      <c r="H42" s="642">
        <f t="shared" si="2"/>
        <v>-565.31999999999971</v>
      </c>
    </row>
    <row r="43" spans="1:8" x14ac:dyDescent="0.2">
      <c r="A43" s="644">
        <v>42965</v>
      </c>
      <c r="B43" s="645">
        <v>1971.38</v>
      </c>
      <c r="C43" s="645">
        <v>3658.28</v>
      </c>
      <c r="D43" s="645">
        <v>4080.16</v>
      </c>
      <c r="E43" s="645">
        <v>3780.2</v>
      </c>
      <c r="F43" s="642">
        <v>3747.05</v>
      </c>
      <c r="G43" s="642">
        <v>3333.42</v>
      </c>
      <c r="H43" s="642">
        <f t="shared" si="2"/>
        <v>-413.63000000000011</v>
      </c>
    </row>
    <row r="44" spans="1:8" x14ac:dyDescent="0.2">
      <c r="A44" s="644">
        <v>42972</v>
      </c>
      <c r="B44" s="645">
        <v>2725.14</v>
      </c>
      <c r="C44" s="645">
        <v>4096.0200000000004</v>
      </c>
      <c r="D44" s="645">
        <v>4309.82</v>
      </c>
      <c r="E44" s="645">
        <v>3361.86</v>
      </c>
      <c r="F44" s="642">
        <v>3788.4</v>
      </c>
      <c r="G44" s="642">
        <v>3772.14</v>
      </c>
      <c r="H44" s="642">
        <f t="shared" si="2"/>
        <v>-16.260000000000218</v>
      </c>
    </row>
    <row r="45" spans="1:8" x14ac:dyDescent="0.2">
      <c r="A45" s="644">
        <v>42979</v>
      </c>
      <c r="B45" s="645">
        <v>2749.96</v>
      </c>
      <c r="C45" s="645">
        <v>3825.18</v>
      </c>
      <c r="D45" s="645">
        <v>3712.48</v>
      </c>
      <c r="E45" s="645">
        <v>3605.07</v>
      </c>
      <c r="F45" s="642">
        <v>3858.34</v>
      </c>
      <c r="G45" s="642">
        <v>3206</v>
      </c>
      <c r="H45" s="642">
        <f t="shared" si="2"/>
        <v>-652.34000000000015</v>
      </c>
    </row>
    <row r="46" spans="1:8" x14ac:dyDescent="0.2">
      <c r="A46" s="644">
        <v>42986</v>
      </c>
      <c r="B46" s="645">
        <v>2323.9</v>
      </c>
      <c r="C46" s="645">
        <v>2717.46</v>
      </c>
      <c r="D46" s="645">
        <v>3072.96</v>
      </c>
      <c r="E46" s="645">
        <f>753.86+2730.15</f>
        <v>3484.01</v>
      </c>
      <c r="F46" s="642">
        <v>3265.99</v>
      </c>
      <c r="G46" s="642">
        <v>2271.2199999999998</v>
      </c>
      <c r="H46" s="642">
        <f t="shared" si="2"/>
        <v>-994.77</v>
      </c>
    </row>
    <row r="47" spans="1:8" x14ac:dyDescent="0.2">
      <c r="A47" s="644">
        <v>42993</v>
      </c>
      <c r="B47" s="645">
        <v>2621.61</v>
      </c>
      <c r="C47" s="645">
        <v>3748.38</v>
      </c>
      <c r="D47" s="645">
        <v>3926.25</v>
      </c>
      <c r="E47" s="645">
        <v>3212.96</v>
      </c>
      <c r="F47" s="642">
        <v>3712.16</v>
      </c>
      <c r="G47" s="642">
        <v>2688.36</v>
      </c>
      <c r="H47" s="642">
        <f t="shared" si="2"/>
        <v>-1023.7999999999997</v>
      </c>
    </row>
    <row r="48" spans="1:8" x14ac:dyDescent="0.2">
      <c r="A48" s="644">
        <v>43000</v>
      </c>
      <c r="B48" s="645">
        <v>2394.14</v>
      </c>
      <c r="C48" s="645">
        <v>3766.8</v>
      </c>
      <c r="D48" s="645">
        <v>4164.1899999999996</v>
      </c>
      <c r="E48" s="645">
        <v>4004.92</v>
      </c>
      <c r="F48" s="642">
        <v>3509.17</v>
      </c>
      <c r="G48" s="642">
        <v>3180.04</v>
      </c>
      <c r="H48" s="642">
        <f t="shared" si="2"/>
        <v>-329.13000000000011</v>
      </c>
    </row>
    <row r="49" spans="1:8" ht="15" thickBot="1" x14ac:dyDescent="0.25">
      <c r="A49" s="644">
        <v>43007</v>
      </c>
      <c r="B49" s="648">
        <v>2669.64</v>
      </c>
      <c r="C49" s="648">
        <v>4136.58</v>
      </c>
      <c r="D49" s="648">
        <v>3566.31</v>
      </c>
      <c r="E49" s="648">
        <v>3837.41</v>
      </c>
      <c r="F49" s="649">
        <v>3803.3</v>
      </c>
      <c r="G49" s="649">
        <v>2437.88</v>
      </c>
      <c r="H49" s="642">
        <f t="shared" si="2"/>
        <v>-1365.42</v>
      </c>
    </row>
    <row r="50" spans="1:8" ht="16.5" thickBot="1" x14ac:dyDescent="0.25">
      <c r="A50" s="650" t="s">
        <v>360</v>
      </c>
      <c r="B50" s="651">
        <f>SUM(B37:B49)</f>
        <v>32092.899999999998</v>
      </c>
      <c r="C50" s="651">
        <f>SUM(C37:C49)</f>
        <v>48222.47</v>
      </c>
      <c r="D50" s="651">
        <f>SUM(D37:D49)</f>
        <v>47361.39</v>
      </c>
      <c r="E50" s="651">
        <f>SUM(E37:E49)</f>
        <v>46039.66</v>
      </c>
      <c r="F50" s="651">
        <f t="shared" ref="F50:H50" si="4">SUM(F37:F49)</f>
        <v>48754.649999999994</v>
      </c>
      <c r="G50" s="651">
        <f t="shared" si="4"/>
        <v>39922.71</v>
      </c>
      <c r="H50" s="651">
        <f t="shared" si="4"/>
        <v>-8831.9399999999987</v>
      </c>
    </row>
    <row r="51" spans="1:8" x14ac:dyDescent="0.2">
      <c r="A51" s="652">
        <v>43014</v>
      </c>
      <c r="B51" s="642">
        <v>3051.16</v>
      </c>
      <c r="C51" s="642">
        <v>4721</v>
      </c>
      <c r="D51" s="642">
        <f>1531.24+2227.04</f>
        <v>3758.2799999999997</v>
      </c>
      <c r="E51" s="642">
        <v>3921.83</v>
      </c>
      <c r="F51" s="642">
        <v>3911.96</v>
      </c>
      <c r="G51" s="642">
        <v>3047.82</v>
      </c>
      <c r="H51" s="642">
        <f t="shared" si="2"/>
        <v>-864.13999999999987</v>
      </c>
    </row>
    <row r="52" spans="1:8" x14ac:dyDescent="0.2">
      <c r="A52" s="644">
        <v>43021</v>
      </c>
      <c r="B52" s="645">
        <v>2579.96</v>
      </c>
      <c r="C52" s="645">
        <v>4035.24</v>
      </c>
      <c r="D52" s="645">
        <v>4232.92</v>
      </c>
      <c r="E52" s="645">
        <v>3403.46</v>
      </c>
      <c r="F52" s="642">
        <v>3093.5</v>
      </c>
      <c r="G52" s="642">
        <v>2010.94</v>
      </c>
      <c r="H52" s="642">
        <f t="shared" si="2"/>
        <v>-1082.56</v>
      </c>
    </row>
    <row r="53" spans="1:8" x14ac:dyDescent="0.2">
      <c r="A53" s="644">
        <v>43028</v>
      </c>
      <c r="B53" s="645">
        <v>3119.16</v>
      </c>
      <c r="C53" s="645">
        <v>2972.08</v>
      </c>
      <c r="D53" s="645">
        <v>3057.22</v>
      </c>
      <c r="E53" s="645">
        <v>3116.16</v>
      </c>
      <c r="F53" s="642">
        <v>4261.32</v>
      </c>
      <c r="G53" s="642">
        <v>3314.5</v>
      </c>
      <c r="H53" s="642">
        <f t="shared" si="2"/>
        <v>-946.81999999999971</v>
      </c>
    </row>
    <row r="54" spans="1:8" x14ac:dyDescent="0.2">
      <c r="A54" s="644">
        <v>43035</v>
      </c>
      <c r="B54" s="645">
        <v>2378.1999999999998</v>
      </c>
      <c r="C54" s="645">
        <v>3341.66</v>
      </c>
      <c r="D54" s="645">
        <v>3745.65</v>
      </c>
      <c r="E54" s="645">
        <v>3664.58</v>
      </c>
      <c r="F54" s="642">
        <v>3860.55</v>
      </c>
      <c r="G54" s="642">
        <v>2905</v>
      </c>
      <c r="H54" s="642">
        <f t="shared" si="2"/>
        <v>-955.55000000000018</v>
      </c>
    </row>
    <row r="55" spans="1:8" x14ac:dyDescent="0.2">
      <c r="A55" s="644">
        <v>43042</v>
      </c>
      <c r="B55" s="645">
        <v>2153.36</v>
      </c>
      <c r="C55" s="645">
        <v>3165.08</v>
      </c>
      <c r="D55" s="645">
        <f>3171.04+47.44+30.24</f>
        <v>3248.72</v>
      </c>
      <c r="E55" s="645">
        <v>3792.71</v>
      </c>
      <c r="F55" s="642">
        <v>3942.48</v>
      </c>
      <c r="G55" s="642">
        <v>3169.18</v>
      </c>
      <c r="H55" s="642">
        <f t="shared" si="2"/>
        <v>-773.30000000000018</v>
      </c>
    </row>
    <row r="56" spans="1:8" x14ac:dyDescent="0.2">
      <c r="A56" s="644">
        <v>43049</v>
      </c>
      <c r="B56" s="645">
        <v>1549.7</v>
      </c>
      <c r="C56" s="645">
        <v>3024.18</v>
      </c>
      <c r="D56" s="645">
        <v>3967.37</v>
      </c>
      <c r="E56" s="645">
        <v>3804.52</v>
      </c>
      <c r="F56" s="642">
        <v>3933.48</v>
      </c>
      <c r="G56" s="642">
        <v>2670.04</v>
      </c>
      <c r="H56" s="642">
        <f t="shared" si="2"/>
        <v>-1263.44</v>
      </c>
    </row>
    <row r="57" spans="1:8" x14ac:dyDescent="0.2">
      <c r="A57" s="644">
        <v>43056</v>
      </c>
      <c r="B57" s="645">
        <f>(5311.2-178.1)*0.5</f>
        <v>2566.5499999999997</v>
      </c>
      <c r="C57" s="645">
        <v>3500.86</v>
      </c>
      <c r="D57" s="645">
        <v>4007.55</v>
      </c>
      <c r="E57" s="645">
        <v>3693.64</v>
      </c>
      <c r="F57" s="642">
        <v>3860.4</v>
      </c>
      <c r="G57" s="642">
        <v>2400.7199999999998</v>
      </c>
      <c r="H57" s="642">
        <f t="shared" si="2"/>
        <v>-1459.6800000000003</v>
      </c>
    </row>
    <row r="58" spans="1:8" x14ac:dyDescent="0.2">
      <c r="A58" s="644">
        <v>43063</v>
      </c>
      <c r="B58" s="645">
        <f>(5311.2-178.1)*0.5</f>
        <v>2566.5499999999997</v>
      </c>
      <c r="C58" s="645">
        <v>4015.8</v>
      </c>
      <c r="D58" s="645">
        <v>4445.62</v>
      </c>
      <c r="E58" s="645">
        <v>3499.88</v>
      </c>
      <c r="F58" s="642">
        <v>1675.8</v>
      </c>
      <c r="G58" s="642">
        <v>1268.44</v>
      </c>
      <c r="H58" s="642">
        <f t="shared" si="2"/>
        <v>-407.3599999999999</v>
      </c>
    </row>
    <row r="59" spans="1:8" x14ac:dyDescent="0.2">
      <c r="A59" s="644">
        <v>43070</v>
      </c>
      <c r="B59" s="645">
        <v>3577.34</v>
      </c>
      <c r="C59" s="645">
        <v>2434.3200000000002</v>
      </c>
      <c r="D59" s="645">
        <v>1953.09</v>
      </c>
      <c r="E59" s="645">
        <v>2000.54</v>
      </c>
      <c r="F59" s="642">
        <v>3669.06</v>
      </c>
      <c r="G59" s="642">
        <v>2816.72</v>
      </c>
      <c r="H59" s="642">
        <f t="shared" si="2"/>
        <v>-852.34000000000015</v>
      </c>
    </row>
    <row r="60" spans="1:8" x14ac:dyDescent="0.2">
      <c r="A60" s="644">
        <v>43077</v>
      </c>
      <c r="B60" s="645">
        <v>3486.12</v>
      </c>
      <c r="C60" s="645">
        <v>3291.9</v>
      </c>
      <c r="D60" s="645">
        <v>3710.06</v>
      </c>
      <c r="E60" s="645">
        <f>2372.46+627.88</f>
        <v>3000.34</v>
      </c>
      <c r="F60" s="642">
        <v>3225.52</v>
      </c>
      <c r="G60" s="642">
        <v>2427</v>
      </c>
      <c r="H60" s="642">
        <f t="shared" si="2"/>
        <v>-798.52</v>
      </c>
    </row>
    <row r="61" spans="1:8" x14ac:dyDescent="0.2">
      <c r="A61" s="644">
        <v>43084</v>
      </c>
      <c r="B61" s="645">
        <v>3539.16</v>
      </c>
      <c r="C61" s="645">
        <v>4047.94</v>
      </c>
      <c r="D61" s="645">
        <v>3873.59</v>
      </c>
      <c r="E61" s="645">
        <v>4104.09</v>
      </c>
      <c r="F61" s="642">
        <v>2933.78</v>
      </c>
      <c r="G61" s="642">
        <v>2427</v>
      </c>
      <c r="H61" s="642">
        <f t="shared" si="2"/>
        <v>-506.7800000000002</v>
      </c>
    </row>
    <row r="62" spans="1:8" x14ac:dyDescent="0.2">
      <c r="A62" s="644">
        <v>43091</v>
      </c>
      <c r="B62" s="645">
        <v>1609.64</v>
      </c>
      <c r="C62" s="645">
        <v>3903.54</v>
      </c>
      <c r="D62" s="645">
        <v>3580.24</v>
      </c>
      <c r="E62" s="645">
        <v>3625.1</v>
      </c>
      <c r="F62" s="642">
        <v>3555.5</v>
      </c>
      <c r="G62" s="642">
        <v>2649.12</v>
      </c>
      <c r="H62" s="642">
        <f t="shared" si="2"/>
        <v>-906.38000000000011</v>
      </c>
    </row>
    <row r="63" spans="1:8" ht="15" thickBot="1" x14ac:dyDescent="0.25">
      <c r="A63" s="653">
        <v>43098</v>
      </c>
      <c r="B63" s="654">
        <v>5154.84</v>
      </c>
      <c r="C63" s="654">
        <v>2331.48</v>
      </c>
      <c r="D63" s="654">
        <v>2383.63</v>
      </c>
      <c r="E63" s="654">
        <v>2256.69</v>
      </c>
      <c r="F63" s="655">
        <v>2486.06</v>
      </c>
      <c r="G63" s="655">
        <v>2088.3000000000002</v>
      </c>
      <c r="H63" s="642">
        <f t="shared" si="2"/>
        <v>-397.75999999999976</v>
      </c>
    </row>
    <row r="64" spans="1:8" ht="16.5" thickBot="1" x14ac:dyDescent="0.25">
      <c r="A64" s="650" t="s">
        <v>361</v>
      </c>
      <c r="B64" s="651">
        <f>SUM(B51:B63)</f>
        <v>37331.74</v>
      </c>
      <c r="C64" s="651">
        <f>SUM(C51:C63)</f>
        <v>44785.08</v>
      </c>
      <c r="D64" s="651">
        <f>SUM(D51:D63)</f>
        <v>45963.939999999988</v>
      </c>
      <c r="E64" s="651">
        <f>SUM(E51:E63)</f>
        <v>43883.54</v>
      </c>
      <c r="F64" s="651">
        <f>SUM(F51:F63)</f>
        <v>44409.409999999996</v>
      </c>
      <c r="G64" s="651">
        <f t="shared" ref="G64" si="5">SUM(G51:G63)</f>
        <v>33194.78</v>
      </c>
      <c r="H64" s="651">
        <f>SUM(H51:H63)</f>
        <v>-11214.63</v>
      </c>
    </row>
    <row r="65" spans="1:8" ht="15.75" x14ac:dyDescent="0.25">
      <c r="A65" s="656" t="s">
        <v>362</v>
      </c>
      <c r="B65" s="657">
        <f t="shared" ref="B65:H65" si="6">SUM(B9:B63)-B22-B36-B50</f>
        <v>139328.74</v>
      </c>
      <c r="C65" s="657">
        <f t="shared" si="6"/>
        <v>199253.05999999985</v>
      </c>
      <c r="D65" s="657">
        <f t="shared" si="6"/>
        <v>184010.66000000003</v>
      </c>
      <c r="E65" s="657">
        <f t="shared" si="6"/>
        <v>185097.12000000014</v>
      </c>
      <c r="F65" s="657">
        <f t="shared" si="6"/>
        <v>194384.88000000003</v>
      </c>
      <c r="G65" s="657">
        <f t="shared" si="6"/>
        <v>157031.36999999994</v>
      </c>
      <c r="H65" s="657">
        <f t="shared" si="6"/>
        <v>-37353.509999999995</v>
      </c>
    </row>
    <row r="66" spans="1:8" x14ac:dyDescent="0.2">
      <c r="A66" s="57" t="s">
        <v>363</v>
      </c>
      <c r="B66" s="658">
        <f t="shared" ref="B66:G66" si="7">AVERAGE(B9:B21)</f>
        <v>2043.7076923076925</v>
      </c>
      <c r="C66" s="659">
        <f t="shared" si="7"/>
        <v>3924.3692307692318</v>
      </c>
      <c r="D66" s="659">
        <f t="shared" si="7"/>
        <v>3374.6030769230765</v>
      </c>
      <c r="E66" s="659">
        <f t="shared" si="7"/>
        <v>3340.4923076923073</v>
      </c>
      <c r="F66" s="659">
        <f t="shared" si="7"/>
        <v>3902.6661538461535</v>
      </c>
      <c r="G66" s="658">
        <f t="shared" si="7"/>
        <v>2699.5315384615378</v>
      </c>
      <c r="H66" s="660">
        <f>G66-F66</f>
        <v>-1203.1346153846157</v>
      </c>
    </row>
    <row r="67" spans="1:8" x14ac:dyDescent="0.2">
      <c r="A67" s="57" t="s">
        <v>364</v>
      </c>
      <c r="B67" s="661">
        <f t="shared" ref="B67:G67" si="8">AVERAGE(B23:B35)</f>
        <v>3333.5307692307692</v>
      </c>
      <c r="C67" s="662">
        <f t="shared" si="8"/>
        <v>4248.3623076923086</v>
      </c>
      <c r="D67" s="662">
        <f t="shared" si="8"/>
        <v>3601.1915384615381</v>
      </c>
      <c r="E67" s="662">
        <f t="shared" si="8"/>
        <v>3980.5784615384619</v>
      </c>
      <c r="F67" s="662">
        <f t="shared" si="8"/>
        <v>3883.5507692307683</v>
      </c>
      <c r="G67" s="661">
        <f t="shared" si="8"/>
        <v>3755.3823076923081</v>
      </c>
      <c r="H67" s="663">
        <f>G67-F67</f>
        <v>-128.16846153846018</v>
      </c>
    </row>
    <row r="68" spans="1:8" x14ac:dyDescent="0.2">
      <c r="A68" s="57" t="s">
        <v>365</v>
      </c>
      <c r="B68" s="661">
        <f t="shared" ref="B68:F68" si="9">AVERAGE(B37:B49)</f>
        <v>2468.6846153846154</v>
      </c>
      <c r="C68" s="662">
        <f t="shared" si="9"/>
        <v>3709.4207692307691</v>
      </c>
      <c r="D68" s="662">
        <f t="shared" si="9"/>
        <v>3643.1838461538459</v>
      </c>
      <c r="E68" s="662">
        <f t="shared" si="9"/>
        <v>3541.5123076923078</v>
      </c>
      <c r="F68" s="662">
        <f t="shared" si="9"/>
        <v>3750.3576923076917</v>
      </c>
      <c r="G68" s="662">
        <f>AVERAGE(G37:G49)</f>
        <v>3070.9776923076925</v>
      </c>
      <c r="H68" s="663">
        <f>G68-F68</f>
        <v>-679.3799999999992</v>
      </c>
    </row>
    <row r="69" spans="1:8" x14ac:dyDescent="0.2">
      <c r="A69" s="57" t="s">
        <v>366</v>
      </c>
      <c r="B69" s="664">
        <f t="shared" ref="B69:G69" si="10">AVERAGE(B51:B63)</f>
        <v>2871.6723076923076</v>
      </c>
      <c r="C69" s="665">
        <f t="shared" si="10"/>
        <v>3445.0061538461541</v>
      </c>
      <c r="D69" s="665">
        <f t="shared" si="10"/>
        <v>3535.6876923076916</v>
      </c>
      <c r="E69" s="666">
        <f t="shared" si="10"/>
        <v>3375.6569230769232</v>
      </c>
      <c r="F69" s="666">
        <f t="shared" si="10"/>
        <v>3416.1084615384611</v>
      </c>
      <c r="G69" s="666">
        <f t="shared" si="10"/>
        <v>2553.4446153846152</v>
      </c>
      <c r="H69" s="667">
        <f>G69-F69</f>
        <v>-862.66384615384595</v>
      </c>
    </row>
    <row r="71" spans="1:8" x14ac:dyDescent="0.2">
      <c r="H71" s="634"/>
    </row>
    <row r="74" spans="1:8" x14ac:dyDescent="0.2">
      <c r="C74" s="635"/>
    </row>
    <row r="75" spans="1:8" x14ac:dyDescent="0.2">
      <c r="C75" s="635"/>
    </row>
  </sheetData>
  <mergeCells count="1">
    <mergeCell ref="A5:H5"/>
  </mergeCells>
  <pageMargins left="1.2" right="0.2" top="0.25" bottom="0.5" header="0.3" footer="0.3"/>
  <pageSetup scale="7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103</v>
      </c>
      <c r="B1" s="60"/>
      <c r="C1" s="61"/>
      <c r="D1" s="61"/>
      <c r="E1" s="61"/>
      <c r="F1" s="60"/>
      <c r="G1" s="252"/>
      <c r="H1" s="573"/>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319</v>
      </c>
      <c r="B2" s="60"/>
      <c r="C2" s="61"/>
      <c r="D2" s="61"/>
      <c r="E2" s="61"/>
      <c r="F2" s="60"/>
      <c r="G2" s="252"/>
      <c r="H2" s="573"/>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309</v>
      </c>
      <c r="B3" s="60"/>
      <c r="C3" s="61"/>
      <c r="D3" s="61"/>
      <c r="E3" s="61"/>
      <c r="F3" s="60"/>
      <c r="G3" s="252"/>
      <c r="H3" s="573"/>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320</v>
      </c>
      <c r="B4" s="60"/>
      <c r="C4" s="61"/>
      <c r="D4" s="61"/>
      <c r="E4" s="61"/>
      <c r="F4" s="60"/>
      <c r="G4" s="252"/>
      <c r="H4" s="573"/>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53"/>
      <c r="H5" s="574"/>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69" t="s">
        <v>56</v>
      </c>
      <c r="H6" s="557"/>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54"/>
      <c r="H7" s="412"/>
    </row>
    <row r="8" spans="1:143" s="73" customFormat="1" ht="21" thickBot="1" x14ac:dyDescent="0.35">
      <c r="A8" s="70"/>
      <c r="B8" s="155" t="s">
        <v>110</v>
      </c>
      <c r="C8" s="155"/>
      <c r="D8" s="155"/>
      <c r="E8" s="155"/>
      <c r="F8" s="155"/>
      <c r="G8" s="308"/>
      <c r="H8" s="575"/>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70" t="s">
        <v>111</v>
      </c>
      <c r="D9" s="470"/>
      <c r="E9" s="470"/>
      <c r="F9" s="74"/>
      <c r="G9" s="289">
        <v>1015000</v>
      </c>
      <c r="H9" s="412"/>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70" t="s">
        <v>194</v>
      </c>
      <c r="D10" s="470"/>
      <c r="E10" s="470"/>
      <c r="F10" s="74"/>
      <c r="G10" s="290">
        <v>13000</v>
      </c>
      <c r="H10" s="412"/>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40"/>
      <c r="C11" s="470" t="s">
        <v>164</v>
      </c>
      <c r="D11" s="470"/>
      <c r="E11" s="470"/>
      <c r="F11" s="74"/>
      <c r="G11" s="290">
        <v>195000</v>
      </c>
      <c r="H11" s="412"/>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40"/>
      <c r="C12" s="470" t="s">
        <v>206</v>
      </c>
      <c r="D12" s="470"/>
      <c r="E12" s="470"/>
      <c r="F12" s="74"/>
      <c r="G12" s="290">
        <v>40000</v>
      </c>
      <c r="H12" s="412"/>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40"/>
      <c r="C13" s="470" t="s">
        <v>112</v>
      </c>
      <c r="D13" s="470"/>
      <c r="E13" s="470"/>
      <c r="F13" s="74"/>
      <c r="G13" s="290"/>
      <c r="H13" s="412"/>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40"/>
      <c r="C14" s="78"/>
      <c r="D14" s="470" t="s">
        <v>153</v>
      </c>
      <c r="E14" s="470"/>
      <c r="F14" s="74"/>
      <c r="G14" s="290">
        <f>43900+41500+122000</f>
        <v>207400</v>
      </c>
      <c r="H14" s="412"/>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40"/>
      <c r="C15" s="78"/>
      <c r="D15" s="470" t="s">
        <v>175</v>
      </c>
      <c r="E15" s="470"/>
      <c r="F15" s="74"/>
      <c r="G15" s="290">
        <v>11000</v>
      </c>
      <c r="H15" s="412"/>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40"/>
      <c r="C16" s="470" t="s">
        <v>113</v>
      </c>
      <c r="D16" s="470"/>
      <c r="E16" s="470"/>
      <c r="F16" s="74"/>
      <c r="G16" s="290">
        <v>9500</v>
      </c>
      <c r="H16" s="412"/>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40"/>
      <c r="C17" s="470" t="s">
        <v>120</v>
      </c>
      <c r="D17" s="470"/>
      <c r="E17" s="470"/>
      <c r="F17" s="74"/>
      <c r="G17" s="290">
        <v>1000</v>
      </c>
      <c r="H17" s="412"/>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40"/>
      <c r="C18" s="470" t="s">
        <v>279</v>
      </c>
      <c r="D18" s="470"/>
      <c r="E18" s="470"/>
      <c r="F18" s="74"/>
      <c r="G18" s="290">
        <v>3000</v>
      </c>
      <c r="H18" s="412"/>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40"/>
      <c r="C19" s="470" t="s">
        <v>280</v>
      </c>
      <c r="D19" s="470"/>
      <c r="E19" s="470"/>
      <c r="F19" s="74"/>
      <c r="G19" s="290">
        <f>25000+8000+20000</f>
        <v>53000</v>
      </c>
      <c r="H19" s="412"/>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40"/>
      <c r="C20" s="470" t="s">
        <v>159</v>
      </c>
      <c r="D20" s="470"/>
      <c r="E20" s="470"/>
      <c r="F20" s="74"/>
      <c r="G20" s="290">
        <v>500</v>
      </c>
      <c r="H20" s="412"/>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40"/>
      <c r="C21" s="470" t="s">
        <v>184</v>
      </c>
      <c r="D21" s="470"/>
      <c r="E21" s="470"/>
      <c r="F21" s="74"/>
      <c r="G21" s="290"/>
      <c r="H21" s="412"/>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40"/>
      <c r="C22" s="470" t="s">
        <v>119</v>
      </c>
      <c r="D22" s="470"/>
      <c r="E22" s="470"/>
      <c r="F22" s="74"/>
      <c r="G22" s="291">
        <v>46575</v>
      </c>
      <c r="H22" s="412"/>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40"/>
      <c r="C23" s="470"/>
      <c r="D23" s="74" t="s">
        <v>115</v>
      </c>
      <c r="E23" s="470"/>
      <c r="F23" s="74"/>
      <c r="G23" s="256">
        <f>SUM(G9:G22)</f>
        <v>1594975</v>
      </c>
      <c r="H23" s="412"/>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40"/>
      <c r="C24" s="74" t="s">
        <v>116</v>
      </c>
      <c r="D24" s="470"/>
      <c r="E24" s="470"/>
      <c r="F24" s="74"/>
      <c r="G24" s="264">
        <f>68000+18000</f>
        <v>86000</v>
      </c>
      <c r="H24" s="412"/>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40"/>
      <c r="C25" s="470"/>
      <c r="D25" s="74" t="s">
        <v>117</v>
      </c>
      <c r="E25" s="470"/>
      <c r="F25" s="74"/>
      <c r="G25" s="256">
        <f>SUM(G23:G24)</f>
        <v>1680975</v>
      </c>
      <c r="H25" s="412"/>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40"/>
      <c r="C26" s="470"/>
      <c r="D26" s="74"/>
      <c r="E26" s="470"/>
      <c r="F26" s="74"/>
      <c r="G26" s="256"/>
      <c r="H26" s="412"/>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41" t="s">
        <v>121</v>
      </c>
      <c r="C27" s="88"/>
      <c r="D27" s="88"/>
      <c r="E27" s="88"/>
      <c r="F27" s="88"/>
      <c r="G27" s="264"/>
      <c r="H27" s="412"/>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42"/>
      <c r="C28" s="80" t="s">
        <v>122</v>
      </c>
      <c r="D28" s="80"/>
      <c r="E28" s="80"/>
      <c r="F28" s="80"/>
      <c r="G28" s="254">
        <f>ROUND((898643.55+40000)*1.02,-2)</f>
        <v>957400</v>
      </c>
      <c r="H28" s="412"/>
    </row>
    <row r="29" spans="1:143" s="69" customFormat="1" ht="20.25" x14ac:dyDescent="0.2">
      <c r="A29" s="68"/>
      <c r="B29" s="442"/>
      <c r="C29" s="80" t="s">
        <v>123</v>
      </c>
      <c r="D29" s="80"/>
      <c r="E29" s="80"/>
      <c r="F29" s="80"/>
      <c r="G29" s="254">
        <f>ROUNDUP(G28*0.195,-2)</f>
        <v>186700</v>
      </c>
      <c r="H29" s="412"/>
    </row>
    <row r="30" spans="1:143" s="69" customFormat="1" ht="20.25" x14ac:dyDescent="0.2">
      <c r="A30" s="68"/>
      <c r="B30" s="442"/>
      <c r="C30" s="80" t="s">
        <v>124</v>
      </c>
      <c r="D30" s="80"/>
      <c r="E30" s="80"/>
      <c r="F30" s="80"/>
      <c r="G30" s="254">
        <f>48831-G22</f>
        <v>2256</v>
      </c>
      <c r="H30" s="412"/>
    </row>
    <row r="31" spans="1:143" s="69" customFormat="1" ht="20.25" x14ac:dyDescent="0.2">
      <c r="A31" s="68"/>
      <c r="B31" s="442"/>
      <c r="C31" s="80" t="s">
        <v>114</v>
      </c>
      <c r="D31" s="80"/>
      <c r="E31" s="80"/>
      <c r="F31" s="80"/>
      <c r="G31" s="254">
        <f>G22</f>
        <v>46575</v>
      </c>
      <c r="H31" s="412"/>
    </row>
    <row r="32" spans="1:143" s="69" customFormat="1" ht="20.25" x14ac:dyDescent="0.2">
      <c r="A32" s="68"/>
      <c r="B32" s="442"/>
      <c r="C32" s="80" t="s">
        <v>125</v>
      </c>
      <c r="D32" s="80"/>
      <c r="E32" s="80"/>
      <c r="F32" s="80"/>
      <c r="G32" s="254">
        <v>14000</v>
      </c>
      <c r="H32" s="412"/>
    </row>
    <row r="33" spans="1:8" s="69" customFormat="1" ht="20.25" x14ac:dyDescent="0.2">
      <c r="A33" s="68"/>
      <c r="B33" s="442"/>
      <c r="C33" s="80" t="s">
        <v>126</v>
      </c>
      <c r="D33" s="80"/>
      <c r="E33" s="80"/>
      <c r="F33" s="80"/>
      <c r="G33" s="254">
        <v>3500</v>
      </c>
      <c r="H33" s="412"/>
    </row>
    <row r="34" spans="1:8" s="69" customFormat="1" ht="20.25" x14ac:dyDescent="0.2">
      <c r="A34" s="68"/>
      <c r="B34" s="442"/>
      <c r="C34" s="80" t="s">
        <v>127</v>
      </c>
      <c r="D34" s="80"/>
      <c r="E34" s="80"/>
      <c r="F34" s="80"/>
      <c r="G34" s="254">
        <v>7000</v>
      </c>
      <c r="H34" s="412"/>
    </row>
    <row r="35" spans="1:8" s="69" customFormat="1" ht="20.25" x14ac:dyDescent="0.2">
      <c r="A35" s="68"/>
      <c r="B35" s="442"/>
      <c r="C35" s="80" t="s">
        <v>128</v>
      </c>
      <c r="D35" s="80"/>
      <c r="E35" s="80"/>
      <c r="F35" s="80"/>
      <c r="G35" s="254">
        <v>13500</v>
      </c>
      <c r="H35" s="412"/>
    </row>
    <row r="36" spans="1:8" s="69" customFormat="1" ht="20.25" x14ac:dyDescent="0.2">
      <c r="A36" s="68"/>
      <c r="B36" s="442"/>
      <c r="C36" s="80" t="s">
        <v>129</v>
      </c>
      <c r="D36" s="80"/>
      <c r="E36" s="80"/>
      <c r="F36" s="80"/>
      <c r="G36" s="254">
        <v>40000</v>
      </c>
      <c r="H36" s="412"/>
    </row>
    <row r="37" spans="1:8" s="69" customFormat="1" ht="20.25" x14ac:dyDescent="0.2">
      <c r="A37" s="68"/>
      <c r="B37" s="442"/>
      <c r="C37" s="80" t="s">
        <v>130</v>
      </c>
      <c r="D37" s="80"/>
      <c r="E37" s="80"/>
      <c r="F37" s="80"/>
      <c r="G37" s="254">
        <v>6600</v>
      </c>
      <c r="H37" s="412"/>
    </row>
    <row r="38" spans="1:8" s="69" customFormat="1" ht="20.25" x14ac:dyDescent="0.2">
      <c r="A38" s="68"/>
      <c r="B38" s="442"/>
      <c r="C38" s="80" t="s">
        <v>131</v>
      </c>
      <c r="D38" s="80"/>
      <c r="E38" s="80"/>
      <c r="F38" s="80"/>
      <c r="G38" s="254">
        <v>1500</v>
      </c>
      <c r="H38" s="412"/>
    </row>
    <row r="39" spans="1:8" s="69" customFormat="1" ht="20.25" x14ac:dyDescent="0.2">
      <c r="A39" s="68"/>
      <c r="B39" s="442"/>
      <c r="C39" s="80" t="s">
        <v>186</v>
      </c>
      <c r="D39" s="80"/>
      <c r="E39" s="80"/>
      <c r="F39" s="80"/>
      <c r="G39" s="254">
        <v>13700</v>
      </c>
      <c r="H39" s="412"/>
    </row>
    <row r="40" spans="1:8" s="77" customFormat="1" ht="20.25" x14ac:dyDescent="0.2">
      <c r="A40" s="80"/>
      <c r="B40" s="438"/>
      <c r="C40" s="80" t="s">
        <v>132</v>
      </c>
      <c r="D40" s="80"/>
      <c r="E40" s="80"/>
      <c r="F40" s="80"/>
      <c r="G40" s="356">
        <f>ROUNDUP(13248.87*1.05,-2)</f>
        <v>14000</v>
      </c>
      <c r="H40" s="411"/>
    </row>
    <row r="41" spans="1:8" s="77" customFormat="1" ht="20.25" x14ac:dyDescent="0.2">
      <c r="A41" s="80"/>
      <c r="B41" s="438"/>
      <c r="C41" s="80" t="s">
        <v>133</v>
      </c>
      <c r="D41" s="80"/>
      <c r="E41" s="80"/>
      <c r="F41" s="80"/>
      <c r="G41" s="254">
        <f>ROUNDUP(12343.85*1.03,-2)</f>
        <v>12800</v>
      </c>
      <c r="H41" s="411"/>
    </row>
    <row r="42" spans="1:8" s="77" customFormat="1" ht="20.25" x14ac:dyDescent="0.2">
      <c r="A42" s="80"/>
      <c r="B42" s="438"/>
      <c r="C42" s="80" t="s">
        <v>142</v>
      </c>
      <c r="D42" s="80"/>
      <c r="E42" s="80"/>
      <c r="F42" s="80"/>
      <c r="G42" s="254">
        <v>3000</v>
      </c>
      <c r="H42" s="411"/>
    </row>
    <row r="43" spans="1:8" s="77" customFormat="1" ht="20.25" x14ac:dyDescent="0.2">
      <c r="A43" s="80"/>
      <c r="B43" s="438"/>
      <c r="C43" s="80" t="s">
        <v>134</v>
      </c>
      <c r="D43" s="80"/>
      <c r="E43" s="80"/>
      <c r="F43" s="80"/>
      <c r="G43" s="356">
        <f>ROUNDUP((3067.88+8008.83)*1.05,-2)</f>
        <v>11700</v>
      </c>
      <c r="H43" s="411"/>
    </row>
    <row r="44" spans="1:8" s="69" customFormat="1" ht="20.25" x14ac:dyDescent="0.2">
      <c r="A44" s="68"/>
      <c r="B44" s="442"/>
      <c r="C44" s="80" t="s">
        <v>228</v>
      </c>
      <c r="D44" s="80"/>
      <c r="E44" s="80"/>
      <c r="F44" s="80"/>
      <c r="G44" s="254">
        <v>17000</v>
      </c>
      <c r="H44" s="412"/>
    </row>
    <row r="45" spans="1:8" s="77" customFormat="1" ht="20.25" x14ac:dyDescent="0.2">
      <c r="A45" s="80"/>
      <c r="B45" s="438"/>
      <c r="C45" s="80" t="s">
        <v>135</v>
      </c>
      <c r="D45" s="80"/>
      <c r="E45" s="80"/>
      <c r="F45" s="80"/>
      <c r="G45" s="356">
        <v>41000</v>
      </c>
      <c r="H45" s="411"/>
    </row>
    <row r="46" spans="1:8" s="77" customFormat="1" ht="20.25" x14ac:dyDescent="0.2">
      <c r="A46" s="80"/>
      <c r="B46" s="438"/>
      <c r="C46" s="80" t="s">
        <v>136</v>
      </c>
      <c r="D46" s="80"/>
      <c r="E46" s="80"/>
      <c r="F46" s="80"/>
      <c r="G46" s="356">
        <f>ROUNDUP((1800+4675.64+34905.29+1033.01-10000-2673-17150-1033+14000)*1.01,-2)</f>
        <v>25900</v>
      </c>
      <c r="H46" s="411"/>
    </row>
    <row r="47" spans="1:8" s="77" customFormat="1" ht="20.25" x14ac:dyDescent="0.2">
      <c r="A47" s="80"/>
      <c r="B47" s="438"/>
      <c r="C47" s="80" t="s">
        <v>187</v>
      </c>
      <c r="D47" s="80"/>
      <c r="E47" s="80"/>
      <c r="F47" s="80"/>
      <c r="G47" s="254">
        <v>36000</v>
      </c>
      <c r="H47" s="411"/>
    </row>
    <row r="48" spans="1:8" s="77" customFormat="1" ht="20.25" x14ac:dyDescent="0.2">
      <c r="A48" s="80"/>
      <c r="B48" s="438"/>
      <c r="C48" s="80" t="s">
        <v>185</v>
      </c>
      <c r="D48" s="80"/>
      <c r="E48" s="80"/>
      <c r="F48" s="80"/>
      <c r="G48" s="254">
        <f>ROUNDUP(46266.27*1.02,-2)</f>
        <v>47200</v>
      </c>
      <c r="H48" s="411"/>
    </row>
    <row r="49" spans="1:8" s="77" customFormat="1" ht="20.25" x14ac:dyDescent="0.2">
      <c r="A49" s="80"/>
      <c r="B49" s="438"/>
      <c r="C49" s="80" t="s">
        <v>137</v>
      </c>
      <c r="D49" s="80"/>
      <c r="E49" s="80"/>
      <c r="F49" s="80"/>
      <c r="G49" s="254">
        <f>ROUND((2604.31+166143.24-12000)*1.01,-2)</f>
        <v>158300</v>
      </c>
      <c r="H49" s="411"/>
    </row>
    <row r="50" spans="1:8" s="77" customFormat="1" ht="20.25" hidden="1" x14ac:dyDescent="0.2">
      <c r="A50" s="80"/>
      <c r="B50" s="438"/>
      <c r="C50" s="80" t="s">
        <v>311</v>
      </c>
      <c r="D50" s="80"/>
      <c r="E50" s="80"/>
      <c r="F50" s="80"/>
      <c r="G50" s="254"/>
      <c r="H50" s="411"/>
    </row>
    <row r="51" spans="1:8" s="69" customFormat="1" ht="20.25" x14ac:dyDescent="0.2">
      <c r="A51" s="68"/>
      <c r="B51" s="442"/>
      <c r="C51" s="68"/>
      <c r="D51" s="74" t="s">
        <v>138</v>
      </c>
      <c r="E51" s="68"/>
      <c r="F51" s="68"/>
      <c r="G51" s="259">
        <f>SUM(G28:G50)</f>
        <v>1659631</v>
      </c>
      <c r="H51" s="412"/>
    </row>
    <row r="52" spans="1:8" s="69" customFormat="1" ht="10.5" customHeight="1" thickBot="1" x14ac:dyDescent="0.25">
      <c r="A52" s="68"/>
      <c r="B52" s="442"/>
      <c r="C52" s="68"/>
      <c r="D52" s="74"/>
      <c r="E52" s="68"/>
      <c r="F52" s="68"/>
      <c r="G52" s="264"/>
      <c r="H52" s="412"/>
    </row>
    <row r="53" spans="1:8" s="69" customFormat="1" ht="21" thickBot="1" x14ac:dyDescent="0.25">
      <c r="A53" s="68"/>
      <c r="B53" s="442"/>
      <c r="C53" s="68"/>
      <c r="D53" s="68" t="s">
        <v>139</v>
      </c>
      <c r="E53" s="68"/>
      <c r="F53" s="68"/>
      <c r="G53" s="264">
        <f>G25-G51</f>
        <v>21344</v>
      </c>
      <c r="H53" s="412"/>
    </row>
    <row r="54" spans="1:8" s="69" customFormat="1" ht="11.25" customHeight="1" x14ac:dyDescent="0.2">
      <c r="A54" s="68"/>
      <c r="B54" s="442"/>
      <c r="C54" s="68"/>
      <c r="D54" s="68"/>
      <c r="E54" s="68"/>
      <c r="F54" s="68"/>
      <c r="G54" s="254"/>
      <c r="H54" s="412"/>
    </row>
    <row r="55" spans="1:8" s="77" customFormat="1" ht="20.25" x14ac:dyDescent="0.2">
      <c r="A55" s="80"/>
      <c r="B55" s="438"/>
      <c r="C55" s="80"/>
      <c r="D55" s="80"/>
      <c r="F55" s="80"/>
      <c r="G55" s="269"/>
      <c r="H55" s="411"/>
    </row>
    <row r="56" spans="1:8" s="77" customFormat="1" ht="20.25" x14ac:dyDescent="0.2">
      <c r="A56" s="80"/>
      <c r="B56" s="438"/>
      <c r="C56" s="80"/>
      <c r="D56" s="80"/>
      <c r="F56" s="80"/>
      <c r="G56" s="254"/>
      <c r="H56" s="411"/>
    </row>
    <row r="57" spans="1:8" s="77" customFormat="1" ht="20.25" x14ac:dyDescent="0.2">
      <c r="A57" s="80"/>
      <c r="B57" s="438"/>
      <c r="C57" s="80"/>
      <c r="D57" s="80"/>
      <c r="F57" s="80"/>
      <c r="G57" s="254"/>
      <c r="H57" s="411"/>
    </row>
    <row r="58" spans="1:8" s="77" customFormat="1" ht="20.25" x14ac:dyDescent="0.2">
      <c r="A58" s="80"/>
      <c r="B58" s="80"/>
      <c r="C58" s="80"/>
      <c r="D58" s="80"/>
      <c r="F58" s="80"/>
      <c r="G58" s="254"/>
      <c r="H58" s="411"/>
    </row>
    <row r="59" spans="1:8" s="77" customFormat="1" ht="20.25" x14ac:dyDescent="0.2">
      <c r="A59" s="80"/>
      <c r="B59" s="80"/>
      <c r="C59" s="80"/>
      <c r="D59" s="80"/>
      <c r="F59" s="80"/>
      <c r="G59" s="254"/>
      <c r="H59" s="411"/>
    </row>
    <row r="60" spans="1:8" s="77" customFormat="1" ht="20.25" x14ac:dyDescent="0.2">
      <c r="A60" s="80"/>
      <c r="B60" s="80"/>
      <c r="C60" s="80"/>
      <c r="D60" s="80"/>
      <c r="F60" s="80"/>
      <c r="G60" s="254"/>
      <c r="H60" s="411"/>
    </row>
    <row r="61" spans="1:8" s="77" customFormat="1" ht="20.25" x14ac:dyDescent="0.2">
      <c r="A61" s="80"/>
      <c r="B61" s="80"/>
      <c r="C61" s="68"/>
      <c r="D61" s="80"/>
      <c r="F61" s="80"/>
      <c r="G61" s="254"/>
      <c r="H61" s="411"/>
    </row>
    <row r="62" spans="1:8" s="77" customFormat="1" ht="20.25" x14ac:dyDescent="0.2">
      <c r="A62" s="80"/>
      <c r="B62" s="80"/>
      <c r="C62" s="80"/>
      <c r="D62" s="80"/>
      <c r="E62" s="80"/>
      <c r="F62" s="80"/>
      <c r="G62" s="254"/>
      <c r="H62" s="411"/>
    </row>
    <row r="63" spans="1:8" s="77" customFormat="1" ht="20.25" x14ac:dyDescent="0.2">
      <c r="A63" s="80"/>
      <c r="B63" s="80"/>
      <c r="C63" s="68"/>
      <c r="D63" s="68"/>
      <c r="G63" s="254"/>
      <c r="H63" s="411"/>
    </row>
    <row r="64" spans="1:8" s="77" customFormat="1" ht="20.25" x14ac:dyDescent="0.2">
      <c r="A64" s="80"/>
      <c r="B64" s="80"/>
      <c r="C64" s="80"/>
      <c r="D64" s="80"/>
      <c r="E64" s="80"/>
      <c r="F64" s="80"/>
      <c r="G64" s="254"/>
      <c r="H64" s="411"/>
    </row>
    <row r="65" spans="1:8" s="77" customFormat="1" ht="20.25" x14ac:dyDescent="0.2">
      <c r="A65" s="80"/>
      <c r="B65" s="80"/>
      <c r="C65" s="80"/>
      <c r="D65" s="80"/>
      <c r="E65" s="80"/>
      <c r="F65" s="80"/>
      <c r="G65" s="254"/>
      <c r="H65" s="411"/>
    </row>
    <row r="66" spans="1:8" s="77" customFormat="1" ht="20.25" x14ac:dyDescent="0.2">
      <c r="A66" s="80"/>
      <c r="B66" s="80"/>
      <c r="C66" s="80"/>
      <c r="D66" s="80"/>
      <c r="E66" s="80"/>
      <c r="F66" s="80"/>
      <c r="G66" s="254"/>
      <c r="H66" s="411"/>
    </row>
    <row r="67" spans="1:8" s="77" customFormat="1" ht="20.25" x14ac:dyDescent="0.2">
      <c r="A67" s="80"/>
      <c r="B67" s="80"/>
      <c r="C67" s="80"/>
      <c r="D67" s="80"/>
      <c r="E67" s="80"/>
      <c r="F67" s="80"/>
      <c r="G67" s="254"/>
      <c r="H67" s="411"/>
    </row>
    <row r="68" spans="1:8" s="77" customFormat="1" ht="20.25" x14ac:dyDescent="0.2">
      <c r="A68" s="80"/>
      <c r="B68" s="80"/>
      <c r="C68" s="68"/>
      <c r="D68" s="80"/>
      <c r="F68" s="80"/>
      <c r="G68" s="254"/>
      <c r="H68" s="411"/>
    </row>
    <row r="69" spans="1:8" s="77" customFormat="1" ht="20.25" x14ac:dyDescent="0.2">
      <c r="A69" s="80"/>
      <c r="B69" s="80"/>
      <c r="C69" s="80"/>
      <c r="D69" s="80"/>
      <c r="E69" s="80"/>
      <c r="F69" s="80"/>
      <c r="G69" s="254"/>
      <c r="H69" s="411"/>
    </row>
    <row r="70" spans="1:8" s="69" customFormat="1" ht="20.25" x14ac:dyDescent="0.2">
      <c r="A70" s="68"/>
      <c r="B70" s="68"/>
      <c r="C70" s="68"/>
      <c r="D70" s="68"/>
      <c r="E70" s="68"/>
      <c r="F70" s="68"/>
      <c r="G70" s="259"/>
      <c r="H70" s="412"/>
    </row>
    <row r="71" spans="1:8" s="69" customFormat="1" ht="20.25" x14ac:dyDescent="0.2">
      <c r="A71" s="68"/>
      <c r="B71" s="68"/>
      <c r="C71" s="68"/>
      <c r="D71" s="68"/>
      <c r="E71" s="68"/>
      <c r="F71" s="68"/>
      <c r="G71" s="259"/>
      <c r="H71" s="412"/>
    </row>
    <row r="72" spans="1:8" s="69" customFormat="1" ht="23.25" x14ac:dyDescent="0.2">
      <c r="A72" s="68"/>
      <c r="B72" s="297"/>
      <c r="C72" s="68"/>
      <c r="D72" s="68"/>
      <c r="E72" s="68"/>
      <c r="F72" s="68"/>
      <c r="G72" s="254"/>
      <c r="H72" s="412"/>
    </row>
    <row r="73" spans="1:8" s="77" customFormat="1" ht="20.25" x14ac:dyDescent="0.2">
      <c r="A73" s="80"/>
      <c r="B73" s="80"/>
      <c r="D73" s="80"/>
      <c r="E73" s="80"/>
      <c r="F73" s="80"/>
      <c r="G73" s="254"/>
      <c r="H73" s="411"/>
    </row>
    <row r="74" spans="1:8" s="77" customFormat="1" ht="20.25" x14ac:dyDescent="0.2">
      <c r="A74" s="80"/>
      <c r="B74" s="80"/>
      <c r="D74" s="80"/>
      <c r="E74" s="80"/>
      <c r="F74" s="80"/>
      <c r="G74" s="254"/>
      <c r="H74" s="411"/>
    </row>
    <row r="75" spans="1:8" s="69" customFormat="1" ht="20.25" x14ac:dyDescent="0.2">
      <c r="A75" s="68"/>
      <c r="B75" s="68"/>
      <c r="D75" s="80"/>
      <c r="E75" s="68"/>
      <c r="F75" s="68"/>
      <c r="G75" s="254"/>
      <c r="H75" s="412"/>
    </row>
    <row r="76" spans="1:8" s="69" customFormat="1" ht="23.25" x14ac:dyDescent="0.2">
      <c r="A76" s="68"/>
      <c r="B76" s="297"/>
      <c r="C76" s="68"/>
      <c r="D76" s="68"/>
      <c r="E76" s="68"/>
      <c r="F76" s="68"/>
      <c r="G76" s="259"/>
      <c r="H76" s="412"/>
    </row>
    <row r="77" spans="1:8" s="69" customFormat="1" ht="20.25" x14ac:dyDescent="0.2">
      <c r="A77" s="68"/>
      <c r="B77" s="68"/>
      <c r="C77" s="68"/>
      <c r="D77" s="68"/>
      <c r="E77" s="68"/>
      <c r="F77" s="68"/>
      <c r="G77" s="254"/>
      <c r="H77" s="412"/>
    </row>
    <row r="78" spans="1:8" s="83" customFormat="1" ht="26.25" x14ac:dyDescent="0.2">
      <c r="A78" s="294"/>
      <c r="B78" s="294"/>
      <c r="C78" s="294"/>
      <c r="D78" s="294"/>
      <c r="E78" s="294"/>
      <c r="F78" s="294"/>
      <c r="G78" s="295"/>
      <c r="H78" s="576"/>
    </row>
    <row r="79" spans="1:8" s="18" customFormat="1" x14ac:dyDescent="0.2">
      <c r="A79" s="123"/>
      <c r="B79" s="123"/>
      <c r="C79" s="123"/>
      <c r="D79" s="123"/>
      <c r="E79" s="123"/>
      <c r="F79" s="123"/>
      <c r="G79" s="298"/>
      <c r="H79" s="1"/>
    </row>
  </sheetData>
  <pageMargins left="0.45" right="0.45" top="0.5" bottom="0.5" header="0.3" footer="0.3"/>
  <pageSetup scale="7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103</v>
      </c>
      <c r="B1" s="60"/>
      <c r="C1" s="61"/>
      <c r="D1" s="61"/>
      <c r="E1" s="61"/>
      <c r="F1" s="60"/>
      <c r="G1" s="60"/>
    </row>
    <row r="2" spans="1:23" ht="26.25" x14ac:dyDescent="0.4">
      <c r="A2" s="59" t="s">
        <v>209</v>
      </c>
      <c r="B2" s="60"/>
      <c r="C2" s="61"/>
      <c r="D2" s="61"/>
      <c r="E2" s="61"/>
      <c r="F2" s="60"/>
      <c r="G2" s="60"/>
    </row>
    <row r="3" spans="1:23" ht="11.25" customHeight="1" thickBot="1" x14ac:dyDescent="0.25">
      <c r="A3" s="62"/>
      <c r="B3" s="62"/>
      <c r="C3" s="62"/>
      <c r="D3" s="62"/>
      <c r="E3" s="62"/>
      <c r="F3" s="62"/>
      <c r="G3" s="354"/>
    </row>
    <row r="4" spans="1:23" ht="27.75" thickTop="1" thickBot="1" x14ac:dyDescent="0.25">
      <c r="A4" s="65"/>
      <c r="B4" s="65"/>
      <c r="C4" s="65"/>
      <c r="D4" s="65" t="s">
        <v>55</v>
      </c>
      <c r="E4" s="65"/>
      <c r="F4" s="65"/>
      <c r="G4" s="455" t="s">
        <v>56</v>
      </c>
      <c r="H4" s="455"/>
      <c r="I4" s="455"/>
      <c r="J4" s="455"/>
      <c r="K4" s="455"/>
      <c r="L4" s="455"/>
      <c r="M4" s="455"/>
      <c r="N4" s="455"/>
      <c r="O4" s="455"/>
      <c r="P4" s="455"/>
      <c r="Q4" s="455"/>
      <c r="R4" s="455"/>
      <c r="S4" s="455"/>
      <c r="T4" s="455"/>
      <c r="U4" s="455"/>
      <c r="V4" s="455"/>
      <c r="W4" s="455"/>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58"/>
      <c r="B6" s="778" t="s">
        <v>210</v>
      </c>
      <c r="C6" s="778"/>
      <c r="D6" s="778"/>
      <c r="E6" s="778"/>
      <c r="F6" s="778"/>
      <c r="G6" s="459">
        <v>42004</v>
      </c>
      <c r="H6" s="459">
        <v>41639</v>
      </c>
      <c r="I6" s="459">
        <v>41274</v>
      </c>
      <c r="J6" s="459">
        <v>41090</v>
      </c>
      <c r="K6" s="459">
        <v>40724</v>
      </c>
      <c r="L6" s="459">
        <v>40359</v>
      </c>
      <c r="M6" s="459">
        <v>39994</v>
      </c>
      <c r="N6" s="459">
        <v>39629</v>
      </c>
      <c r="O6" s="459">
        <v>39263</v>
      </c>
      <c r="P6" s="459">
        <v>38898</v>
      </c>
      <c r="Q6" s="459">
        <v>38533</v>
      </c>
      <c r="R6" s="459">
        <v>38168</v>
      </c>
      <c r="S6" s="459">
        <v>37802</v>
      </c>
      <c r="T6" s="459">
        <v>37437</v>
      </c>
      <c r="U6" s="459">
        <v>37072</v>
      </c>
      <c r="V6" s="459">
        <v>36707</v>
      </c>
      <c r="W6" s="459">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211</v>
      </c>
      <c r="D8" s="74"/>
      <c r="E8" s="74"/>
      <c r="F8" s="74"/>
      <c r="G8" s="267">
        <v>333525.67</v>
      </c>
      <c r="H8" s="267">
        <v>210919</v>
      </c>
      <c r="I8" s="267">
        <v>214148</v>
      </c>
      <c r="J8" s="267">
        <v>156809</v>
      </c>
      <c r="K8" s="267">
        <v>240314</v>
      </c>
      <c r="L8" s="267">
        <v>142815</v>
      </c>
      <c r="M8" s="267">
        <v>82502</v>
      </c>
      <c r="N8" s="267">
        <v>45758</v>
      </c>
      <c r="O8" s="267">
        <v>105458</v>
      </c>
      <c r="P8" s="267">
        <v>29475</v>
      </c>
      <c r="Q8" s="267">
        <v>22537</v>
      </c>
      <c r="R8" s="267">
        <v>42935</v>
      </c>
      <c r="S8" s="267">
        <v>144393</v>
      </c>
      <c r="T8" s="267">
        <v>42414</v>
      </c>
      <c r="U8" s="267">
        <f>69880+9123</f>
        <v>79003</v>
      </c>
      <c r="V8" s="267">
        <v>92767</v>
      </c>
      <c r="W8" s="267">
        <v>13150</v>
      </c>
    </row>
    <row r="9" spans="1:23" ht="20.25" x14ac:dyDescent="0.2">
      <c r="A9" s="456"/>
      <c r="B9" s="456"/>
      <c r="C9" s="74" t="s">
        <v>212</v>
      </c>
      <c r="D9" s="80"/>
      <c r="E9" s="80"/>
      <c r="F9" s="80"/>
      <c r="G9" s="307">
        <v>247907.12</v>
      </c>
      <c r="H9" s="307">
        <v>311775</v>
      </c>
      <c r="I9" s="307">
        <v>243797</v>
      </c>
      <c r="J9" s="307">
        <v>347870</v>
      </c>
      <c r="K9" s="307">
        <v>298266</v>
      </c>
      <c r="L9" s="307">
        <v>296605</v>
      </c>
      <c r="M9" s="307">
        <v>349918</v>
      </c>
      <c r="N9" s="307">
        <v>366842</v>
      </c>
      <c r="O9" s="307">
        <v>209667</v>
      </c>
      <c r="P9" s="307">
        <v>234735</v>
      </c>
      <c r="Q9" s="307">
        <v>254712</v>
      </c>
      <c r="R9" s="307">
        <v>250225</v>
      </c>
      <c r="S9" s="307">
        <v>85795</v>
      </c>
      <c r="T9" s="307">
        <v>185461</v>
      </c>
      <c r="U9" s="307">
        <v>99322</v>
      </c>
      <c r="V9" s="307">
        <v>80619</v>
      </c>
      <c r="W9" s="307">
        <v>49127</v>
      </c>
    </row>
    <row r="10" spans="1:23" ht="20.25" x14ac:dyDescent="0.2">
      <c r="A10" s="456"/>
      <c r="B10" s="456"/>
      <c r="C10" s="779" t="s">
        <v>179</v>
      </c>
      <c r="D10" s="779"/>
      <c r="E10" s="779"/>
      <c r="F10" s="779"/>
      <c r="G10" s="307">
        <v>0</v>
      </c>
      <c r="H10" s="307">
        <v>5142</v>
      </c>
      <c r="I10" s="307"/>
      <c r="J10" s="307"/>
      <c r="K10" s="307"/>
      <c r="L10" s="307"/>
      <c r="M10" s="307"/>
      <c r="N10" s="307"/>
      <c r="O10" s="307"/>
      <c r="P10" s="307"/>
      <c r="Q10" s="307"/>
      <c r="R10" s="307">
        <v>23</v>
      </c>
      <c r="S10" s="307">
        <v>4823</v>
      </c>
      <c r="T10" s="307">
        <v>6130</v>
      </c>
      <c r="U10" s="307">
        <v>19833</v>
      </c>
      <c r="V10" s="307"/>
      <c r="W10" s="307"/>
    </row>
    <row r="11" spans="1:23" ht="20.25" x14ac:dyDescent="0.2">
      <c r="A11" s="456"/>
      <c r="B11" s="456"/>
      <c r="C11" s="74" t="s">
        <v>213</v>
      </c>
      <c r="D11" s="456"/>
      <c r="E11" s="456"/>
      <c r="F11" s="456"/>
      <c r="G11" s="256">
        <v>31129.64</v>
      </c>
      <c r="H11" s="256">
        <v>30012</v>
      </c>
      <c r="I11" s="256">
        <v>30964</v>
      </c>
      <c r="J11" s="256">
        <v>30506</v>
      </c>
      <c r="K11" s="256">
        <v>28900</v>
      </c>
      <c r="L11" s="256">
        <v>28036</v>
      </c>
      <c r="M11" s="256"/>
      <c r="N11" s="256"/>
      <c r="O11" s="256"/>
      <c r="P11" s="256"/>
      <c r="Q11" s="256"/>
      <c r="R11" s="256"/>
      <c r="S11" s="256"/>
      <c r="T11" s="256"/>
      <c r="U11" s="256"/>
      <c r="V11" s="256"/>
      <c r="W11" s="256"/>
    </row>
    <row r="12" spans="1:23" ht="20.25" x14ac:dyDescent="0.2">
      <c r="A12" s="456"/>
      <c r="B12" s="456"/>
      <c r="C12" s="74" t="s">
        <v>173</v>
      </c>
      <c r="D12" s="79"/>
      <c r="E12" s="79"/>
      <c r="F12" s="79"/>
      <c r="G12" s="257">
        <v>5968.8799999999992</v>
      </c>
      <c r="H12" s="257">
        <v>4730</v>
      </c>
      <c r="I12" s="257">
        <v>3598</v>
      </c>
      <c r="J12" s="257">
        <f>1663+577</f>
        <v>2240</v>
      </c>
      <c r="K12" s="257">
        <f>5202</f>
        <v>5202</v>
      </c>
      <c r="L12" s="257">
        <v>1840</v>
      </c>
      <c r="M12" s="257">
        <v>1427</v>
      </c>
      <c r="N12" s="257">
        <v>360</v>
      </c>
      <c r="O12" s="257">
        <v>312</v>
      </c>
      <c r="P12" s="257"/>
      <c r="Q12" s="257">
        <v>5593</v>
      </c>
      <c r="R12" s="257">
        <v>3952</v>
      </c>
      <c r="S12" s="257">
        <v>13154</v>
      </c>
      <c r="T12" s="257">
        <v>2441</v>
      </c>
      <c r="U12" s="257"/>
      <c r="V12" s="257"/>
      <c r="W12" s="257"/>
    </row>
    <row r="13" spans="1:23" ht="20.25" x14ac:dyDescent="0.2">
      <c r="A13" s="74"/>
      <c r="B13" s="68"/>
      <c r="C13" s="68" t="s">
        <v>63</v>
      </c>
      <c r="D13" s="68"/>
      <c r="E13" s="68"/>
      <c r="F13" s="68"/>
      <c r="G13" s="259">
        <f>SUM(G8:G12)</f>
        <v>618531.31000000006</v>
      </c>
      <c r="H13" s="259">
        <f>SUM(H8:H12)</f>
        <v>562578</v>
      </c>
      <c r="I13" s="259">
        <f>SUM(I8:I12)</f>
        <v>492507</v>
      </c>
      <c r="J13" s="259">
        <f>SUM(J8:J12)</f>
        <v>537425</v>
      </c>
      <c r="K13" s="259">
        <f>SUM(K8:K12)</f>
        <v>572682</v>
      </c>
      <c r="L13" s="259">
        <f t="shared" ref="L13:W13" si="0">SUM(L8:L12)</f>
        <v>469296</v>
      </c>
      <c r="M13" s="259">
        <f t="shared" si="0"/>
        <v>433847</v>
      </c>
      <c r="N13" s="259">
        <f t="shared" si="0"/>
        <v>412960</v>
      </c>
      <c r="O13" s="259">
        <f t="shared" si="0"/>
        <v>315437</v>
      </c>
      <c r="P13" s="259">
        <f t="shared" si="0"/>
        <v>264210</v>
      </c>
      <c r="Q13" s="259">
        <f t="shared" si="0"/>
        <v>282842</v>
      </c>
      <c r="R13" s="259">
        <f t="shared" si="0"/>
        <v>297135</v>
      </c>
      <c r="S13" s="259">
        <f t="shared" si="0"/>
        <v>248165</v>
      </c>
      <c r="T13" s="259">
        <f t="shared" si="0"/>
        <v>236446</v>
      </c>
      <c r="U13" s="259">
        <f t="shared" si="0"/>
        <v>198158</v>
      </c>
      <c r="V13" s="259">
        <f t="shared" si="0"/>
        <v>173386</v>
      </c>
      <c r="W13" s="259">
        <f t="shared" si="0"/>
        <v>62277</v>
      </c>
    </row>
    <row r="14" spans="1:23" ht="20.25" x14ac:dyDescent="0.2">
      <c r="A14" s="74"/>
      <c r="B14" s="74"/>
      <c r="C14" s="74"/>
      <c r="D14" s="74"/>
      <c r="E14" s="74"/>
      <c r="F14" s="74"/>
      <c r="G14" s="258"/>
      <c r="H14" s="258"/>
      <c r="I14" s="258"/>
      <c r="J14" s="258"/>
      <c r="K14" s="258"/>
      <c r="L14" s="258"/>
      <c r="M14" s="258"/>
      <c r="N14" s="258"/>
      <c r="O14" s="258"/>
      <c r="P14" s="258"/>
      <c r="Q14" s="258"/>
      <c r="R14" s="258"/>
      <c r="S14" s="258"/>
      <c r="T14" s="258"/>
      <c r="U14" s="258"/>
      <c r="V14" s="258"/>
      <c r="W14" s="258"/>
    </row>
    <row r="15" spans="1:23" ht="20.25" x14ac:dyDescent="0.3">
      <c r="A15" s="70"/>
      <c r="B15" s="292" t="s">
        <v>214</v>
      </c>
      <c r="C15" s="292"/>
      <c r="D15" s="292"/>
      <c r="E15" s="292"/>
      <c r="F15" s="292"/>
      <c r="G15" s="293"/>
      <c r="H15" s="293"/>
      <c r="I15" s="293"/>
      <c r="J15" s="293"/>
      <c r="K15" s="293"/>
      <c r="L15" s="293"/>
      <c r="M15" s="293"/>
      <c r="N15" s="293"/>
      <c r="O15" s="293"/>
      <c r="P15" s="293"/>
      <c r="Q15" s="293"/>
      <c r="R15" s="293"/>
      <c r="S15" s="293"/>
      <c r="T15" s="293"/>
      <c r="U15" s="293"/>
      <c r="V15" s="293"/>
      <c r="W15" s="293"/>
    </row>
    <row r="16" spans="1:23" ht="20.25" x14ac:dyDescent="0.3">
      <c r="A16" s="70"/>
      <c r="B16" s="292"/>
      <c r="C16" s="292"/>
      <c r="D16" s="292"/>
      <c r="E16" s="292"/>
      <c r="F16" s="292"/>
      <c r="G16" s="293">
        <v>121148.45000000001</v>
      </c>
      <c r="H16" s="293">
        <v>88948</v>
      </c>
      <c r="I16" s="293">
        <v>81381</v>
      </c>
      <c r="J16" s="293">
        <v>85951</v>
      </c>
      <c r="K16" s="293">
        <v>75213</v>
      </c>
      <c r="L16" s="293">
        <v>103757</v>
      </c>
      <c r="M16" s="293">
        <v>72661</v>
      </c>
      <c r="N16" s="293">
        <v>91918</v>
      </c>
      <c r="O16" s="293">
        <v>80411</v>
      </c>
      <c r="P16" s="293">
        <v>57354</v>
      </c>
      <c r="Q16" s="293">
        <v>59451</v>
      </c>
      <c r="R16" s="293">
        <v>70947</v>
      </c>
      <c r="S16" s="293">
        <v>80279</v>
      </c>
      <c r="T16" s="293">
        <v>84266</v>
      </c>
      <c r="U16" s="293">
        <v>45164</v>
      </c>
      <c r="V16" s="293">
        <v>15210</v>
      </c>
      <c r="W16" s="293">
        <v>15599</v>
      </c>
    </row>
    <row r="17" spans="1:23" ht="20.25" hidden="1" x14ac:dyDescent="0.2">
      <c r="A17" s="74"/>
      <c r="B17" s="74"/>
      <c r="C17" s="74"/>
      <c r="D17" s="74"/>
      <c r="E17" s="74"/>
      <c r="F17" s="74"/>
      <c r="G17" s="258"/>
      <c r="H17" s="258"/>
      <c r="I17" s="258"/>
      <c r="J17" s="258"/>
      <c r="K17" s="258"/>
      <c r="L17" s="258"/>
      <c r="M17" s="258"/>
      <c r="N17" s="258"/>
      <c r="O17" s="258"/>
      <c r="P17" s="258"/>
      <c r="Q17" s="258"/>
      <c r="R17" s="258"/>
      <c r="S17" s="258"/>
      <c r="T17" s="258"/>
      <c r="U17" s="258"/>
      <c r="V17" s="258"/>
      <c r="W17" s="258"/>
    </row>
    <row r="18" spans="1:23" ht="20.25" hidden="1" x14ac:dyDescent="0.2">
      <c r="A18" s="74"/>
      <c r="B18" s="74"/>
      <c r="C18" s="74"/>
      <c r="D18" s="74"/>
      <c r="E18" s="74"/>
      <c r="F18" s="74"/>
      <c r="G18" s="254"/>
      <c r="H18" s="254"/>
      <c r="I18" s="254"/>
      <c r="J18" s="254"/>
      <c r="K18" s="254"/>
      <c r="L18" s="254"/>
      <c r="M18" s="254"/>
      <c r="N18" s="254"/>
      <c r="O18" s="254"/>
      <c r="P18" s="254"/>
      <c r="Q18" s="254"/>
      <c r="R18" s="254"/>
      <c r="S18" s="254"/>
      <c r="T18" s="254"/>
      <c r="U18" s="254"/>
      <c r="V18" s="254"/>
      <c r="W18" s="254"/>
    </row>
    <row r="19" spans="1:23" ht="27" thickBot="1" x14ac:dyDescent="0.25">
      <c r="A19" s="82" t="s">
        <v>66</v>
      </c>
      <c r="B19" s="82"/>
      <c r="C19" s="82"/>
      <c r="D19" s="82"/>
      <c r="E19" s="82"/>
      <c r="F19" s="82"/>
      <c r="G19" s="268">
        <f>G13+G16</f>
        <v>739679.76</v>
      </c>
      <c r="H19" s="268">
        <f>H13+H16</f>
        <v>651526</v>
      </c>
      <c r="I19" s="268">
        <f>I13+I16</f>
        <v>573888</v>
      </c>
      <c r="J19" s="268">
        <f>J13+J16</f>
        <v>623376</v>
      </c>
      <c r="K19" s="268">
        <f>K13+K16</f>
        <v>647895</v>
      </c>
      <c r="L19" s="268">
        <f t="shared" ref="L19:W19" si="1">L13+L16</f>
        <v>573053</v>
      </c>
      <c r="M19" s="268">
        <f t="shared" si="1"/>
        <v>506508</v>
      </c>
      <c r="N19" s="268">
        <f t="shared" si="1"/>
        <v>504878</v>
      </c>
      <c r="O19" s="268">
        <f t="shared" si="1"/>
        <v>395848</v>
      </c>
      <c r="P19" s="268">
        <f t="shared" si="1"/>
        <v>321564</v>
      </c>
      <c r="Q19" s="268">
        <f t="shared" si="1"/>
        <v>342293</v>
      </c>
      <c r="R19" s="268">
        <f t="shared" si="1"/>
        <v>368082</v>
      </c>
      <c r="S19" s="268">
        <f t="shared" si="1"/>
        <v>328444</v>
      </c>
      <c r="T19" s="268">
        <f t="shared" si="1"/>
        <v>320712</v>
      </c>
      <c r="U19" s="268">
        <f t="shared" si="1"/>
        <v>243322</v>
      </c>
      <c r="V19" s="268">
        <f t="shared" si="1"/>
        <v>188596</v>
      </c>
      <c r="W19" s="268">
        <f t="shared" si="1"/>
        <v>77876</v>
      </c>
    </row>
    <row r="20" spans="1:23" ht="21.75" thickTop="1" thickBot="1" x14ac:dyDescent="0.25">
      <c r="A20" s="74"/>
      <c r="B20" s="74"/>
      <c r="C20" s="74"/>
      <c r="D20" s="74"/>
      <c r="E20" s="74"/>
      <c r="F20" s="74"/>
      <c r="G20" s="359"/>
      <c r="H20" s="359"/>
      <c r="I20" s="359"/>
      <c r="J20" s="359"/>
      <c r="K20" s="359"/>
      <c r="L20" s="359"/>
      <c r="M20" s="359"/>
      <c r="N20" s="359"/>
      <c r="O20" s="359"/>
      <c r="P20" s="359"/>
      <c r="Q20" s="359"/>
      <c r="R20" s="359"/>
      <c r="S20" s="359"/>
      <c r="T20" s="359"/>
      <c r="U20" s="359"/>
      <c r="V20" s="359"/>
      <c r="W20" s="359"/>
    </row>
    <row r="21" spans="1:23" ht="27.75" thickTop="1" thickBot="1" x14ac:dyDescent="0.25">
      <c r="A21" s="65"/>
      <c r="B21" s="65"/>
      <c r="C21" s="65"/>
      <c r="D21" s="65" t="s">
        <v>67</v>
      </c>
      <c r="E21" s="65"/>
      <c r="F21" s="65"/>
      <c r="G21" s="263"/>
      <c r="H21" s="263"/>
      <c r="I21" s="263"/>
      <c r="J21" s="263"/>
      <c r="K21" s="263"/>
      <c r="L21" s="263"/>
      <c r="M21" s="263"/>
      <c r="N21" s="263"/>
      <c r="O21" s="263"/>
      <c r="P21" s="263"/>
      <c r="Q21" s="263"/>
      <c r="R21" s="263"/>
      <c r="S21" s="263"/>
      <c r="T21" s="263"/>
      <c r="U21" s="263"/>
      <c r="V21" s="263"/>
      <c r="W21" s="263"/>
    </row>
    <row r="22" spans="1:23" ht="21" thickTop="1" x14ac:dyDescent="0.2">
      <c r="A22" s="74"/>
      <c r="B22" s="74"/>
      <c r="C22" s="74"/>
      <c r="D22" s="74"/>
      <c r="E22" s="74"/>
      <c r="F22" s="74"/>
      <c r="G22" s="256"/>
      <c r="H22" s="256"/>
      <c r="I22" s="256"/>
      <c r="J22" s="256"/>
      <c r="K22" s="256"/>
      <c r="L22" s="256"/>
      <c r="M22" s="256"/>
      <c r="N22" s="256"/>
      <c r="O22" s="256"/>
      <c r="P22" s="256"/>
      <c r="Q22" s="256"/>
      <c r="R22" s="256"/>
      <c r="S22" s="256"/>
      <c r="T22" s="256"/>
      <c r="U22" s="256"/>
      <c r="V22" s="256"/>
      <c r="W22" s="256"/>
    </row>
    <row r="23" spans="1:23" ht="24" hidden="1" thickBot="1" x14ac:dyDescent="0.25">
      <c r="A23" s="74"/>
      <c r="B23" s="87" t="s">
        <v>68</v>
      </c>
      <c r="C23" s="88"/>
      <c r="D23" s="88"/>
      <c r="E23" s="88"/>
      <c r="F23" s="88"/>
      <c r="G23" s="264"/>
      <c r="H23" s="264"/>
      <c r="I23" s="264"/>
      <c r="J23" s="264"/>
      <c r="K23" s="264"/>
      <c r="L23" s="264"/>
      <c r="M23" s="264"/>
      <c r="N23" s="264"/>
      <c r="O23" s="264"/>
      <c r="P23" s="264"/>
      <c r="Q23" s="264"/>
      <c r="R23" s="264"/>
      <c r="S23" s="264"/>
      <c r="T23" s="264"/>
      <c r="U23" s="264"/>
      <c r="V23" s="264"/>
      <c r="W23" s="264"/>
    </row>
    <row r="24" spans="1:23" ht="20.25" hidden="1" x14ac:dyDescent="0.2">
      <c r="A24" s="74"/>
      <c r="B24" s="74"/>
      <c r="C24" s="74"/>
      <c r="D24" s="74"/>
      <c r="E24" s="74"/>
      <c r="F24" s="74"/>
      <c r="G24" s="256"/>
      <c r="H24" s="256"/>
      <c r="I24" s="256"/>
      <c r="J24" s="256"/>
      <c r="K24" s="256"/>
      <c r="L24" s="256"/>
      <c r="M24" s="256"/>
      <c r="N24" s="256"/>
      <c r="O24" s="256"/>
      <c r="P24" s="256"/>
      <c r="Q24" s="256"/>
      <c r="R24" s="256"/>
      <c r="S24" s="256"/>
      <c r="T24" s="256"/>
      <c r="U24" s="256"/>
      <c r="V24" s="256"/>
      <c r="W24" s="256"/>
    </row>
    <row r="25" spans="1:23" ht="21" thickBot="1" x14ac:dyDescent="0.35">
      <c r="A25" s="70"/>
      <c r="B25" s="155" t="s">
        <v>215</v>
      </c>
      <c r="C25" s="156"/>
      <c r="D25" s="155"/>
      <c r="E25" s="155"/>
      <c r="F25" s="155"/>
      <c r="G25" s="255"/>
      <c r="H25" s="255"/>
      <c r="I25" s="255"/>
      <c r="J25" s="255"/>
      <c r="K25" s="255"/>
      <c r="L25" s="255"/>
      <c r="M25" s="255"/>
      <c r="N25" s="255"/>
      <c r="O25" s="255"/>
      <c r="P25" s="255"/>
      <c r="Q25" s="255"/>
      <c r="R25" s="255"/>
      <c r="S25" s="255"/>
      <c r="T25" s="255"/>
      <c r="U25" s="255"/>
      <c r="V25" s="255"/>
      <c r="W25" s="255"/>
    </row>
    <row r="26" spans="1:23" ht="20.25" x14ac:dyDescent="0.2">
      <c r="A26" s="456"/>
      <c r="B26" s="456"/>
      <c r="C26" s="456"/>
      <c r="D26" s="456" t="s">
        <v>163</v>
      </c>
      <c r="E26" s="78"/>
      <c r="F26" s="456"/>
      <c r="G26" s="269">
        <v>31278.429999999997</v>
      </c>
      <c r="H26" s="269">
        <v>51714</v>
      </c>
      <c r="I26" s="269">
        <v>52083</v>
      </c>
      <c r="J26" s="269">
        <v>69820</v>
      </c>
      <c r="K26" s="269">
        <v>81032</v>
      </c>
      <c r="L26" s="269">
        <v>64928</v>
      </c>
      <c r="M26" s="269">
        <v>89064</v>
      </c>
      <c r="N26" s="269">
        <v>102814</v>
      </c>
      <c r="O26" s="269">
        <v>27734</v>
      </c>
      <c r="P26" s="269">
        <v>33537</v>
      </c>
      <c r="Q26" s="269">
        <v>47914</v>
      </c>
      <c r="R26" s="269">
        <v>42054</v>
      </c>
      <c r="S26" s="269">
        <v>32004</v>
      </c>
      <c r="T26" s="269">
        <v>28904</v>
      </c>
      <c r="U26" s="269">
        <v>2405</v>
      </c>
      <c r="V26" s="269">
        <v>7686</v>
      </c>
      <c r="W26" s="269">
        <v>0</v>
      </c>
    </row>
    <row r="27" spans="1:23" ht="20.25" x14ac:dyDescent="0.2">
      <c r="A27" s="456"/>
      <c r="B27" s="456"/>
      <c r="C27" s="456"/>
      <c r="D27" s="456" t="s">
        <v>216</v>
      </c>
      <c r="E27" s="78"/>
      <c r="F27" s="456"/>
      <c r="G27" s="254">
        <v>16019.88</v>
      </c>
      <c r="H27" s="254">
        <v>26466</v>
      </c>
      <c r="I27" s="254">
        <v>33722</v>
      </c>
      <c r="J27" s="254">
        <v>37279</v>
      </c>
      <c r="K27" s="254">
        <v>34130</v>
      </c>
      <c r="L27" s="254">
        <v>30917</v>
      </c>
      <c r="M27" s="254">
        <v>24891</v>
      </c>
      <c r="N27" s="254">
        <v>22167</v>
      </c>
      <c r="O27" s="254">
        <v>16739</v>
      </c>
      <c r="P27" s="254">
        <v>13502</v>
      </c>
      <c r="Q27" s="254">
        <v>10581</v>
      </c>
      <c r="R27" s="254">
        <v>28556</v>
      </c>
      <c r="S27" s="254">
        <v>22953</v>
      </c>
      <c r="T27" s="254">
        <v>13246</v>
      </c>
      <c r="U27" s="254">
        <v>10214</v>
      </c>
      <c r="V27" s="254">
        <v>5966</v>
      </c>
      <c r="W27" s="254">
        <v>2341</v>
      </c>
    </row>
    <row r="28" spans="1:23" ht="20.25" x14ac:dyDescent="0.2">
      <c r="A28" s="456"/>
      <c r="B28" s="456"/>
      <c r="C28" s="456"/>
      <c r="D28" s="456" t="s">
        <v>97</v>
      </c>
      <c r="E28" s="78"/>
      <c r="F28" s="456"/>
      <c r="G28" s="256">
        <v>19094</v>
      </c>
      <c r="H28" s="256">
        <v>21990</v>
      </c>
      <c r="I28" s="256">
        <v>17053</v>
      </c>
      <c r="J28" s="256">
        <v>23081</v>
      </c>
      <c r="K28" s="256">
        <v>20125</v>
      </c>
      <c r="L28" s="256">
        <v>23900</v>
      </c>
      <c r="M28" s="256">
        <v>25993</v>
      </c>
      <c r="N28" s="256">
        <v>25084</v>
      </c>
      <c r="O28" s="256">
        <v>17164</v>
      </c>
      <c r="P28" s="256">
        <v>23194</v>
      </c>
      <c r="Q28" s="256">
        <v>17986</v>
      </c>
      <c r="R28" s="256">
        <v>19684</v>
      </c>
      <c r="S28" s="256">
        <v>15461</v>
      </c>
      <c r="T28" s="256">
        <v>11736</v>
      </c>
      <c r="U28" s="256">
        <v>6552</v>
      </c>
      <c r="V28" s="256">
        <v>4625</v>
      </c>
      <c r="W28" s="256"/>
    </row>
    <row r="29" spans="1:23" ht="20.25" x14ac:dyDescent="0.2">
      <c r="A29" s="456"/>
      <c r="B29" s="456"/>
      <c r="C29" s="456"/>
      <c r="D29" s="456" t="s">
        <v>217</v>
      </c>
      <c r="E29" s="78"/>
      <c r="F29" s="456"/>
      <c r="G29" s="256"/>
      <c r="H29" s="256">
        <v>463</v>
      </c>
      <c r="I29" s="256">
        <f>1236+16400</f>
        <v>17636</v>
      </c>
      <c r="J29" s="256">
        <v>13302</v>
      </c>
      <c r="K29" s="256">
        <v>5311</v>
      </c>
      <c r="L29" s="256">
        <v>12315</v>
      </c>
      <c r="M29" s="256"/>
      <c r="N29" s="256"/>
      <c r="O29" s="256"/>
      <c r="P29" s="256">
        <v>20000</v>
      </c>
      <c r="Q29" s="256"/>
      <c r="R29" s="256">
        <v>25000</v>
      </c>
      <c r="S29" s="256"/>
      <c r="T29" s="256"/>
      <c r="U29" s="256"/>
      <c r="V29" s="256"/>
      <c r="W29" s="256">
        <v>48000</v>
      </c>
    </row>
    <row r="30" spans="1:23" ht="20.25" x14ac:dyDescent="0.2">
      <c r="A30" s="456"/>
      <c r="B30" s="456"/>
      <c r="C30" s="456"/>
      <c r="D30" s="80" t="s">
        <v>104</v>
      </c>
      <c r="E30" s="78"/>
      <c r="F30" s="456"/>
      <c r="G30" s="256">
        <v>136592.41</v>
      </c>
      <c r="H30" s="256">
        <v>101837</v>
      </c>
      <c r="I30" s="256">
        <v>31429</v>
      </c>
      <c r="J30" s="256">
        <v>21927</v>
      </c>
      <c r="K30" s="256">
        <v>24493</v>
      </c>
      <c r="L30" s="256">
        <v>23546</v>
      </c>
      <c r="M30" s="256">
        <v>29986</v>
      </c>
      <c r="N30" s="256">
        <v>97627</v>
      </c>
      <c r="O30" s="256">
        <v>91085</v>
      </c>
      <c r="P30" s="256">
        <v>6118</v>
      </c>
      <c r="Q30" s="256">
        <v>42621</v>
      </c>
      <c r="R30" s="256"/>
      <c r="S30" s="256">
        <v>13218</v>
      </c>
      <c r="T30" s="256">
        <v>36938</v>
      </c>
      <c r="U30" s="256">
        <v>40000</v>
      </c>
      <c r="V30" s="256">
        <v>38354</v>
      </c>
      <c r="W30" s="256">
        <v>11775</v>
      </c>
    </row>
    <row r="31" spans="1:23" ht="20.25" x14ac:dyDescent="0.2">
      <c r="A31" s="456"/>
      <c r="B31" s="456"/>
      <c r="C31" s="456"/>
      <c r="D31" s="79" t="s">
        <v>218</v>
      </c>
      <c r="E31" s="154"/>
      <c r="F31" s="79"/>
      <c r="G31" s="256"/>
      <c r="H31" s="256"/>
      <c r="I31" s="256"/>
      <c r="J31" s="256"/>
      <c r="K31" s="256"/>
      <c r="L31" s="256"/>
      <c r="M31" s="256"/>
      <c r="N31" s="256"/>
      <c r="O31" s="256"/>
      <c r="P31" s="256"/>
      <c r="Q31" s="256"/>
      <c r="R31" s="256"/>
      <c r="S31" s="256"/>
      <c r="T31" s="256"/>
      <c r="U31" s="256"/>
      <c r="V31" s="256"/>
      <c r="W31" s="256"/>
    </row>
    <row r="32" spans="1:23" ht="20.25" x14ac:dyDescent="0.2">
      <c r="A32" s="456"/>
      <c r="B32" s="456"/>
      <c r="C32" s="81" t="s">
        <v>80</v>
      </c>
      <c r="D32" s="456"/>
      <c r="E32" s="78"/>
      <c r="F32" s="456"/>
      <c r="G32" s="265">
        <f>SUM(G26:G31)</f>
        <v>202984.72</v>
      </c>
      <c r="H32" s="265">
        <f>SUM(H26:H31)</f>
        <v>202470</v>
      </c>
      <c r="I32" s="265">
        <f>SUM(I26:I31)</f>
        <v>151923</v>
      </c>
      <c r="J32" s="265">
        <f>SUM(J26:J31)</f>
        <v>165409</v>
      </c>
      <c r="K32" s="265">
        <f>SUM(K26:K31)</f>
        <v>165091</v>
      </c>
      <c r="L32" s="265">
        <f t="shared" ref="L32:W32" si="2">SUM(L26:L31)</f>
        <v>155606</v>
      </c>
      <c r="M32" s="265">
        <f t="shared" si="2"/>
        <v>169934</v>
      </c>
      <c r="N32" s="265">
        <f t="shared" si="2"/>
        <v>247692</v>
      </c>
      <c r="O32" s="265">
        <f t="shared" si="2"/>
        <v>152722</v>
      </c>
      <c r="P32" s="265">
        <f t="shared" si="2"/>
        <v>96351</v>
      </c>
      <c r="Q32" s="265">
        <f t="shared" si="2"/>
        <v>119102</v>
      </c>
      <c r="R32" s="265">
        <f t="shared" si="2"/>
        <v>115294</v>
      </c>
      <c r="S32" s="265">
        <f t="shared" si="2"/>
        <v>83636</v>
      </c>
      <c r="T32" s="265">
        <f t="shared" si="2"/>
        <v>90824</v>
      </c>
      <c r="U32" s="265">
        <f t="shared" si="2"/>
        <v>59171</v>
      </c>
      <c r="V32" s="265">
        <f t="shared" si="2"/>
        <v>56631</v>
      </c>
      <c r="W32" s="265">
        <f t="shared" si="2"/>
        <v>62116</v>
      </c>
    </row>
    <row r="33" spans="1:23" ht="20.25" x14ac:dyDescent="0.2">
      <c r="A33" s="456"/>
      <c r="B33" s="456"/>
      <c r="C33" s="456"/>
      <c r="D33" s="456"/>
      <c r="E33" s="456"/>
      <c r="F33" s="456"/>
      <c r="G33" s="256"/>
      <c r="H33" s="256"/>
      <c r="I33" s="256"/>
      <c r="J33" s="256"/>
      <c r="K33" s="256"/>
      <c r="L33" s="256"/>
      <c r="M33" s="256"/>
      <c r="N33" s="256"/>
      <c r="O33" s="256"/>
      <c r="P33" s="256"/>
      <c r="Q33" s="256"/>
      <c r="R33" s="256"/>
      <c r="S33" s="256"/>
      <c r="T33" s="256"/>
      <c r="U33" s="256"/>
      <c r="V33" s="256"/>
      <c r="W33" s="256"/>
    </row>
    <row r="34" spans="1:23" ht="20.25" x14ac:dyDescent="0.2">
      <c r="A34" s="74"/>
      <c r="B34" s="74"/>
      <c r="C34" s="74"/>
      <c r="D34" s="74"/>
      <c r="E34" s="74"/>
      <c r="F34" s="74"/>
      <c r="G34" s="461"/>
      <c r="H34" s="461"/>
      <c r="I34" s="461"/>
      <c r="J34" s="461"/>
      <c r="K34" s="461"/>
      <c r="L34" s="258"/>
      <c r="M34" s="258"/>
      <c r="N34" s="258"/>
      <c r="O34" s="258"/>
      <c r="P34" s="258"/>
      <c r="Q34" s="258"/>
      <c r="R34" s="258"/>
      <c r="S34" s="258"/>
      <c r="T34" s="258"/>
      <c r="U34" s="258"/>
      <c r="V34" s="258"/>
      <c r="W34" s="258"/>
    </row>
    <row r="35" spans="1:23" ht="24" thickBot="1" x14ac:dyDescent="0.25">
      <c r="A35" s="74"/>
      <c r="B35" s="87" t="s">
        <v>219</v>
      </c>
      <c r="C35" s="88"/>
      <c r="D35" s="88"/>
      <c r="E35" s="88"/>
      <c r="F35" s="88"/>
      <c r="G35" s="264"/>
      <c r="H35" s="264"/>
      <c r="I35" s="264"/>
      <c r="J35" s="264"/>
      <c r="K35" s="264"/>
      <c r="L35" s="264"/>
      <c r="M35" s="264"/>
      <c r="N35" s="264"/>
      <c r="O35" s="264"/>
      <c r="P35" s="264"/>
      <c r="Q35" s="264"/>
      <c r="R35" s="264"/>
      <c r="S35" s="264"/>
      <c r="T35" s="264"/>
      <c r="U35" s="264"/>
      <c r="V35" s="264"/>
      <c r="W35" s="264"/>
    </row>
    <row r="36" spans="1:23" ht="23.25" x14ac:dyDescent="0.2">
      <c r="A36" s="74"/>
      <c r="B36" s="297"/>
      <c r="C36" s="68"/>
      <c r="D36" s="456" t="s">
        <v>100</v>
      </c>
      <c r="E36" s="68"/>
      <c r="F36" s="68"/>
      <c r="G36" s="254">
        <v>55367.21</v>
      </c>
      <c r="H36" s="254">
        <v>52578</v>
      </c>
      <c r="I36" s="254">
        <v>54372</v>
      </c>
      <c r="J36" s="254">
        <v>74343</v>
      </c>
      <c r="K36" s="254">
        <v>140489</v>
      </c>
      <c r="L36" s="254">
        <v>85282</v>
      </c>
      <c r="M36" s="254">
        <v>9601</v>
      </c>
      <c r="N36" s="254">
        <v>9601</v>
      </c>
      <c r="O36" s="254">
        <v>5248</v>
      </c>
      <c r="P36" s="254">
        <v>4472</v>
      </c>
      <c r="Q36" s="254">
        <v>15207</v>
      </c>
      <c r="R36" s="254"/>
      <c r="S36" s="254"/>
      <c r="T36" s="254"/>
      <c r="U36" s="254"/>
      <c r="V36" s="254"/>
      <c r="W36" s="254"/>
    </row>
    <row r="37" spans="1:23" ht="21" thickBot="1" x14ac:dyDescent="0.25">
      <c r="A37" s="456"/>
      <c r="B37" s="456"/>
      <c r="C37" s="78"/>
      <c r="D37" s="456" t="s">
        <v>94</v>
      </c>
      <c r="E37" s="457"/>
      <c r="F37" s="457"/>
      <c r="G37" s="264">
        <v>481327.83000000013</v>
      </c>
      <c r="H37" s="264">
        <v>396478</v>
      </c>
      <c r="I37" s="264">
        <v>367593</v>
      </c>
      <c r="J37" s="264">
        <v>383624</v>
      </c>
      <c r="K37" s="264">
        <v>342315</v>
      </c>
      <c r="L37" s="264">
        <v>332165</v>
      </c>
      <c r="M37" s="264">
        <v>326973</v>
      </c>
      <c r="N37" s="264">
        <v>247585</v>
      </c>
      <c r="O37" s="264">
        <v>237878</v>
      </c>
      <c r="P37" s="264">
        <v>220741</v>
      </c>
      <c r="Q37" s="264">
        <v>207984</v>
      </c>
      <c r="R37" s="264">
        <v>252788</v>
      </c>
      <c r="S37" s="264">
        <v>244808</v>
      </c>
      <c r="T37" s="264">
        <v>229888</v>
      </c>
      <c r="U37" s="264">
        <v>184151</v>
      </c>
      <c r="V37" s="264">
        <v>131965</v>
      </c>
      <c r="W37" s="264">
        <v>15760</v>
      </c>
    </row>
    <row r="38" spans="1:23" ht="23.25" x14ac:dyDescent="0.2">
      <c r="A38" s="74"/>
      <c r="B38" s="90" t="s">
        <v>71</v>
      </c>
      <c r="C38" s="91"/>
      <c r="D38" s="91"/>
      <c r="E38" s="68"/>
      <c r="F38" s="68"/>
      <c r="G38" s="259">
        <f>G36+G37</f>
        <v>536695.04000000015</v>
      </c>
      <c r="H38" s="259">
        <f>H36+H37</f>
        <v>449056</v>
      </c>
      <c r="I38" s="259">
        <f>I36+I37</f>
        <v>421965</v>
      </c>
      <c r="J38" s="259">
        <f>J36+J37</f>
        <v>457967</v>
      </c>
      <c r="K38" s="259">
        <f>K36+K37</f>
        <v>482804</v>
      </c>
      <c r="L38" s="259">
        <f t="shared" ref="L38:W38" si="3">L36+L37</f>
        <v>417447</v>
      </c>
      <c r="M38" s="259">
        <f t="shared" si="3"/>
        <v>336574</v>
      </c>
      <c r="N38" s="259">
        <f t="shared" si="3"/>
        <v>257186</v>
      </c>
      <c r="O38" s="259">
        <f t="shared" si="3"/>
        <v>243126</v>
      </c>
      <c r="P38" s="259">
        <f t="shared" si="3"/>
        <v>225213</v>
      </c>
      <c r="Q38" s="259">
        <f t="shared" si="3"/>
        <v>223191</v>
      </c>
      <c r="R38" s="259">
        <f t="shared" si="3"/>
        <v>252788</v>
      </c>
      <c r="S38" s="259">
        <f t="shared" si="3"/>
        <v>244808</v>
      </c>
      <c r="T38" s="259">
        <f t="shared" si="3"/>
        <v>229888</v>
      </c>
      <c r="U38" s="259">
        <f t="shared" si="3"/>
        <v>184151</v>
      </c>
      <c r="V38" s="259">
        <f t="shared" si="3"/>
        <v>131965</v>
      </c>
      <c r="W38" s="259">
        <f t="shared" si="3"/>
        <v>15760</v>
      </c>
    </row>
    <row r="39" spans="1:23" ht="20.25" x14ac:dyDescent="0.2">
      <c r="A39" s="74"/>
      <c r="B39" s="74"/>
      <c r="C39" s="74"/>
      <c r="D39" s="74"/>
      <c r="E39" s="74"/>
      <c r="F39" s="74"/>
      <c r="G39" s="257"/>
      <c r="H39" s="257"/>
      <c r="I39" s="257"/>
      <c r="J39" s="257"/>
      <c r="K39" s="257"/>
      <c r="L39" s="257"/>
      <c r="M39" s="257"/>
      <c r="N39" s="257"/>
      <c r="O39" s="257"/>
      <c r="P39" s="257"/>
      <c r="Q39" s="257"/>
      <c r="R39" s="257"/>
      <c r="S39" s="257"/>
      <c r="T39" s="257"/>
      <c r="U39" s="257"/>
      <c r="V39" s="257"/>
      <c r="W39" s="257"/>
    </row>
    <row r="40" spans="1:23" ht="27" thickBot="1" x14ac:dyDescent="0.25">
      <c r="A40" s="82" t="s">
        <v>72</v>
      </c>
      <c r="B40" s="82"/>
      <c r="C40" s="82"/>
      <c r="D40" s="82"/>
      <c r="E40" s="82"/>
      <c r="F40" s="82"/>
      <c r="G40" s="393">
        <f>G32+G38</f>
        <v>739679.76000000013</v>
      </c>
      <c r="H40" s="393">
        <f>H32+H38</f>
        <v>651526</v>
      </c>
      <c r="I40" s="393">
        <f>I32+I38</f>
        <v>573888</v>
      </c>
      <c r="J40" s="393">
        <f>J32+J38</f>
        <v>623376</v>
      </c>
      <c r="K40" s="393">
        <f>K32+K38</f>
        <v>647895</v>
      </c>
      <c r="L40" s="393">
        <f t="shared" ref="L40:W40" si="4">L32+L38</f>
        <v>573053</v>
      </c>
      <c r="M40" s="393">
        <f t="shared" si="4"/>
        <v>506508</v>
      </c>
      <c r="N40" s="393">
        <f t="shared" si="4"/>
        <v>504878</v>
      </c>
      <c r="O40" s="393">
        <f t="shared" si="4"/>
        <v>395848</v>
      </c>
      <c r="P40" s="393">
        <f t="shared" si="4"/>
        <v>321564</v>
      </c>
      <c r="Q40" s="393">
        <f t="shared" si="4"/>
        <v>342293</v>
      </c>
      <c r="R40" s="393">
        <f t="shared" si="4"/>
        <v>368082</v>
      </c>
      <c r="S40" s="393">
        <f t="shared" si="4"/>
        <v>328444</v>
      </c>
      <c r="T40" s="393">
        <f t="shared" si="4"/>
        <v>320712</v>
      </c>
      <c r="U40" s="393">
        <f t="shared" si="4"/>
        <v>243322</v>
      </c>
      <c r="V40" s="393">
        <f t="shared" si="4"/>
        <v>188596</v>
      </c>
      <c r="W40" s="393">
        <f t="shared" si="4"/>
        <v>77876</v>
      </c>
    </row>
    <row r="41" spans="1:23" ht="15" thickTop="1" x14ac:dyDescent="0.2">
      <c r="D41" s="378"/>
      <c r="H41" s="18"/>
      <c r="I41" s="18"/>
      <c r="J41" s="18"/>
      <c r="K41" s="18"/>
      <c r="L41" s="18"/>
      <c r="M41" s="18"/>
      <c r="N41" s="18"/>
      <c r="O41" s="18"/>
      <c r="P41" s="18"/>
      <c r="Q41" s="18"/>
      <c r="R41" s="18"/>
      <c r="S41" s="18"/>
      <c r="T41" s="18"/>
      <c r="U41" s="18"/>
      <c r="V41" s="18"/>
      <c r="W41" s="18"/>
    </row>
    <row r="42" spans="1:23" s="266" customFormat="1" x14ac:dyDescent="0.2">
      <c r="A42" s="460"/>
      <c r="B42" s="460"/>
      <c r="C42" s="460"/>
      <c r="D42" s="460"/>
      <c r="E42" s="460"/>
      <c r="F42" s="460"/>
      <c r="G42" s="298"/>
    </row>
    <row r="43" spans="1:23" s="266" customFormat="1" x14ac:dyDescent="0.2">
      <c r="A43" s="460"/>
      <c r="B43" s="460"/>
      <c r="C43" s="460"/>
      <c r="D43" s="460"/>
      <c r="E43" s="460"/>
      <c r="F43" s="460"/>
      <c r="G43" s="298"/>
    </row>
    <row r="44" spans="1:23" s="266" customFormat="1" x14ac:dyDescent="0.2">
      <c r="A44" s="460"/>
      <c r="B44" s="460"/>
      <c r="C44" s="460"/>
      <c r="D44" s="460"/>
      <c r="E44" s="460"/>
      <c r="F44" s="460"/>
      <c r="G44" s="298"/>
    </row>
    <row r="45" spans="1:23" s="266" customFormat="1" x14ac:dyDescent="0.2">
      <c r="A45" s="460"/>
      <c r="B45" s="460"/>
      <c r="C45" s="460"/>
      <c r="D45" s="460"/>
      <c r="E45" s="460"/>
      <c r="F45" s="460"/>
      <c r="G45" s="298"/>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Notes</vt:lpstr>
      <vt:lpstr>Data</vt:lpstr>
      <vt:lpstr>June'18 Revenues &amp; Expenses</vt:lpstr>
      <vt:lpstr>June'18 AR Aging </vt:lpstr>
      <vt:lpstr>June'18 Financial Position</vt:lpstr>
      <vt:lpstr>June'18 State of Activities</vt:lpstr>
      <vt:lpstr>June'18 Transportation</vt:lpstr>
      <vt:lpstr>2017 Medicaid Revenue</vt:lpstr>
      <vt:lpstr>Budget</vt:lpstr>
      <vt:lpstr>YE Historic Data</vt:lpstr>
      <vt:lpstr>'2017 Medicaid Revenue'!Print_Area</vt:lpstr>
      <vt:lpstr>Budget!Print_Area</vt:lpstr>
      <vt:lpstr>'June''18 AR Aging '!Print_Area</vt:lpstr>
      <vt:lpstr>'June''18 Financial Position'!Print_Area</vt:lpstr>
      <vt:lpstr>'June''18 Revenues &amp; Expenses'!Print_Area</vt:lpstr>
      <vt:lpstr>'June''18 State of Activities'!Print_Area</vt:lpstr>
      <vt:lpstr>'June''18 Transportation'!Print_Area</vt:lpstr>
      <vt:lpstr>Notes!Print_Area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Ashling Kelly</cp:lastModifiedBy>
  <cp:lastPrinted>2018-07-17T16:45:22Z</cp:lastPrinted>
  <dcterms:created xsi:type="dcterms:W3CDTF">2011-11-03T17:20:29Z</dcterms:created>
  <dcterms:modified xsi:type="dcterms:W3CDTF">2018-07-18T16:32:19Z</dcterms:modified>
</cp:coreProperties>
</file>