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1\"/>
    </mc:Choice>
  </mc:AlternateContent>
  <bookViews>
    <workbookView xWindow="90" yWindow="35820" windowWidth="14955" windowHeight="9060" tabRatio="787" firstSheet="1" activeTab="4"/>
  </bookViews>
  <sheets>
    <sheet name="Updated  Operating Budget" sheetId="26" state="hidden" r:id="rId1"/>
    <sheet name="Notes" sheetId="15" r:id="rId2"/>
    <sheet name="Data" sheetId="19" state="hidden" r:id="rId3"/>
    <sheet name="Updated Operating Budget" sheetId="25" state="hidden" r:id="rId4"/>
    <sheet name="June'21 Revenues &amp; Expenses" sheetId="3" r:id="rId5"/>
    <sheet name="June'21 AR Aging " sheetId="6" r:id="rId6"/>
    <sheet name="June'21 Financial Position" sheetId="5" r:id="rId7"/>
    <sheet name="June'21 State of Activities" sheetId="12" r:id="rId8"/>
    <sheet name="June'21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13">Budget!$A$1:$G$54</definedName>
    <definedName name="_xlnm.Print_Area" localSheetId="9">'June''20 Transportation'!$A$1:$P$63</definedName>
    <definedName name="_xlnm.Print_Area" localSheetId="5">'June''21 AR Aging '!$A$1:$G$124</definedName>
    <definedName name="_xlnm.Print_Area" localSheetId="6">'June''21 Financial Position'!$A$1:$L$68</definedName>
    <definedName name="_xlnm.Print_Area" localSheetId="4">'June''21 Revenues &amp; Expenses'!$A$1:$L$71</definedName>
    <definedName name="_xlnm.Print_Area" localSheetId="7">'June''21 State of Activities'!$A$1:$O$71</definedName>
    <definedName name="_xlnm.Print_Area" localSheetId="1">Notes!$A$4:$H$108</definedName>
    <definedName name="_xlnm.Print_Area" localSheetId="10">'Transportation Projections'!$A$1:$P$53</definedName>
    <definedName name="_xlnm.Print_Area" localSheetId="14">'YE Historic Data'!$A$1:$W$41</definedName>
    <definedName name="_xlnm.Print_Titles" localSheetId="1">Notes!$1:$3</definedName>
  </definedNames>
  <calcPr calcId="162913"/>
</workbook>
</file>

<file path=xl/calcChain.xml><?xml version="1.0" encoding="utf-8"?>
<calcChain xmlns="http://schemas.openxmlformats.org/spreadsheetml/2006/main">
  <c r="K587" i="19" l="1"/>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456" i="19"/>
  <c r="M50" i="24" l="1"/>
  <c r="M46" i="24"/>
  <c r="M45" i="24"/>
  <c r="M44" i="24"/>
  <c r="M47" i="24"/>
  <c r="M49" i="24"/>
  <c r="M43" i="24"/>
  <c r="M40" i="24"/>
  <c r="M39" i="24"/>
  <c r="M38" i="24"/>
  <c r="M37" i="24"/>
  <c r="M33" i="24"/>
  <c r="M34" i="24" s="1"/>
  <c r="M10" i="24"/>
  <c r="J10" i="24"/>
  <c r="J50" i="24"/>
  <c r="J49" i="24"/>
  <c r="J47" i="24"/>
  <c r="J46" i="24"/>
  <c r="J45" i="24"/>
  <c r="J44" i="24"/>
  <c r="M42" i="24"/>
  <c r="J42" i="24"/>
  <c r="J40" i="24"/>
  <c r="J39" i="24"/>
  <c r="J38" i="24"/>
  <c r="J33" i="24"/>
  <c r="J32" i="24"/>
  <c r="J34" i="24" s="1"/>
  <c r="M22" i="24"/>
  <c r="M13" i="24"/>
  <c r="M26" i="24"/>
  <c r="J26" i="24"/>
  <c r="J64" i="12"/>
  <c r="L61" i="5"/>
  <c r="J53" i="12"/>
  <c r="J52" i="12"/>
  <c r="J51" i="12"/>
  <c r="J50" i="12"/>
  <c r="J49" i="12"/>
  <c r="J46" i="12"/>
  <c r="J45" i="12"/>
  <c r="J44" i="12"/>
  <c r="J42" i="12"/>
  <c r="J41" i="12"/>
  <c r="J40" i="12"/>
  <c r="J39" i="12"/>
  <c r="J23" i="12"/>
  <c r="J21" i="12"/>
  <c r="J17" i="12"/>
  <c r="J15" i="12"/>
  <c r="H42" i="5"/>
  <c r="G52" i="12"/>
  <c r="G51" i="12"/>
  <c r="G50" i="12"/>
  <c r="G48" i="12"/>
  <c r="G45" i="12"/>
  <c r="G44" i="12"/>
  <c r="G40" i="12"/>
  <c r="G39" i="12"/>
  <c r="G33" i="12"/>
  <c r="G20" i="12"/>
  <c r="L51" i="5"/>
  <c r="L45" i="5"/>
  <c r="H52" i="5"/>
  <c r="H51" i="5"/>
  <c r="H45" i="5"/>
  <c r="J61" i="3"/>
  <c r="J60" i="3"/>
  <c r="J59" i="3"/>
  <c r="H44" i="3"/>
  <c r="I43" i="3"/>
  <c r="H42" i="3"/>
  <c r="J28" i="3"/>
  <c r="J30" i="3"/>
  <c r="H30" i="3" l="1"/>
  <c r="G30" i="3" s="1"/>
  <c r="I27" i="3"/>
  <c r="I17" i="3"/>
  <c r="J14" i="3"/>
  <c r="J11" i="3"/>
  <c r="C70" i="6"/>
  <c r="D70" i="6"/>
  <c r="G69" i="6"/>
  <c r="H25" i="3" s="1"/>
  <c r="G68" i="6"/>
  <c r="H24" i="3" s="1"/>
  <c r="I24" i="3" s="1"/>
  <c r="G24" i="3" s="1"/>
  <c r="C66" i="6"/>
  <c r="E51" i="6"/>
  <c r="D39" i="6"/>
  <c r="C39" i="6"/>
  <c r="C13" i="6"/>
  <c r="H58" i="26" l="1"/>
  <c r="I58" i="26" s="1"/>
  <c r="I53" i="26"/>
  <c r="L53" i="26" s="1"/>
  <c r="M53" i="26" s="1"/>
  <c r="H53" i="26"/>
  <c r="I52" i="26"/>
  <c r="L52" i="26" s="1"/>
  <c r="M52" i="26" s="1"/>
  <c r="I51" i="26"/>
  <c r="L51" i="26" s="1"/>
  <c r="M51" i="26" s="1"/>
  <c r="I50" i="26"/>
  <c r="L50" i="26" s="1"/>
  <c r="M50" i="26" s="1"/>
  <c r="I49" i="26"/>
  <c r="L49" i="26" s="1"/>
  <c r="M49" i="26" s="1"/>
  <c r="I48" i="26"/>
  <c r="L48" i="26" s="1"/>
  <c r="M48" i="26" s="1"/>
  <c r="I47" i="26"/>
  <c r="L47" i="26" s="1"/>
  <c r="M47" i="26" s="1"/>
  <c r="I46" i="26"/>
  <c r="L46" i="26" s="1"/>
  <c r="M46" i="26" s="1"/>
  <c r="L45" i="26"/>
  <c r="M45" i="26" s="1"/>
  <c r="I45" i="26"/>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I34" i="26"/>
  <c r="L34" i="26" s="1"/>
  <c r="M34" i="26" s="1"/>
  <c r="H34" i="26"/>
  <c r="G33" i="26"/>
  <c r="I33" i="26" s="1"/>
  <c r="I32" i="26"/>
  <c r="L32" i="26" s="1"/>
  <c r="K29" i="26"/>
  <c r="H27" i="26"/>
  <c r="G27" i="26"/>
  <c r="I27" i="26" s="1"/>
  <c r="H26" i="26"/>
  <c r="I26" i="26" s="1"/>
  <c r="G26" i="26"/>
  <c r="G28" i="26" s="1"/>
  <c r="I28" i="26" s="1"/>
  <c r="H25" i="26"/>
  <c r="I25" i="26" s="1"/>
  <c r="I23" i="26"/>
  <c r="L23" i="26" s="1"/>
  <c r="I22" i="26"/>
  <c r="L22" i="26" s="1"/>
  <c r="G21" i="26"/>
  <c r="H21" i="26" s="1"/>
  <c r="K20" i="26"/>
  <c r="G20" i="26"/>
  <c r="I19" i="26"/>
  <c r="L19" i="26" s="1"/>
  <c r="I18" i="26"/>
  <c r="M18" i="26" s="1"/>
  <c r="H17" i="26"/>
  <c r="I17" i="26" s="1"/>
  <c r="L17" i="26" s="1"/>
  <c r="I16" i="26"/>
  <c r="L16" i="26" s="1"/>
  <c r="H15" i="26"/>
  <c r="I15" i="26" s="1"/>
  <c r="I14" i="26"/>
  <c r="M14" i="26" s="1"/>
  <c r="H13" i="26"/>
  <c r="I13" i="26" s="1"/>
  <c r="I11" i="26"/>
  <c r="I10" i="26"/>
  <c r="M10" i="26" s="1"/>
  <c r="M9" i="26"/>
  <c r="I9" i="26"/>
  <c r="L9" i="26" s="1"/>
  <c r="I8" i="26"/>
  <c r="L27" i="26" l="1"/>
  <c r="M27" i="26"/>
  <c r="L14" i="26"/>
  <c r="M16" i="26"/>
  <c r="G29" i="26"/>
  <c r="H54" i="26"/>
  <c r="H20" i="26"/>
  <c r="I21" i="26"/>
  <c r="M15" i="26"/>
  <c r="L15" i="26"/>
  <c r="M13" i="26"/>
  <c r="L13" i="26"/>
  <c r="M25" i="26"/>
  <c r="L25" i="26"/>
  <c r="M32" i="26"/>
  <c r="M28" i="26"/>
  <c r="L28" i="26"/>
  <c r="M26" i="26"/>
  <c r="L26" i="26"/>
  <c r="I54" i="26"/>
  <c r="L33" i="26"/>
  <c r="M33" i="26" s="1"/>
  <c r="K44" i="26"/>
  <c r="K54" i="26" s="1"/>
  <c r="K56" i="26" s="1"/>
  <c r="K60" i="26" s="1"/>
  <c r="L10" i="26"/>
  <c r="M17" i="26"/>
  <c r="I20"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M20" i="26" l="1"/>
  <c r="L20" i="26"/>
  <c r="I12" i="26"/>
  <c r="H29" i="26"/>
  <c r="H56" i="26" s="1"/>
  <c r="H60" i="26" s="1"/>
  <c r="L44" i="26"/>
  <c r="L24" i="26"/>
  <c r="M24" i="26"/>
  <c r="L54" i="26"/>
  <c r="M54" i="26" s="1"/>
  <c r="L21" i="26"/>
  <c r="M21" i="26"/>
  <c r="G60" i="26"/>
  <c r="J43" i="24"/>
  <c r="I56" i="26" l="1"/>
  <c r="L12" i="26"/>
  <c r="L29" i="26" s="1"/>
  <c r="M29" i="26" s="1"/>
  <c r="M12" i="26"/>
  <c r="I29" i="26"/>
  <c r="J47" i="12"/>
  <c r="I60" i="26" l="1"/>
  <c r="L56" i="26"/>
  <c r="M56" i="26" s="1"/>
  <c r="J24" i="3"/>
  <c r="K33" i="24" l="1"/>
  <c r="K40" i="24"/>
  <c r="F107" i="15" l="1"/>
  <c r="D105" i="15"/>
  <c r="D104" i="15"/>
  <c r="D103" i="15"/>
  <c r="F91" i="15"/>
  <c r="G74" i="15" l="1"/>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B1458" i="19" l="1"/>
  <c r="B1459" i="19"/>
  <c r="J16" i="24"/>
  <c r="J55" i="24"/>
  <c r="K55" i="24"/>
  <c r="K9" i="24"/>
  <c r="K65" i="24" s="1"/>
  <c r="K24" i="24"/>
  <c r="K41" i="24" s="1"/>
  <c r="K51" i="24" s="1"/>
  <c r="K13" i="24"/>
  <c r="G61" i="12"/>
  <c r="H51" i="12"/>
  <c r="J42" i="5"/>
  <c r="H52" i="12"/>
  <c r="H50" i="12"/>
  <c r="H47" i="12"/>
  <c r="H46" i="12"/>
  <c r="H39" i="12"/>
  <c r="H33" i="12"/>
  <c r="H23" i="12"/>
  <c r="J60" i="5"/>
  <c r="J51" i="5"/>
  <c r="J45" i="5"/>
  <c r="L60" i="5"/>
  <c r="H60" i="5"/>
  <c r="I44" i="3"/>
  <c r="L8" i="5"/>
  <c r="K61" i="3"/>
  <c r="K59" i="3"/>
  <c r="H60" i="3"/>
  <c r="H59" i="3"/>
  <c r="I48" i="3"/>
  <c r="G107" i="15" s="1"/>
  <c r="K43" i="3"/>
  <c r="I41" i="3"/>
  <c r="I42" i="3"/>
  <c r="H27" i="3"/>
  <c r="J27" i="3" l="1"/>
  <c r="G27" i="3"/>
  <c r="J48" i="3"/>
  <c r="K41" i="3"/>
  <c r="G91" i="15"/>
  <c r="K25" i="24"/>
  <c r="K62" i="24"/>
  <c r="K59" i="24"/>
  <c r="J25" i="3" l="1"/>
  <c r="H17" i="3"/>
  <c r="G73" i="3"/>
  <c r="M69" i="3"/>
  <c r="G69" i="3"/>
  <c r="F69" i="3"/>
  <c r="K65" i="3"/>
  <c r="L65" i="3" s="1"/>
  <c r="K64" i="3"/>
  <c r="L64" i="3" s="1"/>
  <c r="K63" i="3"/>
  <c r="L63" i="3" s="1"/>
  <c r="H62" i="3"/>
  <c r="K62" i="3" s="1"/>
  <c r="K60" i="3"/>
  <c r="L60" i="3" s="1"/>
  <c r="L59" i="3"/>
  <c r="K58" i="3"/>
  <c r="J69" i="3"/>
  <c r="H49" i="3"/>
  <c r="G49" i="3"/>
  <c r="I46" i="3"/>
  <c r="J46" i="3" s="1"/>
  <c r="J49" i="3" s="1"/>
  <c r="F46" i="3"/>
  <c r="F49" i="3" s="1"/>
  <c r="K44" i="3"/>
  <c r="K42" i="3"/>
  <c r="I40" i="3"/>
  <c r="K40" i="3" s="1"/>
  <c r="K38" i="3"/>
  <c r="I38" i="3"/>
  <c r="I37" i="3"/>
  <c r="K32" i="3"/>
  <c r="G31" i="3"/>
  <c r="J8" i="3"/>
  <c r="J17" i="3" l="1"/>
  <c r="J13" i="24"/>
  <c r="I49" i="3"/>
  <c r="L69" i="3"/>
  <c r="L71" i="3" s="1"/>
  <c r="G25" i="3"/>
  <c r="G17" i="3"/>
  <c r="K37" i="3"/>
  <c r="K49" i="3" s="1"/>
  <c r="L49" i="3" s="1"/>
  <c r="I73" i="3"/>
  <c r="K57" i="3"/>
  <c r="K69" i="3" s="1"/>
  <c r="B1260" i="19"/>
  <c r="B1259" i="19"/>
  <c r="B1258" i="19"/>
  <c r="B1257" i="19"/>
  <c r="B1256" i="19"/>
  <c r="B1255" i="19"/>
  <c r="B1254" i="19"/>
  <c r="B1253" i="19"/>
  <c r="B1252" i="19"/>
  <c r="B1251" i="19"/>
  <c r="B1250" i="19"/>
  <c r="B1249" i="19"/>
  <c r="B1248" i="19"/>
  <c r="B1247" i="19"/>
  <c r="B1246" i="19"/>
  <c r="B1245" i="19"/>
  <c r="J18" i="24" l="1"/>
  <c r="G95" i="15" l="1"/>
  <c r="F95"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O20" i="24"/>
  <c r="O19" i="24"/>
  <c r="P19" i="24" s="1"/>
  <c r="O17" i="24"/>
  <c r="P17" i="24" s="1"/>
  <c r="O13" i="24"/>
  <c r="M14" i="24" l="1"/>
  <c r="M9" i="24"/>
  <c r="M23" i="24"/>
  <c r="J24" i="24"/>
  <c r="O18" i="24"/>
  <c r="P18" i="24" s="1"/>
  <c r="O16" i="24"/>
  <c r="M15" i="24"/>
  <c r="J14" i="24"/>
  <c r="J9" i="24"/>
  <c r="O14" i="24" l="1"/>
  <c r="P14" i="24" s="1"/>
  <c r="A4" i="24"/>
  <c r="A3" i="24"/>
  <c r="O54" i="24"/>
  <c r="O50" i="24"/>
  <c r="P50" i="24" s="1"/>
  <c r="O49" i="24"/>
  <c r="P49" i="24" s="1"/>
  <c r="O48" i="24"/>
  <c r="O47" i="24"/>
  <c r="P47" i="24" s="1"/>
  <c r="O46" i="24"/>
  <c r="P46" i="24" s="1"/>
  <c r="O45" i="24"/>
  <c r="P45" i="24" s="1"/>
  <c r="O44" i="24"/>
  <c r="P44" i="24" s="1"/>
  <c r="O43" i="24"/>
  <c r="P43" i="24" s="1"/>
  <c r="O42" i="24"/>
  <c r="P42" i="24" s="1"/>
  <c r="O40" i="24"/>
  <c r="P40" i="24" s="1"/>
  <c r="M55" i="24"/>
  <c r="O55" i="24" s="1"/>
  <c r="O39" i="24"/>
  <c r="P39" i="24" s="1"/>
  <c r="O38" i="24"/>
  <c r="P38" i="24" s="1"/>
  <c r="O37" i="24"/>
  <c r="P37" i="24" s="1"/>
  <c r="O36" i="24"/>
  <c r="P36" i="24" s="1"/>
  <c r="O33" i="24"/>
  <c r="P33" i="24" s="1"/>
  <c r="O32" i="24"/>
  <c r="P32" i="24" s="1"/>
  <c r="O27" i="24"/>
  <c r="P27" i="24" s="1"/>
  <c r="O26" i="24"/>
  <c r="P26" i="24" s="1"/>
  <c r="J41" i="24"/>
  <c r="O23" i="24"/>
  <c r="O22" i="24"/>
  <c r="O21" i="24"/>
  <c r="P21" i="24" s="1"/>
  <c r="P16" i="24"/>
  <c r="P13" i="24"/>
  <c r="O11" i="24"/>
  <c r="P11" i="24" s="1"/>
  <c r="O10" i="24"/>
  <c r="P10" i="24" s="1"/>
  <c r="O9" i="24"/>
  <c r="O34" i="24" l="1"/>
  <c r="P34" i="24" s="1"/>
  <c r="O35" i="24"/>
  <c r="K28" i="24"/>
  <c r="K52" i="24" s="1"/>
  <c r="K56" i="24" s="1"/>
  <c r="M65" i="24"/>
  <c r="J51" i="24"/>
  <c r="J59" i="24" s="1"/>
  <c r="P9" i="24"/>
  <c r="J65" i="24"/>
  <c r="J62" i="24" l="1"/>
  <c r="F103" i="15" l="1"/>
  <c r="F104" i="15"/>
  <c r="E104" i="15"/>
  <c r="E103" i="15"/>
  <c r="F102" i="15"/>
  <c r="F93" i="15"/>
  <c r="F90" i="15"/>
  <c r="F101" i="15"/>
  <c r="E101" i="15"/>
  <c r="D90" i="15"/>
  <c r="E90" i="15"/>
  <c r="D94" i="15"/>
  <c r="E108" i="15" l="1"/>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41" i="19" l="1"/>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33" i="12" l="1"/>
  <c r="G34" i="12"/>
  <c r="J25" i="12"/>
  <c r="M24" i="24" s="1"/>
  <c r="M25" i="24" s="1"/>
  <c r="M28" i="24" l="1"/>
  <c r="M41" i="24"/>
  <c r="O24" i="24"/>
  <c r="O41" i="24" l="1"/>
  <c r="P41" i="24" s="1"/>
  <c r="M51" i="24"/>
  <c r="M52" i="24" s="1"/>
  <c r="M56" i="24" s="1"/>
  <c r="M62" i="24" l="1"/>
  <c r="O51" i="24"/>
  <c r="P51" i="24" s="1"/>
  <c r="M59" i="24"/>
  <c r="R32" i="18" l="1"/>
  <c r="R30" i="18"/>
  <c r="J13" i="18" l="1"/>
  <c r="J11" i="18"/>
  <c r="J24" i="18"/>
  <c r="M31" i="18"/>
  <c r="J31" i="18"/>
  <c r="R31" i="18" s="1"/>
  <c r="S33" i="18" s="1"/>
  <c r="R19" i="18"/>
  <c r="R48" i="18"/>
  <c r="R45" i="18"/>
  <c r="S45" i="18" s="1"/>
  <c r="R44" i="18"/>
  <c r="R43" i="18"/>
  <c r="S43" i="18" s="1"/>
  <c r="R42" i="18"/>
  <c r="R50" i="18" s="1"/>
  <c r="R41" i="18"/>
  <c r="S41" i="18" s="1"/>
  <c r="R38" i="18"/>
  <c r="L16" i="12" l="1"/>
  <c r="M16" i="12" s="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17" i="12" l="1"/>
  <c r="J15" i="24" s="1"/>
  <c r="J25" i="24" s="1"/>
  <c r="J28" i="24" s="1"/>
  <c r="O15" i="24" l="1"/>
  <c r="P15" i="24" s="1"/>
  <c r="J34" i="12"/>
  <c r="H34" i="12"/>
  <c r="O25" i="24" l="1"/>
  <c r="P25" i="24" s="1"/>
  <c r="H16" i="5"/>
  <c r="J55" i="5"/>
  <c r="J48" i="5"/>
  <c r="J16" i="5"/>
  <c r="J23" i="5"/>
  <c r="G93" i="15"/>
  <c r="J57" i="5" l="1"/>
  <c r="J25" i="5"/>
  <c r="J35" i="5" s="1"/>
  <c r="J52" i="24"/>
  <c r="O28" i="24"/>
  <c r="P28" i="24" s="1"/>
  <c r="G70" i="6"/>
  <c r="E14" i="6"/>
  <c r="O52" i="24" l="1"/>
  <c r="P52" i="24" s="1"/>
  <c r="J56" i="24"/>
  <c r="O56" i="24" s="1"/>
  <c r="G68" i="15" l="1"/>
  <c r="F38" i="15"/>
  <c r="F45" i="15" s="1"/>
  <c r="D38" i="15"/>
  <c r="G572" i="19" l="1"/>
  <c r="G571" i="19"/>
  <c r="G616" i="19" l="1"/>
  <c r="J18" i="18"/>
  <c r="O18" i="18" s="1"/>
  <c r="O11" i="18"/>
  <c r="M53" i="18"/>
  <c r="M22" i="18"/>
  <c r="M39" i="18" s="1"/>
  <c r="M21" i="18"/>
  <c r="M15" i="18"/>
  <c r="M63" i="18"/>
  <c r="J65" i="12"/>
  <c r="J66" i="12" s="1"/>
  <c r="J55" i="12"/>
  <c r="M23" i="18" l="1"/>
  <c r="M26" i="18" s="1"/>
  <c r="M49" i="18"/>
  <c r="J26" i="12"/>
  <c r="J28" i="12" s="1"/>
  <c r="J57" i="12" s="1"/>
  <c r="L62" i="5" s="1"/>
  <c r="C97" i="6"/>
  <c r="G64" i="6"/>
  <c r="I61" i="3" s="1"/>
  <c r="F44" i="6"/>
  <c r="C8" i="6"/>
  <c r="G6" i="6"/>
  <c r="H61" i="3" l="1"/>
  <c r="H69" i="3" s="1"/>
  <c r="I69" i="3"/>
  <c r="J68" i="12"/>
  <c r="J71" i="12" s="1"/>
  <c r="M60" i="18"/>
  <c r="M57" i="18"/>
  <c r="M50" i="18"/>
  <c r="M54" i="18" s="1"/>
  <c r="O17" i="18"/>
  <c r="E72" i="6" l="1"/>
  <c r="O47" i="23" l="1"/>
  <c r="O45" i="23"/>
  <c r="O42" i="23"/>
  <c r="O39" i="23"/>
  <c r="O36" i="23"/>
  <c r="O35" i="23"/>
  <c r="O32" i="23"/>
  <c r="O30" i="23"/>
  <c r="M31" i="23"/>
  <c r="O24" i="23"/>
  <c r="O18" i="23"/>
  <c r="O17" i="23"/>
  <c r="O16" i="23"/>
  <c r="O15" i="23"/>
  <c r="O14" i="23"/>
  <c r="O13" i="23"/>
  <c r="O10" i="23"/>
  <c r="O9" i="23"/>
  <c r="J34" i="23"/>
  <c r="O34" i="23" s="1"/>
  <c r="M41" i="23"/>
  <c r="O41" i="23" s="1"/>
  <c r="J41" i="23"/>
  <c r="J43" i="23"/>
  <c r="M39" i="23"/>
  <c r="J39" i="23"/>
  <c r="J35" i="23"/>
  <c r="J33" i="23"/>
  <c r="O33" i="23" s="1"/>
  <c r="M30" i="23"/>
  <c r="J29" i="23" l="1"/>
  <c r="O29" i="23" l="1"/>
  <c r="J31" i="23"/>
  <c r="O31" i="23" s="1"/>
  <c r="J46" i="23"/>
  <c r="O46" i="23" s="1"/>
  <c r="J44" i="23"/>
  <c r="O44" i="23" s="1"/>
  <c r="M43" i="23"/>
  <c r="O43" i="23" s="1"/>
  <c r="M37" i="23" l="1"/>
  <c r="J37" i="23"/>
  <c r="O37" i="23" l="1"/>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M48" i="23" s="1"/>
  <c r="K21" i="23"/>
  <c r="K38" i="23" s="1"/>
  <c r="J38" i="23"/>
  <c r="O20" i="23"/>
  <c r="M19" i="23"/>
  <c r="O19" i="23" s="1"/>
  <c r="K19" i="23"/>
  <c r="P18" i="23"/>
  <c r="P17" i="23"/>
  <c r="P15" i="23"/>
  <c r="K14" i="23"/>
  <c r="K13" i="23"/>
  <c r="K12" i="23"/>
  <c r="P10" i="23"/>
  <c r="K10" i="23"/>
  <c r="K9" i="23"/>
  <c r="K8" i="23"/>
  <c r="G44" i="15"/>
  <c r="E35" i="15"/>
  <c r="O52" i="23" l="1"/>
  <c r="O12" i="23"/>
  <c r="O22" i="23" s="1"/>
  <c r="O38" i="23"/>
  <c r="P38" i="23"/>
  <c r="P31" i="23"/>
  <c r="P37" i="23"/>
  <c r="P40" i="23"/>
  <c r="J22" i="23"/>
  <c r="J25" i="23" s="1"/>
  <c r="K48" i="23"/>
  <c r="K22" i="23"/>
  <c r="K25" i="23" s="1"/>
  <c r="P13" i="23"/>
  <c r="P30" i="23"/>
  <c r="J48" i="23"/>
  <c r="O48" i="23" s="1"/>
  <c r="M22" i="23"/>
  <c r="M25" i="23" s="1"/>
  <c r="O21" i="23"/>
  <c r="P12" i="23" l="1"/>
  <c r="K49" i="23"/>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G65" i="12" l="1"/>
  <c r="L11" i="12" l="1"/>
  <c r="M11" i="12" s="1"/>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0" i="12"/>
  <c r="M50" i="12" s="1"/>
  <c r="L47" i="12"/>
  <c r="M47" i="12" s="1"/>
  <c r="L61" i="12"/>
  <c r="M61" i="12" s="1"/>
  <c r="L53" i="12"/>
  <c r="L52" i="12"/>
  <c r="M52" i="12" s="1"/>
  <c r="L51" i="12"/>
  <c r="M51" i="12" s="1"/>
  <c r="L49" i="12"/>
  <c r="M49" i="12" s="1"/>
  <c r="L48" i="12"/>
  <c r="M48" i="12" s="1"/>
  <c r="L46" i="12"/>
  <c r="M46" i="12" s="1"/>
  <c r="L45" i="12"/>
  <c r="M45" i="12" s="1"/>
  <c r="L44" i="12"/>
  <c r="M44" i="12" s="1"/>
  <c r="L43" i="12"/>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L22" i="12"/>
  <c r="M22" i="12" s="1"/>
  <c r="L21" i="12"/>
  <c r="M21" i="12" s="1"/>
  <c r="L20" i="12"/>
  <c r="M20" i="12" s="1"/>
  <c r="L19" i="12"/>
  <c r="M19" i="12" s="1"/>
  <c r="L18" i="12"/>
  <c r="M18" i="12" s="1"/>
  <c r="L15" i="12"/>
  <c r="M15" i="12" s="1"/>
  <c r="L14" i="12"/>
  <c r="M14" i="12" s="1"/>
  <c r="L12" i="12"/>
  <c r="M12" i="12" s="1"/>
  <c r="L10" i="12"/>
  <c r="M10" i="12" s="1"/>
  <c r="L9" i="12"/>
  <c r="M9" i="12" s="1"/>
  <c r="H65" i="12"/>
  <c r="H66" i="12" l="1"/>
  <c r="O24" i="18"/>
  <c r="P24" i="18" s="1"/>
  <c r="O44" i="18"/>
  <c r="P44" i="18" s="1"/>
  <c r="O43" i="18"/>
  <c r="P43" i="18" s="1"/>
  <c r="O42" i="18"/>
  <c r="P42" i="18" s="1"/>
  <c r="G66" i="6" l="1"/>
  <c r="G40" i="6" l="1"/>
  <c r="G41" i="6"/>
  <c r="E16" i="15" s="1"/>
  <c r="A4" i="18" l="1"/>
  <c r="G51" i="22" l="1"/>
  <c r="G47" i="22"/>
  <c r="G46" i="22"/>
  <c r="G13" i="22"/>
  <c r="G28" i="22" s="1"/>
  <c r="G20" i="22"/>
  <c r="G34" i="22" l="1"/>
  <c r="G53" i="22" l="1"/>
  <c r="G55" i="22" s="1"/>
  <c r="L31" i="5" l="1"/>
  <c r="C125" i="6" l="1"/>
  <c r="G45" i="15" l="1"/>
  <c r="H44" i="15" l="1"/>
  <c r="H42" i="15"/>
  <c r="H39" i="15"/>
  <c r="H35" i="15"/>
  <c r="H43" i="15"/>
  <c r="H41" i="15"/>
  <c r="H38" i="15"/>
  <c r="H36" i="15"/>
  <c r="L64" i="12"/>
  <c r="M64" i="12" s="1"/>
  <c r="O32" i="18" l="1"/>
  <c r="P32" i="18" s="1"/>
  <c r="D14" i="6" l="1"/>
  <c r="D45" i="15" l="1"/>
  <c r="J22" i="18" l="1"/>
  <c r="K22" i="18"/>
  <c r="K39" i="18" s="1"/>
  <c r="K21" i="18"/>
  <c r="K63" i="18"/>
  <c r="K15" i="18"/>
  <c r="K8" i="18"/>
  <c r="K49" i="18" l="1"/>
  <c r="K53" i="18"/>
  <c r="J39" i="18"/>
  <c r="J49" i="18" s="1"/>
  <c r="K23" i="18"/>
  <c r="K57" i="18" l="1"/>
  <c r="K60" i="18"/>
  <c r="D44" i="6" l="1"/>
  <c r="G13" i="6"/>
  <c r="H11" i="3" s="1"/>
  <c r="G11"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D72" i="6" s="1"/>
  <c r="J21" i="18" l="1"/>
  <c r="O21" i="18" s="1"/>
  <c r="L25" i="12" l="1"/>
  <c r="M25" i="12" s="1"/>
  <c r="G8" i="12"/>
  <c r="J8" i="12" s="1"/>
  <c r="M8" i="24" l="1"/>
  <c r="J8" i="24"/>
  <c r="E81" i="15"/>
  <c r="L33" i="12" l="1"/>
  <c r="M33" i="12" s="1"/>
  <c r="B323" i="19"/>
  <c r="K26" i="18" l="1"/>
  <c r="K50" i="18" s="1"/>
  <c r="K54" i="18" s="1"/>
  <c r="O22" i="18"/>
  <c r="J63" i="18" l="1"/>
  <c r="J8" i="18"/>
  <c r="J53" i="18"/>
  <c r="O53" i="18" s="1"/>
  <c r="O9" i="18" l="1"/>
  <c r="P9" i="18" s="1"/>
  <c r="O39" i="18"/>
  <c r="P39" i="18" s="1"/>
  <c r="J57" i="18" l="1"/>
  <c r="O49" i="18"/>
  <c r="P49" i="18" s="1"/>
  <c r="J60" i="18"/>
  <c r="M8" i="18"/>
  <c r="L62" i="12" l="1"/>
  <c r="M62" i="12" s="1"/>
  <c r="L34" i="12"/>
  <c r="M34" i="12" s="1"/>
  <c r="L17" i="12"/>
  <c r="M17" i="12" s="1"/>
  <c r="G55" i="12" l="1"/>
  <c r="G26" i="12"/>
  <c r="J15" i="18"/>
  <c r="O15" i="18" s="1"/>
  <c r="P15" i="18" s="1"/>
  <c r="H26" i="12"/>
  <c r="H28"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6"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7" i="15" l="1"/>
  <c r="E97" i="15"/>
  <c r="F105" i="15"/>
  <c r="F108" i="15" s="1"/>
  <c r="G58" i="6" l="1"/>
  <c r="C51" i="6"/>
  <c r="C44" i="6"/>
  <c r="G17" i="6"/>
  <c r="G18" i="6" l="1"/>
  <c r="D108" i="15"/>
  <c r="G106" i="15"/>
  <c r="G105" i="15"/>
  <c r="H55" i="12" l="1"/>
  <c r="G102" i="15"/>
  <c r="G101" i="15" l="1"/>
  <c r="G103" i="15" l="1"/>
  <c r="G62" i="6" l="1"/>
  <c r="H28" i="3" s="1"/>
  <c r="G28"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3" i="3" s="1"/>
  <c r="H73" i="3" l="1"/>
  <c r="K73" i="3" s="1"/>
  <c r="E14" i="15"/>
  <c r="G48" i="6" l="1"/>
  <c r="H23" i="3" s="1"/>
  <c r="J23" i="3" l="1"/>
  <c r="G23" i="3"/>
  <c r="L23" i="5"/>
  <c r="L25" i="5" s="1"/>
  <c r="L35" i="5" s="1"/>
  <c r="H55" i="5"/>
  <c r="L68" i="5" l="1"/>
  <c r="D199" i="6" l="1"/>
  <c r="D200" i="6"/>
  <c r="D201" i="6"/>
  <c r="L65" i="12" l="1"/>
  <c r="M65" i="12" s="1"/>
  <c r="F199" i="6" l="1"/>
  <c r="G31" i="6" l="1"/>
  <c r="G60" i="6"/>
  <c r="E17" i="15" s="1"/>
  <c r="G51" i="6"/>
  <c r="G50" i="6"/>
  <c r="H22" i="3" l="1"/>
  <c r="I22" i="3" s="1"/>
  <c r="G15" i="3"/>
  <c r="H14" i="3"/>
  <c r="G14" i="3" s="1"/>
  <c r="N203" i="6"/>
  <c r="M203" i="6"/>
  <c r="L203" i="6"/>
  <c r="K203" i="6"/>
  <c r="J203" i="6"/>
  <c r="I203" i="6"/>
  <c r="H203" i="6"/>
  <c r="G203" i="6"/>
  <c r="G22" i="3" l="1"/>
  <c r="J22" i="3"/>
  <c r="C56" i="6"/>
  <c r="F27" i="6"/>
  <c r="F72" i="6" s="1"/>
  <c r="C32" i="6"/>
  <c r="C202" i="6" l="1"/>
  <c r="G54" i="6" l="1"/>
  <c r="G55" i="6"/>
  <c r="G56" i="6" l="1"/>
  <c r="G20" i="6" l="1"/>
  <c r="C14" i="6"/>
  <c r="C72" i="6" s="1"/>
  <c r="G12" i="6"/>
  <c r="L26" i="12" l="1"/>
  <c r="M26" i="12" s="1"/>
  <c r="L28" i="12" l="1"/>
  <c r="M28" i="12" l="1"/>
  <c r="L55" i="12"/>
  <c r="M55" i="12" s="1"/>
  <c r="G28" i="12" l="1"/>
  <c r="G57" i="12" l="1"/>
  <c r="H62" i="5" s="1"/>
  <c r="H57" i="12"/>
  <c r="J62" i="5" l="1"/>
  <c r="J63" i="5" s="1"/>
  <c r="J65" i="5" s="1"/>
  <c r="H68" i="12"/>
  <c r="H71" i="12" s="1"/>
  <c r="L63" i="5"/>
  <c r="L57" i="12"/>
  <c r="M57" i="12" s="1"/>
  <c r="G70" i="12" l="1"/>
  <c r="L65" i="5"/>
  <c r="L71" i="5" s="1"/>
  <c r="C200" i="6" l="1"/>
  <c r="G39" i="6"/>
  <c r="E15" i="15" s="1"/>
  <c r="G32" i="6"/>
  <c r="G11" i="6"/>
  <c r="G44" i="6" l="1"/>
  <c r="E12" i="15"/>
  <c r="D203" i="6"/>
  <c r="G14" i="6"/>
  <c r="E13" i="15" s="1"/>
  <c r="G27" i="6"/>
  <c r="F203" i="6" l="1"/>
  <c r="H61" i="5" l="1"/>
  <c r="G66" i="12"/>
  <c r="H63" i="5" l="1"/>
  <c r="G68" i="12"/>
  <c r="G71" i="12" s="1"/>
  <c r="L66" i="12"/>
  <c r="M66" i="12" s="1"/>
  <c r="G104" i="15"/>
  <c r="G108" i="15" s="1"/>
  <c r="L68" i="12" l="1"/>
  <c r="G7" i="6"/>
  <c r="H10" i="3" s="1"/>
  <c r="G10" i="3" s="1"/>
  <c r="G32" i="3" s="1"/>
  <c r="H32" i="3" l="1"/>
  <c r="C201" i="6"/>
  <c r="G8" i="6"/>
  <c r="G72" i="6" s="1"/>
  <c r="J78" i="3" s="1"/>
  <c r="J77" i="3" l="1"/>
  <c r="J79" i="3" s="1"/>
  <c r="J10" i="3"/>
  <c r="J32" i="3" s="1"/>
  <c r="I32" i="3"/>
  <c r="H19" i="5"/>
  <c r="E11" i="15"/>
  <c r="E18" i="15" s="1"/>
  <c r="C199" i="6"/>
  <c r="C203" i="6" s="1"/>
  <c r="E74" i="6" l="1"/>
  <c r="F74" i="6"/>
  <c r="D74" i="6"/>
  <c r="G74" i="6"/>
  <c r="C74" i="6"/>
  <c r="F17" i="15"/>
  <c r="F15" i="15"/>
  <c r="F14" i="15"/>
  <c r="F13" i="15"/>
  <c r="F12" i="15"/>
  <c r="F11" i="15"/>
  <c r="F16" i="15"/>
  <c r="C99" i="6"/>
  <c r="H23" i="5"/>
  <c r="H25" i="5" s="1"/>
  <c r="H35" i="5" s="1"/>
  <c r="G90" i="15"/>
  <c r="F18" i="15" l="1"/>
  <c r="G97" i="15" l="1"/>
  <c r="F97" i="15"/>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<sst xmlns="http://schemas.openxmlformats.org/spreadsheetml/2006/main" count="1004" uniqueCount="571">
  <si>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</si>
  <si>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</si>
  <si>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</si>
  <si>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</si>
  <si>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</si>
  <si>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</si>
  <si>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</si>
  <si>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</si>
  <si>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</si>
  <si>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</si>
  <si>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</si>
  <si>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</si>
  <si>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</si>
  <si>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</si>
  <si>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</si>
  <si>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</si>
  <si>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</si>
  <si>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</si>
  <si>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</si>
  <si>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</si>
  <si>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</si>
  <si>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</si>
  <si>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</si>
  <si>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</si>
  <si>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</si>
  <si>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</si>
  <si>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</si>
  <si>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</si>
  <si>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</si>
  <si>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</si>
  <si>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</si>
  <si>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</si>
  <si>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</si>
  <si>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</si>
  <si>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</si>
  <si>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</si>
  <si>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</si>
  <si>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</si>
  <si>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</si>
  <si>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</si>
  <si>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</si>
  <si>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</si>
  <si>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</si>
  <si>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</si>
  <si>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</si>
  <si>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</si>
  <si>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</si>
  <si>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</si>
  <si>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</si>
  <si>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</si>
  <si>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</si>
  <si>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</si>
  <si>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</si>
  <si>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</si>
  <si>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</si>
  <si>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</si>
  <si>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</si>
  <si>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</si>
  <si>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</si>
  <si>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</si>
  <si>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</si>
  <si>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</si>
  <si>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</si>
  <si>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</si>
  <si>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</si>
  <si>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</si>
  <si>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</si>
  <si>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</si>
  <si>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</si>
  <si>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</si>
  <si>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</si>
  <si>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</si>
  <si>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</si>
  <si>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</si>
  <si>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</si>
  <si>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</si>
  <si>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</si>
  <si>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</si>
  <si>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</si>
  <si>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</si>
  <si>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</si>
  <si>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</si>
  <si>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</si>
  <si>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</si>
  <si>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</si>
  <si>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</si>
  <si>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</si>
  <si>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</si>
  <si>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</si>
  <si>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</si>
  <si>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</si>
  <si>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</si>
  <si>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</si>
  <si>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</si>
  <si>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</si>
  <si>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</si>
  <si>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</si>
  <si>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</si>
  <si>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</si>
  <si>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</si>
  <si>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</si>
  <si>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</si>
  <si>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</si>
  <si>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</si>
  <si>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</si>
  <si>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</si>
  <si>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</si>
  <si>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</si>
  <si>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</si>
  <si>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</si>
  <si>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</si>
  <si>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</si>
  <si>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</si>
  <si>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</si>
  <si>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</si>
  <si>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</si>
  <si>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</si>
  <si>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</si>
  <si>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</si>
  <si>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</si>
  <si>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</si>
  <si>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</si>
  <si>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</si>
  <si>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</si>
  <si>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</si>
  <si>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</si>
  <si>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</si>
  <si>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</si>
  <si>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</si>
  <si>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</si>
  <si>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</si>
  <si>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</si>
  <si>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</si>
  <si>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</si>
  <si>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</si>
  <si>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</si>
  <si>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</si>
  <si>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</si>
  <si>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</si>
  <si>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</si>
  <si>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</si>
  <si>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</si>
  <si>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</si>
  <si>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</si>
  <si>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</si>
  <si>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</si>
  <si>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</si>
  <si>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</si>
  <si>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</si>
  <si>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</si>
  <si>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</si>
  <si>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</si>
  <si>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</si>
  <si>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</si>
  <si>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</si>
  <si>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</si>
  <si>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</si>
  <si>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</si>
  <si>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</si>
  <si>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</si>
  <si>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</si>
  <si>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</si>
  <si>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</si>
  <si>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</si>
  <si>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</si>
  <si>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</si>
  <si>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</si>
  <si>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</si>
  <si>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</si>
  <si>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</si>
  <si>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</si>
  <si>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</si>
  <si>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</si>
  <si>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</si>
  <si>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</si>
  <si>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</si>
  <si>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</si>
  <si>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</si>
  <si>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</si>
  <si>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</si>
  <si>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</si>
  <si>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</si>
  <si>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</si>
  <si>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</si>
  <si>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</si>
  <si>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</si>
  <si>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</si>
  <si>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</si>
  <si>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</si>
  <si>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</si>
  <si>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</si>
  <si>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</si>
  <si>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</si>
  <si>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</si>
  <si>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</si>
  <si>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</si>
  <si>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</si>
  <si>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</si>
  <si>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</si>
  <si>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</si>
  <si>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</si>
  <si>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</si>
  <si>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</si>
  <si>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</si>
  <si>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</si>
  <si>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</si>
  <si>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</si>
  <si>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</si>
  <si>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</si>
  <si>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</si>
  <si>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</si>
  <si>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</si>
  <si>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</si>
  <si>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</si>
  <si>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</si>
  <si>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</si>
  <si>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</si>
  <si>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</si>
  <si>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</si>
  <si>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</si>
  <si>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</si>
  <si>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</si>
  <si>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</si>
  <si>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</si>
  <si>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</si>
  <si>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</si>
  <si>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</si>
  <si>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</si>
  <si>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</si>
  <si>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</si>
  <si>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</si>
  <si>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</si>
  <si>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</si>
  <si>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</si>
  <si>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</si>
  <si>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</si>
  <si>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</si>
  <si>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</si>
  <si>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</si>
  <si>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</si>
  <si>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</si>
  <si>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</si>
  <si>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</si>
  <si>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</si>
  <si>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</si>
  <si>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</si>
  <si>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</si>
  <si>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</si>
  <si>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</si>
  <si>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</si>
  <si>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</si>
  <si>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</si>
  <si>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</si>
  <si>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</si>
  <si>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</si>
  <si>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</si>
  <si>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</si>
  <si>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</si>
  <si>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</si>
  <si>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</si>
  <si>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</si>
  <si>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</si>
  <si>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</si>
  <si>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</si>
  <si>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</si>
  <si>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</si>
  <si>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</si>
  <si>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</si>
  <si>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</si>
  <si>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</si>
  <si>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</si>
  <si>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</si>
  <si>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</si>
  <si>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</si>
  <si>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</si>
  <si>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</si>
  <si>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</si>
  <si>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</si>
  <si>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</si>
  <si>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</si>
  <si>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</si>
  <si>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</si>
  <si>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</si>
  <si>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</si>
  <si>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</si>
  <si>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</si>
  <si>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</si>
  <si>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</si>
  <si>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</si>
  <si>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</si>
  <si>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</si>
  <si>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</si>
  <si>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</si>
  <si>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</si>
  <si>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</si>
  <si>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</si>
  <si>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</si>
  <si>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</si>
  <si>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</si>
  <si>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</si>
  <si>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</si>
  <si>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</si>
  <si>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</si>
  <si>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</si>
  <si>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</si>
  <si>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</si>
  <si>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</si>
  <si>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</si>
  <si>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</si>
  <si>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</si>
  <si>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</si>
  <si>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</si>
  <si>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</si>
  <si>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</si>
  <si>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</si>
  <si>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</si>
  <si>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</si>
  <si>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</si>
  <si>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</si>
  <si>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</si>
  <si>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</si>
  <si>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</si>
  <si>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</si>
  <si>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</si>
  <si>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</si>
  <si>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</si>
  <si>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</si>
  <si>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</si>
  <si>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</si>
  <si>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</si>
  <si>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</si>
  <si>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</si>
  <si>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</si>
  <si>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</si>
  <si>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</si>
  <si>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</si>
  <si>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</si>
  <si>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</si>
  <si>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</si>
  <si>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</si>
  <si>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</si>
  <si>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</si>
  <si>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</si>
  <si>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</si>
  <si>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</si>
  <si>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</si>
  <si>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</si>
  <si>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</si>
  <si>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</si>
  <si>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</si>
  <si>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</si>
  <si>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</si>
  <si>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</si>
  <si>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</si>
  <si>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</si>
  <si>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</si>
  <si>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</si>
  <si>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</si>
  <si>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</si>
  <si>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</si>
  <si>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</si>
  <si>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</si>
  <si>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</si>
  <si>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</si>
  <si>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</si>
  <si>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</si>
  <si>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</si>
  <si>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</si>
  <si>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</si>
  <si>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</si>
  <si>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</si>
  <si>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</si>
  <si>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</si>
  <si>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</si>
  <si>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</si>
  <si>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</si>
  <si>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</si>
  <si>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</si>
  <si>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</si>
  <si>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</si>
  <si>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</si>
  <si>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</si>
  <si>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</si>
  <si>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</si>
  <si>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</si>
  <si>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</si>
  <si>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</si>
  <si>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</si>
  <si>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</si>
  <si>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</si>
  <si>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</si>
  <si>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</si>
  <si>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</si>
  <si>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</si>
  <si>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</si>
  <si>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</si>
  <si>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</si>
  <si>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</si>
  <si>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</si>
  <si>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</si>
  <si>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</si>
  <si>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</si>
  <si>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Columbia County BOS 2020 Budget Appropriation</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</si>
  <si>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</si>
  <si>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</si>
  <si>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</si>
  <si>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</si>
  <si>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</si>
  <si>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</si>
  <si>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</si>
  <si>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</si>
  <si>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Ending Balance at 12/31/2019</t>
  </si>
  <si>
    <t>Rip Van Winkle Foundation</t>
  </si>
  <si>
    <t>Main Motorcar</t>
  </si>
  <si>
    <t>Windows 10 Software Upgrade</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</si>
  <si>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</si>
  <si>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</si>
  <si>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</si>
  <si>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RHN &amp; Navigator Programs</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</si>
  <si>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</si>
  <si>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</si>
  <si>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</si>
  <si>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</si>
  <si>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</si>
  <si>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</si>
  <si>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</si>
  <si>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</si>
  <si>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r>
      <t xml:space="preserve">Transportation Services (2020)  </t>
    </r>
    <r>
      <rPr>
        <b/>
        <sz val="11"/>
        <color theme="1"/>
        <rFont val="Arial"/>
        <family val="2"/>
      </rPr>
      <t xml:space="preserve"> </t>
    </r>
  </si>
  <si>
    <t xml:space="preserve">Rip Van Winkle Foundation </t>
  </si>
  <si>
    <t xml:space="preserve">County Departments - 2020 </t>
  </si>
  <si>
    <t>Balance as of 01/01/2020</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</si>
  <si>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</si>
  <si>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</si>
  <si>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</si>
  <si>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</si>
  <si>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</si>
  <si>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</si>
  <si>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</si>
  <si>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</si>
  <si>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</si>
  <si>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</si>
  <si>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</si>
  <si>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</si>
  <si>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</si>
  <si>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</si>
  <si>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</si>
  <si>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</si>
  <si>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</si>
  <si>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</si>
  <si>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</si>
  <si>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</si>
  <si>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</si>
  <si>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</si>
  <si>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</si>
  <si>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</si>
  <si>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</si>
  <si>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</si>
  <si>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</si>
  <si>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Navigator Program - July 2020 Voucher</t>
  </si>
  <si>
    <t>OFA: MIPPA - July 2020 Voucher</t>
  </si>
  <si>
    <t>Navigator Program - June 2020 Voucher</t>
  </si>
  <si>
    <t>NYSDOH 07/19 to 06/20 - Year#1 of 5</t>
  </si>
  <si>
    <t>NYSDOH 07/20 to 06/21 - Year#2 of 5</t>
  </si>
  <si>
    <t>NYSDOH 08/19 to 07/20 - Year#1 of 5</t>
  </si>
  <si>
    <t>NYSDOH 08/20 to 07/21 - Year#2 of 5</t>
  </si>
  <si>
    <t>Greene County -Dept of Social Services - HEAP Program</t>
  </si>
  <si>
    <t xml:space="preserve">Columbia Memorial Health - 1st &amp; 2nd Quarter </t>
  </si>
  <si>
    <r>
      <t xml:space="preserve">Greene County DSS </t>
    </r>
    <r>
      <rPr>
        <sz val="10"/>
        <color theme="1"/>
        <rFont val="Arial"/>
        <family val="2"/>
      </rPr>
      <t xml:space="preserve">(HEAP Program ) </t>
    </r>
  </si>
  <si>
    <t xml:space="preserve">County Government - 2020  </t>
  </si>
  <si>
    <t xml:space="preserve">Transportation Clients  </t>
  </si>
  <si>
    <t>Navigator Program</t>
  </si>
  <si>
    <t>Dell Latitude Laptop &amp; Printer</t>
  </si>
  <si>
    <t>Rural Health Network Program- Yr#2 of 5</t>
  </si>
  <si>
    <t>NYSDOH 01/21 to 12/21 (Quarterly Voucher)</t>
  </si>
  <si>
    <t>NY Connects ADRC         10/20 to 09/21</t>
  </si>
  <si>
    <t xml:space="preserve">Other: Columbia County </t>
  </si>
  <si>
    <t>Tobacco - May &amp; June 2020 - 20% Held back</t>
  </si>
  <si>
    <t>In Person Assistors &amp; Navigators- Yr#2 of 5</t>
  </si>
  <si>
    <r>
      <t>NY Connects - ADRC Program</t>
    </r>
    <r>
      <rPr>
        <b/>
        <sz val="11"/>
        <color rgb="FFFF0000"/>
        <rFont val="Arial"/>
        <family val="2"/>
      </rPr>
      <t xml:space="preserve"> </t>
    </r>
  </si>
  <si>
    <t>Columbia County BOS 2021 Budget Appropriation</t>
  </si>
  <si>
    <t>Columbia County Departments 2021 Donations (CARTS)</t>
  </si>
  <si>
    <t>Collaborative Community Health Planning Jan'20-Dec'21</t>
  </si>
  <si>
    <t xml:space="preserve">Senior Transportation Services - 2021 </t>
  </si>
  <si>
    <r>
      <t>Medicare Improvements-Patients &amp; Providers (MIPPA)</t>
    </r>
    <r>
      <rPr>
        <b/>
        <sz val="10"/>
        <color rgb="FFFF0000"/>
        <rFont val="Arial"/>
        <family val="2"/>
      </rPr>
      <t xml:space="preserve"> </t>
    </r>
  </si>
  <si>
    <r>
      <t>Transportation Services</t>
    </r>
    <r>
      <rPr>
        <b/>
        <sz val="11"/>
        <color rgb="FFFF0000"/>
        <rFont val="Arial"/>
        <family val="2"/>
      </rPr>
      <t xml:space="preserve"> </t>
    </r>
  </si>
  <si>
    <r>
      <t>Transportation Services (2021)</t>
    </r>
    <r>
      <rPr>
        <b/>
        <sz val="11"/>
        <color rgb="FFFF0000"/>
        <rFont val="Arial"/>
        <family val="2"/>
      </rPr>
      <t xml:space="preserve">  </t>
    </r>
  </si>
  <si>
    <t>Balance as of 01/01/2021</t>
  </si>
  <si>
    <t xml:space="preserve">Ancram/Copake Prescription Access (2020/2021) </t>
  </si>
  <si>
    <t xml:space="preserve">County Government - 2021 </t>
  </si>
  <si>
    <t>County Departments - 2021</t>
  </si>
  <si>
    <t xml:space="preserve">Ancram/Copake Prescription Access (2021) </t>
  </si>
  <si>
    <t>Comm. Foundation of the Hudson Valley</t>
  </si>
  <si>
    <t>For the Year Ended December 31, 2020</t>
  </si>
  <si>
    <t>Timing on billing, 2020 Y/E Audit started March'20</t>
  </si>
  <si>
    <t>Sale of 2014 Dodge Grand Caravan</t>
  </si>
  <si>
    <t>Limited travel during 2021 year.</t>
  </si>
  <si>
    <r>
      <t>è</t>
    </r>
    <r>
      <rPr>
        <b/>
        <sz val="12"/>
        <color theme="1"/>
        <rFont val="Times New Roman"/>
        <family val="1"/>
      </rPr>
      <t xml:space="preserve"> Equipment, Furniture &amp; Vehicles</t>
    </r>
    <r>
      <rPr>
        <sz val="12"/>
        <color theme="1"/>
        <rFont val="Calibri"/>
        <family val="2"/>
      </rPr>
      <t xml:space="preserve"> </t>
    </r>
  </si>
  <si>
    <t>2014 Dodge Grand Caravan</t>
  </si>
  <si>
    <t xml:space="preserve">On January 13, 2021, we sold a 2014 Dodge Grand Caravan for $3,150 with original cost $21,152. </t>
  </si>
  <si>
    <t>2021 Operating Support</t>
  </si>
  <si>
    <t>Comm Foundation of Hudson Valley</t>
  </si>
  <si>
    <t xml:space="preserve">Columbia County </t>
  </si>
  <si>
    <t>April</t>
  </si>
  <si>
    <t>NY Connects E&amp;EP         04/21 to 03/22</t>
  </si>
  <si>
    <t xml:space="preserve">Rural Health Network Program- Yr#3 of 5 </t>
  </si>
  <si>
    <t>Tobacco Free Communities Grant - Yr#2 of 5</t>
  </si>
  <si>
    <t>General Operating Support</t>
  </si>
  <si>
    <r>
      <t>HEALing Communities Study -</t>
    </r>
    <r>
      <rPr>
        <sz val="10"/>
        <color theme="1"/>
        <rFont val="Arial"/>
        <family val="2"/>
      </rPr>
      <t>Community Impact Dollars</t>
    </r>
  </si>
  <si>
    <t>QuickBooks AR at 04/30/2021</t>
  </si>
  <si>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</si>
  <si>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</si>
  <si>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</si>
  <si>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</si>
  <si>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</si>
  <si>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</si>
  <si>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</si>
  <si>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</si>
  <si>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</si>
  <si>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</si>
  <si>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Grants Receivable Aging Summary as of June 30, 2021</t>
  </si>
  <si>
    <t>June</t>
  </si>
  <si>
    <t>Payments Received After June 30, 2021</t>
  </si>
  <si>
    <t>Tobacco-Free - June 2020 Partial Voucher</t>
  </si>
  <si>
    <t>ICAN Program - June'19 Voucher</t>
  </si>
  <si>
    <t>May</t>
  </si>
  <si>
    <t>OFA: NY Connects - May'21 Voucher</t>
  </si>
  <si>
    <t>OFA: Senior Transportation - May 2021 Voucher</t>
  </si>
  <si>
    <t>Navigator Program - May'21 Voucher</t>
  </si>
  <si>
    <t>ICAN Program - May 2021 Voucher</t>
  </si>
  <si>
    <t>Dept of Health - HEALing Community Study-  May '21 Voucher</t>
  </si>
  <si>
    <t>Navigator Program - April'21 Voucher</t>
  </si>
  <si>
    <t>Dept of Mental Health - April'20 Voucher</t>
  </si>
  <si>
    <t>March &amp; Older</t>
  </si>
  <si>
    <t>ICAN Program - March'19 Voucher</t>
  </si>
  <si>
    <t>Coarc Strategic Planning</t>
  </si>
  <si>
    <t>Total HEALing Community Study</t>
  </si>
  <si>
    <t>CC Dept of Health: HEALing Community Impact $</t>
  </si>
  <si>
    <t>Grants Receivable at 06/30/2021</t>
  </si>
  <si>
    <t>Total OFA-NY Connects</t>
  </si>
  <si>
    <t>Columbia Memorial Health - Transportation</t>
  </si>
  <si>
    <t>Columbia Memorial Health - Transportation (Qrtly)</t>
  </si>
  <si>
    <t>Total AR Payments Received After June 30, 2021</t>
  </si>
  <si>
    <t>June 30th AR Balance at July 26, 2021</t>
  </si>
  <si>
    <t>Tobacco-Free - April 2021 Voucher</t>
  </si>
  <si>
    <t>As of  June 30, 2021</t>
  </si>
  <si>
    <t>08/27/2021 Ext</t>
  </si>
  <si>
    <t>Coarc</t>
  </si>
  <si>
    <t>Agreement</t>
  </si>
  <si>
    <r>
      <t xml:space="preserve">Tobacco Free Communities Grant - Yr#3 of 5 </t>
    </r>
    <r>
      <rPr>
        <b/>
        <sz val="11"/>
        <color rgb="FFFF0000"/>
        <rFont val="Arial"/>
        <family val="2"/>
      </rPr>
      <t>(New)</t>
    </r>
  </si>
  <si>
    <r>
      <t xml:space="preserve">In Person Assistors &amp; Navigators- Yr#3 of 5 </t>
    </r>
    <r>
      <rPr>
        <b/>
        <sz val="11"/>
        <color rgb="FFFF0000"/>
        <rFont val="Arial"/>
        <family val="2"/>
      </rPr>
      <t>(New)</t>
    </r>
  </si>
  <si>
    <r>
      <t xml:space="preserve">Greene County DSS </t>
    </r>
    <r>
      <rPr>
        <sz val="10"/>
        <color theme="1"/>
        <rFont val="Arial"/>
        <family val="2"/>
      </rPr>
      <t>(HEAP Program )</t>
    </r>
    <r>
      <rPr>
        <b/>
        <sz val="10"/>
        <color rgb="FFFF0000"/>
        <rFont val="Arial"/>
        <family val="2"/>
      </rPr>
      <t xml:space="preserve"> (New)</t>
    </r>
  </si>
  <si>
    <r>
      <t xml:space="preserve">Coarc Strategic Planning </t>
    </r>
    <r>
      <rPr>
        <b/>
        <sz val="11"/>
        <color rgb="FFFF0000"/>
        <rFont val="Arial"/>
        <family val="2"/>
      </rPr>
      <t>(New)</t>
    </r>
  </si>
  <si>
    <t>Six Months Ended June 30, 2021 and 2020</t>
  </si>
  <si>
    <t>June'21 vs.'20</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</si>
  <si>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June 30, 2021 our Grant Receivable is $249K. Expectation is uncertain as to the time frame when we will collect on all receivables.  </t>
    </r>
  </si>
  <si>
    <r>
      <t>è</t>
    </r>
    <r>
      <rPr>
        <b/>
        <sz val="12"/>
        <color theme="1"/>
        <rFont val="Times New Roman"/>
        <family val="1"/>
      </rPr>
      <t xml:space="preserve">Accounts Payable - </t>
    </r>
    <r>
      <rPr>
        <sz val="12"/>
        <color theme="1"/>
        <rFont val="Calibri"/>
        <family val="2"/>
        <scheme val="minor"/>
      </rPr>
      <t xml:space="preserve">At June 30, 2021, accounts payable lability is $43,124. All accounts payable liability is being paid timely within 28 days, except for four Tobacco statewide media invoices for $7,500/each for a total $30,000. </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</si>
  <si>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</si>
  <si>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Ending Balance at June 30, 2021</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</si>
  <si>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June 30, 2021: </t>
    </r>
  </si>
  <si>
    <r>
      <t>è</t>
    </r>
    <r>
      <rPr>
        <b/>
        <sz val="12"/>
        <color theme="1"/>
        <rFont val="Times New Roman"/>
        <family val="1"/>
      </rPr>
      <t xml:space="preserve"> Investment - North Country Financial Group </t>
    </r>
    <r>
      <rPr>
        <sz val="12"/>
        <color theme="1"/>
        <rFont val="Calibri"/>
        <family val="2"/>
      </rPr>
      <t xml:space="preserve"> - As of June 30, 2021, investment account value is $222K. Initial investment during the month of March 2016 was $152K. This represents an annual increase of 7.4% over the last 5 years. On July 22, 2021, we transferred $100,000 into the investment account from our operating account.</t>
    </r>
  </si>
  <si>
    <r>
      <t>è</t>
    </r>
    <r>
      <rPr>
        <b/>
        <sz val="12"/>
        <color theme="1"/>
        <rFont val="Times New Roman"/>
        <family val="1"/>
      </rPr>
      <t xml:space="preserve"> Cash</t>
    </r>
    <r>
      <rPr>
        <sz val="12"/>
        <color theme="1"/>
        <rFont val="Calibri"/>
        <family val="2"/>
      </rPr>
      <t xml:space="preserve"> -  Cash balance in the operating checking account started the 2021 year off with $398K and ended on the month of June 2021 with $497K.  Low balance on July 22, 2021 was $298K &amp; the high balance on April 08, 2021 was $553K. Average daily balance for the 2021 &amp; 2020 years were $450K and $295K, respectively. On May 08, 2020, Agency received a loan in the amount of $197,400 from the Federal Payroll Protection Program via The Bank of Greene County and on July 22, 2021 we transferred $100,000 to the Investment account.</t>
    </r>
  </si>
  <si>
    <t>New Program for 2020 Yr - HEALing Community Study</t>
  </si>
  <si>
    <t>Additional COVID-19 grants during 2020 yr</t>
  </si>
  <si>
    <t>During 2020 Yr, layoffs for almost three months.</t>
  </si>
  <si>
    <t>All  NYS Contracts down when compared to 2020 Yr</t>
  </si>
  <si>
    <t>Employee count starting to increase to pre-COVID levels</t>
  </si>
  <si>
    <t>Pre-Covid activity in Tobacco is slowly returning</t>
  </si>
  <si>
    <r>
      <t xml:space="preserve">NY Connects Expansion &amp; Enhancement Program </t>
    </r>
    <r>
      <rPr>
        <b/>
        <sz val="11"/>
        <color rgb="FFFF0000"/>
        <rFont val="Arial"/>
        <family val="2"/>
      </rPr>
      <t>(Contract)</t>
    </r>
  </si>
  <si>
    <t>Total Grant Receivable - June 2021</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</si>
  <si>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June 30, 2021:</t>
    </r>
  </si>
  <si>
    <r>
      <t>HEALing Communities Study -</t>
    </r>
    <r>
      <rPr>
        <sz val="10"/>
        <color theme="1"/>
        <rFont val="Arial"/>
        <family val="2"/>
      </rPr>
      <t>Staffing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</si>
</sst>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21"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5" borderId="21"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21" fillId="11" borderId="21"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9" borderId="50"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4"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38" fontId="33" fillId="0" borderId="0" xfId="1" applyNumberFormat="1" applyFont="1" applyFill="1" applyBorder="1" applyAlignment="1"/>
    <xf numFmtId="38" fontId="33" fillId="0" borderId="2" xfId="1" applyNumberFormat="1" applyFont="1" applyFill="1" applyBorder="1" applyAlignment="1">
      <alignment horizontal="right"/>
    </xf>
    <xf numFmtId="0" fontId="41" fillId="0" borderId="0" xfId="0" applyFont="1" applyFill="1" applyAlignment="1">
      <alignment horizontal="center" vertical="center" wrapText="1"/>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38" fontId="21" fillId="9" borderId="10" xfId="1" applyNumberFormat="1" applyFont="1" applyFill="1" applyBorder="1" applyAlignment="1">
      <alignment horizontal="right"/>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6" fontId="70" fillId="18" borderId="41" xfId="1" applyNumberFormat="1" applyFont="1" applyFill="1" applyBorder="1" applyAlignment="1">
      <alignment horizontal="right"/>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6" fontId="70" fillId="18" borderId="43" xfId="1" applyNumberFormat="1" applyFont="1" applyFill="1" applyBorder="1" applyAlignment="1">
      <alignment horizontal="right"/>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0" fontId="0" fillId="0" borderId="62" xfId="0" applyFill="1" applyBorder="1" applyAlignment="1">
      <alignment horizontal="center"/>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38" fontId="0" fillId="0" borderId="6" xfId="1" applyNumberFormat="1" applyFont="1" applyFill="1" applyBorder="1" applyAlignment="1"/>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xf numFmtId="0" fontId="0" fillId="0" borderId="47" xfId="0" applyFill="1" applyBorder="1" applyAlignment="1">
      <alignment horizontal="left"/>
    </xf>
    <xf numFmtId="0" fontId="0" fillId="0" borderId="47" xfId="0" applyFill="1" applyBorder="1" applyAlignment="1">
      <alignment horizontal="center"/>
    </xf>
    <xf numFmtId="14" fontId="0" fillId="0" borderId="14" xfId="0" applyNumberFormat="1" applyFill="1" applyBorder="1" applyAlignment="1">
      <alignment horizontal="center"/>
    </xf>
    <xf numFmtId="14" fontId="0" fillId="0" borderId="47" xfId="0" applyNumberFormat="1" applyFill="1" applyBorder="1" applyAlignment="1">
      <alignment horizontal="center"/>
    </xf>
    <xf numFmtId="38" fontId="33" fillId="0" borderId="14" xfId="1" applyNumberFormat="1" applyFont="1" applyFill="1" applyBorder="1" applyAlignment="1"/>
    <xf numFmtId="41" fontId="0" fillId="0" borderId="47" xfId="1" applyNumberFormat="1" applyFont="1" applyFill="1" applyBorder="1" applyAlignment="1"/>
    <xf numFmtId="41" fontId="0" fillId="0" borderId="14" xfId="1" applyNumberFormat="1" applyFont="1" applyFill="1" applyBorder="1" applyAlignment="1"/>
    <xf numFmtId="38" fontId="0" fillId="0" borderId="47" xfId="1" applyNumberFormat="1" applyFont="1" applyFill="1" applyBorder="1" applyAlignment="1"/>
    <xf numFmtId="0" fontId="0" fillId="0" borderId="62" xfId="0" applyFill="1" applyBorder="1"/>
    <xf numFmtId="0" fontId="8" fillId="0" borderId="27" xfId="0" applyFont="1" applyBorder="1" applyAlignment="1"/>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Data!$A$1047:$A$1456</c:f>
              <c:numCache>
                <c:formatCode>[$-F800]dddd\,\ mmmm\ dd\,\ yyyy</c:formatCode>
                <c:ptCount val="410"/>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numCache>
            </c:numRef>
          </c:cat>
          <c:val>
            <c:numRef>
              <c:f>Data!$B$1047:$B$1456</c:f>
              <c:numCache>
                <c:formatCode>#,##0_);[Red]\(#,##0\)</c:formatCode>
                <c:ptCount val="410"/>
                <c:pt idx="0">
                  <c:v>189056</c:v>
                </c:pt>
                <c:pt idx="1">
                  <c:v>206403.28</c:v>
                </c:pt>
                <c:pt idx="2">
                  <c:v>206217.28</c:v>
                </c:pt>
                <c:pt idx="3">
                  <c:v>206129.28</c:v>
                </c:pt>
                <c:pt idx="4">
                  <c:v>172858.39</c:v>
                </c:pt>
                <c:pt idx="5">
                  <c:v>172585</c:v>
                </c:pt>
                <c:pt idx="6">
                  <c:v>184752.38</c:v>
                </c:pt>
                <c:pt idx="7">
                  <c:v>199849.93</c:v>
                </c:pt>
                <c:pt idx="8">
                  <c:v>199850</c:v>
                </c:pt>
                <c:pt idx="9">
                  <c:v>199850</c:v>
                </c:pt>
                <c:pt idx="10">
                  <c:v>199942.09</c:v>
                </c:pt>
                <c:pt idx="11">
                  <c:v>197586.14</c:v>
                </c:pt>
                <c:pt idx="12">
                  <c:v>197586</c:v>
                </c:pt>
                <c:pt idx="13">
                  <c:v>197586</c:v>
                </c:pt>
                <c:pt idx="14">
                  <c:v>160213.23000000001</c:v>
                </c:pt>
                <c:pt idx="15">
                  <c:v>160213</c:v>
                </c:pt>
                <c:pt idx="16">
                  <c:v>178835.97</c:v>
                </c:pt>
                <c:pt idx="17">
                  <c:v>177774.06</c:v>
                </c:pt>
                <c:pt idx="18">
                  <c:v>177774</c:v>
                </c:pt>
                <c:pt idx="19">
                  <c:v>177774</c:v>
                </c:pt>
                <c:pt idx="20">
                  <c:v>253459.84</c:v>
                </c:pt>
                <c:pt idx="21">
                  <c:v>235320.22</c:v>
                </c:pt>
                <c:pt idx="22">
                  <c:v>235320</c:v>
                </c:pt>
                <c:pt idx="23">
                  <c:v>198483.96</c:v>
                </c:pt>
                <c:pt idx="24">
                  <c:v>212819.68</c:v>
                </c:pt>
                <c:pt idx="25">
                  <c:v>212820</c:v>
                </c:pt>
                <c:pt idx="26">
                  <c:v>212584.24</c:v>
                </c:pt>
                <c:pt idx="27">
                  <c:v>270092.23</c:v>
                </c:pt>
                <c:pt idx="28">
                  <c:v>270092</c:v>
                </c:pt>
                <c:pt idx="29">
                  <c:v>273133.13</c:v>
                </c:pt>
                <c:pt idx="30">
                  <c:v>273133</c:v>
                </c:pt>
                <c:pt idx="31">
                  <c:v>280484.09000000003</c:v>
                </c:pt>
                <c:pt idx="32">
                  <c:v>279225.67</c:v>
                </c:pt>
                <c:pt idx="33">
                  <c:v>279226</c:v>
                </c:pt>
                <c:pt idx="34">
                  <c:v>241740.68</c:v>
                </c:pt>
                <c:pt idx="35">
                  <c:v>268478</c:v>
                </c:pt>
                <c:pt idx="36">
                  <c:v>258524.93</c:v>
                </c:pt>
                <c:pt idx="37">
                  <c:v>277316.53000000003</c:v>
                </c:pt>
                <c:pt idx="38">
                  <c:v>277317</c:v>
                </c:pt>
                <c:pt idx="39">
                  <c:v>279881.78999999998</c:v>
                </c:pt>
                <c:pt idx="40">
                  <c:v>279882</c:v>
                </c:pt>
                <c:pt idx="41">
                  <c:v>270773.33</c:v>
                </c:pt>
                <c:pt idx="42">
                  <c:v>306133.57</c:v>
                </c:pt>
                <c:pt idx="43">
                  <c:v>267343.68</c:v>
                </c:pt>
                <c:pt idx="44">
                  <c:v>267157.68</c:v>
                </c:pt>
                <c:pt idx="45">
                  <c:v>267157.68</c:v>
                </c:pt>
                <c:pt idx="46">
                  <c:v>264690.95</c:v>
                </c:pt>
                <c:pt idx="47">
                  <c:v>264495.03999999998</c:v>
                </c:pt>
                <c:pt idx="48">
                  <c:v>264495.03999999998</c:v>
                </c:pt>
                <c:pt idx="49">
                  <c:v>267283.63</c:v>
                </c:pt>
                <c:pt idx="50">
                  <c:v>267283.63</c:v>
                </c:pt>
                <c:pt idx="51">
                  <c:v>259537.69</c:v>
                </c:pt>
                <c:pt idx="52">
                  <c:v>259645.65</c:v>
                </c:pt>
                <c:pt idx="53">
                  <c:v>279221.03000000003</c:v>
                </c:pt>
                <c:pt idx="54">
                  <c:v>232150.36</c:v>
                </c:pt>
                <c:pt idx="55">
                  <c:v>274274.51</c:v>
                </c:pt>
                <c:pt idx="56">
                  <c:v>276629.48</c:v>
                </c:pt>
                <c:pt idx="57">
                  <c:v>276629.48</c:v>
                </c:pt>
                <c:pt idx="58">
                  <c:v>292626.55</c:v>
                </c:pt>
                <c:pt idx="59">
                  <c:v>292626.55</c:v>
                </c:pt>
                <c:pt idx="60">
                  <c:v>292626.55</c:v>
                </c:pt>
                <c:pt idx="61">
                  <c:v>292626.55</c:v>
                </c:pt>
                <c:pt idx="62">
                  <c:v>292582.55</c:v>
                </c:pt>
                <c:pt idx="63">
                  <c:v>292582.55</c:v>
                </c:pt>
                <c:pt idx="64">
                  <c:v>292582.55</c:v>
                </c:pt>
                <c:pt idx="65">
                  <c:v>256343.91</c:v>
                </c:pt>
                <c:pt idx="66">
                  <c:v>260066.55</c:v>
                </c:pt>
                <c:pt idx="67">
                  <c:v>259418.64</c:v>
                </c:pt>
                <c:pt idx="68">
                  <c:v>259418.64</c:v>
                </c:pt>
                <c:pt idx="69">
                  <c:v>259418.64</c:v>
                </c:pt>
                <c:pt idx="70">
                  <c:v>259418.64</c:v>
                </c:pt>
                <c:pt idx="71">
                  <c:v>256056.32000000001</c:v>
                </c:pt>
                <c:pt idx="72">
                  <c:v>256056.32000000001</c:v>
                </c:pt>
                <c:pt idx="73">
                  <c:v>256056.32000000001</c:v>
                </c:pt>
                <c:pt idx="74">
                  <c:v>256056.32000000001</c:v>
                </c:pt>
                <c:pt idx="75">
                  <c:v>222877.12</c:v>
                </c:pt>
                <c:pt idx="76">
                  <c:v>222877.12</c:v>
                </c:pt>
                <c:pt idx="77">
                  <c:v>222415.21</c:v>
                </c:pt>
                <c:pt idx="78">
                  <c:v>222415.21</c:v>
                </c:pt>
                <c:pt idx="79">
                  <c:v>222415.21</c:v>
                </c:pt>
                <c:pt idx="80">
                  <c:v>222415.21</c:v>
                </c:pt>
                <c:pt idx="81">
                  <c:v>185658.71</c:v>
                </c:pt>
                <c:pt idx="82">
                  <c:v>185658.71</c:v>
                </c:pt>
                <c:pt idx="83">
                  <c:v>185614.71</c:v>
                </c:pt>
                <c:pt idx="84">
                  <c:v>152434.01999999999</c:v>
                </c:pt>
                <c:pt idx="85">
                  <c:v>152434.01999999999</c:v>
                </c:pt>
                <c:pt idx="86">
                  <c:v>173230.55</c:v>
                </c:pt>
                <c:pt idx="87">
                  <c:v>173492.71000000002</c:v>
                </c:pt>
                <c:pt idx="88">
                  <c:v>173306.64</c:v>
                </c:pt>
                <c:pt idx="89">
                  <c:v>173307</c:v>
                </c:pt>
                <c:pt idx="90">
                  <c:v>173307</c:v>
                </c:pt>
                <c:pt idx="91">
                  <c:v>173307</c:v>
                </c:pt>
                <c:pt idx="92">
                  <c:v>385709.68000000005</c:v>
                </c:pt>
                <c:pt idx="93">
                  <c:v>385710.04000000004</c:v>
                </c:pt>
                <c:pt idx="94">
                  <c:v>385904.98</c:v>
                </c:pt>
                <c:pt idx="95">
                  <c:v>362979.35</c:v>
                </c:pt>
                <c:pt idx="96">
                  <c:v>362979.35</c:v>
                </c:pt>
                <c:pt idx="97">
                  <c:v>362624.73</c:v>
                </c:pt>
                <c:pt idx="98">
                  <c:v>362070.03</c:v>
                </c:pt>
                <c:pt idx="99">
                  <c:v>352214.86</c:v>
                </c:pt>
                <c:pt idx="100">
                  <c:v>352214.86</c:v>
                </c:pt>
                <c:pt idx="101">
                  <c:v>337570.28</c:v>
                </c:pt>
                <c:pt idx="102">
                  <c:v>337570.28</c:v>
                </c:pt>
                <c:pt idx="103">
                  <c:v>337570.28</c:v>
                </c:pt>
                <c:pt idx="104">
                  <c:v>337570.28</c:v>
                </c:pt>
                <c:pt idx="105">
                  <c:v>314828.33999999997</c:v>
                </c:pt>
                <c:pt idx="106">
                  <c:v>314642.31</c:v>
                </c:pt>
                <c:pt idx="107">
                  <c:v>314180.40000000002</c:v>
                </c:pt>
                <c:pt idx="108">
                  <c:v>336211.19</c:v>
                </c:pt>
                <c:pt idx="109">
                  <c:v>327639.93</c:v>
                </c:pt>
                <c:pt idx="110">
                  <c:v>327640</c:v>
                </c:pt>
                <c:pt idx="111">
                  <c:v>332166.29000000004</c:v>
                </c:pt>
                <c:pt idx="112">
                  <c:v>332166.29000000004</c:v>
                </c:pt>
                <c:pt idx="113">
                  <c:v>378580.41000000003</c:v>
                </c:pt>
                <c:pt idx="114">
                  <c:v>378580.41000000003</c:v>
                </c:pt>
                <c:pt idx="115">
                  <c:v>355599.42</c:v>
                </c:pt>
                <c:pt idx="116">
                  <c:v>348512.49</c:v>
                </c:pt>
                <c:pt idx="117">
                  <c:v>351663.19</c:v>
                </c:pt>
                <c:pt idx="118">
                  <c:v>351097.70999999996</c:v>
                </c:pt>
                <c:pt idx="119">
                  <c:v>351097.70999999996</c:v>
                </c:pt>
                <c:pt idx="120">
                  <c:v>342735.58</c:v>
                </c:pt>
                <c:pt idx="121">
                  <c:v>344495.52</c:v>
                </c:pt>
                <c:pt idx="122">
                  <c:v>344495.52</c:v>
                </c:pt>
                <c:pt idx="123">
                  <c:v>344495.52</c:v>
                </c:pt>
                <c:pt idx="124">
                  <c:v>334324.15000000002</c:v>
                </c:pt>
                <c:pt idx="125">
                  <c:v>342928.85</c:v>
                </c:pt>
                <c:pt idx="126">
                  <c:v>325375.87</c:v>
                </c:pt>
                <c:pt idx="127">
                  <c:v>324225.81</c:v>
                </c:pt>
                <c:pt idx="128">
                  <c:v>324225.81</c:v>
                </c:pt>
                <c:pt idx="129">
                  <c:v>332737.41000000003</c:v>
                </c:pt>
                <c:pt idx="130">
                  <c:v>348287.12</c:v>
                </c:pt>
                <c:pt idx="131">
                  <c:v>351754.67</c:v>
                </c:pt>
                <c:pt idx="132">
                  <c:v>352041.67</c:v>
                </c:pt>
                <c:pt idx="133">
                  <c:v>352042</c:v>
                </c:pt>
                <c:pt idx="134">
                  <c:v>352042</c:v>
                </c:pt>
                <c:pt idx="135">
                  <c:v>326415.09999999998</c:v>
                </c:pt>
                <c:pt idx="136">
                  <c:v>312231.88999999996</c:v>
                </c:pt>
                <c:pt idx="137">
                  <c:v>311779.87</c:v>
                </c:pt>
                <c:pt idx="138">
                  <c:v>311474.96999999997</c:v>
                </c:pt>
                <c:pt idx="139">
                  <c:v>315477.69</c:v>
                </c:pt>
                <c:pt idx="140">
                  <c:v>315594.98</c:v>
                </c:pt>
                <c:pt idx="141">
                  <c:v>318211.11</c:v>
                </c:pt>
                <c:pt idx="142">
                  <c:v>318211.09999999998</c:v>
                </c:pt>
                <c:pt idx="143">
                  <c:v>339655.69</c:v>
                </c:pt>
                <c:pt idx="144">
                  <c:v>328838.90999999997</c:v>
                </c:pt>
                <c:pt idx="145">
                  <c:v>315049.81</c:v>
                </c:pt>
                <c:pt idx="146">
                  <c:v>308750.14999999997</c:v>
                </c:pt>
                <c:pt idx="147">
                  <c:v>309653.73</c:v>
                </c:pt>
                <c:pt idx="148">
                  <c:v>300292.32</c:v>
                </c:pt>
                <c:pt idx="149">
                  <c:v>300248.32000000001</c:v>
                </c:pt>
                <c:pt idx="150">
                  <c:v>298885.23</c:v>
                </c:pt>
                <c:pt idx="151">
                  <c:v>298918.89</c:v>
                </c:pt>
                <c:pt idx="152">
                  <c:v>298919</c:v>
                </c:pt>
                <c:pt idx="153">
                  <c:v>262470.13</c:v>
                </c:pt>
                <c:pt idx="154">
                  <c:v>254560.85</c:v>
                </c:pt>
                <c:pt idx="155">
                  <c:v>254561</c:v>
                </c:pt>
                <c:pt idx="156">
                  <c:v>256783.26</c:v>
                </c:pt>
                <c:pt idx="157">
                  <c:v>256330.97</c:v>
                </c:pt>
                <c:pt idx="158">
                  <c:v>256331</c:v>
                </c:pt>
                <c:pt idx="159">
                  <c:v>256331</c:v>
                </c:pt>
                <c:pt idx="160">
                  <c:v>256420.97</c:v>
                </c:pt>
                <c:pt idx="161">
                  <c:v>256421</c:v>
                </c:pt>
                <c:pt idx="162">
                  <c:v>296838.09999999998</c:v>
                </c:pt>
                <c:pt idx="163">
                  <c:v>261012.14</c:v>
                </c:pt>
                <c:pt idx="164">
                  <c:v>345553.24</c:v>
                </c:pt>
                <c:pt idx="165">
                  <c:v>345720.24</c:v>
                </c:pt>
                <c:pt idx="166">
                  <c:v>343380.65</c:v>
                </c:pt>
                <c:pt idx="167">
                  <c:v>342938.36</c:v>
                </c:pt>
                <c:pt idx="168">
                  <c:v>342938</c:v>
                </c:pt>
                <c:pt idx="169">
                  <c:v>340515.33</c:v>
                </c:pt>
                <c:pt idx="170">
                  <c:v>359946.57</c:v>
                </c:pt>
                <c:pt idx="171">
                  <c:v>359946.57</c:v>
                </c:pt>
                <c:pt idx="172">
                  <c:v>359946.57</c:v>
                </c:pt>
                <c:pt idx="173">
                  <c:v>359946.57</c:v>
                </c:pt>
                <c:pt idx="174">
                  <c:v>347126.06</c:v>
                </c:pt>
                <c:pt idx="175">
                  <c:v>347075.06</c:v>
                </c:pt>
                <c:pt idx="176">
                  <c:v>350416.44</c:v>
                </c:pt>
                <c:pt idx="177">
                  <c:v>343258.81</c:v>
                </c:pt>
                <c:pt idx="178">
                  <c:v>343258.81</c:v>
                </c:pt>
                <c:pt idx="179">
                  <c:v>343258.81</c:v>
                </c:pt>
                <c:pt idx="180">
                  <c:v>343258.81</c:v>
                </c:pt>
                <c:pt idx="181">
                  <c:v>351420.85</c:v>
                </c:pt>
                <c:pt idx="182">
                  <c:v>351420.85</c:v>
                </c:pt>
                <c:pt idx="183">
                  <c:v>319295.21000000002</c:v>
                </c:pt>
                <c:pt idx="184">
                  <c:v>319390.87</c:v>
                </c:pt>
                <c:pt idx="185">
                  <c:v>318221.31</c:v>
                </c:pt>
                <c:pt idx="186">
                  <c:v>321494.34000000003</c:v>
                </c:pt>
                <c:pt idx="187">
                  <c:v>321052.05</c:v>
                </c:pt>
                <c:pt idx="188">
                  <c:v>321052</c:v>
                </c:pt>
                <c:pt idx="189">
                  <c:v>347075.9</c:v>
                </c:pt>
                <c:pt idx="190">
                  <c:v>348950.3</c:v>
                </c:pt>
                <c:pt idx="191">
                  <c:v>354130.18</c:v>
                </c:pt>
                <c:pt idx="192">
                  <c:v>354086.18</c:v>
                </c:pt>
                <c:pt idx="193">
                  <c:v>348608</c:v>
                </c:pt>
                <c:pt idx="194">
                  <c:v>313591.89</c:v>
                </c:pt>
                <c:pt idx="195">
                  <c:v>348489.68</c:v>
                </c:pt>
                <c:pt idx="196">
                  <c:v>346634.44</c:v>
                </c:pt>
                <c:pt idx="197">
                  <c:v>346390.75</c:v>
                </c:pt>
                <c:pt idx="198">
                  <c:v>346313.83</c:v>
                </c:pt>
                <c:pt idx="199">
                  <c:v>346084.99</c:v>
                </c:pt>
                <c:pt idx="200">
                  <c:v>346085</c:v>
                </c:pt>
                <c:pt idx="201">
                  <c:v>380839.99</c:v>
                </c:pt>
                <c:pt idx="202">
                  <c:v>380840</c:v>
                </c:pt>
                <c:pt idx="203">
                  <c:v>380840</c:v>
                </c:pt>
                <c:pt idx="204">
                  <c:v>346182.3</c:v>
                </c:pt>
                <c:pt idx="205">
                  <c:v>346103.46</c:v>
                </c:pt>
                <c:pt idx="206">
                  <c:v>339569.88</c:v>
                </c:pt>
                <c:pt idx="207">
                  <c:v>364967.49</c:v>
                </c:pt>
                <c:pt idx="208">
                  <c:v>343525.33</c:v>
                </c:pt>
                <c:pt idx="209">
                  <c:v>343525</c:v>
                </c:pt>
                <c:pt idx="210">
                  <c:v>340413.21</c:v>
                </c:pt>
                <c:pt idx="211">
                  <c:v>354245.2</c:v>
                </c:pt>
                <c:pt idx="212">
                  <c:v>354086.35</c:v>
                </c:pt>
                <c:pt idx="213">
                  <c:v>354086</c:v>
                </c:pt>
                <c:pt idx="214">
                  <c:v>312941.49</c:v>
                </c:pt>
                <c:pt idx="215">
                  <c:v>312941</c:v>
                </c:pt>
                <c:pt idx="216">
                  <c:v>312941</c:v>
                </c:pt>
                <c:pt idx="217">
                  <c:v>336359.66</c:v>
                </c:pt>
                <c:pt idx="218">
                  <c:v>336077.1</c:v>
                </c:pt>
                <c:pt idx="219">
                  <c:v>336077</c:v>
                </c:pt>
                <c:pt idx="220">
                  <c:v>328153.34999999998</c:v>
                </c:pt>
                <c:pt idx="221">
                  <c:v>328497.34999999998</c:v>
                </c:pt>
                <c:pt idx="222">
                  <c:v>327078.57</c:v>
                </c:pt>
                <c:pt idx="223">
                  <c:v>293224.96000000002</c:v>
                </c:pt>
                <c:pt idx="224">
                  <c:v>297955.08</c:v>
                </c:pt>
                <c:pt idx="225">
                  <c:v>297955</c:v>
                </c:pt>
                <c:pt idx="226">
                  <c:v>301097.59000000003</c:v>
                </c:pt>
                <c:pt idx="227">
                  <c:v>300720.71000000002</c:v>
                </c:pt>
                <c:pt idx="228">
                  <c:v>300721</c:v>
                </c:pt>
                <c:pt idx="229">
                  <c:v>300721</c:v>
                </c:pt>
                <c:pt idx="230">
                  <c:v>298371.37</c:v>
                </c:pt>
                <c:pt idx="231">
                  <c:v>298371</c:v>
                </c:pt>
                <c:pt idx="232">
                  <c:v>297912.75</c:v>
                </c:pt>
                <c:pt idx="233">
                  <c:v>260100.75</c:v>
                </c:pt>
                <c:pt idx="234">
                  <c:v>260101</c:v>
                </c:pt>
                <c:pt idx="235">
                  <c:v>259952.43</c:v>
                </c:pt>
                <c:pt idx="236">
                  <c:v>259952</c:v>
                </c:pt>
                <c:pt idx="237">
                  <c:v>261011.41</c:v>
                </c:pt>
                <c:pt idx="238">
                  <c:v>256570.76</c:v>
                </c:pt>
                <c:pt idx="239">
                  <c:v>256571</c:v>
                </c:pt>
                <c:pt idx="240">
                  <c:v>343824.57</c:v>
                </c:pt>
                <c:pt idx="241">
                  <c:v>348428.77</c:v>
                </c:pt>
                <c:pt idx="242">
                  <c:v>348429</c:v>
                </c:pt>
                <c:pt idx="243">
                  <c:v>313593.81</c:v>
                </c:pt>
                <c:pt idx="244">
                  <c:v>320775.28999999998</c:v>
                </c:pt>
                <c:pt idx="245">
                  <c:v>321115.28999999998</c:v>
                </c:pt>
                <c:pt idx="246">
                  <c:v>314719.49</c:v>
                </c:pt>
                <c:pt idx="247">
                  <c:v>317009.81</c:v>
                </c:pt>
                <c:pt idx="248">
                  <c:v>316409.81</c:v>
                </c:pt>
                <c:pt idx="249">
                  <c:v>316462.65000000002</c:v>
                </c:pt>
                <c:pt idx="250">
                  <c:v>337790.61</c:v>
                </c:pt>
                <c:pt idx="251">
                  <c:v>337791</c:v>
                </c:pt>
                <c:pt idx="252">
                  <c:v>337791</c:v>
                </c:pt>
                <c:pt idx="253">
                  <c:v>304627.44</c:v>
                </c:pt>
                <c:pt idx="254">
                  <c:v>304802.88</c:v>
                </c:pt>
                <c:pt idx="255">
                  <c:v>304803</c:v>
                </c:pt>
                <c:pt idx="256">
                  <c:v>338461.96</c:v>
                </c:pt>
                <c:pt idx="257">
                  <c:v>338462</c:v>
                </c:pt>
                <c:pt idx="258">
                  <c:v>373533.96</c:v>
                </c:pt>
                <c:pt idx="259">
                  <c:v>373168.21</c:v>
                </c:pt>
                <c:pt idx="260">
                  <c:v>375552.7</c:v>
                </c:pt>
                <c:pt idx="261">
                  <c:v>397543.49</c:v>
                </c:pt>
                <c:pt idx="262">
                  <c:v>397543</c:v>
                </c:pt>
                <c:pt idx="263">
                  <c:v>380539.51</c:v>
                </c:pt>
                <c:pt idx="264">
                  <c:v>349091.91</c:v>
                </c:pt>
                <c:pt idx="265">
                  <c:v>349092</c:v>
                </c:pt>
                <c:pt idx="266">
                  <c:v>409281.75</c:v>
                </c:pt>
                <c:pt idx="267">
                  <c:v>408971.69</c:v>
                </c:pt>
                <c:pt idx="268">
                  <c:v>408739.83</c:v>
                </c:pt>
                <c:pt idx="269">
                  <c:v>401650.97</c:v>
                </c:pt>
                <c:pt idx="270">
                  <c:v>413709.67</c:v>
                </c:pt>
                <c:pt idx="271">
                  <c:v>412321.56</c:v>
                </c:pt>
                <c:pt idx="272">
                  <c:v>412384.91</c:v>
                </c:pt>
                <c:pt idx="273">
                  <c:v>412385</c:v>
                </c:pt>
                <c:pt idx="274">
                  <c:v>417699.08</c:v>
                </c:pt>
                <c:pt idx="275">
                  <c:v>417952.08</c:v>
                </c:pt>
                <c:pt idx="276">
                  <c:v>402996.41</c:v>
                </c:pt>
                <c:pt idx="277">
                  <c:v>402527.5</c:v>
                </c:pt>
                <c:pt idx="278">
                  <c:v>402528</c:v>
                </c:pt>
                <c:pt idx="279">
                  <c:v>399742.18</c:v>
                </c:pt>
                <c:pt idx="280">
                  <c:v>399886.18</c:v>
                </c:pt>
                <c:pt idx="281">
                  <c:v>393628.47</c:v>
                </c:pt>
                <c:pt idx="282">
                  <c:v>393628</c:v>
                </c:pt>
                <c:pt idx="283">
                  <c:v>393628</c:v>
                </c:pt>
                <c:pt idx="284">
                  <c:v>359326.4</c:v>
                </c:pt>
                <c:pt idx="285">
                  <c:v>359521.7</c:v>
                </c:pt>
                <c:pt idx="286">
                  <c:v>359522</c:v>
                </c:pt>
                <c:pt idx="287">
                  <c:v>347055.28</c:v>
                </c:pt>
                <c:pt idx="288">
                  <c:v>369629.13</c:v>
                </c:pt>
                <c:pt idx="289">
                  <c:v>382278.77</c:v>
                </c:pt>
                <c:pt idx="290">
                  <c:v>382279</c:v>
                </c:pt>
                <c:pt idx="291">
                  <c:v>378310.6</c:v>
                </c:pt>
                <c:pt idx="292">
                  <c:v>378369.91</c:v>
                </c:pt>
                <c:pt idx="293">
                  <c:v>378370</c:v>
                </c:pt>
                <c:pt idx="294">
                  <c:v>345442.81</c:v>
                </c:pt>
                <c:pt idx="295">
                  <c:v>345443</c:v>
                </c:pt>
                <c:pt idx="296">
                  <c:v>345443</c:v>
                </c:pt>
                <c:pt idx="297">
                  <c:v>364859.97</c:v>
                </c:pt>
                <c:pt idx="298">
                  <c:v>368452.97</c:v>
                </c:pt>
                <c:pt idx="299">
                  <c:v>368407.65</c:v>
                </c:pt>
                <c:pt idx="300">
                  <c:v>373249.01</c:v>
                </c:pt>
                <c:pt idx="301">
                  <c:v>373249.01</c:v>
                </c:pt>
                <c:pt idx="302">
                  <c:v>404359.4</c:v>
                </c:pt>
                <c:pt idx="303">
                  <c:v>398860.85</c:v>
                </c:pt>
                <c:pt idx="304">
                  <c:v>365079.52</c:v>
                </c:pt>
                <c:pt idx="305">
                  <c:v>406124.9</c:v>
                </c:pt>
                <c:pt idx="306">
                  <c:v>409953.76</c:v>
                </c:pt>
                <c:pt idx="307">
                  <c:v>400983.29</c:v>
                </c:pt>
                <c:pt idx="308">
                  <c:v>400983</c:v>
                </c:pt>
                <c:pt idx="309">
                  <c:v>399908.16</c:v>
                </c:pt>
                <c:pt idx="310">
                  <c:v>399908</c:v>
                </c:pt>
                <c:pt idx="311">
                  <c:v>399908</c:v>
                </c:pt>
                <c:pt idx="312">
                  <c:v>399766.22</c:v>
                </c:pt>
                <c:pt idx="313">
                  <c:v>366689.23</c:v>
                </c:pt>
                <c:pt idx="314">
                  <c:v>392136.38</c:v>
                </c:pt>
                <c:pt idx="315">
                  <c:v>414771.89</c:v>
                </c:pt>
                <c:pt idx="316">
                  <c:v>442093.39</c:v>
                </c:pt>
                <c:pt idx="317">
                  <c:v>439966.74</c:v>
                </c:pt>
                <c:pt idx="318">
                  <c:v>439966.74</c:v>
                </c:pt>
                <c:pt idx="319">
                  <c:v>439966.74</c:v>
                </c:pt>
                <c:pt idx="320">
                  <c:v>440251.74</c:v>
                </c:pt>
                <c:pt idx="321">
                  <c:v>440252</c:v>
                </c:pt>
                <c:pt idx="322">
                  <c:v>424641.64</c:v>
                </c:pt>
                <c:pt idx="323">
                  <c:v>527059.86</c:v>
                </c:pt>
                <c:pt idx="324">
                  <c:v>552226.89</c:v>
                </c:pt>
                <c:pt idx="325">
                  <c:v>552439.89</c:v>
                </c:pt>
                <c:pt idx="326">
                  <c:v>552439.89</c:v>
                </c:pt>
                <c:pt idx="327">
                  <c:v>552129.82999999996</c:v>
                </c:pt>
                <c:pt idx="328">
                  <c:v>552130</c:v>
                </c:pt>
                <c:pt idx="329">
                  <c:v>552377.82999999996</c:v>
                </c:pt>
                <c:pt idx="330">
                  <c:v>552378</c:v>
                </c:pt>
                <c:pt idx="331">
                  <c:v>553005.37</c:v>
                </c:pt>
                <c:pt idx="332">
                  <c:v>553005</c:v>
                </c:pt>
                <c:pt idx="333">
                  <c:v>536104.62</c:v>
                </c:pt>
                <c:pt idx="334">
                  <c:v>503475.62</c:v>
                </c:pt>
                <c:pt idx="335">
                  <c:v>515272.72</c:v>
                </c:pt>
                <c:pt idx="336">
                  <c:v>519939.48</c:v>
                </c:pt>
                <c:pt idx="337">
                  <c:v>518569.61</c:v>
                </c:pt>
                <c:pt idx="338">
                  <c:v>518755.61</c:v>
                </c:pt>
                <c:pt idx="339">
                  <c:v>518755.61</c:v>
                </c:pt>
                <c:pt idx="340">
                  <c:v>518755.61</c:v>
                </c:pt>
                <c:pt idx="341">
                  <c:v>507528.36</c:v>
                </c:pt>
                <c:pt idx="342">
                  <c:v>506769.51</c:v>
                </c:pt>
                <c:pt idx="343">
                  <c:v>506770</c:v>
                </c:pt>
                <c:pt idx="344">
                  <c:v>473061.43</c:v>
                </c:pt>
                <c:pt idx="345">
                  <c:v>479261.62</c:v>
                </c:pt>
                <c:pt idx="346">
                  <c:v>478222.46</c:v>
                </c:pt>
                <c:pt idx="347">
                  <c:v>477922.01</c:v>
                </c:pt>
                <c:pt idx="348">
                  <c:v>477922.01</c:v>
                </c:pt>
                <c:pt idx="349">
                  <c:v>477922.01</c:v>
                </c:pt>
                <c:pt idx="350">
                  <c:v>477922.01</c:v>
                </c:pt>
                <c:pt idx="351">
                  <c:v>477922.01</c:v>
                </c:pt>
                <c:pt idx="352">
                  <c:v>463576.89</c:v>
                </c:pt>
                <c:pt idx="353">
                  <c:v>473954.09</c:v>
                </c:pt>
                <c:pt idx="354">
                  <c:v>520561.7</c:v>
                </c:pt>
                <c:pt idx="355">
                  <c:v>520562</c:v>
                </c:pt>
                <c:pt idx="356">
                  <c:v>525995.02</c:v>
                </c:pt>
                <c:pt idx="357">
                  <c:v>521947.98</c:v>
                </c:pt>
                <c:pt idx="358">
                  <c:v>521948</c:v>
                </c:pt>
                <c:pt idx="359">
                  <c:v>521948</c:v>
                </c:pt>
                <c:pt idx="360">
                  <c:v>522186.98</c:v>
                </c:pt>
                <c:pt idx="361">
                  <c:v>518466.54</c:v>
                </c:pt>
                <c:pt idx="362">
                  <c:v>518467</c:v>
                </c:pt>
                <c:pt idx="363">
                  <c:v>486541.35</c:v>
                </c:pt>
                <c:pt idx="364">
                  <c:v>486541</c:v>
                </c:pt>
                <c:pt idx="365">
                  <c:v>512462.15</c:v>
                </c:pt>
                <c:pt idx="366">
                  <c:v>512462</c:v>
                </c:pt>
                <c:pt idx="367">
                  <c:v>513609.04</c:v>
                </c:pt>
                <c:pt idx="368">
                  <c:v>513609</c:v>
                </c:pt>
                <c:pt idx="369">
                  <c:v>513579.05</c:v>
                </c:pt>
                <c:pt idx="370">
                  <c:v>514399.44</c:v>
                </c:pt>
                <c:pt idx="371">
                  <c:v>501741.57</c:v>
                </c:pt>
                <c:pt idx="372">
                  <c:v>501742</c:v>
                </c:pt>
                <c:pt idx="373">
                  <c:v>502500.51</c:v>
                </c:pt>
                <c:pt idx="374">
                  <c:v>502953.51</c:v>
                </c:pt>
                <c:pt idx="375">
                  <c:v>502954</c:v>
                </c:pt>
                <c:pt idx="376">
                  <c:v>483592.4</c:v>
                </c:pt>
                <c:pt idx="377">
                  <c:v>483291.95</c:v>
                </c:pt>
                <c:pt idx="378">
                  <c:v>495768.59</c:v>
                </c:pt>
                <c:pt idx="379">
                  <c:v>495822.72</c:v>
                </c:pt>
                <c:pt idx="380">
                  <c:v>520028.1</c:v>
                </c:pt>
                <c:pt idx="381">
                  <c:v>517161.8</c:v>
                </c:pt>
                <c:pt idx="382">
                  <c:v>518094.91</c:v>
                </c:pt>
                <c:pt idx="383">
                  <c:v>484042.38</c:v>
                </c:pt>
                <c:pt idx="384">
                  <c:v>497746.99</c:v>
                </c:pt>
                <c:pt idx="385">
                  <c:v>497747</c:v>
                </c:pt>
                <c:pt idx="386">
                  <c:v>495381.8</c:v>
                </c:pt>
                <c:pt idx="387">
                  <c:v>495081.35</c:v>
                </c:pt>
                <c:pt idx="388">
                  <c:v>495055.65</c:v>
                </c:pt>
                <c:pt idx="389">
                  <c:v>495056</c:v>
                </c:pt>
                <c:pt idx="390">
                  <c:v>497588.94</c:v>
                </c:pt>
                <c:pt idx="391">
                  <c:v>488300.76</c:v>
                </c:pt>
                <c:pt idx="392">
                  <c:v>488301</c:v>
                </c:pt>
                <c:pt idx="393">
                  <c:v>488301</c:v>
                </c:pt>
                <c:pt idx="394">
                  <c:v>453460.75</c:v>
                </c:pt>
                <c:pt idx="395">
                  <c:v>453461</c:v>
                </c:pt>
                <c:pt idx="396">
                  <c:v>453914.75</c:v>
                </c:pt>
                <c:pt idx="397">
                  <c:v>451808.36</c:v>
                </c:pt>
                <c:pt idx="398">
                  <c:v>451808</c:v>
                </c:pt>
                <c:pt idx="399">
                  <c:v>452941.65</c:v>
                </c:pt>
                <c:pt idx="400">
                  <c:v>453131.97</c:v>
                </c:pt>
                <c:pt idx="401">
                  <c:v>453180.49</c:v>
                </c:pt>
                <c:pt idx="402">
                  <c:v>453180</c:v>
                </c:pt>
                <c:pt idx="403">
                  <c:v>436299.85</c:v>
                </c:pt>
                <c:pt idx="404">
                  <c:v>400936.9</c:v>
                </c:pt>
                <c:pt idx="405">
                  <c:v>400937</c:v>
                </c:pt>
                <c:pt idx="406">
                  <c:v>298716.2</c:v>
                </c:pt>
                <c:pt idx="407">
                  <c:v>298557.34999999998</c:v>
                </c:pt>
                <c:pt idx="408">
                  <c:v>298557</c:v>
                </c:pt>
                <c:pt idx="409">
                  <c:v>298557</c:v>
                </c:pt>
              </c:numCache>
            </c:numRef>
          </c:val>
          <c:smooth val="0"/>
          <c:extLst>
            <c:ext xmlns:c16="http://schemas.microsoft.com/office/drawing/2014/chart" uri="{C3380CC4-5D6E-409C-BE32-E72D297353CC}">
              <c16:uniqueId val="{00000000-6573-42AC-8776-2072B803DA57}"/>
            </c:ext>
          </c:extLst>
        </c:ser>
        <c:dLbls>
          <c:showLegendKey val="0"/>
          <c:showVal val="0"/>
          <c:showCatName val="0"/>
          <c:showSerName val="0"/>
          <c:showPercent val="0"/>
          <c:showBubbleSize val="0"/>
        </c:dLbls>
        <c:smooth val="0"/>
        <c:axId val="382413560"/>
        <c:axId val="382411992"/>
      </c:lineChart>
      <c:dateAx>
        <c:axId val="38241356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11992"/>
        <c:crosses val="autoZero"/>
        <c:auto val="1"/>
        <c:lblOffset val="100"/>
        <c:baseTimeUnit val="days"/>
        <c:majorUnit val="30"/>
        <c:majorTimeUnit val="days"/>
        <c:minorUnit val="4"/>
        <c:minorTimeUnit val="months"/>
      </c:dateAx>
      <c:valAx>
        <c:axId val="382411992"/>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1356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Data!$F$563:$F$591</c:f>
              <c:numCache>
                <c:formatCode>mmm\-yy</c:formatCode>
                <c:ptCount val="29"/>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pt idx="18">
                  <c:v>44044</c:v>
                </c:pt>
                <c:pt idx="19">
                  <c:v>44075</c:v>
                </c:pt>
                <c:pt idx="20">
                  <c:v>44105</c:v>
                </c:pt>
                <c:pt idx="21">
                  <c:v>44136</c:v>
                </c:pt>
                <c:pt idx="22">
                  <c:v>44166</c:v>
                </c:pt>
                <c:pt idx="23">
                  <c:v>44197</c:v>
                </c:pt>
                <c:pt idx="24">
                  <c:v>44228</c:v>
                </c:pt>
                <c:pt idx="25">
                  <c:v>44256</c:v>
                </c:pt>
                <c:pt idx="26">
                  <c:v>44287</c:v>
                </c:pt>
                <c:pt idx="27">
                  <c:v>44317</c:v>
                </c:pt>
                <c:pt idx="28">
                  <c:v>44348</c:v>
                </c:pt>
              </c:numCache>
            </c:numRef>
          </c:cat>
          <c:val>
            <c:numRef>
              <c:f>Data!$G$563:$G$591</c:f>
              <c:numCache>
                <c:formatCode>"$"#,##0_);[Red]\("$"#,##0\)</c:formatCode>
                <c:ptCount val="29"/>
                <c:pt idx="0">
                  <c:v>388590.24</c:v>
                </c:pt>
                <c:pt idx="1">
                  <c:v>244069.19</c:v>
                </c:pt>
                <c:pt idx="2">
                  <c:v>265093.77</c:v>
                </c:pt>
                <c:pt idx="3">
                  <c:v>218979.44</c:v>
                </c:pt>
                <c:pt idx="4">
                  <c:v>271553.78999999998</c:v>
                </c:pt>
                <c:pt idx="5">
                  <c:v>272625.19</c:v>
                </c:pt>
                <c:pt idx="6">
                  <c:v>249105.04</c:v>
                </c:pt>
                <c:pt idx="7">
                  <c:v>224675.57</c:v>
                </c:pt>
                <c:pt idx="8">
                  <c:v>239981.51</c:v>
                </c:pt>
                <c:pt idx="9">
                  <c:v>202465.72</c:v>
                </c:pt>
                <c:pt idx="10">
                  <c:v>298881.24</c:v>
                </c:pt>
                <c:pt idx="11">
                  <c:v>326352.59000000003</c:v>
                </c:pt>
                <c:pt idx="12">
                  <c:v>247842.14</c:v>
                </c:pt>
                <c:pt idx="13">
                  <c:v>256001.05</c:v>
                </c:pt>
                <c:pt idx="14">
                  <c:v>319553.11</c:v>
                </c:pt>
                <c:pt idx="15">
                  <c:v>373887.89</c:v>
                </c:pt>
                <c:pt idx="16">
                  <c:v>387259.9</c:v>
                </c:pt>
                <c:pt idx="17">
                  <c:v>393896.48</c:v>
                </c:pt>
                <c:pt idx="18">
                  <c:v>318622.86</c:v>
                </c:pt>
                <c:pt idx="19">
                  <c:v>310792.11</c:v>
                </c:pt>
                <c:pt idx="20">
                  <c:v>337545.3</c:v>
                </c:pt>
                <c:pt idx="21">
                  <c:v>407385.79</c:v>
                </c:pt>
                <c:pt idx="22">
                  <c:v>325944.61</c:v>
                </c:pt>
                <c:pt idx="23">
                  <c:v>416865.56</c:v>
                </c:pt>
                <c:pt idx="24">
                  <c:v>403762.36</c:v>
                </c:pt>
                <c:pt idx="25">
                  <c:v>218522.99</c:v>
                </c:pt>
                <c:pt idx="26">
                  <c:v>281881.69</c:v>
                </c:pt>
                <c:pt idx="27">
                  <c:v>232303.26</c:v>
                </c:pt>
                <c:pt idx="28">
                  <c:v>249012.59</c:v>
                </c:pt>
              </c:numCache>
            </c:numRef>
          </c:val>
          <c:extLst>
            <c:ext xmlns:c16="http://schemas.microsoft.com/office/drawing/2014/chart" uri="{C3380CC4-5D6E-409C-BE32-E72D297353CC}">
              <c16:uniqueId val="{00000000-D713-49D7-B3C7-6C283DABD5CD}"/>
            </c:ext>
          </c:extLst>
        </c:ser>
        <c:dLbls>
          <c:showLegendKey val="0"/>
          <c:showVal val="0"/>
          <c:showCatName val="0"/>
          <c:showSerName val="0"/>
          <c:showPercent val="0"/>
          <c:showBubbleSize val="0"/>
        </c:dLbls>
        <c:gapWidth val="243"/>
        <c:overlap val="-83"/>
        <c:axId val="382415520"/>
        <c:axId val="382412384"/>
      </c:barChart>
      <c:dateAx>
        <c:axId val="3824155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12384"/>
        <c:crosses val="autoZero"/>
        <c:auto val="1"/>
        <c:lblOffset val="100"/>
        <c:baseTimeUnit val="months"/>
      </c:dateAx>
      <c:valAx>
        <c:axId val="3824123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Data!$J$526:$J$588</c:f>
              <c:numCache>
                <c:formatCode>mmm\-yy</c:formatCode>
                <c:ptCount val="6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numCache>
            </c:numRef>
          </c:xVal>
          <c:yVal>
            <c:numRef>
              <c:f>Data!$K$526:$K$588</c:f>
              <c:numCache>
                <c:formatCode>_("$"* #,##0_);_("$"* \(#,##0\);_("$"* "-"_);_(@_)</c:formatCode>
                <c:ptCount val="6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c:v>
                </c:pt>
              </c:numCache>
            </c:numRef>
          </c:yVal>
          <c:smooth val="0"/>
          <c:extLst>
            <c:ext xmlns:c16="http://schemas.microsoft.com/office/drawing/2014/chart" uri="{C3380CC4-5D6E-409C-BE32-E72D297353CC}">
              <c16:uniqueId val="{00000000-A830-4D69-AD52-ABDF1F969889}"/>
            </c:ext>
          </c:extLst>
        </c:ser>
        <c:dLbls>
          <c:showLegendKey val="0"/>
          <c:showVal val="0"/>
          <c:showCatName val="0"/>
          <c:showSerName val="0"/>
          <c:showPercent val="0"/>
          <c:showBubbleSize val="0"/>
        </c:dLbls>
        <c:axId val="382416696"/>
        <c:axId val="382417088"/>
      </c:scatterChart>
      <c:valAx>
        <c:axId val="382416696"/>
        <c:scaling>
          <c:orientation val="minMax"/>
          <c:max val="445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17088"/>
        <c:crosses val="autoZero"/>
        <c:crossBetween val="midCat"/>
      </c:valAx>
      <c:valAx>
        <c:axId val="382417088"/>
        <c:scaling>
          <c:orientation val="minMax"/>
          <c:max val="23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16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C819-45A0-8751-A158E3F7B5A0}"/>
            </c:ext>
          </c:extLst>
        </c:ser>
        <c:dLbls>
          <c:showLegendKey val="0"/>
          <c:showVal val="0"/>
          <c:showCatName val="0"/>
          <c:showSerName val="0"/>
          <c:showPercent val="0"/>
          <c:showBubbleSize val="0"/>
        </c:dLbls>
        <c:axId val="341421232"/>
        <c:axId val="341420448"/>
      </c:scatterChart>
      <c:valAx>
        <c:axId val="34142123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20448"/>
        <c:crosses val="autoZero"/>
        <c:crossBetween val="midCat"/>
      </c:valAx>
      <c:valAx>
        <c:axId val="3414204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21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'June''21 AR Aging '!$B$199</c:f>
              <c:strCache>
                <c:ptCount val="1"/>
                <c:pt idx="0">
                  <c:v>Current Month</c:v>
                </c:pt>
              </c:strCache>
            </c:strRef>
          </c:tx>
          <c:spPr>
            <a:solidFill>
              <a:srgbClr val="0070C0"/>
            </a:solidFill>
          </c:spPr>
          <c:invertIfNegative val="0"/>
          <c:val>
            <c:numRef>
              <c:f>'June''21 AR Aging '!$C$199:$N$199</c:f>
            </c:numRef>
          </c:val>
          <c:extLst>
            <c:ext xmlns:c15="http://schemas.microsoft.com/office/drawing/2012/chart" uri="{02D57815-91ED-43cb-92C2-25804820EDAC}">
              <c15:filteredCategoryTitle>
                <c15:cat>
                  <c:multiLvlStrRef>
                    <c:extLst>
                      <c:ext uri="{02D57815-91ED-43cb-92C2-25804820EDAC}">
                        <c15:formulaRef>
                          <c15:sqref>'June''21 AR Aging '!$C$198:$N$198</c15:sqref>
                        </c15:formulaRef>
                      </c:ext>
                    </c:extLst>
                  </c:multiLvlStrRef>
                </c15:cat>
              </c15:filteredCategoryTitle>
            </c:ext>
            <c:ext xmlns:c16="http://schemas.microsoft.com/office/drawing/2014/chart" uri="{C3380CC4-5D6E-409C-BE32-E72D297353CC}">
              <c16:uniqueId val="{00000000-2CB2-4626-B3E2-84F75D459811}"/>
            </c:ext>
          </c:extLst>
        </c:ser>
        <c:ser>
          <c:idx val="1"/>
          <c:order val="1"/>
          <c:tx>
            <c:strRef>
              <c:f>'June''21 AR Aging '!$B$200</c:f>
              <c:strCache>
                <c:ptCount val="1"/>
                <c:pt idx="0">
                  <c:v>Previous Month</c:v>
                </c:pt>
              </c:strCache>
            </c:strRef>
          </c:tx>
          <c:spPr>
            <a:solidFill>
              <a:schemeClr val="accent6">
                <a:lumMod val="40000"/>
                <a:lumOff val="60000"/>
              </a:schemeClr>
            </a:solidFill>
          </c:spPr>
          <c:invertIfNegative val="0"/>
          <c:val>
            <c:numRef>
              <c:f>'June''21 AR Aging '!$C$200:$N$200</c:f>
            </c:numRef>
          </c:val>
          <c:extLst>
            <c:ext xmlns:c15="http://schemas.microsoft.com/office/drawing/2012/chart" uri="{02D57815-91ED-43cb-92C2-25804820EDAC}">
              <c15:filteredCategoryTitle>
                <c15:cat>
                  <c:multiLvlStrRef>
                    <c:extLst>
                      <c:ext uri="{02D57815-91ED-43cb-92C2-25804820EDAC}">
                        <c15:formulaRef>
                          <c15:sqref>'June''21 AR Aging '!$C$198:$N$198</c15:sqref>
                        </c15:formulaRef>
                      </c:ext>
                    </c:extLst>
                  </c:multiLvlStrRef>
                </c15:cat>
              </c15:filteredCategoryTitle>
            </c:ext>
            <c:ext xmlns:c16="http://schemas.microsoft.com/office/drawing/2014/chart" uri="{C3380CC4-5D6E-409C-BE32-E72D297353CC}">
              <c16:uniqueId val="{00000001-2CB2-4626-B3E2-84F75D459811}"/>
            </c:ext>
          </c:extLst>
        </c:ser>
        <c:ser>
          <c:idx val="2"/>
          <c:order val="2"/>
          <c:tx>
            <c:strRef>
              <c:f>'June''21 AR Aging '!$B$201</c:f>
              <c:strCache>
                <c:ptCount val="1"/>
                <c:pt idx="0">
                  <c:v>Three Months Ago</c:v>
                </c:pt>
              </c:strCache>
            </c:strRef>
          </c:tx>
          <c:spPr>
            <a:solidFill>
              <a:schemeClr val="accent3">
                <a:lumMod val="75000"/>
              </a:schemeClr>
            </a:solidFill>
          </c:spPr>
          <c:invertIfNegative val="0"/>
          <c:val>
            <c:numRef>
              <c:f>'June''21 AR Aging '!$C$201:$N$201</c:f>
            </c:numRef>
          </c:val>
          <c:extLst>
            <c:ext xmlns:c15="http://schemas.microsoft.com/office/drawing/2012/chart" uri="{02D57815-91ED-43cb-92C2-25804820EDAC}">
              <c15:filteredCategoryTitle>
                <c15:cat>
                  <c:multiLvlStrRef>
                    <c:extLst>
                      <c:ext uri="{02D57815-91ED-43cb-92C2-25804820EDAC}">
                        <c15:formulaRef>
                          <c15:sqref>'June''21 AR Aging '!$C$198:$N$198</c15:sqref>
                        </c15:formulaRef>
                      </c:ext>
                    </c:extLst>
                  </c:multiLvlStrRef>
                </c15:cat>
              </c15:filteredCategoryTitle>
            </c:ext>
            <c:ext xmlns:c16="http://schemas.microsoft.com/office/drawing/2014/chart" uri="{C3380CC4-5D6E-409C-BE32-E72D297353CC}">
              <c16:uniqueId val="{00000002-2CB2-4626-B3E2-84F75D459811}"/>
            </c:ext>
          </c:extLst>
        </c:ser>
        <c:ser>
          <c:idx val="3"/>
          <c:order val="3"/>
          <c:tx>
            <c:strRef>
              <c:f>'June''21 AR Aging '!$B$202</c:f>
              <c:strCache>
                <c:ptCount val="1"/>
                <c:pt idx="0">
                  <c:v>Older than Three Months</c:v>
                </c:pt>
              </c:strCache>
            </c:strRef>
          </c:tx>
          <c:spPr>
            <a:solidFill>
              <a:schemeClr val="accent4">
                <a:lumMod val="40000"/>
                <a:lumOff val="60000"/>
              </a:schemeClr>
            </a:solidFill>
          </c:spPr>
          <c:invertIfNegative val="0"/>
          <c:val>
            <c:numRef>
              <c:f>'June''21 AR Aging '!$C$202:$N$202</c:f>
            </c:numRef>
          </c:val>
          <c:extLst>
            <c:ext xmlns:c15="http://schemas.microsoft.com/office/drawing/2012/chart" uri="{02D57815-91ED-43cb-92C2-25804820EDAC}">
              <c15:filteredCategoryTitle>
                <c15:cat>
                  <c:multiLvlStrRef>
                    <c:extLst>
                      <c:ext uri="{02D57815-91ED-43cb-92C2-25804820EDAC}">
                        <c15:formulaRef>
                          <c15:sqref>'June''21 AR Aging '!$C$198:$N$198</c15:sqref>
                        </c15:formulaRef>
                      </c:ext>
                    </c:extLst>
                  </c:multiLvlStrRef>
                </c15:cat>
              </c15:filteredCategoryTitle>
            </c:ext>
            <c:ext xmlns:c16="http://schemas.microsoft.com/office/drawing/2014/chart" uri="{C3380CC4-5D6E-409C-BE32-E72D297353CC}">
              <c16:uniqueId val="{00000003-2CB2-4626-B3E2-84F75D459811}"/>
            </c:ext>
          </c:extLst>
        </c:ser>
        <c:dLbls>
          <c:showLegendKey val="0"/>
          <c:showVal val="0"/>
          <c:showCatName val="0"/>
          <c:showSerName val="0"/>
          <c:showPercent val="0"/>
          <c:showBubbleSize val="0"/>
        </c:dLbls>
        <c:gapWidth val="56"/>
        <c:overlap val="100"/>
        <c:axId val="341422016"/>
        <c:axId val="341422408"/>
      </c:barChart>
      <c:catAx>
        <c:axId val="341422016"/>
        <c:scaling>
          <c:orientation val="minMax"/>
        </c:scaling>
        <c:delete val="0"/>
        <c:axPos val="b"/>
        <c:numFmt formatCode="[$-409]mmmm\-yy;@" sourceLinked="1"/>
        <c:majorTickMark val="none"/>
        <c:minorTickMark val="none"/>
        <c:tickLblPos val="nextTo"/>
        <c:spPr>
          <a:noFill/>
          <a:ln w="22225"/>
        </c:spPr>
        <c:crossAx val="341422408"/>
        <c:crosses val="autoZero"/>
        <c:auto val="0"/>
        <c:lblAlgn val="ctr"/>
        <c:lblOffset val="100"/>
        <c:tickLblSkip val="1"/>
        <c:noMultiLvlLbl val="0"/>
      </c:catAx>
      <c:valAx>
        <c:axId val="341422408"/>
        <c:scaling>
          <c:orientation val="minMax"/>
        </c:scaling>
        <c:delete val="0"/>
        <c:axPos val="l"/>
        <c:majorGridlines/>
        <c:numFmt formatCode="&quot;$&quot;#,##0_);[Red]\(&quot;$&quot;#,##0\)" sourceLinked="1"/>
        <c:majorTickMark val="none"/>
        <c:minorTickMark val="none"/>
        <c:tickLblPos val="nextTo"/>
        <c:crossAx val="34142201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25</xdr:row>
      <xdr:rowOff>38100</xdr:rowOff>
    </xdr:from>
    <xdr:to>
      <xdr:col>7</xdr:col>
      <xdr:colOff>971550</xdr:colOff>
      <xdr:row>32</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192</xdr:row>
      <xdr:rowOff>47625</xdr:rowOff>
    </xdr:from>
    <xdr:to>
      <xdr:col>8</xdr:col>
      <xdr:colOff>523875</xdr:colOff>
      <xdr:row>229</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Updated Operating Budget"/>
      <sheetName val="December'20 Revenues &amp; Expenses"/>
      <sheetName val="December'20 AR Aging "/>
      <sheetName val="December'20 Financial Position"/>
      <sheetName val="December'20 State of Activities"/>
      <sheetName val="December'20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refreshError="1"/>
      <sheetData sheetId="5" refreshError="1"/>
      <sheetData sheetId="6">
        <row r="25">
          <cell r="H25">
            <v>46575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440</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510</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3" t="s">
        <v>53</v>
      </c>
      <c r="H5" s="883"/>
      <c r="I5" s="883"/>
      <c r="J5" s="883"/>
      <c r="K5" s="883"/>
      <c r="L5" s="418" t="s">
        <v>185</v>
      </c>
      <c r="M5" s="415" t="s">
        <v>197</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848" t="s">
        <v>511</v>
      </c>
      <c r="H7" s="849" t="s">
        <v>512</v>
      </c>
      <c r="I7" s="849" t="s">
        <v>513</v>
      </c>
      <c r="J7" s="849"/>
      <c r="K7" s="850" t="s">
        <v>518</v>
      </c>
      <c r="L7" s="884" t="s">
        <v>444</v>
      </c>
      <c r="M7" s="884"/>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3" t="s">
        <v>105</v>
      </c>
      <c r="D8" s="423"/>
      <c r="E8" s="423"/>
      <c r="F8" s="73"/>
      <c r="G8" s="327">
        <v>200992</v>
      </c>
      <c r="H8" s="327">
        <v>507048</v>
      </c>
      <c r="I8" s="327">
        <f>G8+H8</f>
        <v>708040</v>
      </c>
      <c r="J8" s="327"/>
      <c r="K8" s="264">
        <v>700893</v>
      </c>
      <c r="L8" s="381">
        <f>I8-K8</f>
        <v>7147</v>
      </c>
      <c r="M8" s="416">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3" t="s">
        <v>154</v>
      </c>
      <c r="D9" s="423"/>
      <c r="E9" s="423"/>
      <c r="F9" s="73"/>
      <c r="G9" s="323">
        <v>18908</v>
      </c>
      <c r="H9" s="323">
        <v>61000</v>
      </c>
      <c r="I9" s="323">
        <f>G9+H9</f>
        <v>79908</v>
      </c>
      <c r="J9" s="323"/>
      <c r="K9" s="265">
        <v>90000</v>
      </c>
      <c r="L9" s="513">
        <f>I9-K9</f>
        <v>-10092</v>
      </c>
      <c r="M9" s="416">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3" t="s">
        <v>183</v>
      </c>
      <c r="D10" s="423"/>
      <c r="E10" s="423"/>
      <c r="F10" s="73"/>
      <c r="G10" s="323">
        <v>16159</v>
      </c>
      <c r="H10" s="323">
        <v>25547</v>
      </c>
      <c r="I10" s="323">
        <f>G10+H10</f>
        <v>41706</v>
      </c>
      <c r="J10" s="323"/>
      <c r="K10" s="265">
        <v>50397</v>
      </c>
      <c r="L10" s="513">
        <f>I10-K10</f>
        <v>-8691</v>
      </c>
      <c r="M10" s="416">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3" t="s">
        <v>106</v>
      </c>
      <c r="D11" s="423"/>
      <c r="E11" s="423"/>
      <c r="F11" s="73"/>
      <c r="G11" s="323"/>
      <c r="H11" s="323"/>
      <c r="I11" s="323">
        <f t="shared" ref="I11:I28" si="1">G11+H11</f>
        <v>0</v>
      </c>
      <c r="J11" s="323"/>
      <c r="K11" s="265"/>
      <c r="L11" s="513"/>
      <c r="M11" s="416"/>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3" t="s">
        <v>143</v>
      </c>
      <c r="E12" s="423"/>
      <c r="F12" s="73"/>
      <c r="G12" s="323">
        <v>78605</v>
      </c>
      <c r="H12" s="323">
        <f>239968-H10-H13-H14</f>
        <v>121781</v>
      </c>
      <c r="I12" s="323">
        <f t="shared" si="1"/>
        <v>200386</v>
      </c>
      <c r="J12" s="323"/>
      <c r="K12" s="265">
        <v>169789</v>
      </c>
      <c r="L12" s="513">
        <f t="shared" ref="L12:L28" si="2">I12-K12</f>
        <v>30597</v>
      </c>
      <c r="M12" s="416">
        <f t="shared" si="0"/>
        <v>0.18020602041357214</v>
      </c>
      <c r="N12" s="68"/>
      <c r="O12" s="473"/>
      <c r="P12" s="472"/>
      <c r="Q12" s="472"/>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3" t="s">
        <v>163</v>
      </c>
      <c r="E13" s="423"/>
      <c r="F13" s="73"/>
      <c r="G13" s="323">
        <v>6000</v>
      </c>
      <c r="H13" s="323">
        <f>1500*8</f>
        <v>12000</v>
      </c>
      <c r="I13" s="323">
        <f t="shared" si="1"/>
        <v>18000</v>
      </c>
      <c r="J13" s="323"/>
      <c r="K13" s="265">
        <v>18000</v>
      </c>
      <c r="L13" s="513">
        <f t="shared" si="2"/>
        <v>0</v>
      </c>
      <c r="M13" s="416">
        <f t="shared" si="0"/>
        <v>0</v>
      </c>
      <c r="N13" s="68"/>
      <c r="O13" s="390"/>
      <c r="P13" s="474"/>
      <c r="Q13" s="363"/>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3"/>
      <c r="D14" s="423" t="s">
        <v>432</v>
      </c>
      <c r="E14" s="423"/>
      <c r="F14" s="73"/>
      <c r="G14" s="323">
        <v>39088</v>
      </c>
      <c r="H14" s="323">
        <v>80640</v>
      </c>
      <c r="I14" s="323">
        <f t="shared" si="1"/>
        <v>119728</v>
      </c>
      <c r="J14" s="323"/>
      <c r="K14" s="265">
        <v>114072</v>
      </c>
      <c r="L14" s="513">
        <f t="shared" si="2"/>
        <v>5656</v>
      </c>
      <c r="M14" s="416">
        <f t="shared" si="0"/>
        <v>4.9582719685812467E-2</v>
      </c>
      <c r="N14" s="68"/>
      <c r="O14" s="390"/>
      <c r="P14" s="474"/>
      <c r="Q14" s="363"/>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3" t="s">
        <v>387</v>
      </c>
      <c r="D15" s="423"/>
      <c r="E15" s="423"/>
      <c r="F15" s="73"/>
      <c r="G15" s="323">
        <v>5511</v>
      </c>
      <c r="H15" s="323">
        <f>17000-G15</f>
        <v>11489</v>
      </c>
      <c r="I15" s="323">
        <f t="shared" si="1"/>
        <v>17000</v>
      </c>
      <c r="J15" s="323"/>
      <c r="K15" s="265">
        <v>17000</v>
      </c>
      <c r="L15" s="513">
        <f t="shared" si="2"/>
        <v>0</v>
      </c>
      <c r="M15" s="416">
        <f t="shared" si="0"/>
        <v>0</v>
      </c>
      <c r="N15" s="68"/>
      <c r="O15" s="390"/>
      <c r="P15" s="474"/>
      <c r="Q15" s="363"/>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3" t="s">
        <v>114</v>
      </c>
      <c r="D16" s="423"/>
      <c r="E16" s="423"/>
      <c r="F16" s="73"/>
      <c r="G16" s="323">
        <v>228</v>
      </c>
      <c r="H16" s="323">
        <v>684</v>
      </c>
      <c r="I16" s="323">
        <f t="shared" si="1"/>
        <v>912</v>
      </c>
      <c r="J16" s="323"/>
      <c r="K16" s="265">
        <v>1200</v>
      </c>
      <c r="L16" s="513">
        <f t="shared" si="2"/>
        <v>-288</v>
      </c>
      <c r="M16" s="416">
        <f t="shared" si="0"/>
        <v>-0.24</v>
      </c>
      <c r="N16" s="68"/>
      <c r="O16" s="390"/>
      <c r="P16" s="474"/>
      <c r="Q16" s="363"/>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3" t="s">
        <v>242</v>
      </c>
      <c r="D17" s="423"/>
      <c r="E17" s="423"/>
      <c r="F17" s="73"/>
      <c r="G17" s="323">
        <v>-405</v>
      </c>
      <c r="H17" s="323">
        <f>400*8-1000</f>
        <v>2200</v>
      </c>
      <c r="I17" s="323">
        <f t="shared" si="1"/>
        <v>1795</v>
      </c>
      <c r="J17" s="323"/>
      <c r="K17" s="265">
        <v>4680</v>
      </c>
      <c r="L17" s="513">
        <f t="shared" si="2"/>
        <v>-2885</v>
      </c>
      <c r="M17" s="416">
        <f t="shared" si="0"/>
        <v>-0.61645299145299148</v>
      </c>
      <c r="N17" s="68"/>
      <c r="O17" s="390"/>
      <c r="P17" s="474"/>
      <c r="Q17" s="3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3" t="s">
        <v>327</v>
      </c>
      <c r="D18" s="423"/>
      <c r="E18" s="423"/>
      <c r="F18" s="73"/>
      <c r="G18" s="323">
        <v>12304</v>
      </c>
      <c r="H18" s="323">
        <v>1500</v>
      </c>
      <c r="I18" s="323">
        <f t="shared" si="1"/>
        <v>13804</v>
      </c>
      <c r="J18" s="323"/>
      <c r="K18" s="265">
        <v>1500</v>
      </c>
      <c r="L18" s="513">
        <f t="shared" si="2"/>
        <v>12304</v>
      </c>
      <c r="M18" s="416">
        <f t="shared" si="0"/>
        <v>8.2026666666666674</v>
      </c>
      <c r="N18" s="68"/>
      <c r="O18" s="390"/>
      <c r="P18" s="474"/>
      <c r="Q18" s="363"/>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3" t="s">
        <v>445</v>
      </c>
      <c r="D19" s="423"/>
      <c r="E19" s="423"/>
      <c r="F19" s="73"/>
      <c r="G19" s="323"/>
      <c r="H19" s="323"/>
      <c r="I19" s="323">
        <f t="shared" si="1"/>
        <v>0</v>
      </c>
      <c r="J19" s="323"/>
      <c r="K19" s="265"/>
      <c r="L19" s="513">
        <f t="shared" si="2"/>
        <v>0</v>
      </c>
      <c r="M19" s="416"/>
      <c r="N19" s="68"/>
      <c r="O19" s="390"/>
      <c r="P19" s="474"/>
      <c r="Q19" s="363"/>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3"/>
      <c r="D20" s="423" t="s">
        <v>11</v>
      </c>
      <c r="E20" s="423"/>
      <c r="F20" s="73"/>
      <c r="G20" s="323">
        <f>10047-3000</f>
        <v>7047</v>
      </c>
      <c r="H20" s="323">
        <f>65179-H21-12000</f>
        <v>21179</v>
      </c>
      <c r="I20" s="323">
        <f t="shared" si="1"/>
        <v>28226</v>
      </c>
      <c r="J20" s="323"/>
      <c r="K20" s="265">
        <f>79293-48000</f>
        <v>31293</v>
      </c>
      <c r="L20" s="513">
        <f t="shared" si="2"/>
        <v>-3067</v>
      </c>
      <c r="M20" s="416">
        <f t="shared" si="0"/>
        <v>-9.8009139424152361E-2</v>
      </c>
      <c r="N20" s="68"/>
      <c r="O20" s="390"/>
      <c r="P20" s="474"/>
      <c r="Q20" s="3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47"/>
      <c r="D21" s="423" t="s">
        <v>17</v>
      </c>
      <c r="E21" s="847"/>
      <c r="F21" s="847"/>
      <c r="G21" s="323">
        <f>48000/12*4</f>
        <v>16000</v>
      </c>
      <c r="H21" s="323">
        <f>48000-G21</f>
        <v>32000</v>
      </c>
      <c r="I21" s="323">
        <f t="shared" si="1"/>
        <v>48000</v>
      </c>
      <c r="J21" s="323"/>
      <c r="K21" s="265">
        <v>48000</v>
      </c>
      <c r="L21" s="513">
        <f t="shared" si="2"/>
        <v>0</v>
      </c>
      <c r="M21" s="416">
        <f t="shared" si="0"/>
        <v>0</v>
      </c>
      <c r="N21" s="68"/>
      <c r="O21" s="390"/>
      <c r="P21" s="474"/>
      <c r="Q21" s="363"/>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47"/>
      <c r="D22" s="423" t="s">
        <v>514</v>
      </c>
      <c r="E22" s="847"/>
      <c r="F22" s="847"/>
      <c r="G22" s="323">
        <v>3000</v>
      </c>
      <c r="H22" s="323">
        <v>12000</v>
      </c>
      <c r="I22" s="323">
        <f t="shared" si="1"/>
        <v>15000</v>
      </c>
      <c r="J22" s="323"/>
      <c r="K22" s="265">
        <v>0</v>
      </c>
      <c r="L22" s="513">
        <f t="shared" si="2"/>
        <v>15000</v>
      </c>
      <c r="M22" s="416"/>
      <c r="N22" s="68"/>
      <c r="O22" s="390"/>
      <c r="P22" s="474"/>
      <c r="Q22" s="3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3" t="s">
        <v>329</v>
      </c>
      <c r="D23" s="847"/>
      <c r="E23" s="847"/>
      <c r="F23" s="847"/>
      <c r="G23" s="323">
        <v>3150</v>
      </c>
      <c r="H23" s="323">
        <v>0</v>
      </c>
      <c r="I23" s="323">
        <f t="shared" si="1"/>
        <v>3150</v>
      </c>
      <c r="J23" s="323"/>
      <c r="K23" s="265"/>
      <c r="L23" s="513">
        <f t="shared" si="2"/>
        <v>3150</v>
      </c>
      <c r="M23" s="416"/>
      <c r="N23" s="68"/>
      <c r="O23" s="390"/>
      <c r="P23" s="474"/>
      <c r="Q23" s="3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3" t="s">
        <v>113</v>
      </c>
      <c r="D24" s="847"/>
      <c r="E24" s="847"/>
      <c r="F24" s="847"/>
      <c r="G24" s="323">
        <v>17580</v>
      </c>
      <c r="H24" s="323">
        <f>H35</f>
        <v>35160</v>
      </c>
      <c r="I24" s="323">
        <f t="shared" si="1"/>
        <v>52740</v>
      </c>
      <c r="J24" s="323"/>
      <c r="K24" s="323">
        <v>46576</v>
      </c>
      <c r="L24" s="513">
        <f t="shared" si="2"/>
        <v>6164</v>
      </c>
      <c r="M24" s="416">
        <f t="shared" si="0"/>
        <v>0.13234283751288217</v>
      </c>
      <c r="N24" s="68"/>
      <c r="O24" s="390"/>
      <c r="P24" s="474"/>
      <c r="Q24" s="3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3" t="s">
        <v>448</v>
      </c>
      <c r="D25" s="847"/>
      <c r="E25" s="847"/>
      <c r="F25" s="847"/>
      <c r="G25" s="323">
        <v>5055</v>
      </c>
      <c r="H25" s="323">
        <f>15000+250</f>
        <v>15250</v>
      </c>
      <c r="I25" s="323">
        <f t="shared" si="1"/>
        <v>20305</v>
      </c>
      <c r="J25" s="323"/>
      <c r="K25" s="323">
        <v>21600</v>
      </c>
      <c r="L25" s="513">
        <f t="shared" si="2"/>
        <v>-1295</v>
      </c>
      <c r="M25" s="416">
        <f t="shared" si="0"/>
        <v>-5.9953703703703703E-2</v>
      </c>
      <c r="N25" s="68"/>
      <c r="O25" s="390"/>
      <c r="P25" s="474"/>
      <c r="Q25" s="3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3" t="s">
        <v>106</v>
      </c>
      <c r="D26" s="847"/>
      <c r="E26" s="847"/>
      <c r="F26" s="847"/>
      <c r="G26" s="323">
        <f>18500/12*4</f>
        <v>6166.666666666667</v>
      </c>
      <c r="H26" s="323">
        <f>18500-G26</f>
        <v>12333.333333333332</v>
      </c>
      <c r="I26" s="323">
        <f t="shared" si="1"/>
        <v>18500</v>
      </c>
      <c r="J26" s="323"/>
      <c r="K26" s="323">
        <v>19000</v>
      </c>
      <c r="L26" s="513">
        <f t="shared" si="2"/>
        <v>-500</v>
      </c>
      <c r="M26" s="416">
        <f t="shared" si="0"/>
        <v>-2.6315789473684209E-2</v>
      </c>
      <c r="N26" s="68"/>
      <c r="O26" s="390"/>
      <c r="P26" s="474"/>
      <c r="Q26" s="3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3" t="s">
        <v>326</v>
      </c>
      <c r="D27" s="847"/>
      <c r="E27" s="847"/>
      <c r="F27" s="847"/>
      <c r="G27" s="323">
        <f>41600/12*4</f>
        <v>13866.666666666666</v>
      </c>
      <c r="H27" s="323">
        <f>3466.67*8</f>
        <v>27733.360000000001</v>
      </c>
      <c r="I27" s="323">
        <f t="shared" si="1"/>
        <v>41600.026666666665</v>
      </c>
      <c r="J27" s="323"/>
      <c r="K27" s="323">
        <v>50000</v>
      </c>
      <c r="L27" s="513">
        <f t="shared" si="2"/>
        <v>-8399.9733333333352</v>
      </c>
      <c r="M27" s="416">
        <f t="shared" si="0"/>
        <v>-0.16799946666666671</v>
      </c>
      <c r="N27" s="68"/>
      <c r="O27" s="390"/>
      <c r="P27" s="474"/>
      <c r="Q27" s="3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3" t="s">
        <v>328</v>
      </c>
      <c r="D28" s="847"/>
      <c r="E28" s="847"/>
      <c r="F28" s="847"/>
      <c r="G28" s="323">
        <f>27832-G26-G27</f>
        <v>7798.6666666666661</v>
      </c>
      <c r="H28" s="323">
        <v>11317</v>
      </c>
      <c r="I28" s="323">
        <f t="shared" si="1"/>
        <v>19115.666666666664</v>
      </c>
      <c r="J28" s="323"/>
      <c r="K28" s="323">
        <v>16835</v>
      </c>
      <c r="L28" s="513">
        <f t="shared" si="2"/>
        <v>2280.6666666666642</v>
      </c>
      <c r="M28" s="416">
        <f t="shared" si="0"/>
        <v>0.13547173547173533</v>
      </c>
      <c r="N28" s="68"/>
      <c r="O28" s="390"/>
      <c r="P28" s="474"/>
      <c r="Q28" s="363"/>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3"/>
      <c r="D29" s="73" t="s">
        <v>109</v>
      </c>
      <c r="E29" s="423"/>
      <c r="F29" s="73"/>
      <c r="G29" s="779">
        <f>SUM(G8:G28)</f>
        <v>457054.00000000006</v>
      </c>
      <c r="H29" s="779">
        <f>SUM(H8:H28)</f>
        <v>990861.69333333336</v>
      </c>
      <c r="I29" s="779">
        <f>SUM(I8:I28)</f>
        <v>1447915.6933333334</v>
      </c>
      <c r="J29" s="779"/>
      <c r="K29" s="779">
        <f>SUM(K8:K28)</f>
        <v>1400835</v>
      </c>
      <c r="L29" s="780">
        <f>SUM(L8:L28)</f>
        <v>47080.693333333329</v>
      </c>
      <c r="M29" s="781">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3"/>
      <c r="D30" s="73"/>
      <c r="E30" s="423"/>
      <c r="F30" s="73"/>
      <c r="G30" s="323"/>
      <c r="H30" s="323"/>
      <c r="I30" s="323"/>
      <c r="J30" s="323"/>
      <c r="K30" s="600"/>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115</v>
      </c>
      <c r="C31" s="87"/>
      <c r="D31" s="87"/>
      <c r="E31" s="87"/>
      <c r="F31" s="87"/>
      <c r="G31" s="323"/>
      <c r="H31" s="323"/>
      <c r="I31" s="323"/>
      <c r="J31" s="323"/>
      <c r="K31" s="370"/>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116</v>
      </c>
      <c r="D32" s="79"/>
      <c r="E32" s="79"/>
      <c r="F32" s="79"/>
      <c r="G32" s="233">
        <v>276045.51</v>
      </c>
      <c r="H32" s="323">
        <v>641500</v>
      </c>
      <c r="I32" s="323">
        <f>SUM(G32:H32)</f>
        <v>917545.51</v>
      </c>
      <c r="J32" s="323"/>
      <c r="K32" s="782">
        <v>932770</v>
      </c>
      <c r="L32" s="513">
        <f>I32-K32</f>
        <v>-15224.489999999991</v>
      </c>
      <c r="M32" s="439">
        <f>L32/K32</f>
        <v>-1.6321804946557019E-2</v>
      </c>
    </row>
    <row r="33" spans="1:15" s="68" customFormat="1" ht="20.25" x14ac:dyDescent="0.2">
      <c r="A33" s="67"/>
      <c r="B33" s="67"/>
      <c r="C33" s="79" t="s">
        <v>117</v>
      </c>
      <c r="D33" s="79"/>
      <c r="E33" s="79"/>
      <c r="F33" s="79"/>
      <c r="G33" s="233">
        <f>60096.8</f>
        <v>60096.800000000003</v>
      </c>
      <c r="H33" s="323">
        <v>131256</v>
      </c>
      <c r="I33" s="323">
        <f>SUM(G33:H33)</f>
        <v>191352.8</v>
      </c>
      <c r="J33" s="323"/>
      <c r="K33" s="783">
        <v>181856</v>
      </c>
      <c r="L33" s="513">
        <f>I33-K33</f>
        <v>9496.7999999999884</v>
      </c>
      <c r="M33" s="439">
        <f>L33/K33</f>
        <v>5.2221537920112554E-2</v>
      </c>
    </row>
    <row r="34" spans="1:15" s="68" customFormat="1" ht="20.25" x14ac:dyDescent="0.2">
      <c r="A34" s="67"/>
      <c r="B34" s="67"/>
      <c r="C34" s="79" t="s">
        <v>118</v>
      </c>
      <c r="D34" s="79"/>
      <c r="E34" s="79"/>
      <c r="F34" s="79"/>
      <c r="G34" s="233">
        <v>600</v>
      </c>
      <c r="H34" s="323">
        <f>150*8</f>
        <v>1200</v>
      </c>
      <c r="I34" s="323">
        <f t="shared" ref="I34:K49" si="3">SUM(G34:H34)</f>
        <v>1800</v>
      </c>
      <c r="J34" s="323"/>
      <c r="K34" s="783">
        <v>1800</v>
      </c>
      <c r="L34" s="513">
        <f t="shared" ref="L34:L49" si="4">I34-K34</f>
        <v>0</v>
      </c>
      <c r="M34" s="439">
        <f t="shared" ref="M34:M49" si="5">L34/K34</f>
        <v>0</v>
      </c>
    </row>
    <row r="35" spans="1:15" s="68" customFormat="1" ht="20.25" x14ac:dyDescent="0.2">
      <c r="A35" s="67"/>
      <c r="B35" s="67"/>
      <c r="C35" s="79" t="s">
        <v>108</v>
      </c>
      <c r="D35" s="79"/>
      <c r="E35" s="79"/>
      <c r="F35" s="79"/>
      <c r="G35" s="233">
        <v>17580</v>
      </c>
      <c r="H35" s="323">
        <f>G35/4*8</f>
        <v>35160</v>
      </c>
      <c r="I35" s="323">
        <f t="shared" si="3"/>
        <v>52740</v>
      </c>
      <c r="J35" s="323"/>
      <c r="K35" s="783">
        <v>46576</v>
      </c>
      <c r="L35" s="513">
        <f t="shared" si="4"/>
        <v>6164</v>
      </c>
      <c r="M35" s="439">
        <f t="shared" si="5"/>
        <v>0.13234283751288217</v>
      </c>
    </row>
    <row r="36" spans="1:15" s="68" customFormat="1" ht="20.25" x14ac:dyDescent="0.2">
      <c r="A36" s="67"/>
      <c r="B36" s="67"/>
      <c r="C36" s="79" t="s">
        <v>119</v>
      </c>
      <c r="D36" s="79"/>
      <c r="E36" s="79"/>
      <c r="F36" s="79"/>
      <c r="G36" s="233">
        <v>6970</v>
      </c>
      <c r="H36" s="323">
        <v>13232</v>
      </c>
      <c r="I36" s="323">
        <f t="shared" si="3"/>
        <v>20202</v>
      </c>
      <c r="J36" s="323"/>
      <c r="K36" s="783">
        <v>19873</v>
      </c>
      <c r="L36" s="513">
        <f t="shared" si="4"/>
        <v>329</v>
      </c>
      <c r="M36" s="439">
        <f t="shared" si="5"/>
        <v>1.6555125044029589E-2</v>
      </c>
    </row>
    <row r="37" spans="1:15" s="68" customFormat="1" ht="20.25" x14ac:dyDescent="0.2">
      <c r="A37" s="67"/>
      <c r="B37" s="67"/>
      <c r="C37" s="79" t="s">
        <v>120</v>
      </c>
      <c r="D37" s="79"/>
      <c r="E37" s="79"/>
      <c r="F37" s="79"/>
      <c r="G37" s="233">
        <v>983</v>
      </c>
      <c r="H37" s="323">
        <f>2736-983</f>
        <v>1753</v>
      </c>
      <c r="I37" s="323">
        <f t="shared" si="3"/>
        <v>2736</v>
      </c>
      <c r="J37" s="323"/>
      <c r="K37" s="783">
        <v>2736</v>
      </c>
      <c r="L37" s="513">
        <f t="shared" si="4"/>
        <v>0</v>
      </c>
      <c r="M37" s="439">
        <f t="shared" si="5"/>
        <v>0</v>
      </c>
      <c r="O37" s="851"/>
    </row>
    <row r="38" spans="1:15" s="68" customFormat="1" ht="20.25" x14ac:dyDescent="0.2">
      <c r="A38" s="67"/>
      <c r="B38" s="67"/>
      <c r="C38" s="79" t="s">
        <v>121</v>
      </c>
      <c r="D38" s="79"/>
      <c r="E38" s="79"/>
      <c r="F38" s="79"/>
      <c r="G38" s="233">
        <v>1426</v>
      </c>
      <c r="H38" s="323">
        <v>4352</v>
      </c>
      <c r="I38" s="323">
        <f t="shared" si="3"/>
        <v>5778</v>
      </c>
      <c r="J38" s="323"/>
      <c r="K38" s="783">
        <v>5022</v>
      </c>
      <c r="L38" s="513">
        <f t="shared" si="4"/>
        <v>756</v>
      </c>
      <c r="M38" s="439">
        <f t="shared" si="5"/>
        <v>0.15053763440860216</v>
      </c>
    </row>
    <row r="39" spans="1:15" s="68" customFormat="1" ht="20.25" x14ac:dyDescent="0.2">
      <c r="A39" s="67"/>
      <c r="B39" s="67"/>
      <c r="C39" s="79" t="s">
        <v>122</v>
      </c>
      <c r="D39" s="79"/>
      <c r="E39" s="79"/>
      <c r="F39" s="79"/>
      <c r="G39" s="233">
        <v>286</v>
      </c>
      <c r="H39" s="323">
        <v>7958</v>
      </c>
      <c r="I39" s="323">
        <f t="shared" si="3"/>
        <v>8244</v>
      </c>
      <c r="J39" s="323"/>
      <c r="K39" s="783">
        <v>6244</v>
      </c>
      <c r="L39" s="513">
        <f t="shared" si="4"/>
        <v>2000</v>
      </c>
      <c r="M39" s="439">
        <f t="shared" si="5"/>
        <v>0.32030749519538759</v>
      </c>
    </row>
    <row r="40" spans="1:15" s="68" customFormat="1" ht="20.25" x14ac:dyDescent="0.2">
      <c r="A40" s="67"/>
      <c r="B40" s="67"/>
      <c r="C40" s="79" t="s">
        <v>123</v>
      </c>
      <c r="D40" s="79"/>
      <c r="E40" s="79"/>
      <c r="F40" s="79"/>
      <c r="G40" s="233">
        <v>14139</v>
      </c>
      <c r="H40" s="323">
        <f>27582</f>
        <v>27582</v>
      </c>
      <c r="I40" s="323">
        <f t="shared" si="3"/>
        <v>41721</v>
      </c>
      <c r="J40" s="323"/>
      <c r="K40" s="783">
        <v>40180</v>
      </c>
      <c r="L40" s="513">
        <f t="shared" si="4"/>
        <v>1541</v>
      </c>
      <c r="M40" s="439">
        <f t="shared" si="5"/>
        <v>3.8352414136386265E-2</v>
      </c>
      <c r="O40" s="263"/>
    </row>
    <row r="41" spans="1:15" s="68" customFormat="1" ht="20.25" x14ac:dyDescent="0.2">
      <c r="A41" s="67"/>
      <c r="B41" s="67"/>
      <c r="C41" s="79" t="s">
        <v>124</v>
      </c>
      <c r="D41" s="79"/>
      <c r="E41" s="79"/>
      <c r="F41" s="79"/>
      <c r="G41" s="233">
        <v>2253</v>
      </c>
      <c r="H41" s="323">
        <v>2960</v>
      </c>
      <c r="I41" s="323">
        <f t="shared" si="3"/>
        <v>5213</v>
      </c>
      <c r="J41" s="323"/>
      <c r="K41" s="783">
        <v>4270</v>
      </c>
      <c r="L41" s="513">
        <f t="shared" si="4"/>
        <v>943</v>
      </c>
      <c r="M41" s="439">
        <f t="shared" si="5"/>
        <v>0.2208430913348946</v>
      </c>
    </row>
    <row r="42" spans="1:15" s="68" customFormat="1" ht="20.25" x14ac:dyDescent="0.2">
      <c r="A42" s="67"/>
      <c r="B42" s="67"/>
      <c r="C42" s="79" t="s">
        <v>125</v>
      </c>
      <c r="D42" s="79"/>
      <c r="E42" s="79"/>
      <c r="F42" s="79"/>
      <c r="G42" s="233">
        <v>386</v>
      </c>
      <c r="H42" s="323">
        <f>1020-G42</f>
        <v>634</v>
      </c>
      <c r="I42" s="323">
        <f t="shared" si="3"/>
        <v>1020</v>
      </c>
      <c r="J42" s="323"/>
      <c r="K42" s="783">
        <v>1020</v>
      </c>
      <c r="L42" s="513">
        <f t="shared" si="4"/>
        <v>0</v>
      </c>
      <c r="M42" s="439">
        <f t="shared" si="5"/>
        <v>0</v>
      </c>
    </row>
    <row r="43" spans="1:15" s="68" customFormat="1" ht="20.25" x14ac:dyDescent="0.2">
      <c r="A43" s="67"/>
      <c r="B43" s="67"/>
      <c r="C43" s="79" t="s">
        <v>170</v>
      </c>
      <c r="D43" s="79"/>
      <c r="E43" s="79"/>
      <c r="F43" s="79"/>
      <c r="G43" s="233">
        <v>10200</v>
      </c>
      <c r="H43" s="323">
        <f>2800+125+25</f>
        <v>2950</v>
      </c>
      <c r="I43" s="323">
        <f t="shared" si="3"/>
        <v>13150</v>
      </c>
      <c r="J43" s="323"/>
      <c r="K43" s="783">
        <v>13618</v>
      </c>
      <c r="L43" s="513">
        <f t="shared" si="4"/>
        <v>-468</v>
      </c>
      <c r="M43" s="439">
        <f t="shared" si="5"/>
        <v>-3.4366279923630491E-2</v>
      </c>
    </row>
    <row r="44" spans="1:15" s="68" customFormat="1" ht="20.25" x14ac:dyDescent="0.2">
      <c r="A44" s="67"/>
      <c r="B44" s="67"/>
      <c r="C44" s="885" t="s">
        <v>331</v>
      </c>
      <c r="D44" s="885"/>
      <c r="E44" s="885"/>
      <c r="F44" s="885"/>
      <c r="G44" s="233"/>
      <c r="H44" s="323">
        <f>SUM([1]Transportaton!N46:S46)</f>
        <v>0</v>
      </c>
      <c r="I44" s="323">
        <f t="shared" si="3"/>
        <v>0</v>
      </c>
      <c r="J44" s="323"/>
      <c r="K44" s="323">
        <f t="shared" si="3"/>
        <v>0</v>
      </c>
      <c r="L44" s="513">
        <f t="shared" si="4"/>
        <v>0</v>
      </c>
      <c r="M44" s="439"/>
      <c r="O44" s="761"/>
    </row>
    <row r="45" spans="1:15" s="68" customFormat="1" ht="20.25" x14ac:dyDescent="0.2">
      <c r="A45" s="67"/>
      <c r="B45" s="67"/>
      <c r="C45" s="79" t="s">
        <v>126</v>
      </c>
      <c r="D45" s="79"/>
      <c r="E45" s="79"/>
      <c r="F45" s="79"/>
      <c r="G45" s="323">
        <v>7626</v>
      </c>
      <c r="H45" s="323">
        <v>7740</v>
      </c>
      <c r="I45" s="323">
        <f t="shared" si="3"/>
        <v>15366</v>
      </c>
      <c r="J45" s="323"/>
      <c r="K45" s="783">
        <v>13802</v>
      </c>
      <c r="L45" s="513">
        <f t="shared" si="4"/>
        <v>1564</v>
      </c>
      <c r="M45" s="439">
        <f t="shared" si="5"/>
        <v>0.11331691059266773</v>
      </c>
    </row>
    <row r="46" spans="1:15" s="68" customFormat="1" ht="20.25" x14ac:dyDescent="0.2">
      <c r="A46" s="67"/>
      <c r="B46" s="67"/>
      <c r="C46" s="79" t="s">
        <v>127</v>
      </c>
      <c r="D46" s="79"/>
      <c r="E46" s="79"/>
      <c r="F46" s="79"/>
      <c r="G46" s="323">
        <v>3742</v>
      </c>
      <c r="H46" s="323">
        <v>7566</v>
      </c>
      <c r="I46" s="323">
        <f t="shared" si="3"/>
        <v>11308</v>
      </c>
      <c r="J46" s="323"/>
      <c r="K46" s="783">
        <v>10740</v>
      </c>
      <c r="L46" s="513">
        <f t="shared" si="4"/>
        <v>568</v>
      </c>
      <c r="M46" s="439">
        <f t="shared" si="5"/>
        <v>5.2886405959031657E-2</v>
      </c>
      <c r="O46" s="761"/>
    </row>
    <row r="47" spans="1:15" s="68" customFormat="1" ht="20.25" x14ac:dyDescent="0.2">
      <c r="A47" s="67"/>
      <c r="B47" s="67"/>
      <c r="C47" s="79" t="s">
        <v>134</v>
      </c>
      <c r="D47" s="79"/>
      <c r="E47" s="79"/>
      <c r="F47" s="79"/>
      <c r="G47" s="233">
        <v>340</v>
      </c>
      <c r="H47" s="323">
        <v>1140</v>
      </c>
      <c r="I47" s="323">
        <f t="shared" si="3"/>
        <v>1480</v>
      </c>
      <c r="J47" s="323"/>
      <c r="K47" s="783">
        <v>1470</v>
      </c>
      <c r="L47" s="513">
        <f t="shared" si="4"/>
        <v>10</v>
      </c>
      <c r="M47" s="439">
        <f t="shared" si="5"/>
        <v>6.8027210884353739E-3</v>
      </c>
    </row>
    <row r="48" spans="1:15" s="68" customFormat="1" ht="20.25" x14ac:dyDescent="0.2">
      <c r="A48" s="67"/>
      <c r="B48" s="67"/>
      <c r="C48" s="79" t="s">
        <v>128</v>
      </c>
      <c r="D48" s="79"/>
      <c r="E48" s="79"/>
      <c r="F48" s="79"/>
      <c r="G48" s="323"/>
      <c r="H48" s="323">
        <v>2500</v>
      </c>
      <c r="I48" s="323">
        <f t="shared" si="3"/>
        <v>2500</v>
      </c>
      <c r="J48" s="323"/>
      <c r="K48" s="783">
        <v>3000</v>
      </c>
      <c r="L48" s="513">
        <f t="shared" si="4"/>
        <v>-500</v>
      </c>
      <c r="M48" s="439">
        <f t="shared" si="5"/>
        <v>-0.16666666666666666</v>
      </c>
      <c r="O48" s="761"/>
    </row>
    <row r="49" spans="1:17" s="68" customFormat="1" ht="20.25" customHeight="1" x14ac:dyDescent="0.2">
      <c r="A49" s="67"/>
      <c r="B49" s="67"/>
      <c r="C49" s="79" t="s">
        <v>204</v>
      </c>
      <c r="D49" s="79"/>
      <c r="E49" s="79"/>
      <c r="F49" s="79"/>
      <c r="G49" s="233">
        <v>462</v>
      </c>
      <c r="H49" s="323">
        <v>4500</v>
      </c>
      <c r="I49" s="323">
        <f t="shared" si="3"/>
        <v>4962</v>
      </c>
      <c r="J49" s="323"/>
      <c r="K49" s="783">
        <v>9980</v>
      </c>
      <c r="L49" s="513">
        <f t="shared" si="4"/>
        <v>-5018</v>
      </c>
      <c r="M49" s="439">
        <f t="shared" si="5"/>
        <v>-0.50280561122244494</v>
      </c>
    </row>
    <row r="50" spans="1:17" s="76" customFormat="1" ht="20.25" x14ac:dyDescent="0.2">
      <c r="A50" s="79"/>
      <c r="B50" s="79"/>
      <c r="C50" s="79" t="s">
        <v>130</v>
      </c>
      <c r="D50" s="79"/>
      <c r="E50" s="79"/>
      <c r="F50" s="79"/>
      <c r="G50" s="323">
        <v>5810</v>
      </c>
      <c r="H50" s="323">
        <v>21380</v>
      </c>
      <c r="I50" s="323">
        <f>G50+H50</f>
        <v>27190</v>
      </c>
      <c r="J50" s="323"/>
      <c r="K50" s="783">
        <v>8437</v>
      </c>
      <c r="L50" s="513">
        <f>I50-K50</f>
        <v>18753</v>
      </c>
      <c r="M50" s="439">
        <f>L50/K50</f>
        <v>2.2227094938959344</v>
      </c>
    </row>
    <row r="51" spans="1:17" s="68" customFormat="1" ht="20.25" x14ac:dyDescent="0.2">
      <c r="A51" s="67"/>
      <c r="B51" s="67"/>
      <c r="C51" s="79" t="s">
        <v>169</v>
      </c>
      <c r="D51" s="79"/>
      <c r="E51" s="79"/>
      <c r="F51" s="79"/>
      <c r="G51" s="233">
        <v>18022</v>
      </c>
      <c r="H51" s="323">
        <v>39426</v>
      </c>
      <c r="I51" s="323">
        <f t="shared" ref="I51:I53" si="6">G51+H51</f>
        <v>57448</v>
      </c>
      <c r="J51" s="323"/>
      <c r="K51" s="783">
        <v>54075</v>
      </c>
      <c r="L51" s="513">
        <f t="shared" ref="L51:L53" si="7">I51-K51</f>
        <v>3373</v>
      </c>
      <c r="M51" s="439">
        <f t="shared" ref="M51:M54" si="8">L51/K51</f>
        <v>6.2376329172445677E-2</v>
      </c>
      <c r="Q51" s="342"/>
    </row>
    <row r="52" spans="1:17" s="68" customFormat="1" ht="20.25" x14ac:dyDescent="0.2">
      <c r="A52" s="67"/>
      <c r="B52" s="67"/>
      <c r="C52" s="79" t="s">
        <v>131</v>
      </c>
      <c r="D52" s="79"/>
      <c r="E52" s="79"/>
      <c r="F52" s="79"/>
      <c r="G52" s="233">
        <v>39998</v>
      </c>
      <c r="H52" s="323">
        <v>31489</v>
      </c>
      <c r="I52" s="323">
        <f t="shared" si="6"/>
        <v>71487</v>
      </c>
      <c r="J52" s="323"/>
      <c r="K52" s="783">
        <v>42592</v>
      </c>
      <c r="L52" s="513">
        <f t="shared" si="7"/>
        <v>28895</v>
      </c>
      <c r="M52" s="439">
        <f t="shared" si="8"/>
        <v>0.67841378662659657</v>
      </c>
    </row>
    <row r="53" spans="1:17" s="68" customFormat="1" ht="21" thickBot="1" x14ac:dyDescent="0.25">
      <c r="A53" s="67"/>
      <c r="B53" s="67"/>
      <c r="C53" s="79" t="s">
        <v>434</v>
      </c>
      <c r="D53" s="79"/>
      <c r="E53" s="79"/>
      <c r="F53" s="79"/>
      <c r="G53" s="242">
        <v>660</v>
      </c>
      <c r="H53" s="401">
        <f>660/4*5</f>
        <v>825</v>
      </c>
      <c r="I53" s="401">
        <f t="shared" si="6"/>
        <v>1485</v>
      </c>
      <c r="J53" s="401"/>
      <c r="K53" s="784">
        <v>1980</v>
      </c>
      <c r="L53" s="516">
        <f t="shared" si="7"/>
        <v>-495</v>
      </c>
      <c r="M53" s="439">
        <f t="shared" si="8"/>
        <v>-0.25</v>
      </c>
    </row>
    <row r="54" spans="1:17" s="76" customFormat="1" ht="20.25" x14ac:dyDescent="0.2">
      <c r="A54" s="79"/>
      <c r="B54" s="79"/>
      <c r="C54" s="67"/>
      <c r="D54" s="67"/>
      <c r="G54" s="323">
        <f>SUM(G32:G53)</f>
        <v>467625.31</v>
      </c>
      <c r="H54" s="323">
        <f>SUM(H32:H53)</f>
        <v>987103</v>
      </c>
      <c r="I54" s="323">
        <f>SUM(I32:I53)</f>
        <v>1454728.31</v>
      </c>
      <c r="J54" s="323"/>
      <c r="K54" s="323">
        <f>SUM(K32:K53)</f>
        <v>1402041</v>
      </c>
      <c r="L54" s="323">
        <f>SUM(L32:L53)</f>
        <v>52687.31</v>
      </c>
      <c r="M54" s="781">
        <f t="shared" si="8"/>
        <v>3.7579008031862121E-2</v>
      </c>
    </row>
    <row r="55" spans="1:17" s="76" customFormat="1" ht="8.25" customHeight="1" x14ac:dyDescent="0.2">
      <c r="A55" s="79"/>
      <c r="B55" s="79"/>
      <c r="C55" s="67"/>
      <c r="D55" s="67"/>
      <c r="G55" s="323"/>
      <c r="H55" s="323"/>
      <c r="I55" s="323"/>
      <c r="J55" s="323"/>
      <c r="K55" s="323"/>
    </row>
    <row r="56" spans="1:17" s="76" customFormat="1" ht="20.25" x14ac:dyDescent="0.2">
      <c r="A56" s="79"/>
      <c r="B56" s="79"/>
      <c r="C56" s="785" t="s">
        <v>449</v>
      </c>
      <c r="D56"/>
      <c r="E56" s="67"/>
      <c r="F56" s="67"/>
      <c r="G56" s="243">
        <f>G29-G54</f>
        <v>-10571.309999999939</v>
      </c>
      <c r="H56" s="243">
        <f>H29-H54</f>
        <v>3758.6933333333582</v>
      </c>
      <c r="I56" s="243">
        <f>G56+H56</f>
        <v>-6812.6166666665813</v>
      </c>
      <c r="J56" s="233"/>
      <c r="K56" s="243">
        <f>K29-K54</f>
        <v>-1206</v>
      </c>
      <c r="L56" s="786">
        <f t="shared" ref="L56" si="9">I56-K56</f>
        <v>-5606.6166666665813</v>
      </c>
      <c r="M56" s="781">
        <f t="shared" ref="M56" si="10">L56/K56</f>
        <v>4.6489358761746118</v>
      </c>
    </row>
    <row r="57" spans="1:17" s="76" customFormat="1" ht="9" customHeight="1" x14ac:dyDescent="0.2">
      <c r="A57" s="79"/>
      <c r="B57" s="79"/>
      <c r="C57" s="79"/>
      <c r="D57" s="79"/>
      <c r="E57" s="79"/>
      <c r="F57" s="79"/>
      <c r="G57" s="233"/>
      <c r="H57" s="233"/>
      <c r="I57" s="233"/>
      <c r="J57" s="233"/>
      <c r="K57" s="233"/>
    </row>
    <row r="58" spans="1:17" s="76" customFormat="1" ht="20.25" x14ac:dyDescent="0.2">
      <c r="A58" s="79"/>
      <c r="B58" s="79"/>
      <c r="C58" s="79" t="s">
        <v>129</v>
      </c>
      <c r="D58" s="79"/>
      <c r="F58" s="79"/>
      <c r="G58" s="233">
        <v>12820</v>
      </c>
      <c r="H58" s="323">
        <f>25640+6</f>
        <v>25646</v>
      </c>
      <c r="I58" s="233">
        <f>G58+H58</f>
        <v>38466</v>
      </c>
      <c r="J58" s="233"/>
      <c r="K58" s="233">
        <v>34092</v>
      </c>
    </row>
    <row r="59" spans="1:17" s="76" customFormat="1" ht="9" customHeight="1" x14ac:dyDescent="0.2">
      <c r="A59" s="79"/>
      <c r="B59" s="79"/>
      <c r="C59" s="79"/>
      <c r="D59" s="79"/>
      <c r="E59" s="79"/>
      <c r="F59" s="79"/>
      <c r="G59" s="233"/>
      <c r="H59" s="233"/>
      <c r="I59" s="233"/>
      <c r="J59" s="233"/>
      <c r="K59" s="233"/>
    </row>
    <row r="60" spans="1:17" s="68" customFormat="1" ht="21" thickBot="1" x14ac:dyDescent="0.25">
      <c r="A60" s="67"/>
      <c r="B60" s="67"/>
      <c r="C60" s="785" t="s">
        <v>450</v>
      </c>
      <c r="D60"/>
      <c r="E60"/>
      <c r="F60"/>
      <c r="G60" s="787">
        <f>G56-G58</f>
        <v>-23391.309999999939</v>
      </c>
      <c r="H60" s="787">
        <f>H56-H58</f>
        <v>-21887.306666666642</v>
      </c>
      <c r="I60" s="787">
        <f>I56-I58</f>
        <v>-45278.616666666581</v>
      </c>
      <c r="J60" s="238"/>
      <c r="K60" s="787">
        <f>K56-K58</f>
        <v>-35298</v>
      </c>
    </row>
    <row r="61" spans="1:17" s="68" customFormat="1" ht="21" thickTop="1" x14ac:dyDescent="0.2">
      <c r="A61" s="67"/>
      <c r="B61" s="67"/>
      <c r="C61" s="67"/>
      <c r="D61" s="67"/>
      <c r="E61" s="67"/>
      <c r="F61" s="67"/>
      <c r="G61" s="238"/>
      <c r="H61" s="238"/>
      <c r="I61" s="238"/>
      <c r="J61" s="238"/>
      <c r="K61" s="238"/>
    </row>
    <row r="62" spans="1:17" s="68" customFormat="1" ht="23.25" x14ac:dyDescent="0.2">
      <c r="A62" s="67"/>
      <c r="B62" s="272"/>
      <c r="C62" s="67"/>
      <c r="D62" s="67"/>
      <c r="E62" s="67"/>
      <c r="F62" s="67"/>
      <c r="G62" s="233"/>
      <c r="H62" s="233"/>
      <c r="I62" s="233"/>
      <c r="J62" s="233"/>
      <c r="K62" s="233"/>
    </row>
    <row r="63" spans="1:17" s="76" customFormat="1" ht="20.25" x14ac:dyDescent="0.2">
      <c r="A63" s="79"/>
      <c r="B63" s="79"/>
      <c r="D63" s="79"/>
      <c r="E63" s="79"/>
      <c r="F63" s="79"/>
      <c r="G63" s="233"/>
      <c r="H63" s="233"/>
      <c r="I63" s="233"/>
      <c r="J63" s="233"/>
      <c r="K63" s="233"/>
    </row>
    <row r="64" spans="1:17" s="76" customFormat="1" ht="20.25" x14ac:dyDescent="0.2">
      <c r="A64" s="79"/>
      <c r="B64" s="79"/>
      <c r="D64" s="79"/>
      <c r="E64" s="79"/>
      <c r="F64" s="67" t="s">
        <v>451</v>
      </c>
      <c r="G64" s="233"/>
      <c r="H64" s="233"/>
      <c r="I64" s="233"/>
      <c r="J64" s="233"/>
      <c r="K64" s="233"/>
    </row>
    <row r="65" spans="1:11" s="68" customFormat="1" ht="20.25" x14ac:dyDescent="0.2">
      <c r="A65" s="67"/>
      <c r="B65" s="67"/>
      <c r="D65" s="79"/>
      <c r="E65" s="67"/>
      <c r="F65" s="852" t="s">
        <v>515</v>
      </c>
      <c r="G65" s="233"/>
      <c r="H65" s="233"/>
      <c r="I65" s="233"/>
      <c r="J65" s="233"/>
      <c r="K65" s="233"/>
    </row>
    <row r="66" spans="1:11" s="68" customFormat="1" ht="23.25" x14ac:dyDescent="0.2">
      <c r="A66" s="67"/>
      <c r="B66" s="272"/>
      <c r="C66" s="67"/>
      <c r="D66" s="67"/>
      <c r="E66" s="67"/>
      <c r="F66" s="852" t="s">
        <v>516</v>
      </c>
      <c r="G66" s="238"/>
      <c r="H66" s="238"/>
      <c r="I66" s="238"/>
      <c r="J66" s="238"/>
      <c r="K66" s="238"/>
    </row>
    <row r="67" spans="1:11" s="68" customFormat="1" ht="20.25" x14ac:dyDescent="0.2">
      <c r="A67" s="67"/>
      <c r="B67" s="67"/>
      <c r="C67" s="67"/>
      <c r="D67" s="67"/>
      <c r="E67" s="67"/>
      <c r="F67" s="852" t="s">
        <v>517</v>
      </c>
      <c r="G67" s="233"/>
      <c r="H67" s="233"/>
      <c r="I67" s="233"/>
      <c r="J67" s="233"/>
      <c r="K67" s="233"/>
    </row>
    <row r="68" spans="1:11" s="82" customFormat="1" ht="26.25" x14ac:dyDescent="0.2">
      <c r="A68" s="269"/>
      <c r="B68" s="269"/>
      <c r="C68" s="269"/>
      <c r="D68" s="269"/>
      <c r="E68" s="269"/>
      <c r="F68" s="269"/>
      <c r="G68" s="238"/>
      <c r="H68" s="238"/>
      <c r="I68" s="238"/>
      <c r="J68" s="238"/>
      <c r="K68" s="238"/>
    </row>
    <row r="69" spans="1:11" s="18" customFormat="1" ht="20.25" x14ac:dyDescent="0.3">
      <c r="A69" s="122"/>
      <c r="B69" s="122"/>
      <c r="C69" s="122"/>
      <c r="D69" s="122"/>
      <c r="E69" s="122"/>
      <c r="F69" s="122"/>
      <c r="G69" s="278"/>
      <c r="H69" s="278"/>
      <c r="I69" s="278"/>
      <c r="J69" s="278"/>
      <c r="K69" s="278"/>
    </row>
    <row r="70" spans="1:11" ht="20.25" x14ac:dyDescent="0.3">
      <c r="G70" s="278"/>
      <c r="H70" s="278"/>
      <c r="I70" s="278"/>
      <c r="J70" s="278"/>
      <c r="K70" s="278"/>
    </row>
    <row r="71" spans="1:11" ht="20.25" x14ac:dyDescent="0.3">
      <c r="G71" s="278"/>
      <c r="H71" s="278"/>
      <c r="I71" s="278"/>
      <c r="J71" s="278"/>
      <c r="K71" s="278"/>
    </row>
    <row r="72" spans="1:11" ht="20.25" x14ac:dyDescent="0.3">
      <c r="G72" s="275"/>
      <c r="H72" s="275"/>
      <c r="I72" s="275"/>
      <c r="J72" s="275"/>
      <c r="K72" s="275"/>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topLeftCell="A31" zoomScaleNormal="100" workbookViewId="0">
      <selection activeCell="A25" sqref="A25:H25"/>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14" t="s">
        <v>175</v>
      </c>
      <c r="B1" s="914"/>
      <c r="C1" s="914"/>
      <c r="D1" s="914"/>
      <c r="E1" s="914"/>
      <c r="F1" s="914"/>
      <c r="G1" s="914"/>
      <c r="H1" s="914"/>
    </row>
    <row r="2" spans="1:8" ht="23.25" x14ac:dyDescent="0.2">
      <c r="A2" s="914" t="s">
        <v>176</v>
      </c>
      <c r="B2" s="914"/>
      <c r="C2" s="914"/>
      <c r="D2" s="914"/>
      <c r="E2" s="914"/>
      <c r="F2" s="914"/>
      <c r="G2" s="914"/>
      <c r="H2" s="914"/>
    </row>
    <row r="3" spans="1:8" ht="23.25" x14ac:dyDescent="0.2">
      <c r="A3" s="915">
        <v>44404</v>
      </c>
      <c r="B3" s="915"/>
      <c r="C3" s="915"/>
      <c r="D3" s="915"/>
      <c r="E3" s="915"/>
      <c r="F3" s="915"/>
      <c r="G3" s="915"/>
      <c r="H3" s="915"/>
    </row>
    <row r="4" spans="1:8" ht="21.75" customHeight="1" x14ac:dyDescent="0.2">
      <c r="A4" s="917" t="s">
        <v>186</v>
      </c>
      <c r="B4" s="917"/>
      <c r="C4" s="917"/>
      <c r="D4" s="917"/>
      <c r="E4" s="917"/>
      <c r="F4" s="917"/>
      <c r="G4" s="917"/>
      <c r="H4" s="917"/>
    </row>
    <row r="5" spans="1:8" ht="83.25" customHeight="1" x14ac:dyDescent="0.2">
      <c r="A5" s="887" t="s">
        <v>560</v>
      </c>
      <c r="B5" s="887"/>
      <c r="C5" s="887"/>
      <c r="D5" s="887"/>
      <c r="E5" s="887"/>
      <c r="F5" s="887"/>
      <c r="G5" s="887"/>
      <c r="H5" s="887"/>
    </row>
    <row r="6" spans="1:8" ht="81" customHeight="1" x14ac:dyDescent="0.2">
      <c r="A6" s="479"/>
      <c r="B6" s="479"/>
      <c r="C6" s="479"/>
      <c r="D6" s="479"/>
      <c r="E6" s="479"/>
      <c r="F6" s="479"/>
      <c r="G6" s="479"/>
      <c r="H6" s="479"/>
    </row>
    <row r="7" spans="1:8" ht="81" customHeight="1" x14ac:dyDescent="0.2">
      <c r="A7" s="479"/>
      <c r="B7" s="479"/>
      <c r="C7" s="479"/>
      <c r="D7" s="479"/>
      <c r="E7" s="479"/>
      <c r="F7" s="479"/>
      <c r="G7" s="479"/>
      <c r="H7" s="479"/>
    </row>
    <row r="8" spans="1:8" ht="81" customHeight="1" x14ac:dyDescent="0.2">
      <c r="A8" s="479"/>
      <c r="B8" s="479"/>
      <c r="C8" s="479"/>
      <c r="D8" s="479"/>
      <c r="E8" s="479"/>
      <c r="F8" s="479"/>
      <c r="G8" s="479"/>
      <c r="H8" s="479"/>
    </row>
    <row r="9" spans="1:8" ht="53.25" customHeight="1" x14ac:dyDescent="0.25">
      <c r="A9" s="888" t="s">
        <v>554</v>
      </c>
      <c r="B9" s="888"/>
      <c r="C9" s="888"/>
      <c r="D9" s="888"/>
      <c r="E9" s="888"/>
      <c r="F9" s="888"/>
      <c r="G9" s="888"/>
      <c r="H9" s="888"/>
    </row>
    <row r="10" spans="1:8" ht="15.75" x14ac:dyDescent="0.25">
      <c r="A10" s="449"/>
      <c r="B10" s="897"/>
      <c r="C10" s="897"/>
      <c r="D10" s="440"/>
      <c r="E10" s="446" t="s">
        <v>53</v>
      </c>
      <c r="F10" s="446" t="s">
        <v>366</v>
      </c>
      <c r="G10" s="441"/>
      <c r="H10" s="449"/>
    </row>
    <row r="11" spans="1:8" ht="15.75" customHeight="1" x14ac:dyDescent="0.25">
      <c r="A11" s="449"/>
      <c r="C11" s="916" t="s">
        <v>386</v>
      </c>
      <c r="D11" s="916"/>
      <c r="E11" s="477">
        <f>'June''21 AR Aging '!G8</f>
        <v>32262.13</v>
      </c>
      <c r="F11" s="692">
        <f>E11/E$18</f>
        <v>0.12956018946505052</v>
      </c>
      <c r="G11" s="442"/>
      <c r="H11" s="449"/>
    </row>
    <row r="12" spans="1:8" ht="15.75" customHeight="1" x14ac:dyDescent="0.25">
      <c r="A12" s="449"/>
      <c r="C12" s="916" t="s">
        <v>384</v>
      </c>
      <c r="D12" s="916"/>
      <c r="E12" s="480">
        <f>'June''21 AR Aging '!G32</f>
        <v>36006.92</v>
      </c>
      <c r="F12" s="692">
        <f t="shared" ref="F12:F17" si="0">E12/E$18</f>
        <v>0.14459874091552283</v>
      </c>
      <c r="G12" s="442"/>
      <c r="H12" s="449"/>
    </row>
    <row r="13" spans="1:8" ht="15.75" customHeight="1" x14ac:dyDescent="0.25">
      <c r="A13" s="449"/>
      <c r="C13" s="916" t="s">
        <v>385</v>
      </c>
      <c r="D13" s="916"/>
      <c r="E13" s="480">
        <f>'June''21 AR Aging '!G14</f>
        <v>82555.539999999994</v>
      </c>
      <c r="F13" s="692">
        <f t="shared" si="0"/>
        <v>0.33153147060623572</v>
      </c>
      <c r="G13" s="442"/>
      <c r="H13" s="449"/>
    </row>
    <row r="14" spans="1:8" ht="15.75" customHeight="1" x14ac:dyDescent="0.25">
      <c r="A14" s="449"/>
      <c r="C14" s="897" t="s">
        <v>48</v>
      </c>
      <c r="D14" s="897"/>
      <c r="E14" s="480">
        <f>'June''21 AR Aging '!G43</f>
        <v>15791.16</v>
      </c>
      <c r="F14" s="692">
        <f t="shared" si="0"/>
        <v>6.341508392263398E-2</v>
      </c>
      <c r="G14" s="442"/>
      <c r="H14" s="449"/>
    </row>
    <row r="15" spans="1:8" ht="15.75" customHeight="1" x14ac:dyDescent="0.25">
      <c r="A15" s="449"/>
      <c r="C15" s="897" t="s">
        <v>501</v>
      </c>
      <c r="D15" s="897"/>
      <c r="E15" s="480">
        <f>'June''21 AR Aging '!G51+'June''21 AR Aging '!G56+'June''21 AR Aging '!G58+'June''21 AR Aging '!G39+'June''21 AR Aging '!G40+'June''21 AR Aging '!G70+'June''21 AR Aging '!G66</f>
        <v>74436.14</v>
      </c>
      <c r="F15" s="692">
        <f t="shared" si="0"/>
        <v>0.29892509891464158</v>
      </c>
      <c r="G15" s="442"/>
      <c r="H15" s="449"/>
    </row>
    <row r="16" spans="1:8" ht="15.75" customHeight="1" x14ac:dyDescent="0.25">
      <c r="A16" s="679"/>
      <c r="C16" s="897" t="s">
        <v>342</v>
      </c>
      <c r="D16" s="897"/>
      <c r="E16" s="480">
        <f>'June''21 AR Aging '!G64+'June''21 AR Aging '!G41</f>
        <v>5190.32</v>
      </c>
      <c r="F16" s="692">
        <f t="shared" si="0"/>
        <v>2.0843597201556159E-2</v>
      </c>
      <c r="G16" s="442"/>
      <c r="H16" s="679"/>
    </row>
    <row r="17" spans="1:13" ht="15.75" customHeight="1" x14ac:dyDescent="0.25">
      <c r="A17" s="449"/>
      <c r="C17" s="897" t="s">
        <v>356</v>
      </c>
      <c r="D17" s="897"/>
      <c r="E17" s="480">
        <f>'June''21 AR Aging '!G60+'June''21 AR Aging '!G42+'June''21 AR Aging '!G62</f>
        <v>2770.4700000000003</v>
      </c>
      <c r="F17" s="692">
        <f t="shared" si="0"/>
        <v>1.1125818974359056E-2</v>
      </c>
      <c r="G17" s="442"/>
      <c r="H17" s="449"/>
    </row>
    <row r="18" spans="1:13" ht="16.5" customHeight="1" thickBot="1" x14ac:dyDescent="0.3">
      <c r="A18" s="449"/>
      <c r="B18" s="897" t="s">
        <v>568</v>
      </c>
      <c r="C18" s="897"/>
      <c r="D18" s="897"/>
      <c r="E18" s="447">
        <f>SUM(E11:E17)</f>
        <v>249012.68000000002</v>
      </c>
      <c r="F18" s="693">
        <f>SUM(F11:F17)</f>
        <v>0.99999999999999989</v>
      </c>
      <c r="G18" s="683"/>
      <c r="H18" s="449"/>
    </row>
    <row r="19" spans="1:13" ht="38.25" customHeight="1" thickTop="1" x14ac:dyDescent="0.2">
      <c r="A19" s="551"/>
      <c r="B19" s="551"/>
      <c r="C19" s="551"/>
      <c r="D19" s="551"/>
      <c r="E19" s="551"/>
      <c r="F19" s="551"/>
      <c r="G19" s="551"/>
      <c r="H19" s="551"/>
    </row>
    <row r="20" spans="1:13" ht="88.5" customHeight="1" x14ac:dyDescent="0.2">
      <c r="A20" s="551"/>
      <c r="B20" s="551"/>
      <c r="C20" s="551"/>
      <c r="D20" s="551"/>
      <c r="E20" s="551"/>
      <c r="F20" s="551"/>
      <c r="G20" s="551"/>
      <c r="H20" s="551"/>
    </row>
    <row r="21" spans="1:13" ht="88.5" customHeight="1" x14ac:dyDescent="0.2">
      <c r="A21" s="551"/>
      <c r="B21" s="551"/>
      <c r="C21" s="551"/>
      <c r="D21" s="551"/>
      <c r="E21" s="551"/>
      <c r="F21" s="551"/>
      <c r="G21" s="551"/>
      <c r="H21" s="551"/>
    </row>
    <row r="22" spans="1:13" ht="88.5" customHeight="1" x14ac:dyDescent="0.2">
      <c r="A22" s="551"/>
      <c r="B22" s="551"/>
      <c r="C22" s="551"/>
      <c r="D22" s="551"/>
      <c r="E22" s="551"/>
      <c r="F22" s="551"/>
      <c r="G22" s="551"/>
      <c r="H22" s="551"/>
    </row>
    <row r="23" spans="1:13" ht="35.25" hidden="1" customHeight="1" x14ac:dyDescent="0.2">
      <c r="A23" s="887" t="s">
        <v>284</v>
      </c>
      <c r="B23" s="887"/>
      <c r="C23" s="887"/>
      <c r="D23" s="887"/>
      <c r="E23" s="887"/>
      <c r="F23" s="887"/>
      <c r="G23" s="887"/>
      <c r="H23" s="887"/>
    </row>
    <row r="24" spans="1:13" ht="15" customHeight="1" x14ac:dyDescent="0.2">
      <c r="A24" s="551"/>
      <c r="B24" s="551"/>
      <c r="C24" s="551"/>
      <c r="D24" s="551"/>
      <c r="E24" s="551"/>
      <c r="F24" s="551"/>
      <c r="G24" s="551"/>
      <c r="H24" s="551"/>
    </row>
    <row r="25" spans="1:13" ht="55.5" customHeight="1" x14ac:dyDescent="0.2">
      <c r="A25" s="887" t="s">
        <v>559</v>
      </c>
      <c r="B25" s="887"/>
      <c r="C25" s="887"/>
      <c r="D25" s="887"/>
      <c r="E25" s="887"/>
      <c r="F25" s="887"/>
      <c r="G25" s="887"/>
      <c r="H25" s="887"/>
      <c r="L25" s="717"/>
    </row>
    <row r="26" spans="1:13" ht="38.25" customHeight="1" x14ac:dyDescent="0.2">
      <c r="A26" s="684"/>
      <c r="B26" s="684"/>
      <c r="C26" s="684"/>
      <c r="D26" s="684"/>
      <c r="E26" s="684"/>
      <c r="F26" s="684"/>
      <c r="G26" s="684"/>
      <c r="H26" s="684"/>
      <c r="L26" s="724"/>
    </row>
    <row r="27" spans="1:13" ht="38.25" customHeight="1" x14ac:dyDescent="0.2">
      <c r="A27" s="684"/>
      <c r="B27" s="684"/>
      <c r="C27" s="684"/>
      <c r="D27" s="684"/>
      <c r="E27" s="684"/>
      <c r="F27" s="684"/>
      <c r="G27" s="684"/>
      <c r="H27" s="684"/>
      <c r="J27" s="717"/>
      <c r="L27" s="724"/>
      <c r="M27" s="724"/>
    </row>
    <row r="28" spans="1:13" ht="38.25" customHeight="1" x14ac:dyDescent="0.2">
      <c r="A28" s="684"/>
      <c r="B28" s="684"/>
      <c r="C28" s="684"/>
      <c r="D28" s="684"/>
      <c r="E28" s="684"/>
      <c r="F28" s="684"/>
      <c r="G28" s="684"/>
      <c r="H28" s="684"/>
      <c r="J28" s="717"/>
      <c r="L28" s="724"/>
    </row>
    <row r="29" spans="1:13" ht="38.25" customHeight="1" x14ac:dyDescent="0.2">
      <c r="A29" s="684"/>
      <c r="B29" s="684"/>
      <c r="C29" s="684"/>
      <c r="D29" s="684"/>
      <c r="E29" s="684"/>
      <c r="F29" s="684"/>
      <c r="G29" s="684"/>
      <c r="H29" s="684"/>
    </row>
    <row r="30" spans="1:13" ht="38.25" customHeight="1" x14ac:dyDescent="0.2">
      <c r="A30" s="684"/>
      <c r="B30" s="684"/>
      <c r="C30" s="684"/>
      <c r="D30" s="684"/>
      <c r="E30" s="684"/>
      <c r="F30" s="684"/>
      <c r="G30" s="684"/>
      <c r="H30" s="684"/>
      <c r="J30" s="724"/>
    </row>
    <row r="31" spans="1:13" ht="38.25" customHeight="1" x14ac:dyDescent="0.2">
      <c r="A31" s="684"/>
      <c r="B31" s="684"/>
      <c r="C31" s="684"/>
      <c r="D31" s="684"/>
      <c r="E31" s="684"/>
      <c r="F31" s="684"/>
      <c r="G31" s="684"/>
      <c r="H31" s="684"/>
      <c r="J31" s="724"/>
    </row>
    <row r="32" spans="1:13" ht="38.25" customHeight="1" x14ac:dyDescent="0.2">
      <c r="A32" s="684"/>
      <c r="B32" s="684"/>
      <c r="C32" s="684"/>
      <c r="D32" s="684"/>
      <c r="E32" s="684"/>
      <c r="F32" s="684"/>
      <c r="G32" s="684"/>
      <c r="H32" s="684"/>
    </row>
    <row r="33" spans="1:12" ht="21.75" customHeight="1" x14ac:dyDescent="0.2">
      <c r="A33" s="684"/>
      <c r="B33" s="684"/>
      <c r="C33" s="684"/>
      <c r="D33" s="684"/>
      <c r="E33" s="684"/>
      <c r="F33" s="684"/>
      <c r="G33" s="684"/>
      <c r="H33" s="684"/>
    </row>
    <row r="34" spans="1:12" ht="30" hidden="1" customHeight="1" x14ac:dyDescent="0.25">
      <c r="A34" s="479"/>
      <c r="B34" s="622" t="s">
        <v>307</v>
      </c>
      <c r="C34" s="623" t="s">
        <v>344</v>
      </c>
      <c r="D34" s="622" t="s">
        <v>244</v>
      </c>
      <c r="E34" s="624" t="s">
        <v>375</v>
      </c>
      <c r="F34" s="624" t="s">
        <v>381</v>
      </c>
      <c r="G34" s="624" t="s">
        <v>411</v>
      </c>
      <c r="H34" s="624" t="s">
        <v>308</v>
      </c>
      <c r="I34" s="601"/>
      <c r="J34" s="602"/>
      <c r="K34" s="601"/>
    </row>
    <row r="35" spans="1:12" ht="15" hidden="1" x14ac:dyDescent="0.2">
      <c r="A35" s="479"/>
      <c r="B35" s="43" t="s">
        <v>378</v>
      </c>
      <c r="C35" s="594">
        <v>-20</v>
      </c>
      <c r="D35" s="594">
        <v>71.92</v>
      </c>
      <c r="E35" s="594">
        <f>10762-10528</f>
        <v>234</v>
      </c>
      <c r="F35" s="594">
        <v>-190</v>
      </c>
      <c r="G35" s="606">
        <v>95.95</v>
      </c>
      <c r="H35" s="713">
        <f>G35/G$45</f>
        <v>5.2028752623263139E-4</v>
      </c>
      <c r="I35" s="93"/>
      <c r="J35" s="703"/>
      <c r="K35" s="18"/>
    </row>
    <row r="36" spans="1:12" ht="15" hidden="1" x14ac:dyDescent="0.2">
      <c r="A36" s="479"/>
      <c r="B36" s="43" t="s">
        <v>245</v>
      </c>
      <c r="C36" s="612">
        <v>38489.56</v>
      </c>
      <c r="D36" s="612">
        <v>1957.5</v>
      </c>
      <c r="E36" s="612"/>
      <c r="F36" s="612">
        <v>3786.43</v>
      </c>
      <c r="G36" s="612">
        <f>C36+D36+F36+E36</f>
        <v>44233.49</v>
      </c>
      <c r="H36" s="713">
        <f>G36/G$45</f>
        <v>0.2398554777356523</v>
      </c>
      <c r="I36" s="603"/>
      <c r="J36" s="703"/>
      <c r="K36" s="704"/>
    </row>
    <row r="37" spans="1:12" ht="15" hidden="1" x14ac:dyDescent="0.25">
      <c r="A37" s="479"/>
      <c r="B37" s="43" t="s">
        <v>246</v>
      </c>
      <c r="C37" s="612">
        <v>14903.11</v>
      </c>
      <c r="D37" s="612">
        <v>192.85</v>
      </c>
      <c r="E37" s="612">
        <v>-15478.91</v>
      </c>
      <c r="F37" s="612">
        <v>382.95</v>
      </c>
      <c r="G37" s="612">
        <f t="shared" ref="G37:G44" si="1">C37+D37+F37+E37</f>
        <v>0</v>
      </c>
      <c r="H37" s="713"/>
      <c r="I37" s="604"/>
      <c r="J37" s="703"/>
      <c r="K37" s="704"/>
      <c r="L37" s="501"/>
    </row>
    <row r="38" spans="1:12" ht="15" hidden="1" x14ac:dyDescent="0.2">
      <c r="A38" s="479"/>
      <c r="B38" s="43" t="s">
        <v>247</v>
      </c>
      <c r="C38" s="612">
        <v>44091.09</v>
      </c>
      <c r="D38" s="612">
        <f>3207.47-14</f>
        <v>3193.47</v>
      </c>
      <c r="E38" s="612"/>
      <c r="F38" s="612">
        <f>10544.9+14</f>
        <v>10558.9</v>
      </c>
      <c r="G38" s="612">
        <f t="shared" si="1"/>
        <v>57843.46</v>
      </c>
      <c r="H38" s="713">
        <f>G38/G$45</f>
        <v>0.31365534874555673</v>
      </c>
      <c r="I38" s="603"/>
      <c r="J38" s="703"/>
      <c r="K38" s="704"/>
      <c r="L38" s="501"/>
    </row>
    <row r="39" spans="1:12" ht="15" hidden="1" x14ac:dyDescent="0.25">
      <c r="A39" s="479"/>
      <c r="B39" s="43" t="s">
        <v>248</v>
      </c>
      <c r="C39" s="612">
        <v>21132.04</v>
      </c>
      <c r="D39" s="612">
        <v>549.69000000000005</v>
      </c>
      <c r="E39" s="612"/>
      <c r="F39" s="612">
        <v>-212.79</v>
      </c>
      <c r="G39" s="612">
        <f t="shared" si="1"/>
        <v>21468.94</v>
      </c>
      <c r="H39" s="713">
        <f>G39/G$45</f>
        <v>0.11641502536150901</v>
      </c>
      <c r="I39" s="604"/>
      <c r="J39" s="703"/>
      <c r="K39" s="704"/>
      <c r="L39" s="501"/>
    </row>
    <row r="40" spans="1:12" ht="15" hidden="1" x14ac:dyDescent="0.25">
      <c r="A40" s="479"/>
      <c r="B40" s="43" t="s">
        <v>249</v>
      </c>
      <c r="C40" s="612">
        <v>21091.57</v>
      </c>
      <c r="D40" s="612">
        <v>438.93</v>
      </c>
      <c r="E40" s="612">
        <v>-22513.11</v>
      </c>
      <c r="F40" s="612">
        <v>982.61</v>
      </c>
      <c r="G40" s="612">
        <f t="shared" si="1"/>
        <v>0</v>
      </c>
      <c r="H40" s="713"/>
      <c r="I40" s="604"/>
      <c r="J40" s="703"/>
      <c r="K40" s="704"/>
      <c r="L40" s="501"/>
    </row>
    <row r="41" spans="1:12" ht="15" hidden="1" x14ac:dyDescent="0.25">
      <c r="A41" s="479"/>
      <c r="B41" s="43" t="s">
        <v>250</v>
      </c>
      <c r="C41" s="612">
        <v>19933.830000000002</v>
      </c>
      <c r="D41" s="612">
        <v>860.03</v>
      </c>
      <c r="E41" s="612">
        <v>-10770</v>
      </c>
      <c r="F41" s="612">
        <v>-375.6</v>
      </c>
      <c r="G41" s="612">
        <f t="shared" si="1"/>
        <v>9648.260000000002</v>
      </c>
      <c r="H41" s="713">
        <f>G41/G$45</f>
        <v>5.2317554224588322E-2</v>
      </c>
      <c r="I41" s="604"/>
      <c r="J41" s="703"/>
      <c r="K41" s="704"/>
      <c r="L41" s="501"/>
    </row>
    <row r="42" spans="1:12" ht="15" hidden="1" x14ac:dyDescent="0.25">
      <c r="A42" s="708"/>
      <c r="B42" s="43" t="s">
        <v>376</v>
      </c>
      <c r="C42" s="612"/>
      <c r="D42" s="612">
        <v>140.21</v>
      </c>
      <c r="E42" s="612">
        <v>15482.91</v>
      </c>
      <c r="F42" s="612">
        <v>64.31</v>
      </c>
      <c r="G42" s="612">
        <f t="shared" si="1"/>
        <v>15687.43</v>
      </c>
      <c r="H42" s="713">
        <f>G42/G$45</f>
        <v>8.5064868657087747E-2</v>
      </c>
      <c r="I42" s="604"/>
      <c r="J42" s="703"/>
      <c r="K42" s="704"/>
      <c r="L42" s="501"/>
    </row>
    <row r="43" spans="1:12" ht="15" hidden="1" x14ac:dyDescent="0.25">
      <c r="A43" s="708"/>
      <c r="B43" s="43" t="s">
        <v>377</v>
      </c>
      <c r="C43" s="612"/>
      <c r="D43" s="612">
        <v>512.02</v>
      </c>
      <c r="E43" s="612">
        <v>22517.11</v>
      </c>
      <c r="F43" s="612">
        <v>817.76</v>
      </c>
      <c r="G43" s="612">
        <f t="shared" si="1"/>
        <v>23846.89</v>
      </c>
      <c r="H43" s="713">
        <f>G43/G$45</f>
        <v>0.12930942580971</v>
      </c>
      <c r="I43" s="604"/>
      <c r="J43" s="703"/>
      <c r="K43" s="704"/>
      <c r="L43" s="501"/>
    </row>
    <row r="44" spans="1:12" ht="17.25" hidden="1" customHeight="1" x14ac:dyDescent="0.2">
      <c r="A44" s="479"/>
      <c r="B44" s="43" t="s">
        <v>401</v>
      </c>
      <c r="C44" s="594"/>
      <c r="D44" s="527">
        <v>81.599999999999994</v>
      </c>
      <c r="E44" s="718">
        <v>10528</v>
      </c>
      <c r="F44" s="594">
        <v>983.24</v>
      </c>
      <c r="G44" s="594">
        <f t="shared" si="1"/>
        <v>11592.84</v>
      </c>
      <c r="H44" s="713">
        <f>G44/G$45</f>
        <v>6.2862011939663356E-2</v>
      </c>
      <c r="I44" s="603"/>
      <c r="J44" s="703"/>
      <c r="K44" s="704"/>
      <c r="L44" s="501"/>
    </row>
    <row r="45" spans="1:12" ht="15" hidden="1" x14ac:dyDescent="0.25">
      <c r="A45" s="479"/>
      <c r="B45" s="595" t="s">
        <v>262</v>
      </c>
      <c r="C45" s="596">
        <f>SUM(C35:C44)</f>
        <v>159621.20000000001</v>
      </c>
      <c r="D45" s="597">
        <f>SUM(D36:D44)</f>
        <v>7926.3000000000011</v>
      </c>
      <c r="E45" s="596">
        <f>SUM(E35:E44)</f>
        <v>0</v>
      </c>
      <c r="F45" s="596">
        <f>SUM(F35:F44)+72</f>
        <v>16869.809999999998</v>
      </c>
      <c r="G45" s="596">
        <f>SUM(G35:G44)</f>
        <v>184417.25999999998</v>
      </c>
      <c r="H45" s="714">
        <f>SUM(H35:H44)</f>
        <v>1.0000000000000002</v>
      </c>
      <c r="I45" s="605"/>
      <c r="J45" s="703"/>
      <c r="K45" s="704"/>
    </row>
    <row r="46" spans="1:12" ht="15" hidden="1" x14ac:dyDescent="0.2">
      <c r="A46" s="489"/>
      <c r="B46" s="705"/>
      <c r="C46" s="706"/>
      <c r="D46" s="706"/>
      <c r="E46" s="706"/>
      <c r="F46" s="706"/>
      <c r="G46" s="707"/>
      <c r="I46" s="1"/>
      <c r="J46" s="703"/>
      <c r="K46" s="704"/>
    </row>
    <row r="47" spans="1:12" ht="15" hidden="1" x14ac:dyDescent="0.2">
      <c r="A47" s="684"/>
      <c r="B47" s="18"/>
      <c r="C47" s="528"/>
      <c r="D47" s="528"/>
      <c r="E47" s="528"/>
      <c r="F47" s="528"/>
      <c r="G47" s="702"/>
      <c r="I47" s="1"/>
      <c r="J47" s="703"/>
      <c r="K47" s="704"/>
    </row>
    <row r="48" spans="1:12" ht="15" hidden="1" x14ac:dyDescent="0.2">
      <c r="A48" s="684"/>
      <c r="B48" s="906" t="s">
        <v>371</v>
      </c>
      <c r="C48" s="906"/>
      <c r="D48" s="906"/>
      <c r="E48" s="906"/>
      <c r="F48" s="684"/>
      <c r="G48" s="684"/>
      <c r="H48" s="684"/>
      <c r="J48" s="703"/>
      <c r="K48" s="704"/>
    </row>
    <row r="49" spans="1:11" ht="47.25" hidden="1" customHeight="1" x14ac:dyDescent="0.2">
      <c r="A49" s="479"/>
      <c r="B49" s="907" t="s">
        <v>259</v>
      </c>
      <c r="C49" s="908"/>
      <c r="D49" s="908"/>
      <c r="E49" s="908"/>
      <c r="F49" s="908"/>
      <c r="G49" s="908"/>
      <c r="H49" s="502"/>
      <c r="J49" s="703"/>
      <c r="K49" s="704"/>
    </row>
    <row r="50" spans="1:11" ht="47.25" hidden="1" customHeight="1" x14ac:dyDescent="0.2">
      <c r="A50" s="479"/>
      <c r="B50" s="907" t="s">
        <v>261</v>
      </c>
      <c r="C50" s="908"/>
      <c r="D50" s="908"/>
      <c r="E50" s="908"/>
      <c r="F50" s="908"/>
      <c r="G50" s="908"/>
      <c r="H50" s="502"/>
      <c r="J50" s="703"/>
      <c r="K50" s="704"/>
    </row>
    <row r="51" spans="1:11" ht="42" hidden="1" customHeight="1" x14ac:dyDescent="0.2">
      <c r="A51" s="479"/>
      <c r="B51" s="909" t="s">
        <v>258</v>
      </c>
      <c r="C51" s="910"/>
      <c r="D51" s="910"/>
      <c r="E51" s="910"/>
      <c r="F51" s="910"/>
      <c r="G51" s="910"/>
      <c r="H51" s="502"/>
      <c r="J51" s="703"/>
      <c r="K51" s="704"/>
    </row>
    <row r="52" spans="1:11" ht="47.25" hidden="1" customHeight="1" x14ac:dyDescent="0.2">
      <c r="A52" s="479"/>
      <c r="B52" s="907" t="s">
        <v>257</v>
      </c>
      <c r="C52" s="908"/>
      <c r="D52" s="908"/>
      <c r="E52" s="908"/>
      <c r="F52" s="908"/>
      <c r="G52" s="908"/>
      <c r="H52" s="502"/>
      <c r="J52" s="703"/>
      <c r="K52" s="704"/>
    </row>
    <row r="53" spans="1:11" ht="47.25" hidden="1" customHeight="1" x14ac:dyDescent="0.2">
      <c r="A53" s="479"/>
      <c r="B53" s="907" t="s">
        <v>256</v>
      </c>
      <c r="C53" s="908"/>
      <c r="D53" s="908"/>
      <c r="E53" s="908"/>
      <c r="F53" s="908"/>
      <c r="G53" s="908"/>
      <c r="H53" s="502"/>
      <c r="J53" s="703"/>
      <c r="K53" s="704"/>
    </row>
    <row r="54" spans="1:11" ht="47.25" hidden="1" customHeight="1" x14ac:dyDescent="0.2">
      <c r="A54" s="479"/>
      <c r="B54" s="907" t="s">
        <v>255</v>
      </c>
      <c r="C54" s="908"/>
      <c r="D54" s="908"/>
      <c r="E54" s="908"/>
      <c r="F54" s="908"/>
      <c r="G54" s="908"/>
      <c r="H54" s="502"/>
      <c r="J54" s="703"/>
      <c r="K54" s="704"/>
    </row>
    <row r="55" spans="1:11" ht="46.5" hidden="1" customHeight="1" x14ac:dyDescent="0.2">
      <c r="A55" s="708"/>
      <c r="B55" s="911" t="s">
        <v>379</v>
      </c>
      <c r="C55" s="912"/>
      <c r="D55" s="912"/>
      <c r="E55" s="912"/>
      <c r="F55" s="912"/>
      <c r="G55" s="912"/>
      <c r="H55" s="502"/>
      <c r="J55" s="703"/>
      <c r="K55" s="712"/>
    </row>
    <row r="56" spans="1:11" ht="38.25" hidden="1" customHeight="1" x14ac:dyDescent="0.2">
      <c r="A56" s="708"/>
      <c r="B56" s="911" t="s">
        <v>380</v>
      </c>
      <c r="C56" s="912"/>
      <c r="D56" s="912"/>
      <c r="E56" s="912"/>
      <c r="F56" s="912"/>
      <c r="G56" s="912"/>
      <c r="H56" s="502"/>
      <c r="J56" s="703"/>
      <c r="K56" s="704"/>
    </row>
    <row r="57" spans="1:11" ht="93" hidden="1" customHeight="1" x14ac:dyDescent="0.2">
      <c r="A57" s="479"/>
      <c r="B57" s="913" t="s">
        <v>400</v>
      </c>
      <c r="C57" s="912"/>
      <c r="D57" s="912"/>
      <c r="E57" s="912"/>
      <c r="F57" s="912"/>
      <c r="G57" s="912"/>
      <c r="H57" s="479"/>
      <c r="J57" s="703"/>
      <c r="K57" s="704"/>
    </row>
    <row r="58" spans="1:11" ht="32.25" customHeight="1" x14ac:dyDescent="0.25">
      <c r="A58" s="888" t="s">
        <v>496</v>
      </c>
      <c r="B58" s="888"/>
      <c r="C58" s="888"/>
      <c r="D58" s="888"/>
      <c r="E58" s="888"/>
      <c r="F58" s="888"/>
      <c r="G58" s="888"/>
      <c r="H58" s="888"/>
      <c r="J58" s="703"/>
      <c r="K58" s="704"/>
    </row>
    <row r="59" spans="1:11" ht="16.5" hidden="1" customHeight="1" x14ac:dyDescent="0.25">
      <c r="A59" s="768"/>
      <c r="B59" s="700" t="s">
        <v>369</v>
      </c>
      <c r="C59" s="768"/>
      <c r="D59" s="768"/>
      <c r="E59" s="768"/>
      <c r="F59" s="768"/>
      <c r="G59" s="768"/>
      <c r="H59" s="768"/>
      <c r="J59" s="703"/>
      <c r="K59" s="704"/>
    </row>
    <row r="60" spans="1:11" ht="15" hidden="1" x14ac:dyDescent="0.25">
      <c r="A60" s="767"/>
      <c r="B60" s="766" t="s">
        <v>251</v>
      </c>
      <c r="C60" s="481" t="s">
        <v>252</v>
      </c>
      <c r="D60" s="766" t="s">
        <v>253</v>
      </c>
      <c r="E60" s="894" t="s">
        <v>24</v>
      </c>
      <c r="F60" s="895"/>
      <c r="G60" s="766" t="s">
        <v>254</v>
      </c>
      <c r="H60" s="767"/>
      <c r="J60" s="703"/>
      <c r="K60" s="704"/>
    </row>
    <row r="61" spans="1:11" ht="30" hidden="1" customHeight="1" x14ac:dyDescent="0.2">
      <c r="A61" s="607"/>
      <c r="B61" s="482">
        <v>44013</v>
      </c>
      <c r="C61" s="488" t="s">
        <v>470</v>
      </c>
      <c r="D61" s="611" t="s">
        <v>353</v>
      </c>
      <c r="E61" s="886" t="s">
        <v>471</v>
      </c>
      <c r="F61" s="886"/>
      <c r="G61" s="483">
        <v>2619</v>
      </c>
      <c r="H61" s="607"/>
    </row>
    <row r="62" spans="1:11" ht="30" hidden="1" customHeight="1" x14ac:dyDescent="0.2">
      <c r="A62" s="607"/>
      <c r="B62" s="482">
        <v>42644</v>
      </c>
      <c r="C62" s="488" t="s">
        <v>17</v>
      </c>
      <c r="D62" s="611" t="s">
        <v>398</v>
      </c>
      <c r="E62" s="886" t="s">
        <v>396</v>
      </c>
      <c r="F62" s="886"/>
      <c r="G62" s="483"/>
      <c r="H62" s="607"/>
    </row>
    <row r="63" spans="1:11" ht="30" hidden="1" customHeight="1" x14ac:dyDescent="0.2">
      <c r="A63" s="607"/>
      <c r="B63" s="482">
        <v>42644</v>
      </c>
      <c r="C63" s="488" t="s">
        <v>397</v>
      </c>
      <c r="D63" s="611" t="s">
        <v>399</v>
      </c>
      <c r="E63" s="886" t="s">
        <v>396</v>
      </c>
      <c r="F63" s="886"/>
      <c r="G63" s="483"/>
      <c r="H63" s="607"/>
    </row>
    <row r="64" spans="1:11" ht="30" hidden="1" customHeight="1" x14ac:dyDescent="0.2">
      <c r="A64" s="621"/>
      <c r="B64" s="482">
        <v>43800</v>
      </c>
      <c r="C64" s="488" t="s">
        <v>412</v>
      </c>
      <c r="D64" s="548" t="s">
        <v>413</v>
      </c>
      <c r="E64" s="886" t="s">
        <v>396</v>
      </c>
      <c r="F64" s="886"/>
      <c r="G64" s="483"/>
      <c r="H64" s="631"/>
    </row>
    <row r="65" spans="1:8" ht="39" hidden="1" customHeight="1" x14ac:dyDescent="0.2">
      <c r="A65" s="621"/>
      <c r="B65" s="482">
        <v>43800</v>
      </c>
      <c r="C65" s="488" t="s">
        <v>418</v>
      </c>
      <c r="D65" s="548" t="s">
        <v>353</v>
      </c>
      <c r="E65" s="886" t="s">
        <v>414</v>
      </c>
      <c r="F65" s="886"/>
      <c r="G65" s="483"/>
      <c r="H65" s="621"/>
    </row>
    <row r="66" spans="1:8" ht="30" hidden="1" customHeight="1" x14ac:dyDescent="0.2">
      <c r="A66" s="621"/>
      <c r="B66" s="482"/>
      <c r="C66" s="488"/>
      <c r="D66" s="611"/>
      <c r="E66" s="886"/>
      <c r="F66" s="886"/>
      <c r="G66" s="483"/>
      <c r="H66" s="621"/>
    </row>
    <row r="67" spans="1:8" ht="30" hidden="1" customHeight="1" x14ac:dyDescent="0.2">
      <c r="A67" s="607"/>
      <c r="B67" s="482"/>
      <c r="C67" s="488"/>
      <c r="D67" s="548"/>
      <c r="E67" s="886"/>
      <c r="F67" s="886"/>
      <c r="G67" s="483"/>
      <c r="H67" s="607"/>
    </row>
    <row r="68" spans="1:8" ht="15" hidden="1" x14ac:dyDescent="0.2">
      <c r="A68" s="607"/>
      <c r="B68" s="540"/>
      <c r="C68" s="541"/>
      <c r="D68" s="542"/>
      <c r="E68" s="543"/>
      <c r="F68" s="486" t="s">
        <v>354</v>
      </c>
      <c r="G68" s="841">
        <f>SUM(G61:G67)</f>
        <v>2619</v>
      </c>
      <c r="H68" s="607"/>
    </row>
    <row r="69" spans="1:8" ht="8.25" customHeight="1" x14ac:dyDescent="0.2">
      <c r="A69" s="684"/>
      <c r="B69" s="540"/>
      <c r="C69" s="541"/>
      <c r="D69" s="542"/>
      <c r="E69" s="543"/>
      <c r="F69" s="486"/>
      <c r="G69" s="842"/>
      <c r="H69" s="684"/>
    </row>
    <row r="70" spans="1:8" ht="21.75" customHeight="1" x14ac:dyDescent="0.2">
      <c r="A70" s="684"/>
      <c r="B70" s="889" t="s">
        <v>498</v>
      </c>
      <c r="C70" s="889"/>
      <c r="D70" s="889"/>
      <c r="E70" s="889"/>
      <c r="F70" s="889"/>
      <c r="G70" s="889"/>
      <c r="H70" s="607"/>
    </row>
    <row r="71" spans="1:8" ht="15" x14ac:dyDescent="0.2">
      <c r="A71" s="607"/>
      <c r="B71" s="544" t="s">
        <v>277</v>
      </c>
      <c r="C71" s="545" t="s">
        <v>280</v>
      </c>
      <c r="D71" s="546" t="s">
        <v>279</v>
      </c>
      <c r="E71" s="892" t="s">
        <v>24</v>
      </c>
      <c r="F71" s="893"/>
      <c r="G71" s="547" t="s">
        <v>278</v>
      </c>
      <c r="H71" s="607"/>
    </row>
    <row r="72" spans="1:8" ht="15" x14ac:dyDescent="0.2">
      <c r="A72" s="607"/>
      <c r="B72" s="482">
        <v>44217</v>
      </c>
      <c r="C72" s="549" t="s">
        <v>352</v>
      </c>
      <c r="D72" s="690">
        <v>139245</v>
      </c>
      <c r="E72" s="886" t="s">
        <v>497</v>
      </c>
      <c r="F72" s="886"/>
      <c r="G72" s="484">
        <v>3150</v>
      </c>
      <c r="H72" s="607"/>
    </row>
    <row r="73" spans="1:8" ht="15" hidden="1" x14ac:dyDescent="0.2">
      <c r="A73" s="607"/>
      <c r="B73" s="482">
        <v>43800</v>
      </c>
      <c r="C73" s="549" t="s">
        <v>352</v>
      </c>
      <c r="D73" s="690">
        <v>84109</v>
      </c>
      <c r="E73" s="886" t="s">
        <v>415</v>
      </c>
      <c r="F73" s="886"/>
      <c r="G73" s="484"/>
      <c r="H73" s="607"/>
    </row>
    <row r="74" spans="1:8" ht="15" x14ac:dyDescent="0.2">
      <c r="A74" s="607"/>
      <c r="B74" s="485"/>
      <c r="C74" s="485"/>
      <c r="D74" s="485"/>
      <c r="E74" s="485"/>
      <c r="F74" s="486" t="s">
        <v>355</v>
      </c>
      <c r="G74" s="487">
        <f>G72</f>
        <v>3150</v>
      </c>
      <c r="H74" s="607"/>
    </row>
    <row r="75" spans="1:8" ht="11.25" customHeight="1" x14ac:dyDescent="0.2">
      <c r="A75" s="479"/>
      <c r="B75" s="479"/>
      <c r="C75" s="479"/>
      <c r="D75" s="479"/>
      <c r="E75" s="479"/>
      <c r="F75" s="479"/>
      <c r="G75" s="479"/>
      <c r="H75" s="479"/>
    </row>
    <row r="76" spans="1:8" ht="39.75" customHeight="1" x14ac:dyDescent="0.2">
      <c r="A76" s="887" t="s">
        <v>555</v>
      </c>
      <c r="B76" s="887"/>
      <c r="C76" s="887"/>
      <c r="D76" s="887"/>
      <c r="E76" s="887"/>
      <c r="F76" s="887"/>
      <c r="G76" s="887"/>
      <c r="H76" s="887"/>
    </row>
    <row r="77" spans="1:8" ht="15.75" hidden="1" customHeight="1" x14ac:dyDescent="0.2">
      <c r="A77" s="443"/>
      <c r="C77" s="890" t="s">
        <v>276</v>
      </c>
      <c r="D77" s="890"/>
      <c r="E77" s="490">
        <v>1823.85</v>
      </c>
      <c r="F77" s="896" t="s">
        <v>281</v>
      </c>
      <c r="G77" s="896"/>
      <c r="H77" s="443"/>
    </row>
    <row r="78" spans="1:8" ht="15.75" hidden="1" customHeight="1" x14ac:dyDescent="0.2">
      <c r="A78" s="443"/>
      <c r="C78" s="890"/>
      <c r="D78" s="890"/>
      <c r="E78" s="490"/>
      <c r="F78" s="896"/>
      <c r="G78" s="896"/>
      <c r="H78" s="443"/>
    </row>
    <row r="79" spans="1:8" ht="15.75" hidden="1" customHeight="1" x14ac:dyDescent="0.2">
      <c r="A79" s="443"/>
      <c r="C79" s="890"/>
      <c r="D79" s="890"/>
      <c r="E79" s="490"/>
      <c r="F79" s="896"/>
      <c r="G79" s="896"/>
      <c r="H79" s="443"/>
    </row>
    <row r="80" spans="1:8" ht="15.75" hidden="1" customHeight="1" x14ac:dyDescent="0.2">
      <c r="A80" s="443"/>
      <c r="C80" s="890" t="s">
        <v>238</v>
      </c>
      <c r="D80" s="890"/>
      <c r="E80" s="490">
        <f>1689.92+2978.07</f>
        <v>4667.99</v>
      </c>
      <c r="F80" s="896" t="s">
        <v>282</v>
      </c>
      <c r="G80" s="896"/>
      <c r="H80" s="443"/>
    </row>
    <row r="81" spans="1:23" ht="16.5" hidden="1" thickBot="1" x14ac:dyDescent="0.25">
      <c r="A81" s="443"/>
      <c r="B81" s="451"/>
      <c r="C81" s="900" t="s">
        <v>214</v>
      </c>
      <c r="D81" s="900"/>
      <c r="E81" s="448">
        <f>SUM(E77:E80)</f>
        <v>6491.84</v>
      </c>
      <c r="F81" s="451"/>
      <c r="G81" s="451"/>
      <c r="H81" s="443"/>
    </row>
    <row r="82" spans="1:23" ht="9.75" customHeight="1" x14ac:dyDescent="0.2">
      <c r="A82" s="443"/>
      <c r="B82" s="538"/>
      <c r="C82" s="539"/>
      <c r="D82" s="539"/>
      <c r="E82" s="550"/>
      <c r="F82" s="538"/>
      <c r="G82" s="538"/>
      <c r="H82" s="443"/>
    </row>
    <row r="83" spans="1:23" ht="33" customHeight="1" x14ac:dyDescent="0.25">
      <c r="A83" s="888" t="s">
        <v>556</v>
      </c>
      <c r="B83" s="888"/>
      <c r="C83" s="888"/>
      <c r="D83" s="888"/>
      <c r="E83" s="888"/>
      <c r="F83" s="888"/>
      <c r="G83" s="888"/>
      <c r="H83" s="888"/>
    </row>
    <row r="84" spans="1:23" ht="11.25" hidden="1" customHeight="1" x14ac:dyDescent="0.2">
      <c r="A84" s="685"/>
      <c r="B84" s="685"/>
      <c r="C84" s="685"/>
      <c r="D84" s="685"/>
      <c r="E84" s="685"/>
      <c r="F84" s="685"/>
      <c r="G84" s="685"/>
      <c r="H84" s="685"/>
    </row>
    <row r="85" spans="1:23" ht="47.25" hidden="1" customHeight="1" x14ac:dyDescent="0.2">
      <c r="A85" s="891" t="s">
        <v>416</v>
      </c>
      <c r="B85" s="891"/>
      <c r="C85" s="891"/>
      <c r="D85" s="891"/>
      <c r="E85" s="891"/>
      <c r="F85" s="891"/>
      <c r="G85" s="891"/>
      <c r="H85" s="891"/>
    </row>
    <row r="86" spans="1:23" ht="8.25" customHeight="1" x14ac:dyDescent="0.2">
      <c r="A86" s="443"/>
      <c r="B86" s="538"/>
      <c r="C86" s="539"/>
      <c r="D86" s="539"/>
      <c r="E86" s="550"/>
      <c r="F86" s="538"/>
      <c r="G86" s="538"/>
      <c r="H86" s="443"/>
    </row>
    <row r="87" spans="1:23" ht="97.5" customHeight="1" x14ac:dyDescent="0.2">
      <c r="A87" s="887" t="s">
        <v>569</v>
      </c>
      <c r="B87" s="887"/>
      <c r="C87" s="887"/>
      <c r="D87" s="887"/>
      <c r="E87" s="887"/>
      <c r="F87" s="887"/>
      <c r="G87" s="887"/>
      <c r="H87" s="887"/>
      <c r="V87" s="478"/>
      <c r="W87" s="477"/>
    </row>
    <row r="88" spans="1:23" ht="47.25" x14ac:dyDescent="0.2">
      <c r="A88" s="450"/>
      <c r="B88" s="902" t="s">
        <v>205</v>
      </c>
      <c r="C88" s="902"/>
      <c r="D88" s="453" t="s">
        <v>206</v>
      </c>
      <c r="E88" s="444" t="s">
        <v>207</v>
      </c>
      <c r="F88" s="453" t="s">
        <v>208</v>
      </c>
      <c r="G88" s="453" t="s">
        <v>557</v>
      </c>
      <c r="H88" s="450"/>
      <c r="V88" s="478"/>
      <c r="W88" s="477"/>
    </row>
    <row r="89" spans="1:23" ht="15.75" customHeight="1" x14ac:dyDescent="0.2">
      <c r="A89" s="450"/>
      <c r="B89" s="905" t="s">
        <v>11</v>
      </c>
      <c r="C89" s="905"/>
      <c r="D89" s="905"/>
      <c r="E89" s="452"/>
      <c r="F89" s="452"/>
      <c r="G89" s="452"/>
      <c r="H89" s="450"/>
      <c r="V89" s="478"/>
      <c r="W89" s="477"/>
    </row>
    <row r="90" spans="1:23" ht="15.75" customHeight="1" x14ac:dyDescent="0.2">
      <c r="A90" s="450"/>
      <c r="B90" s="903" t="s">
        <v>239</v>
      </c>
      <c r="C90" s="903"/>
      <c r="D90" s="769">
        <f>'June''21 Revenues &amp; Expenses'!G42</f>
        <v>1568.86</v>
      </c>
      <c r="E90" s="769">
        <f>'June''21 Revenues &amp; Expenses'!F43</f>
        <v>3000</v>
      </c>
      <c r="F90" s="769">
        <f>-'June''21 Revenues &amp; Expenses'!H42-'June''21 Revenues &amp; Expenses'!H43</f>
        <v>-2671.75</v>
      </c>
      <c r="G90" s="769">
        <f>'June''21 Revenues &amp; Expenses'!K42+'June''21 Revenues &amp; Expenses'!K43</f>
        <v>1897.11</v>
      </c>
      <c r="H90" s="778"/>
      <c r="V90" s="478"/>
      <c r="W90" s="477"/>
    </row>
    <row r="91" spans="1:23" ht="15.75" customHeight="1" x14ac:dyDescent="0.2">
      <c r="A91" s="450"/>
      <c r="B91" s="903" t="s">
        <v>240</v>
      </c>
      <c r="C91" s="903"/>
      <c r="D91" s="769">
        <v>25000</v>
      </c>
      <c r="E91" s="769"/>
      <c r="F91" s="769">
        <f>-'June''21 Revenues &amp; Expenses'!H41</f>
        <v>-12560.77</v>
      </c>
      <c r="G91" s="769">
        <f>'June''21 Revenues &amp; Expenses'!I41</f>
        <v>12439.23</v>
      </c>
      <c r="H91" s="450"/>
      <c r="V91" s="478"/>
      <c r="W91" s="477"/>
    </row>
    <row r="92" spans="1:23" ht="15.75" customHeight="1" x14ac:dyDescent="0.2">
      <c r="A92" s="450"/>
      <c r="B92" s="905" t="s">
        <v>17</v>
      </c>
      <c r="C92" s="905"/>
      <c r="D92" s="769"/>
      <c r="E92" s="769"/>
      <c r="F92" s="769"/>
      <c r="G92" s="769"/>
      <c r="H92" s="450"/>
      <c r="V92" s="478"/>
    </row>
    <row r="93" spans="1:23" ht="15.75" customHeight="1" x14ac:dyDescent="0.2">
      <c r="A93" s="450"/>
      <c r="B93" s="903" t="s">
        <v>499</v>
      </c>
      <c r="C93" s="903"/>
      <c r="D93" s="769">
        <v>0</v>
      </c>
      <c r="E93" s="769">
        <v>48000</v>
      </c>
      <c r="F93" s="769">
        <f>-'June''21 Revenues &amp; Expenses'!H44</f>
        <v>-24000</v>
      </c>
      <c r="G93" s="769">
        <f>'June''21 Revenues &amp; Expenses'!K44</f>
        <v>24000</v>
      </c>
      <c r="H93" s="450"/>
      <c r="V93" s="478"/>
    </row>
    <row r="94" spans="1:23" ht="15.75" hidden="1" customHeight="1" x14ac:dyDescent="0.2">
      <c r="A94" s="450"/>
      <c r="B94" s="905" t="s">
        <v>412</v>
      </c>
      <c r="C94" s="905"/>
      <c r="D94" s="769">
        <f>'[2]April 20 Revenues &amp; Expenses'!G71</f>
        <v>0</v>
      </c>
      <c r="E94" s="769"/>
      <c r="F94" s="769"/>
      <c r="G94" s="769"/>
      <c r="H94" s="450"/>
      <c r="V94" s="478"/>
    </row>
    <row r="95" spans="1:23" ht="15.75" hidden="1" customHeight="1" x14ac:dyDescent="0.2">
      <c r="A95" s="450"/>
      <c r="B95" s="903" t="s">
        <v>417</v>
      </c>
      <c r="C95" s="903"/>
      <c r="D95" s="725">
        <v>0</v>
      </c>
      <c r="E95" s="769"/>
      <c r="F95" s="769">
        <f>-'June''21 Revenues &amp; Expenses'!H47</f>
        <v>0</v>
      </c>
      <c r="G95" s="769">
        <f>'June''21 Revenues &amp; Expenses'!K47</f>
        <v>0</v>
      </c>
      <c r="H95" s="450"/>
      <c r="V95" s="478"/>
    </row>
    <row r="96" spans="1:23" ht="7.5" customHeight="1" x14ac:dyDescent="0.2">
      <c r="A96" s="450"/>
      <c r="B96" s="904"/>
      <c r="C96" s="904"/>
      <c r="D96" s="452"/>
      <c r="E96" s="452"/>
      <c r="F96" s="452"/>
      <c r="G96" s="452"/>
      <c r="H96" s="450"/>
      <c r="V96" s="478"/>
    </row>
    <row r="97" spans="1:22" ht="15.75" customHeight="1" thickBot="1" x14ac:dyDescent="0.25">
      <c r="A97" s="450"/>
      <c r="B97" s="901" t="s">
        <v>241</v>
      </c>
      <c r="C97" s="901"/>
      <c r="D97" s="445">
        <f>SUM(D89:D96)</f>
        <v>26568.86</v>
      </c>
      <c r="E97" s="445">
        <f>SUM(E89:E96)</f>
        <v>51000</v>
      </c>
      <c r="F97" s="445">
        <f>SUM(F89:F96)</f>
        <v>-39232.520000000004</v>
      </c>
      <c r="G97" s="445">
        <f>SUM(G89:G96)</f>
        <v>38336.339999999997</v>
      </c>
      <c r="H97" s="450"/>
      <c r="V97" s="478"/>
    </row>
    <row r="98" spans="1:22" ht="11.25" customHeight="1" thickTop="1" x14ac:dyDescent="0.2">
      <c r="A98" s="450"/>
      <c r="B98" s="475"/>
      <c r="C98" s="475"/>
      <c r="D98" s="476"/>
      <c r="E98" s="476"/>
      <c r="F98" s="476"/>
      <c r="G98" s="476"/>
      <c r="H98" s="450"/>
      <c r="V98" s="478"/>
    </row>
    <row r="99" spans="1:22" ht="67.5" customHeight="1" x14ac:dyDescent="0.2">
      <c r="A99" s="887" t="s">
        <v>558</v>
      </c>
      <c r="B99" s="887"/>
      <c r="C99" s="887"/>
      <c r="D99" s="887"/>
      <c r="E99" s="887"/>
      <c r="F99" s="887"/>
      <c r="G99" s="887"/>
      <c r="H99" s="887"/>
    </row>
    <row r="100" spans="1:22" ht="47.25" x14ac:dyDescent="0.2">
      <c r="A100" s="450"/>
      <c r="B100" s="902" t="s">
        <v>205</v>
      </c>
      <c r="C100" s="902"/>
      <c r="D100" s="453" t="s">
        <v>206</v>
      </c>
      <c r="E100" s="444" t="s">
        <v>207</v>
      </c>
      <c r="F100" s="453" t="s">
        <v>208</v>
      </c>
      <c r="G100" s="846" t="s">
        <v>557</v>
      </c>
      <c r="H100" s="450"/>
    </row>
    <row r="101" spans="1:22" ht="15.75" customHeight="1" x14ac:dyDescent="0.2">
      <c r="A101" s="450"/>
      <c r="B101" s="899" t="s">
        <v>209</v>
      </c>
      <c r="C101" s="899"/>
      <c r="D101" s="452">
        <v>0</v>
      </c>
      <c r="E101" s="452">
        <f>'June''21 Revenues &amp; Expenses'!H59</f>
        <v>41600</v>
      </c>
      <c r="F101" s="452">
        <f>-'June''21 Revenues &amp; Expenses'!J59</f>
        <v>-20800</v>
      </c>
      <c r="G101" s="452">
        <f t="shared" ref="G101:G106" si="2">D101+E101+F101</f>
        <v>20800</v>
      </c>
      <c r="H101" s="450"/>
    </row>
    <row r="102" spans="1:22" ht="15.75" customHeight="1" x14ac:dyDescent="0.2">
      <c r="A102" s="450"/>
      <c r="B102" s="899" t="s">
        <v>260</v>
      </c>
      <c r="C102" s="899"/>
      <c r="D102" s="452">
        <v>0</v>
      </c>
      <c r="E102" s="452">
        <v>19000</v>
      </c>
      <c r="F102" s="452">
        <f>-'June''21 Revenues &amp; Expenses'!J60</f>
        <v>-9250</v>
      </c>
      <c r="G102" s="452">
        <f t="shared" si="2"/>
        <v>9750</v>
      </c>
      <c r="H102" s="450"/>
    </row>
    <row r="103" spans="1:22" ht="15.75" customHeight="1" x14ac:dyDescent="0.2">
      <c r="A103" s="450"/>
      <c r="B103" s="899" t="s">
        <v>210</v>
      </c>
      <c r="C103" s="899"/>
      <c r="D103" s="769">
        <f>'June''21 Revenues &amp; Expenses'!G64</f>
        <v>20127.96</v>
      </c>
      <c r="E103" s="452">
        <f>'June''21 Revenues &amp; Expenses'!H64</f>
        <v>0</v>
      </c>
      <c r="F103" s="452">
        <f>-'June''21 Revenues &amp; Expenses'!J64</f>
        <v>-7170.48</v>
      </c>
      <c r="G103" s="452">
        <f t="shared" si="2"/>
        <v>12957.48</v>
      </c>
      <c r="H103" s="450"/>
    </row>
    <row r="104" spans="1:22" ht="15.75" customHeight="1" x14ac:dyDescent="0.2">
      <c r="A104" s="450"/>
      <c r="B104" s="899" t="s">
        <v>211</v>
      </c>
      <c r="C104" s="899"/>
      <c r="D104" s="769">
        <f>'June''21 Revenues &amp; Expenses'!G65</f>
        <v>5467.94</v>
      </c>
      <c r="E104" s="452">
        <f>'June''21 Revenues &amp; Expenses'!H65</f>
        <v>0</v>
      </c>
      <c r="F104" s="452">
        <f>-'June''21 Revenues &amp; Expenses'!J65</f>
        <v>-1843.37</v>
      </c>
      <c r="G104" s="452">
        <f t="shared" si="2"/>
        <v>3624.5699999999997</v>
      </c>
      <c r="H104" s="450"/>
    </row>
    <row r="105" spans="1:22" ht="15.75" customHeight="1" x14ac:dyDescent="0.2">
      <c r="A105" s="450"/>
      <c r="B105" s="899" t="s">
        <v>310</v>
      </c>
      <c r="C105" s="899"/>
      <c r="D105" s="769">
        <f>'June''21 Revenues &amp; Expenses'!G46</f>
        <v>1898.7</v>
      </c>
      <c r="E105" s="452"/>
      <c r="F105" s="452">
        <f>-'June''21 Revenues &amp; Expenses'!H46</f>
        <v>0</v>
      </c>
      <c r="G105" s="452">
        <f t="shared" si="2"/>
        <v>1898.7</v>
      </c>
      <c r="H105" s="450"/>
    </row>
    <row r="106" spans="1:22" ht="15.75" x14ac:dyDescent="0.2">
      <c r="A106" s="450"/>
      <c r="B106" s="899" t="s">
        <v>212</v>
      </c>
      <c r="C106" s="899"/>
      <c r="D106" s="769">
        <v>807.18</v>
      </c>
      <c r="E106" s="452"/>
      <c r="F106" s="452">
        <f>-'June''21 Revenues &amp; Expenses'!J63</f>
        <v>0</v>
      </c>
      <c r="G106" s="452">
        <f t="shared" si="2"/>
        <v>807.18</v>
      </c>
      <c r="H106" s="450"/>
      <c r="K106" s="717"/>
    </row>
    <row r="107" spans="1:22" ht="15.75" x14ac:dyDescent="0.2">
      <c r="A107" s="450"/>
      <c r="B107" s="890" t="s">
        <v>500</v>
      </c>
      <c r="C107" s="890"/>
      <c r="D107" s="809"/>
      <c r="E107" s="809">
        <v>15000</v>
      </c>
      <c r="F107" s="809">
        <f>-'June''21 Revenues &amp; Expenses'!H48</f>
        <v>-6000</v>
      </c>
      <c r="G107" s="809">
        <f>'June''21 Revenues &amp; Expenses'!I48</f>
        <v>9000</v>
      </c>
      <c r="H107" s="450"/>
      <c r="K107" s="717"/>
    </row>
    <row r="108" spans="1:22" ht="15.75" customHeight="1" thickBot="1" x14ac:dyDescent="0.25">
      <c r="A108" s="450"/>
      <c r="B108" s="898" t="s">
        <v>213</v>
      </c>
      <c r="C108" s="898"/>
      <c r="D108" s="445">
        <f>SUM(D101:D106)</f>
        <v>28301.78</v>
      </c>
      <c r="E108" s="445">
        <f>SUM(E101:E107)</f>
        <v>75600</v>
      </c>
      <c r="F108" s="445">
        <f>SUM(F101:F107)</f>
        <v>-45063.85</v>
      </c>
      <c r="G108" s="445">
        <f>SUM(G101:G107)</f>
        <v>58837.929999999993</v>
      </c>
      <c r="H108" s="450"/>
    </row>
    <row r="109" spans="1:22" ht="16.5" thickTop="1" x14ac:dyDescent="0.2">
      <c r="A109" s="443"/>
      <c r="B109" s="451"/>
      <c r="C109" s="451"/>
      <c r="D109" s="451"/>
      <c r="E109" s="451"/>
      <c r="F109" s="451"/>
      <c r="G109" s="451"/>
      <c r="H109" s="443"/>
    </row>
    <row r="110" spans="1:22" ht="15.75" customHeight="1" x14ac:dyDescent="0.2"/>
    <row r="111" spans="1:22" ht="6.75" customHeight="1" x14ac:dyDescent="0.2"/>
  </sheetData>
  <mergeCells count="73">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3:C93"/>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99:H99"/>
    <mergeCell ref="B104:C104"/>
    <mergeCell ref="B105:C105"/>
    <mergeCell ref="B96:C96"/>
    <mergeCell ref="B92:C92"/>
    <mergeCell ref="B94:C94"/>
    <mergeCell ref="B95:C95"/>
    <mergeCell ref="B108:C108"/>
    <mergeCell ref="B106:C106"/>
    <mergeCell ref="B101:C101"/>
    <mergeCell ref="B102:C102"/>
    <mergeCell ref="C81:D81"/>
    <mergeCell ref="B103:C103"/>
    <mergeCell ref="B97:C97"/>
    <mergeCell ref="A87:H87"/>
    <mergeCell ref="B88:C88"/>
    <mergeCell ref="B90:C90"/>
    <mergeCell ref="B91:C91"/>
    <mergeCell ref="B100:C100"/>
    <mergeCell ref="C14:D14"/>
    <mergeCell ref="C15:D15"/>
    <mergeCell ref="C17:D17"/>
    <mergeCell ref="B18:D18"/>
    <mergeCell ref="C16:D16"/>
    <mergeCell ref="E66:F66"/>
    <mergeCell ref="A76:H76"/>
    <mergeCell ref="A58:H58"/>
    <mergeCell ref="B70:G70"/>
    <mergeCell ref="B107:C107"/>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459"/>
  <sheetViews>
    <sheetView topLeftCell="A555" workbookViewId="0">
      <selection activeCell="N526" sqref="N526"/>
    </sheetView>
  </sheetViews>
  <sheetFormatPr defaultRowHeight="14.25" x14ac:dyDescent="0.2"/>
  <cols>
    <col min="1" max="1" width="24.625" style="526" bestFit="1" customWidth="1"/>
    <col min="2" max="2" width="9" style="497"/>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3" t="s">
        <v>265</v>
      </c>
      <c r="B3" s="493" t="s">
        <v>266</v>
      </c>
    </row>
    <row r="4" spans="1:2" ht="15" thickTop="1" x14ac:dyDescent="0.2">
      <c r="A4" s="524">
        <v>42370</v>
      </c>
      <c r="B4" s="494">
        <v>316020.78000000003</v>
      </c>
    </row>
    <row r="5" spans="1:2" x14ac:dyDescent="0.2">
      <c r="A5" s="525">
        <v>42373</v>
      </c>
      <c r="B5" s="495">
        <v>315970.78000000003</v>
      </c>
    </row>
    <row r="6" spans="1:2" x14ac:dyDescent="0.2">
      <c r="A6" s="525">
        <v>42374</v>
      </c>
      <c r="B6" s="495">
        <v>320557.63</v>
      </c>
    </row>
    <row r="7" spans="1:2" x14ac:dyDescent="0.2">
      <c r="A7" s="525">
        <v>42375</v>
      </c>
      <c r="B7" s="495">
        <f>B6</f>
        <v>320557.63</v>
      </c>
    </row>
    <row r="8" spans="1:2" x14ac:dyDescent="0.2">
      <c r="A8" s="525">
        <v>42376</v>
      </c>
      <c r="B8" s="495">
        <v>323108.86</v>
      </c>
    </row>
    <row r="9" spans="1:2" x14ac:dyDescent="0.2">
      <c r="A9" s="525">
        <v>42377</v>
      </c>
      <c r="B9" s="495">
        <f>B8</f>
        <v>323108.86</v>
      </c>
    </row>
    <row r="10" spans="1:2" x14ac:dyDescent="0.2">
      <c r="A10" s="525">
        <v>42380</v>
      </c>
      <c r="B10" s="495">
        <v>323239.86</v>
      </c>
    </row>
    <row r="11" spans="1:2" x14ac:dyDescent="0.2">
      <c r="A11" s="525">
        <v>42381</v>
      </c>
      <c r="B11" s="495">
        <v>288792.71999999997</v>
      </c>
    </row>
    <row r="12" spans="1:2" x14ac:dyDescent="0.2">
      <c r="A12" s="525">
        <v>42382</v>
      </c>
      <c r="B12" s="495">
        <f>B11</f>
        <v>288792.71999999997</v>
      </c>
    </row>
    <row r="13" spans="1:2" x14ac:dyDescent="0.2">
      <c r="A13" s="525">
        <v>42383</v>
      </c>
      <c r="B13" s="495">
        <v>277881.3</v>
      </c>
    </row>
    <row r="14" spans="1:2" x14ac:dyDescent="0.2">
      <c r="A14" s="525">
        <v>42384</v>
      </c>
      <c r="B14" s="495">
        <v>293922.15000000002</v>
      </c>
    </row>
    <row r="15" spans="1:2" x14ac:dyDescent="0.2">
      <c r="A15" s="525">
        <v>42387</v>
      </c>
      <c r="B15" s="495">
        <f>B14</f>
        <v>293922.15000000002</v>
      </c>
    </row>
    <row r="16" spans="1:2" x14ac:dyDescent="0.2">
      <c r="A16" s="525">
        <v>42388</v>
      </c>
      <c r="B16" s="495">
        <f>B14</f>
        <v>293922.15000000002</v>
      </c>
    </row>
    <row r="17" spans="1:2" x14ac:dyDescent="0.2">
      <c r="A17" s="525">
        <v>42389</v>
      </c>
      <c r="B17" s="495">
        <v>294002.2</v>
      </c>
    </row>
    <row r="18" spans="1:2" x14ac:dyDescent="0.2">
      <c r="A18" s="525">
        <v>42390</v>
      </c>
      <c r="B18" s="495">
        <v>285645.33</v>
      </c>
    </row>
    <row r="19" spans="1:2" x14ac:dyDescent="0.2">
      <c r="A19" s="525">
        <v>42391</v>
      </c>
      <c r="B19" s="495">
        <f>B18</f>
        <v>285645.33</v>
      </c>
    </row>
    <row r="20" spans="1:2" x14ac:dyDescent="0.2">
      <c r="A20" s="525">
        <v>42394</v>
      </c>
      <c r="B20" s="495">
        <v>310939.57</v>
      </c>
    </row>
    <row r="21" spans="1:2" x14ac:dyDescent="0.2">
      <c r="A21" s="525">
        <v>42395</v>
      </c>
      <c r="B21" s="495">
        <v>285520.28000000003</v>
      </c>
    </row>
    <row r="22" spans="1:2" x14ac:dyDescent="0.2">
      <c r="A22" s="525">
        <v>42396</v>
      </c>
      <c r="B22" s="495">
        <f>B21</f>
        <v>285520.28000000003</v>
      </c>
    </row>
    <row r="23" spans="1:2" x14ac:dyDescent="0.2">
      <c r="A23" s="525">
        <v>42397</v>
      </c>
      <c r="B23" s="495">
        <v>282022.58</v>
      </c>
    </row>
    <row r="24" spans="1:2" x14ac:dyDescent="0.2">
      <c r="A24" s="525">
        <v>42398</v>
      </c>
      <c r="B24" s="495">
        <v>294848.15999999997</v>
      </c>
    </row>
    <row r="25" spans="1:2" x14ac:dyDescent="0.2">
      <c r="A25" s="525">
        <v>42401</v>
      </c>
      <c r="B25" s="495">
        <v>295971.7</v>
      </c>
    </row>
    <row r="26" spans="1:2" x14ac:dyDescent="0.2">
      <c r="A26" s="525">
        <v>42402</v>
      </c>
      <c r="B26" s="495">
        <v>342700.41</v>
      </c>
    </row>
    <row r="27" spans="1:2" x14ac:dyDescent="0.2">
      <c r="A27" s="525">
        <v>42403</v>
      </c>
      <c r="B27" s="495">
        <f>B26</f>
        <v>342700.41</v>
      </c>
    </row>
    <row r="28" spans="1:2" x14ac:dyDescent="0.2">
      <c r="A28" s="525">
        <v>42404</v>
      </c>
      <c r="B28" s="495">
        <v>337638.63</v>
      </c>
    </row>
    <row r="29" spans="1:2" x14ac:dyDescent="0.2">
      <c r="A29" s="525">
        <v>42405</v>
      </c>
      <c r="B29" s="495">
        <v>367843.39</v>
      </c>
    </row>
    <row r="30" spans="1:2" x14ac:dyDescent="0.2">
      <c r="A30" s="525">
        <v>42408</v>
      </c>
      <c r="B30" s="495">
        <v>367773.39</v>
      </c>
    </row>
    <row r="31" spans="1:2" x14ac:dyDescent="0.2">
      <c r="A31" s="525">
        <v>42409</v>
      </c>
      <c r="B31" s="495">
        <v>339527.33</v>
      </c>
    </row>
    <row r="32" spans="1:2" x14ac:dyDescent="0.2">
      <c r="A32" s="525">
        <v>42410</v>
      </c>
      <c r="B32" s="495">
        <f>B31</f>
        <v>339527.33</v>
      </c>
    </row>
    <row r="33" spans="1:2" x14ac:dyDescent="0.2">
      <c r="A33" s="525">
        <v>42411</v>
      </c>
      <c r="B33" s="495">
        <v>336968.79</v>
      </c>
    </row>
    <row r="34" spans="1:2" x14ac:dyDescent="0.2">
      <c r="A34" s="525">
        <v>42412</v>
      </c>
      <c r="B34" s="495">
        <v>337055.76</v>
      </c>
    </row>
    <row r="35" spans="1:2" x14ac:dyDescent="0.2">
      <c r="A35" s="525">
        <v>42415</v>
      </c>
      <c r="B35" s="495">
        <f>B34</f>
        <v>337055.76</v>
      </c>
    </row>
    <row r="36" spans="1:2" x14ac:dyDescent="0.2">
      <c r="A36" s="525">
        <v>42416</v>
      </c>
      <c r="B36" s="495">
        <f>B35</f>
        <v>337055.76</v>
      </c>
    </row>
    <row r="37" spans="1:2" x14ac:dyDescent="0.2">
      <c r="A37" s="525">
        <v>42417</v>
      </c>
      <c r="B37" s="495">
        <v>365266.06</v>
      </c>
    </row>
    <row r="38" spans="1:2" x14ac:dyDescent="0.2">
      <c r="A38" s="525">
        <v>42418</v>
      </c>
      <c r="B38" s="495">
        <v>360871.98</v>
      </c>
    </row>
    <row r="39" spans="1:2" x14ac:dyDescent="0.2">
      <c r="A39" s="525">
        <v>42419</v>
      </c>
      <c r="B39" s="495">
        <f>B38</f>
        <v>360871.98</v>
      </c>
    </row>
    <row r="40" spans="1:2" x14ac:dyDescent="0.2">
      <c r="A40" s="525">
        <v>42421</v>
      </c>
      <c r="B40" s="495">
        <f>B39</f>
        <v>360871.98</v>
      </c>
    </row>
    <row r="41" spans="1:2" x14ac:dyDescent="0.2">
      <c r="A41" s="525">
        <v>42423</v>
      </c>
      <c r="B41" s="495">
        <v>355845.62</v>
      </c>
    </row>
    <row r="42" spans="1:2" x14ac:dyDescent="0.2">
      <c r="A42" s="525">
        <v>42424</v>
      </c>
      <c r="B42" s="495">
        <f>B41</f>
        <v>355845.62</v>
      </c>
    </row>
    <row r="43" spans="1:2" x14ac:dyDescent="0.2">
      <c r="A43" s="525">
        <v>42425</v>
      </c>
      <c r="B43" s="495">
        <v>345399.7</v>
      </c>
    </row>
    <row r="44" spans="1:2" x14ac:dyDescent="0.2">
      <c r="A44" s="525">
        <v>42426</v>
      </c>
      <c r="B44" s="495">
        <v>370500.69</v>
      </c>
    </row>
    <row r="45" spans="1:2" x14ac:dyDescent="0.2">
      <c r="A45" s="525">
        <v>42429</v>
      </c>
      <c r="B45" s="495">
        <v>389846.49</v>
      </c>
    </row>
    <row r="46" spans="1:2" x14ac:dyDescent="0.2">
      <c r="A46" s="525">
        <v>42430</v>
      </c>
      <c r="B46" s="495">
        <f>B45</f>
        <v>389846.49</v>
      </c>
    </row>
    <row r="47" spans="1:2" x14ac:dyDescent="0.2">
      <c r="A47" s="525">
        <v>42431</v>
      </c>
      <c r="B47" s="495">
        <f>B46</f>
        <v>389846.49</v>
      </c>
    </row>
    <row r="48" spans="1:2" x14ac:dyDescent="0.2">
      <c r="A48" s="525">
        <v>42432</v>
      </c>
      <c r="B48" s="495">
        <v>378391.97</v>
      </c>
    </row>
    <row r="49" spans="1:2" x14ac:dyDescent="0.2">
      <c r="A49" s="525">
        <v>42433</v>
      </c>
      <c r="B49" s="495">
        <v>424034.23</v>
      </c>
    </row>
    <row r="50" spans="1:2" x14ac:dyDescent="0.2">
      <c r="A50" s="525">
        <v>42436</v>
      </c>
      <c r="B50" s="495">
        <f>B49</f>
        <v>424034.23</v>
      </c>
    </row>
    <row r="51" spans="1:2" x14ac:dyDescent="0.2">
      <c r="A51" s="525">
        <v>42437</v>
      </c>
      <c r="B51" s="495">
        <v>386665.73</v>
      </c>
    </row>
    <row r="52" spans="1:2" x14ac:dyDescent="0.2">
      <c r="A52" s="525">
        <v>42438</v>
      </c>
      <c r="B52" s="495">
        <f>B51</f>
        <v>386665.73</v>
      </c>
    </row>
    <row r="53" spans="1:2" x14ac:dyDescent="0.2">
      <c r="A53" s="525">
        <v>42439</v>
      </c>
      <c r="B53" s="495">
        <v>389219.85</v>
      </c>
    </row>
    <row r="54" spans="1:2" x14ac:dyDescent="0.2">
      <c r="A54" s="525">
        <v>42440</v>
      </c>
      <c r="B54" s="495">
        <v>406100.98</v>
      </c>
    </row>
    <row r="55" spans="1:2" x14ac:dyDescent="0.2">
      <c r="A55" s="525">
        <v>42443</v>
      </c>
      <c r="B55" s="495">
        <v>407873.33</v>
      </c>
    </row>
    <row r="56" spans="1:2" x14ac:dyDescent="0.2">
      <c r="A56" s="525">
        <v>42444</v>
      </c>
      <c r="B56" s="495">
        <v>407992.23</v>
      </c>
    </row>
    <row r="57" spans="1:2" x14ac:dyDescent="0.2">
      <c r="A57" s="525">
        <v>42445</v>
      </c>
      <c r="B57" s="495">
        <v>433808.81</v>
      </c>
    </row>
    <row r="58" spans="1:2" x14ac:dyDescent="0.2">
      <c r="A58" s="525">
        <v>42446</v>
      </c>
      <c r="B58" s="495">
        <v>422290.94</v>
      </c>
    </row>
    <row r="59" spans="1:2" x14ac:dyDescent="0.2">
      <c r="A59" s="525">
        <v>42447</v>
      </c>
      <c r="B59" s="495">
        <v>468026.54</v>
      </c>
    </row>
    <row r="60" spans="1:2" x14ac:dyDescent="0.2">
      <c r="A60" s="525">
        <v>42450</v>
      </c>
      <c r="B60" s="495">
        <v>348026.54</v>
      </c>
    </row>
    <row r="61" spans="1:2" x14ac:dyDescent="0.2">
      <c r="A61" s="525">
        <v>42451</v>
      </c>
      <c r="B61" s="495">
        <v>312876.71000000002</v>
      </c>
    </row>
    <row r="62" spans="1:2" x14ac:dyDescent="0.2">
      <c r="A62" s="525">
        <v>42452</v>
      </c>
      <c r="B62" s="495">
        <v>314939.26</v>
      </c>
    </row>
    <row r="63" spans="1:2" x14ac:dyDescent="0.2">
      <c r="A63" s="525">
        <v>42453</v>
      </c>
      <c r="B63" s="495">
        <v>309254.23</v>
      </c>
    </row>
    <row r="64" spans="1:2" x14ac:dyDescent="0.2">
      <c r="A64" s="525">
        <v>42454</v>
      </c>
      <c r="B64" s="495">
        <v>308314.94</v>
      </c>
    </row>
    <row r="65" spans="1:2" x14ac:dyDescent="0.2">
      <c r="A65" s="525">
        <v>42457</v>
      </c>
      <c r="B65" s="495">
        <f>B64</f>
        <v>308314.94</v>
      </c>
    </row>
    <row r="66" spans="1:2" x14ac:dyDescent="0.2">
      <c r="A66" s="525">
        <v>42458</v>
      </c>
      <c r="B66" s="495">
        <v>308501.75</v>
      </c>
    </row>
    <row r="67" spans="1:2" x14ac:dyDescent="0.2">
      <c r="A67" s="525">
        <v>42459</v>
      </c>
      <c r="B67" s="495">
        <f>B66</f>
        <v>308501.75</v>
      </c>
    </row>
    <row r="68" spans="1:2" x14ac:dyDescent="0.2">
      <c r="A68" s="525">
        <v>42460</v>
      </c>
      <c r="B68" s="495">
        <v>309191.53000000003</v>
      </c>
    </row>
    <row r="69" spans="1:2" x14ac:dyDescent="0.2">
      <c r="A69" s="525">
        <v>42461</v>
      </c>
      <c r="B69" s="495">
        <f>B68</f>
        <v>309191.53000000003</v>
      </c>
    </row>
    <row r="70" spans="1:2" x14ac:dyDescent="0.2">
      <c r="A70" s="525">
        <v>42464</v>
      </c>
      <c r="B70" s="495">
        <v>273521.59999999998</v>
      </c>
    </row>
    <row r="71" spans="1:2" x14ac:dyDescent="0.2">
      <c r="A71" s="525">
        <v>42465</v>
      </c>
      <c r="B71" s="495">
        <f>B70</f>
        <v>273521.59999999998</v>
      </c>
    </row>
    <row r="72" spans="1:2" x14ac:dyDescent="0.2">
      <c r="A72" s="525">
        <v>42466</v>
      </c>
      <c r="B72" s="495">
        <v>272690.59999999998</v>
      </c>
    </row>
    <row r="73" spans="1:2" x14ac:dyDescent="0.2">
      <c r="A73" s="525">
        <v>42467</v>
      </c>
      <c r="B73" s="495">
        <v>269582.73</v>
      </c>
    </row>
    <row r="74" spans="1:2" x14ac:dyDescent="0.2">
      <c r="A74" s="525">
        <v>42468</v>
      </c>
      <c r="B74" s="495">
        <f>B73</f>
        <v>269582.73</v>
      </c>
    </row>
    <row r="75" spans="1:2" x14ac:dyDescent="0.2">
      <c r="A75" s="525">
        <v>42471</v>
      </c>
      <c r="B75" s="495">
        <v>269763.98</v>
      </c>
    </row>
    <row r="76" spans="1:2" x14ac:dyDescent="0.2">
      <c r="A76" s="525">
        <v>42472</v>
      </c>
      <c r="B76" s="495">
        <f>B75</f>
        <v>269763.98</v>
      </c>
    </row>
    <row r="77" spans="1:2" x14ac:dyDescent="0.2">
      <c r="A77" s="525">
        <v>42473</v>
      </c>
      <c r="B77" s="495">
        <v>269925.98</v>
      </c>
    </row>
    <row r="78" spans="1:2" x14ac:dyDescent="0.2">
      <c r="A78" s="525">
        <v>42474</v>
      </c>
      <c r="B78" s="495">
        <v>262853.87</v>
      </c>
    </row>
    <row r="79" spans="1:2" x14ac:dyDescent="0.2">
      <c r="A79" s="525">
        <v>42475</v>
      </c>
      <c r="B79" s="495">
        <v>285492.90999999997</v>
      </c>
    </row>
    <row r="80" spans="1:2" x14ac:dyDescent="0.2">
      <c r="A80" s="525">
        <v>42478</v>
      </c>
      <c r="B80" s="495">
        <v>248936.49</v>
      </c>
    </row>
    <row r="81" spans="1:2" x14ac:dyDescent="0.2">
      <c r="A81" s="525">
        <v>42479</v>
      </c>
      <c r="B81" s="495">
        <v>299276.93</v>
      </c>
    </row>
    <row r="82" spans="1:2" x14ac:dyDescent="0.2">
      <c r="A82" s="525">
        <v>42480</v>
      </c>
      <c r="B82" s="495">
        <v>298671.93</v>
      </c>
    </row>
    <row r="83" spans="1:2" x14ac:dyDescent="0.2">
      <c r="A83" s="525">
        <v>42481</v>
      </c>
      <c r="B83" s="495">
        <v>300188.76</v>
      </c>
    </row>
    <row r="84" spans="1:2" x14ac:dyDescent="0.2">
      <c r="A84" s="525">
        <v>42482</v>
      </c>
      <c r="B84" s="495">
        <v>320014.86</v>
      </c>
    </row>
    <row r="85" spans="1:2" x14ac:dyDescent="0.2">
      <c r="A85" s="525">
        <v>42485</v>
      </c>
      <c r="B85" s="495">
        <v>316702.44</v>
      </c>
    </row>
    <row r="86" spans="1:2" x14ac:dyDescent="0.2">
      <c r="A86" s="525">
        <v>42486</v>
      </c>
      <c r="B86" s="495">
        <f>B85</f>
        <v>316702.44</v>
      </c>
    </row>
    <row r="87" spans="1:2" x14ac:dyDescent="0.2">
      <c r="A87" s="525">
        <v>42487</v>
      </c>
      <c r="B87" s="495">
        <v>316945.44</v>
      </c>
    </row>
    <row r="88" spans="1:2" x14ac:dyDescent="0.2">
      <c r="A88" s="525">
        <v>42488</v>
      </c>
      <c r="B88" s="495">
        <v>320979.96999999997</v>
      </c>
    </row>
    <row r="89" spans="1:2" x14ac:dyDescent="0.2">
      <c r="A89" s="525">
        <v>42489</v>
      </c>
      <c r="B89" s="495">
        <f>B88</f>
        <v>320979.96999999997</v>
      </c>
    </row>
    <row r="90" spans="1:2" x14ac:dyDescent="0.2">
      <c r="A90" s="525">
        <v>42492</v>
      </c>
      <c r="B90" s="495">
        <v>285992.84000000003</v>
      </c>
    </row>
    <row r="91" spans="1:2" x14ac:dyDescent="0.2">
      <c r="A91" s="525">
        <v>42493</v>
      </c>
      <c r="B91" s="495">
        <v>286063.08</v>
      </c>
    </row>
    <row r="92" spans="1:2" x14ac:dyDescent="0.2">
      <c r="A92" s="525">
        <v>42494</v>
      </c>
      <c r="B92" s="495">
        <v>314586.46000000002</v>
      </c>
    </row>
    <row r="93" spans="1:2" x14ac:dyDescent="0.2">
      <c r="A93" s="525">
        <v>42495</v>
      </c>
      <c r="B93" s="495">
        <v>317747.52</v>
      </c>
    </row>
    <row r="94" spans="1:2" x14ac:dyDescent="0.2">
      <c r="A94" s="525">
        <v>42496</v>
      </c>
      <c r="B94" s="495">
        <f>B93</f>
        <v>317747.52</v>
      </c>
    </row>
    <row r="95" spans="1:2" x14ac:dyDescent="0.2">
      <c r="A95" s="525">
        <v>42499</v>
      </c>
      <c r="B95" s="495">
        <v>317647.52</v>
      </c>
    </row>
    <row r="96" spans="1:2" x14ac:dyDescent="0.2">
      <c r="A96" s="525">
        <v>42500</v>
      </c>
      <c r="B96" s="495">
        <v>354645.16</v>
      </c>
    </row>
    <row r="97" spans="1:2" x14ac:dyDescent="0.2">
      <c r="A97" s="525">
        <v>42501</v>
      </c>
      <c r="B97" s="495">
        <f>B96</f>
        <v>354645.16</v>
      </c>
    </row>
    <row r="98" spans="1:2" x14ac:dyDescent="0.2">
      <c r="A98" s="525">
        <v>42502</v>
      </c>
      <c r="B98" s="495">
        <v>334676.08</v>
      </c>
    </row>
    <row r="99" spans="1:2" x14ac:dyDescent="0.2">
      <c r="A99" s="525">
        <v>42503</v>
      </c>
      <c r="B99" s="495">
        <v>335053.34999999998</v>
      </c>
    </row>
    <row r="100" spans="1:2" x14ac:dyDescent="0.2">
      <c r="A100" s="525">
        <v>42506</v>
      </c>
      <c r="B100" s="495">
        <v>299641.7</v>
      </c>
    </row>
    <row r="101" spans="1:2" x14ac:dyDescent="0.2">
      <c r="A101" s="525">
        <v>42507</v>
      </c>
      <c r="B101" s="495">
        <f>B100</f>
        <v>299641.7</v>
      </c>
    </row>
    <row r="102" spans="1:2" x14ac:dyDescent="0.2">
      <c r="A102" s="525">
        <v>42508</v>
      </c>
      <c r="B102" s="495">
        <v>316034.81</v>
      </c>
    </row>
    <row r="103" spans="1:2" x14ac:dyDescent="0.2">
      <c r="A103" s="525">
        <v>42509</v>
      </c>
      <c r="B103" s="495">
        <v>320069.11</v>
      </c>
    </row>
    <row r="104" spans="1:2" x14ac:dyDescent="0.2">
      <c r="A104" s="525">
        <v>42510</v>
      </c>
      <c r="B104" s="495">
        <v>328514.03000000003</v>
      </c>
    </row>
    <row r="105" spans="1:2" x14ac:dyDescent="0.2">
      <c r="A105" s="525">
        <v>42513</v>
      </c>
      <c r="B105" s="495">
        <f>B104</f>
        <v>328514.03000000003</v>
      </c>
    </row>
    <row r="106" spans="1:2" x14ac:dyDescent="0.2">
      <c r="A106" s="525">
        <v>42514</v>
      </c>
      <c r="B106" s="495">
        <v>334541.26</v>
      </c>
    </row>
    <row r="107" spans="1:2" x14ac:dyDescent="0.2">
      <c r="A107" s="525">
        <v>42515</v>
      </c>
      <c r="B107" s="496">
        <v>329880.45</v>
      </c>
    </row>
    <row r="108" spans="1:2" x14ac:dyDescent="0.2">
      <c r="A108" s="525">
        <v>42516</v>
      </c>
      <c r="B108" s="497">
        <v>337992.17</v>
      </c>
    </row>
    <row r="109" spans="1:2" x14ac:dyDescent="0.2">
      <c r="A109" s="525">
        <v>42517</v>
      </c>
      <c r="B109" s="497">
        <v>347755.4</v>
      </c>
    </row>
    <row r="110" spans="1:2" x14ac:dyDescent="0.2">
      <c r="A110" s="525">
        <v>42520</v>
      </c>
      <c r="B110" s="497">
        <v>347755.4</v>
      </c>
    </row>
    <row r="111" spans="1:2" x14ac:dyDescent="0.2">
      <c r="A111" s="525">
        <v>42521</v>
      </c>
      <c r="B111" s="497">
        <v>312817.88</v>
      </c>
    </row>
    <row r="112" spans="1:2" x14ac:dyDescent="0.2">
      <c r="A112" s="525">
        <v>42522</v>
      </c>
      <c r="B112" s="497">
        <v>314571.3</v>
      </c>
    </row>
    <row r="113" spans="1:2" x14ac:dyDescent="0.2">
      <c r="A113" s="525">
        <v>42523</v>
      </c>
      <c r="B113" s="497">
        <v>302515.78000000003</v>
      </c>
    </row>
    <row r="114" spans="1:2" x14ac:dyDescent="0.2">
      <c r="A114" s="525">
        <v>42524</v>
      </c>
      <c r="B114" s="497">
        <v>302516</v>
      </c>
    </row>
    <row r="115" spans="1:2" x14ac:dyDescent="0.2">
      <c r="A115" s="525">
        <v>42527</v>
      </c>
      <c r="B115" s="497">
        <v>302516</v>
      </c>
    </row>
    <row r="116" spans="1:2" x14ac:dyDescent="0.2">
      <c r="A116" s="525">
        <v>42528</v>
      </c>
      <c r="B116" s="497">
        <v>302516</v>
      </c>
    </row>
    <row r="117" spans="1:2" x14ac:dyDescent="0.2">
      <c r="A117" s="525">
        <v>42529</v>
      </c>
      <c r="B117" s="497">
        <v>279865.95</v>
      </c>
    </row>
    <row r="118" spans="1:2" x14ac:dyDescent="0.2">
      <c r="A118" s="525">
        <v>42530</v>
      </c>
      <c r="B118" s="497">
        <v>279866</v>
      </c>
    </row>
    <row r="119" spans="1:2" x14ac:dyDescent="0.2">
      <c r="A119" s="525">
        <v>42531</v>
      </c>
      <c r="B119" s="497">
        <v>279866</v>
      </c>
    </row>
    <row r="120" spans="1:2" x14ac:dyDescent="0.2">
      <c r="A120" s="525">
        <v>42534</v>
      </c>
      <c r="B120" s="497">
        <v>279866</v>
      </c>
    </row>
    <row r="121" spans="1:2" x14ac:dyDescent="0.2">
      <c r="A121" s="525">
        <v>42535</v>
      </c>
      <c r="B121" s="497">
        <v>279866</v>
      </c>
    </row>
    <row r="122" spans="1:2" x14ac:dyDescent="0.2">
      <c r="A122" s="525">
        <v>42536</v>
      </c>
      <c r="B122" s="497">
        <v>290096.01</v>
      </c>
    </row>
    <row r="123" spans="1:2" x14ac:dyDescent="0.2">
      <c r="A123" s="525">
        <v>42537</v>
      </c>
      <c r="B123" s="497">
        <v>247423.5</v>
      </c>
    </row>
    <row r="124" spans="1:2" x14ac:dyDescent="0.2">
      <c r="A124" s="525">
        <v>42538</v>
      </c>
      <c r="B124" s="497">
        <v>247424</v>
      </c>
    </row>
    <row r="125" spans="1:2" x14ac:dyDescent="0.2">
      <c r="A125" s="525">
        <v>42541</v>
      </c>
      <c r="B125" s="497">
        <v>247424</v>
      </c>
    </row>
    <row r="126" spans="1:2" x14ac:dyDescent="0.2">
      <c r="A126" s="525">
        <v>42542</v>
      </c>
      <c r="B126" s="497">
        <v>255459.85</v>
      </c>
    </row>
    <row r="127" spans="1:2" x14ac:dyDescent="0.2">
      <c r="A127" s="525">
        <v>42543</v>
      </c>
      <c r="B127" s="497">
        <v>255460</v>
      </c>
    </row>
    <row r="128" spans="1:2" x14ac:dyDescent="0.2">
      <c r="A128" s="498">
        <f>A127+1</f>
        <v>42544</v>
      </c>
      <c r="B128" s="497">
        <v>240780.4</v>
      </c>
    </row>
    <row r="129" spans="1:2" x14ac:dyDescent="0.2">
      <c r="A129" s="498">
        <f>A128+1</f>
        <v>42545</v>
      </c>
      <c r="B129" s="497">
        <v>240780</v>
      </c>
    </row>
    <row r="130" spans="1:2" x14ac:dyDescent="0.2">
      <c r="A130" s="498">
        <f>A125+7</f>
        <v>42548</v>
      </c>
      <c r="B130" s="497">
        <v>205735.12</v>
      </c>
    </row>
    <row r="131" spans="1:2" x14ac:dyDescent="0.2">
      <c r="A131" s="498">
        <f>A126+7</f>
        <v>42549</v>
      </c>
      <c r="B131" s="497">
        <v>207489.37</v>
      </c>
    </row>
    <row r="132" spans="1:2" x14ac:dyDescent="0.2">
      <c r="A132" s="498">
        <f t="shared" ref="A132:A195" si="0">A127+7</f>
        <v>42550</v>
      </c>
      <c r="B132" s="497">
        <v>213757.9</v>
      </c>
    </row>
    <row r="133" spans="1:2" x14ac:dyDescent="0.2">
      <c r="A133" s="498">
        <f t="shared" si="0"/>
        <v>42551</v>
      </c>
      <c r="B133" s="497">
        <v>220332.56</v>
      </c>
    </row>
    <row r="134" spans="1:2" x14ac:dyDescent="0.2">
      <c r="A134" s="498">
        <f t="shared" si="0"/>
        <v>42552</v>
      </c>
      <c r="B134" s="497">
        <v>212813.84</v>
      </c>
    </row>
    <row r="135" spans="1:2" x14ac:dyDescent="0.2">
      <c r="A135" s="498">
        <f t="shared" si="0"/>
        <v>42555</v>
      </c>
      <c r="B135" s="497">
        <v>212814</v>
      </c>
    </row>
    <row r="136" spans="1:2" x14ac:dyDescent="0.2">
      <c r="A136" s="498">
        <f t="shared" si="0"/>
        <v>42556</v>
      </c>
      <c r="B136" s="497">
        <v>236539.45</v>
      </c>
    </row>
    <row r="137" spans="1:2" x14ac:dyDescent="0.2">
      <c r="A137" s="498">
        <f t="shared" si="0"/>
        <v>42557</v>
      </c>
      <c r="B137" s="497">
        <v>234224.42</v>
      </c>
    </row>
    <row r="138" spans="1:2" x14ac:dyDescent="0.2">
      <c r="A138" s="498">
        <f t="shared" si="0"/>
        <v>42558</v>
      </c>
      <c r="B138" s="497">
        <v>234132.08</v>
      </c>
    </row>
    <row r="139" spans="1:2" x14ac:dyDescent="0.2">
      <c r="A139" s="498">
        <f t="shared" si="0"/>
        <v>42559</v>
      </c>
      <c r="B139" s="497">
        <v>234132.08</v>
      </c>
    </row>
    <row r="140" spans="1:2" x14ac:dyDescent="0.2">
      <c r="A140" s="498">
        <f t="shared" si="0"/>
        <v>42562</v>
      </c>
      <c r="B140" s="497">
        <v>199890.85</v>
      </c>
    </row>
    <row r="141" spans="1:2" x14ac:dyDescent="0.2">
      <c r="A141" s="498">
        <f t="shared" si="0"/>
        <v>42563</v>
      </c>
      <c r="B141" s="497">
        <v>221114.27</v>
      </c>
    </row>
    <row r="142" spans="1:2" x14ac:dyDescent="0.2">
      <c r="A142" s="498">
        <f t="shared" si="0"/>
        <v>42564</v>
      </c>
      <c r="B142" s="497">
        <v>221114</v>
      </c>
    </row>
    <row r="143" spans="1:2" x14ac:dyDescent="0.2">
      <c r="A143" s="498">
        <f t="shared" si="0"/>
        <v>42565</v>
      </c>
      <c r="B143" s="497">
        <v>214752.25</v>
      </c>
    </row>
    <row r="144" spans="1:2" x14ac:dyDescent="0.2">
      <c r="A144" s="498">
        <f t="shared" si="0"/>
        <v>42566</v>
      </c>
      <c r="B144" s="497">
        <v>294578.96999999997</v>
      </c>
    </row>
    <row r="145" spans="1:2" x14ac:dyDescent="0.2">
      <c r="A145" s="498">
        <f t="shared" si="0"/>
        <v>42569</v>
      </c>
      <c r="B145" s="497">
        <v>294579</v>
      </c>
    </row>
    <row r="146" spans="1:2" x14ac:dyDescent="0.2">
      <c r="A146" s="498">
        <f t="shared" si="0"/>
        <v>42570</v>
      </c>
      <c r="B146" s="497">
        <v>294579</v>
      </c>
    </row>
    <row r="147" spans="1:2" x14ac:dyDescent="0.2">
      <c r="A147" s="498">
        <f t="shared" si="0"/>
        <v>42571</v>
      </c>
      <c r="B147" s="497">
        <v>328195.42</v>
      </c>
    </row>
    <row r="148" spans="1:2" x14ac:dyDescent="0.2">
      <c r="A148" s="498">
        <f t="shared" si="0"/>
        <v>42572</v>
      </c>
      <c r="B148" s="497">
        <v>407865.86</v>
      </c>
    </row>
    <row r="149" spans="1:2" x14ac:dyDescent="0.2">
      <c r="A149" s="498">
        <f t="shared" si="0"/>
        <v>42573</v>
      </c>
      <c r="B149" s="497">
        <v>409053.93</v>
      </c>
    </row>
    <row r="150" spans="1:2" x14ac:dyDescent="0.2">
      <c r="A150" s="498">
        <f t="shared" si="0"/>
        <v>42576</v>
      </c>
      <c r="B150" s="497">
        <v>372421.56</v>
      </c>
    </row>
    <row r="151" spans="1:2" x14ac:dyDescent="0.2">
      <c r="A151" s="498">
        <f t="shared" si="0"/>
        <v>42577</v>
      </c>
      <c r="B151" s="497">
        <v>375562.78</v>
      </c>
    </row>
    <row r="152" spans="1:2" x14ac:dyDescent="0.2">
      <c r="A152" s="498">
        <f t="shared" si="0"/>
        <v>42578</v>
      </c>
      <c r="B152" s="497">
        <v>375563</v>
      </c>
    </row>
    <row r="153" spans="1:2" x14ac:dyDescent="0.2">
      <c r="A153" s="498">
        <f t="shared" si="0"/>
        <v>42579</v>
      </c>
      <c r="B153" s="497">
        <v>366510.98</v>
      </c>
    </row>
    <row r="154" spans="1:2" x14ac:dyDescent="0.2">
      <c r="A154" s="498">
        <f t="shared" si="0"/>
        <v>42580</v>
      </c>
      <c r="B154" s="497">
        <v>366609.48</v>
      </c>
    </row>
    <row r="155" spans="1:2" x14ac:dyDescent="0.2">
      <c r="A155" s="498">
        <f t="shared" si="0"/>
        <v>42583</v>
      </c>
      <c r="B155" s="497">
        <v>382689.69</v>
      </c>
    </row>
    <row r="156" spans="1:2" x14ac:dyDescent="0.2">
      <c r="A156" s="498">
        <f t="shared" si="0"/>
        <v>42584</v>
      </c>
      <c r="B156" s="497">
        <v>382690</v>
      </c>
    </row>
    <row r="157" spans="1:2" x14ac:dyDescent="0.2">
      <c r="A157" s="498">
        <f t="shared" si="0"/>
        <v>42585</v>
      </c>
      <c r="B157" s="497">
        <v>387013.59</v>
      </c>
    </row>
    <row r="158" spans="1:2" x14ac:dyDescent="0.2">
      <c r="A158" s="498">
        <f t="shared" si="0"/>
        <v>42586</v>
      </c>
      <c r="B158" s="497">
        <v>382543.7</v>
      </c>
    </row>
    <row r="159" spans="1:2" x14ac:dyDescent="0.2">
      <c r="A159" s="498">
        <f t="shared" si="0"/>
        <v>42587</v>
      </c>
      <c r="B159" s="497">
        <v>382544</v>
      </c>
    </row>
    <row r="160" spans="1:2" x14ac:dyDescent="0.2">
      <c r="A160" s="498">
        <f t="shared" si="0"/>
        <v>42590</v>
      </c>
      <c r="B160" s="497">
        <v>344510.17</v>
      </c>
    </row>
    <row r="161" spans="1:2" x14ac:dyDescent="0.2">
      <c r="A161" s="498">
        <f t="shared" si="0"/>
        <v>42591</v>
      </c>
      <c r="B161" s="497">
        <v>350095.94</v>
      </c>
    </row>
    <row r="162" spans="1:2" x14ac:dyDescent="0.2">
      <c r="A162" s="498">
        <f t="shared" si="0"/>
        <v>42592</v>
      </c>
      <c r="B162" s="497">
        <v>350096</v>
      </c>
    </row>
    <row r="163" spans="1:2" x14ac:dyDescent="0.2">
      <c r="A163" s="498">
        <f t="shared" si="0"/>
        <v>42593</v>
      </c>
      <c r="B163" s="497">
        <v>355079.15</v>
      </c>
    </row>
    <row r="164" spans="1:2" x14ac:dyDescent="0.2">
      <c r="A164" s="498">
        <f t="shared" si="0"/>
        <v>42594</v>
      </c>
      <c r="B164" s="497">
        <v>356502.11</v>
      </c>
    </row>
    <row r="165" spans="1:2" x14ac:dyDescent="0.2">
      <c r="A165" s="498">
        <f t="shared" si="0"/>
        <v>42597</v>
      </c>
      <c r="B165" s="497">
        <v>408622.46</v>
      </c>
    </row>
    <row r="166" spans="1:2" x14ac:dyDescent="0.2">
      <c r="A166" s="498">
        <f t="shared" si="0"/>
        <v>42598</v>
      </c>
      <c r="B166" s="497">
        <v>408622</v>
      </c>
    </row>
    <row r="167" spans="1:2" x14ac:dyDescent="0.2">
      <c r="A167" s="498">
        <f t="shared" si="0"/>
        <v>42599</v>
      </c>
      <c r="B167" s="497">
        <v>408622</v>
      </c>
    </row>
    <row r="168" spans="1:2" x14ac:dyDescent="0.2">
      <c r="A168" s="498">
        <f t="shared" si="0"/>
        <v>42600</v>
      </c>
      <c r="B168" s="497">
        <v>409931.67</v>
      </c>
    </row>
    <row r="169" spans="1:2" x14ac:dyDescent="0.2">
      <c r="A169" s="498">
        <f t="shared" si="0"/>
        <v>42601</v>
      </c>
      <c r="B169" s="497">
        <v>410189.3</v>
      </c>
    </row>
    <row r="170" spans="1:2" x14ac:dyDescent="0.2">
      <c r="A170" s="498">
        <f t="shared" si="0"/>
        <v>42604</v>
      </c>
      <c r="B170" s="497">
        <v>370399.56</v>
      </c>
    </row>
    <row r="171" spans="1:2" x14ac:dyDescent="0.2">
      <c r="A171" s="498">
        <f t="shared" si="0"/>
        <v>42605</v>
      </c>
      <c r="B171" s="497">
        <v>370399.56</v>
      </c>
    </row>
    <row r="172" spans="1:2" x14ac:dyDescent="0.2">
      <c r="A172" s="498">
        <f t="shared" si="0"/>
        <v>42606</v>
      </c>
      <c r="B172" s="497">
        <v>370400</v>
      </c>
    </row>
    <row r="173" spans="1:2" x14ac:dyDescent="0.2">
      <c r="A173" s="498">
        <f t="shared" si="0"/>
        <v>42607</v>
      </c>
      <c r="B173" s="497">
        <v>359591.19</v>
      </c>
    </row>
    <row r="174" spans="1:2" x14ac:dyDescent="0.2">
      <c r="A174" s="498">
        <f t="shared" si="0"/>
        <v>42608</v>
      </c>
      <c r="B174" s="497">
        <v>399163.14</v>
      </c>
    </row>
    <row r="175" spans="1:2" x14ac:dyDescent="0.2">
      <c r="A175" s="498">
        <f t="shared" si="0"/>
        <v>42611</v>
      </c>
      <c r="B175" s="497">
        <v>407196.62</v>
      </c>
    </row>
    <row r="176" spans="1:2" x14ac:dyDescent="0.2">
      <c r="A176" s="498">
        <f t="shared" si="0"/>
        <v>42612</v>
      </c>
      <c r="B176" s="497">
        <v>422526.97</v>
      </c>
    </row>
    <row r="177" spans="1:5" x14ac:dyDescent="0.2">
      <c r="A177" s="498">
        <f t="shared" si="0"/>
        <v>42613</v>
      </c>
      <c r="B177" s="497">
        <v>479216.05</v>
      </c>
    </row>
    <row r="178" spans="1:5" x14ac:dyDescent="0.2">
      <c r="A178" s="498">
        <f t="shared" si="0"/>
        <v>42614</v>
      </c>
      <c r="B178" s="497">
        <v>479216</v>
      </c>
    </row>
    <row r="179" spans="1:5" x14ac:dyDescent="0.2">
      <c r="A179" s="498">
        <f t="shared" si="0"/>
        <v>42615</v>
      </c>
      <c r="B179" s="497">
        <v>479216</v>
      </c>
    </row>
    <row r="180" spans="1:5" x14ac:dyDescent="0.2">
      <c r="A180" s="498">
        <f t="shared" si="0"/>
        <v>42618</v>
      </c>
      <c r="B180" s="497">
        <v>479216</v>
      </c>
    </row>
    <row r="181" spans="1:5" x14ac:dyDescent="0.2">
      <c r="A181" s="498">
        <f t="shared" si="0"/>
        <v>42619</v>
      </c>
      <c r="B181" s="497">
        <v>440784.82</v>
      </c>
    </row>
    <row r="182" spans="1:5" x14ac:dyDescent="0.2">
      <c r="A182" s="498">
        <f t="shared" si="0"/>
        <v>42620</v>
      </c>
      <c r="B182" s="497">
        <v>440785</v>
      </c>
      <c r="D182" s="499"/>
      <c r="E182" s="500"/>
    </row>
    <row r="183" spans="1:5" x14ac:dyDescent="0.2">
      <c r="A183" s="498">
        <f t="shared" si="0"/>
        <v>42621</v>
      </c>
      <c r="B183" s="497">
        <v>445373.31</v>
      </c>
    </row>
    <row r="184" spans="1:5" x14ac:dyDescent="0.2">
      <c r="A184" s="498">
        <f t="shared" si="0"/>
        <v>42622</v>
      </c>
      <c r="B184" s="497">
        <v>463896.46</v>
      </c>
      <c r="D184" s="499"/>
      <c r="E184" s="500"/>
    </row>
    <row r="185" spans="1:5" x14ac:dyDescent="0.2">
      <c r="A185" s="498">
        <f t="shared" si="0"/>
        <v>42625</v>
      </c>
      <c r="B185" s="497">
        <v>463296.46</v>
      </c>
      <c r="D185" s="499"/>
      <c r="E185" s="500"/>
    </row>
    <row r="186" spans="1:5" x14ac:dyDescent="0.2">
      <c r="A186" s="498">
        <f t="shared" si="0"/>
        <v>42626</v>
      </c>
      <c r="B186" s="497">
        <v>465024.54</v>
      </c>
      <c r="D186" s="499"/>
      <c r="E186" s="500"/>
    </row>
    <row r="187" spans="1:5" x14ac:dyDescent="0.2">
      <c r="A187" s="498">
        <f t="shared" si="0"/>
        <v>42627</v>
      </c>
      <c r="B187" s="497">
        <v>465025</v>
      </c>
      <c r="D187" s="499"/>
      <c r="E187" s="500"/>
    </row>
    <row r="188" spans="1:5" x14ac:dyDescent="0.2">
      <c r="A188" s="498">
        <f t="shared" si="0"/>
        <v>42628</v>
      </c>
      <c r="B188" s="497">
        <v>447444.34</v>
      </c>
      <c r="D188" s="499"/>
      <c r="E188" s="500"/>
    </row>
    <row r="189" spans="1:5" x14ac:dyDescent="0.2">
      <c r="A189" s="498">
        <f t="shared" si="0"/>
        <v>42629</v>
      </c>
      <c r="B189" s="497">
        <v>451135.42</v>
      </c>
      <c r="D189" s="499"/>
      <c r="E189" s="500"/>
    </row>
    <row r="190" spans="1:5" x14ac:dyDescent="0.2">
      <c r="A190" s="498">
        <f t="shared" si="0"/>
        <v>42632</v>
      </c>
      <c r="B190" s="497">
        <v>413924.51</v>
      </c>
      <c r="D190" s="499"/>
      <c r="E190" s="500"/>
    </row>
    <row r="191" spans="1:5" x14ac:dyDescent="0.2">
      <c r="A191" s="498">
        <f t="shared" si="0"/>
        <v>42633</v>
      </c>
      <c r="B191" s="497">
        <v>395080.96000000002</v>
      </c>
      <c r="D191" s="499"/>
      <c r="E191" s="500"/>
    </row>
    <row r="192" spans="1:5" x14ac:dyDescent="0.2">
      <c r="A192" s="498">
        <f t="shared" si="0"/>
        <v>42634</v>
      </c>
      <c r="B192" s="497">
        <v>393852.1</v>
      </c>
      <c r="D192" s="499"/>
      <c r="E192" s="500"/>
    </row>
    <row r="193" spans="1:5" x14ac:dyDescent="0.2">
      <c r="A193" s="498">
        <f t="shared" si="0"/>
        <v>42635</v>
      </c>
      <c r="B193" s="497">
        <v>397757.18</v>
      </c>
      <c r="D193" s="499"/>
      <c r="E193" s="500"/>
    </row>
    <row r="194" spans="1:5" x14ac:dyDescent="0.2">
      <c r="A194" s="498">
        <f t="shared" si="0"/>
        <v>42636</v>
      </c>
      <c r="B194" s="497">
        <v>397757</v>
      </c>
      <c r="D194" s="499"/>
      <c r="E194" s="500"/>
    </row>
    <row r="195" spans="1:5" x14ac:dyDescent="0.2">
      <c r="A195" s="498">
        <f t="shared" si="0"/>
        <v>42639</v>
      </c>
      <c r="B195" s="497">
        <v>397757</v>
      </c>
      <c r="D195" s="499"/>
      <c r="E195" s="500"/>
    </row>
    <row r="196" spans="1:5" x14ac:dyDescent="0.2">
      <c r="A196" s="498">
        <f t="shared" ref="A196:A259" si="1">A191+7</f>
        <v>42640</v>
      </c>
      <c r="B196" s="497">
        <v>403105.59</v>
      </c>
      <c r="D196" s="499"/>
      <c r="E196" s="500"/>
    </row>
    <row r="197" spans="1:5" x14ac:dyDescent="0.2">
      <c r="A197" s="498">
        <f t="shared" si="1"/>
        <v>42641</v>
      </c>
      <c r="B197" s="497">
        <v>394170.51</v>
      </c>
      <c r="D197" s="499"/>
      <c r="E197" s="500"/>
    </row>
    <row r="198" spans="1:5" x14ac:dyDescent="0.2">
      <c r="A198" s="498">
        <f t="shared" si="1"/>
        <v>42642</v>
      </c>
      <c r="B198" s="497">
        <v>397917.56</v>
      </c>
      <c r="D198" s="499"/>
      <c r="E198" s="500"/>
    </row>
    <row r="199" spans="1:5" x14ac:dyDescent="0.2">
      <c r="A199" s="498">
        <f t="shared" si="1"/>
        <v>42643</v>
      </c>
      <c r="B199" s="497">
        <v>397918</v>
      </c>
      <c r="D199" s="499"/>
      <c r="E199" s="500"/>
    </row>
    <row r="200" spans="1:5" x14ac:dyDescent="0.2">
      <c r="A200" s="498">
        <f t="shared" si="1"/>
        <v>42646</v>
      </c>
      <c r="B200" s="497">
        <v>361701.8</v>
      </c>
      <c r="D200" s="499"/>
      <c r="E200" s="500"/>
    </row>
    <row r="201" spans="1:5" x14ac:dyDescent="0.2">
      <c r="A201" s="498">
        <f t="shared" si="1"/>
        <v>42647</v>
      </c>
      <c r="B201" s="497">
        <v>362031.95</v>
      </c>
      <c r="D201" s="499"/>
      <c r="E201" s="500"/>
    </row>
    <row r="202" spans="1:5" x14ac:dyDescent="0.2">
      <c r="A202" s="498">
        <f t="shared" si="1"/>
        <v>42648</v>
      </c>
      <c r="B202" s="497">
        <v>362032</v>
      </c>
    </row>
    <row r="203" spans="1:5" x14ac:dyDescent="0.2">
      <c r="A203" s="498">
        <f t="shared" si="1"/>
        <v>42649</v>
      </c>
      <c r="B203" s="497">
        <v>360433.13</v>
      </c>
    </row>
    <row r="204" spans="1:5" x14ac:dyDescent="0.2">
      <c r="A204" s="498">
        <f t="shared" si="1"/>
        <v>42650</v>
      </c>
      <c r="B204" s="497">
        <v>361754.66</v>
      </c>
    </row>
    <row r="205" spans="1:5" x14ac:dyDescent="0.2">
      <c r="A205" s="498">
        <f t="shared" si="1"/>
        <v>42653</v>
      </c>
      <c r="B205" s="497">
        <v>361755</v>
      </c>
    </row>
    <row r="206" spans="1:5" x14ac:dyDescent="0.2">
      <c r="A206" s="498">
        <f t="shared" si="1"/>
        <v>42654</v>
      </c>
      <c r="B206" s="497">
        <v>361755</v>
      </c>
    </row>
    <row r="207" spans="1:5" x14ac:dyDescent="0.2">
      <c r="A207" s="498">
        <f t="shared" si="1"/>
        <v>42655</v>
      </c>
      <c r="B207" s="497">
        <v>365429.62</v>
      </c>
    </row>
    <row r="208" spans="1:5" x14ac:dyDescent="0.2">
      <c r="A208" s="498">
        <f t="shared" si="1"/>
        <v>42656</v>
      </c>
      <c r="B208" s="497">
        <v>375400.83</v>
      </c>
    </row>
    <row r="209" spans="1:2" x14ac:dyDescent="0.2">
      <c r="A209" s="498">
        <f t="shared" si="1"/>
        <v>42657</v>
      </c>
      <c r="B209" s="497">
        <v>375484.03</v>
      </c>
    </row>
    <row r="210" spans="1:2" x14ac:dyDescent="0.2">
      <c r="A210" s="498">
        <f t="shared" si="1"/>
        <v>42660</v>
      </c>
      <c r="B210" s="497">
        <v>339702.96</v>
      </c>
    </row>
    <row r="211" spans="1:2" x14ac:dyDescent="0.2">
      <c r="A211" s="498">
        <f t="shared" si="1"/>
        <v>42661</v>
      </c>
      <c r="B211" s="497">
        <v>343741.39</v>
      </c>
    </row>
    <row r="212" spans="1:2" x14ac:dyDescent="0.2">
      <c r="A212" s="498">
        <f t="shared" si="1"/>
        <v>42662</v>
      </c>
      <c r="B212" s="497">
        <v>343741</v>
      </c>
    </row>
    <row r="213" spans="1:2" x14ac:dyDescent="0.2">
      <c r="A213" s="498">
        <f t="shared" si="1"/>
        <v>42663</v>
      </c>
      <c r="B213" s="497">
        <v>332267.31</v>
      </c>
    </row>
    <row r="214" spans="1:2" x14ac:dyDescent="0.2">
      <c r="A214" s="498">
        <f t="shared" si="1"/>
        <v>42664</v>
      </c>
      <c r="B214" s="497">
        <v>332482.06</v>
      </c>
    </row>
    <row r="215" spans="1:2" x14ac:dyDescent="0.2">
      <c r="A215" s="498">
        <f t="shared" si="1"/>
        <v>42667</v>
      </c>
      <c r="B215" s="497">
        <v>332482</v>
      </c>
    </row>
    <row r="216" spans="1:2" x14ac:dyDescent="0.2">
      <c r="A216" s="498">
        <f t="shared" si="1"/>
        <v>42668</v>
      </c>
      <c r="B216" s="497">
        <v>337085.39</v>
      </c>
    </row>
    <row r="217" spans="1:2" x14ac:dyDescent="0.2">
      <c r="A217" s="498">
        <f t="shared" si="1"/>
        <v>42669</v>
      </c>
      <c r="B217" s="497">
        <v>337085</v>
      </c>
    </row>
    <row r="218" spans="1:2" x14ac:dyDescent="0.2">
      <c r="A218" s="498">
        <f t="shared" si="1"/>
        <v>42670</v>
      </c>
      <c r="B218" s="497">
        <v>333113.26</v>
      </c>
    </row>
    <row r="219" spans="1:2" x14ac:dyDescent="0.2">
      <c r="A219" s="498">
        <f t="shared" si="1"/>
        <v>42671</v>
      </c>
      <c r="B219" s="497">
        <v>360993.03</v>
      </c>
    </row>
    <row r="220" spans="1:2" x14ac:dyDescent="0.2">
      <c r="A220" s="498">
        <f t="shared" si="1"/>
        <v>42674</v>
      </c>
      <c r="B220" s="497">
        <v>350567.25</v>
      </c>
    </row>
    <row r="221" spans="1:2" x14ac:dyDescent="0.2">
      <c r="A221" s="498">
        <f t="shared" si="1"/>
        <v>42675</v>
      </c>
      <c r="B221" s="497">
        <v>350939.21</v>
      </c>
    </row>
    <row r="222" spans="1:2" x14ac:dyDescent="0.2">
      <c r="A222" s="498">
        <f t="shared" si="1"/>
        <v>42676</v>
      </c>
      <c r="B222" s="497">
        <v>350939</v>
      </c>
    </row>
    <row r="223" spans="1:2" x14ac:dyDescent="0.2">
      <c r="A223" s="498">
        <f t="shared" si="1"/>
        <v>42677</v>
      </c>
      <c r="B223" s="497">
        <v>344148.64</v>
      </c>
    </row>
    <row r="224" spans="1:2" x14ac:dyDescent="0.2">
      <c r="A224" s="498">
        <f t="shared" si="1"/>
        <v>42678</v>
      </c>
      <c r="B224" s="497">
        <v>399084.27</v>
      </c>
    </row>
    <row r="225" spans="1:2" x14ac:dyDescent="0.2">
      <c r="A225" s="498">
        <f t="shared" si="1"/>
        <v>42681</v>
      </c>
      <c r="B225" s="497">
        <v>399084</v>
      </c>
    </row>
    <row r="226" spans="1:2" x14ac:dyDescent="0.2">
      <c r="A226" s="498">
        <f t="shared" si="1"/>
        <v>42682</v>
      </c>
      <c r="B226" s="497">
        <v>403667.29</v>
      </c>
    </row>
    <row r="227" spans="1:2" x14ac:dyDescent="0.2">
      <c r="A227" s="498">
        <f t="shared" si="1"/>
        <v>42683</v>
      </c>
      <c r="B227" s="497">
        <v>403667</v>
      </c>
    </row>
    <row r="228" spans="1:2" x14ac:dyDescent="0.2">
      <c r="A228" s="498">
        <f t="shared" si="1"/>
        <v>42684</v>
      </c>
      <c r="B228" s="497">
        <v>383477.25</v>
      </c>
    </row>
    <row r="229" spans="1:2" x14ac:dyDescent="0.2">
      <c r="A229" s="498">
        <f t="shared" si="1"/>
        <v>42685</v>
      </c>
      <c r="B229" s="497">
        <v>383477</v>
      </c>
    </row>
    <row r="230" spans="1:2" x14ac:dyDescent="0.2">
      <c r="A230" s="498">
        <f t="shared" si="1"/>
        <v>42688</v>
      </c>
      <c r="B230" s="497">
        <v>347717.6</v>
      </c>
    </row>
    <row r="231" spans="1:2" x14ac:dyDescent="0.2">
      <c r="A231" s="498">
        <f t="shared" si="1"/>
        <v>42689</v>
      </c>
      <c r="B231" s="497">
        <v>347836.75</v>
      </c>
    </row>
    <row r="232" spans="1:2" x14ac:dyDescent="0.2">
      <c r="A232" s="498">
        <f t="shared" si="1"/>
        <v>42690</v>
      </c>
      <c r="B232" s="497">
        <v>347836.75</v>
      </c>
    </row>
    <row r="233" spans="1:2" x14ac:dyDescent="0.2">
      <c r="A233" s="498">
        <f t="shared" si="1"/>
        <v>42691</v>
      </c>
      <c r="B233" s="497">
        <v>350935.56</v>
      </c>
    </row>
    <row r="234" spans="1:2" x14ac:dyDescent="0.2">
      <c r="A234" s="498">
        <f t="shared" si="1"/>
        <v>42692</v>
      </c>
      <c r="B234" s="497">
        <v>350936</v>
      </c>
    </row>
    <row r="235" spans="1:2" x14ac:dyDescent="0.2">
      <c r="A235" s="498">
        <f t="shared" si="1"/>
        <v>42695</v>
      </c>
      <c r="B235" s="497">
        <v>350936</v>
      </c>
    </row>
    <row r="236" spans="1:2" x14ac:dyDescent="0.2">
      <c r="A236" s="498">
        <f t="shared" si="1"/>
        <v>42696</v>
      </c>
      <c r="B236" s="497">
        <v>351588.06</v>
      </c>
    </row>
    <row r="237" spans="1:2" x14ac:dyDescent="0.2">
      <c r="A237" s="498">
        <f t="shared" si="1"/>
        <v>42697</v>
      </c>
      <c r="B237" s="497">
        <v>349477.96</v>
      </c>
    </row>
    <row r="238" spans="1:2" x14ac:dyDescent="0.2">
      <c r="A238" s="498">
        <f t="shared" si="1"/>
        <v>42698</v>
      </c>
      <c r="B238" s="497">
        <v>349478</v>
      </c>
    </row>
    <row r="239" spans="1:2" x14ac:dyDescent="0.2">
      <c r="A239" s="498">
        <f t="shared" si="1"/>
        <v>42699</v>
      </c>
      <c r="B239" s="497">
        <v>368170.66</v>
      </c>
    </row>
    <row r="240" spans="1:2" x14ac:dyDescent="0.2">
      <c r="A240" s="498">
        <f t="shared" si="1"/>
        <v>42702</v>
      </c>
      <c r="B240" s="497">
        <v>368170.66</v>
      </c>
    </row>
    <row r="241" spans="1:2" x14ac:dyDescent="0.2">
      <c r="A241" s="498">
        <f t="shared" si="1"/>
        <v>42703</v>
      </c>
      <c r="B241" s="497">
        <v>328902.64</v>
      </c>
    </row>
    <row r="242" spans="1:2" x14ac:dyDescent="0.2">
      <c r="A242" s="498">
        <f t="shared" si="1"/>
        <v>42704</v>
      </c>
      <c r="B242" s="497">
        <v>338455.85</v>
      </c>
    </row>
    <row r="243" spans="1:2" x14ac:dyDescent="0.2">
      <c r="A243" s="498">
        <f t="shared" si="1"/>
        <v>42705</v>
      </c>
      <c r="B243" s="497">
        <v>336997.18</v>
      </c>
    </row>
    <row r="244" spans="1:2" x14ac:dyDescent="0.2">
      <c r="A244" s="498">
        <f t="shared" si="1"/>
        <v>42706</v>
      </c>
      <c r="B244" s="497">
        <v>342825.59</v>
      </c>
    </row>
    <row r="245" spans="1:2" x14ac:dyDescent="0.2">
      <c r="A245" s="498">
        <f t="shared" si="1"/>
        <v>42709</v>
      </c>
      <c r="B245" s="497">
        <v>342826</v>
      </c>
    </row>
    <row r="246" spans="1:2" x14ac:dyDescent="0.2">
      <c r="A246" s="498">
        <f t="shared" si="1"/>
        <v>42710</v>
      </c>
      <c r="B246" s="497">
        <v>344457.81</v>
      </c>
    </row>
    <row r="247" spans="1:2" x14ac:dyDescent="0.2">
      <c r="A247" s="498">
        <f t="shared" si="1"/>
        <v>42711</v>
      </c>
      <c r="B247" s="497">
        <v>366772.64</v>
      </c>
    </row>
    <row r="248" spans="1:2" x14ac:dyDescent="0.2">
      <c r="A248" s="498">
        <f t="shared" si="1"/>
        <v>42712</v>
      </c>
      <c r="B248" s="497">
        <v>366772.6</v>
      </c>
    </row>
    <row r="249" spans="1:2" x14ac:dyDescent="0.2">
      <c r="A249" s="498">
        <f t="shared" si="1"/>
        <v>42713</v>
      </c>
      <c r="B249" s="497">
        <v>366773</v>
      </c>
    </row>
    <row r="250" spans="1:2" x14ac:dyDescent="0.2">
      <c r="A250" s="498">
        <f t="shared" si="1"/>
        <v>42716</v>
      </c>
      <c r="B250" s="497">
        <v>366773</v>
      </c>
    </row>
    <row r="251" spans="1:2" x14ac:dyDescent="0.2">
      <c r="A251" s="498">
        <f t="shared" si="1"/>
        <v>42717</v>
      </c>
      <c r="B251" s="497">
        <v>346535.44</v>
      </c>
    </row>
    <row r="252" spans="1:2" x14ac:dyDescent="0.2">
      <c r="A252" s="498">
        <f t="shared" si="1"/>
        <v>42718</v>
      </c>
      <c r="B252" s="497">
        <v>346535</v>
      </c>
    </row>
    <row r="253" spans="1:2" x14ac:dyDescent="0.2">
      <c r="A253" s="498">
        <f t="shared" si="1"/>
        <v>42719</v>
      </c>
      <c r="B253" s="497">
        <v>335522.11</v>
      </c>
    </row>
    <row r="254" spans="1:2" x14ac:dyDescent="0.2">
      <c r="A254" s="498">
        <f t="shared" si="1"/>
        <v>42720</v>
      </c>
      <c r="B254" s="497">
        <v>335675.99</v>
      </c>
    </row>
    <row r="255" spans="1:2" x14ac:dyDescent="0.2">
      <c r="A255" s="498">
        <f t="shared" si="1"/>
        <v>42723</v>
      </c>
      <c r="B255" s="497">
        <v>357268.43</v>
      </c>
    </row>
    <row r="256" spans="1:2" x14ac:dyDescent="0.2">
      <c r="A256" s="498">
        <f t="shared" si="1"/>
        <v>42724</v>
      </c>
      <c r="B256" s="497">
        <v>357268</v>
      </c>
    </row>
    <row r="257" spans="1:2" x14ac:dyDescent="0.2">
      <c r="A257" s="498">
        <f t="shared" si="1"/>
        <v>42725</v>
      </c>
      <c r="B257" s="497">
        <v>366192.91</v>
      </c>
    </row>
    <row r="258" spans="1:2" x14ac:dyDescent="0.2">
      <c r="A258" s="498">
        <f t="shared" si="1"/>
        <v>42726</v>
      </c>
      <c r="B258" s="497">
        <v>377001.67</v>
      </c>
    </row>
    <row r="259" spans="1:2" x14ac:dyDescent="0.2">
      <c r="A259" s="498">
        <f t="shared" si="1"/>
        <v>42727</v>
      </c>
      <c r="B259" s="497">
        <v>377329.67</v>
      </c>
    </row>
    <row r="260" spans="1:2" x14ac:dyDescent="0.2">
      <c r="A260" s="498">
        <f t="shared" ref="A260:A264" si="2">A255+7</f>
        <v>42730</v>
      </c>
      <c r="B260" s="497">
        <v>377330</v>
      </c>
    </row>
    <row r="261" spans="1:2" x14ac:dyDescent="0.2">
      <c r="A261" s="498">
        <f t="shared" si="2"/>
        <v>42731</v>
      </c>
      <c r="B261" s="497">
        <v>339782.53</v>
      </c>
    </row>
    <row r="262" spans="1:2" x14ac:dyDescent="0.2">
      <c r="A262" s="498">
        <f t="shared" si="2"/>
        <v>42732</v>
      </c>
      <c r="B262" s="497">
        <v>339783</v>
      </c>
    </row>
    <row r="263" spans="1:2" x14ac:dyDescent="0.2">
      <c r="A263" s="498">
        <f t="shared" si="2"/>
        <v>42733</v>
      </c>
      <c r="B263" s="497">
        <v>337987.77</v>
      </c>
    </row>
    <row r="264" spans="1:2" x14ac:dyDescent="0.2">
      <c r="A264" s="498">
        <f t="shared" si="2"/>
        <v>42734</v>
      </c>
      <c r="B264" s="497">
        <v>354814.33</v>
      </c>
    </row>
    <row r="265" spans="1:2" x14ac:dyDescent="0.2">
      <c r="A265" s="521">
        <v>42737</v>
      </c>
      <c r="B265" s="522">
        <v>354814</v>
      </c>
    </row>
    <row r="266" spans="1:2" x14ac:dyDescent="0.2">
      <c r="A266" s="521">
        <v>42738</v>
      </c>
      <c r="B266" s="522">
        <v>361866.86</v>
      </c>
    </row>
    <row r="267" spans="1:2" x14ac:dyDescent="0.2">
      <c r="A267" s="521">
        <v>42739</v>
      </c>
      <c r="B267" s="522">
        <v>363519.32</v>
      </c>
    </row>
    <row r="268" spans="1:2" x14ac:dyDescent="0.2">
      <c r="A268" s="521">
        <v>42740</v>
      </c>
      <c r="B268" s="522">
        <v>361866.66</v>
      </c>
    </row>
    <row r="269" spans="1:2" x14ac:dyDescent="0.2">
      <c r="A269" s="521">
        <v>42741</v>
      </c>
      <c r="B269" s="522">
        <v>363519</v>
      </c>
    </row>
    <row r="270" spans="1:2" x14ac:dyDescent="0.2">
      <c r="A270" s="521">
        <v>42744</v>
      </c>
      <c r="B270" s="522">
        <v>363543.47</v>
      </c>
    </row>
    <row r="271" spans="1:2" x14ac:dyDescent="0.2">
      <c r="A271" s="521">
        <v>42745</v>
      </c>
      <c r="B271" s="522">
        <v>328707.83</v>
      </c>
    </row>
    <row r="272" spans="1:2" x14ac:dyDescent="0.2">
      <c r="A272" s="521">
        <v>42746</v>
      </c>
      <c r="B272" s="522">
        <v>328708</v>
      </c>
    </row>
    <row r="273" spans="1:2" x14ac:dyDescent="0.2">
      <c r="A273" s="521">
        <v>42747</v>
      </c>
      <c r="B273" s="522">
        <v>321086.01</v>
      </c>
    </row>
    <row r="274" spans="1:2" x14ac:dyDescent="0.2">
      <c r="A274" s="521">
        <v>42748</v>
      </c>
      <c r="B274" s="522">
        <v>334097.28000000003</v>
      </c>
    </row>
    <row r="275" spans="1:2" x14ac:dyDescent="0.2">
      <c r="A275" s="521">
        <v>42751</v>
      </c>
      <c r="B275" s="522">
        <v>334097</v>
      </c>
    </row>
    <row r="276" spans="1:2" x14ac:dyDescent="0.2">
      <c r="A276" s="521">
        <v>42752</v>
      </c>
      <c r="B276" s="522">
        <v>268850.96000000002</v>
      </c>
    </row>
    <row r="277" spans="1:2" x14ac:dyDescent="0.2">
      <c r="A277" s="521">
        <v>42753</v>
      </c>
      <c r="B277" s="522">
        <v>268851</v>
      </c>
    </row>
    <row r="278" spans="1:2" x14ac:dyDescent="0.2">
      <c r="A278" s="521">
        <v>42754</v>
      </c>
      <c r="B278" s="522">
        <v>269075.21000000002</v>
      </c>
    </row>
    <row r="279" spans="1:2" x14ac:dyDescent="0.2">
      <c r="A279" s="521">
        <v>42755</v>
      </c>
      <c r="B279" s="522">
        <v>270983.21000000002</v>
      </c>
    </row>
    <row r="280" spans="1:2" x14ac:dyDescent="0.2">
      <c r="A280" s="521">
        <v>42758</v>
      </c>
      <c r="B280" s="522">
        <v>270983</v>
      </c>
    </row>
    <row r="281" spans="1:2" x14ac:dyDescent="0.2">
      <c r="A281" s="521">
        <v>42759</v>
      </c>
      <c r="B281" s="522">
        <v>270723.98</v>
      </c>
    </row>
    <row r="282" spans="1:2" x14ac:dyDescent="0.2">
      <c r="A282" s="521">
        <v>42760</v>
      </c>
      <c r="B282" s="522">
        <v>281353.09999999998</v>
      </c>
    </row>
    <row r="283" spans="1:2" x14ac:dyDescent="0.2">
      <c r="A283" s="521">
        <v>42761</v>
      </c>
      <c r="B283" s="522">
        <v>274313.84999999998</v>
      </c>
    </row>
    <row r="284" spans="1:2" x14ac:dyDescent="0.2">
      <c r="A284" s="521">
        <v>42762</v>
      </c>
      <c r="B284" s="522">
        <v>296447.59999999998</v>
      </c>
    </row>
    <row r="285" spans="1:2" x14ac:dyDescent="0.2">
      <c r="A285" s="521">
        <v>42765</v>
      </c>
      <c r="B285" s="522">
        <v>295107.96000000002</v>
      </c>
    </row>
    <row r="286" spans="1:2" x14ac:dyDescent="0.2">
      <c r="A286" s="521">
        <v>42766</v>
      </c>
      <c r="B286" s="522">
        <v>314030.53000000003</v>
      </c>
    </row>
    <row r="287" spans="1:2" x14ac:dyDescent="0.2">
      <c r="A287" s="521">
        <v>42767</v>
      </c>
      <c r="B287" s="522">
        <v>314031</v>
      </c>
    </row>
    <row r="288" spans="1:2" x14ac:dyDescent="0.2">
      <c r="A288" s="521">
        <v>42768</v>
      </c>
      <c r="B288" s="522">
        <v>312808.53999999998</v>
      </c>
    </row>
    <row r="289" spans="1:2" x14ac:dyDescent="0.2">
      <c r="A289" s="521">
        <v>42769</v>
      </c>
      <c r="B289" s="522">
        <v>316461.53999999998</v>
      </c>
    </row>
    <row r="290" spans="1:2" x14ac:dyDescent="0.2">
      <c r="A290" s="521">
        <v>42772</v>
      </c>
      <c r="B290" s="522">
        <v>316462</v>
      </c>
    </row>
    <row r="291" spans="1:2" x14ac:dyDescent="0.2">
      <c r="A291" s="521">
        <v>42773</v>
      </c>
      <c r="B291" s="522">
        <v>289560.21999999997</v>
      </c>
    </row>
    <row r="292" spans="1:2" x14ac:dyDescent="0.2">
      <c r="A292" s="521">
        <v>42774</v>
      </c>
      <c r="B292" s="522">
        <v>297310.21999999997</v>
      </c>
    </row>
    <row r="293" spans="1:2" x14ac:dyDescent="0.2">
      <c r="A293" s="521">
        <v>42775</v>
      </c>
      <c r="B293" s="522">
        <v>352433.91</v>
      </c>
    </row>
    <row r="294" spans="1:2" x14ac:dyDescent="0.2">
      <c r="A294" s="521">
        <v>42776</v>
      </c>
      <c r="B294" s="522">
        <v>352434</v>
      </c>
    </row>
    <row r="295" spans="1:2" x14ac:dyDescent="0.2">
      <c r="A295" s="521">
        <v>42779</v>
      </c>
      <c r="B295" s="522">
        <v>352434</v>
      </c>
    </row>
    <row r="296" spans="1:2" x14ac:dyDescent="0.2">
      <c r="A296" s="521">
        <v>42780</v>
      </c>
      <c r="B296" s="522">
        <v>352434</v>
      </c>
    </row>
    <row r="297" spans="1:2" x14ac:dyDescent="0.2">
      <c r="A297" s="521">
        <v>42781</v>
      </c>
      <c r="B297" s="522">
        <v>352542.46</v>
      </c>
    </row>
    <row r="298" spans="1:2" x14ac:dyDescent="0.2">
      <c r="A298" s="521">
        <v>42782</v>
      </c>
      <c r="B298" s="522">
        <v>383231.99</v>
      </c>
    </row>
    <row r="299" spans="1:2" x14ac:dyDescent="0.2">
      <c r="A299" s="521">
        <v>42783</v>
      </c>
      <c r="B299" s="556">
        <v>404679.36</v>
      </c>
    </row>
    <row r="300" spans="1:2" x14ac:dyDescent="0.2">
      <c r="A300" s="521">
        <v>42785</v>
      </c>
      <c r="B300" s="522">
        <v>404679</v>
      </c>
    </row>
    <row r="301" spans="1:2" x14ac:dyDescent="0.2">
      <c r="A301" s="521">
        <v>42787</v>
      </c>
      <c r="B301" s="522">
        <v>368703.72</v>
      </c>
    </row>
    <row r="302" spans="1:2" x14ac:dyDescent="0.2">
      <c r="A302" s="521">
        <v>42788</v>
      </c>
      <c r="B302" s="522">
        <v>368203.72</v>
      </c>
    </row>
    <row r="303" spans="1:2" x14ac:dyDescent="0.2">
      <c r="A303" s="521">
        <v>42789</v>
      </c>
      <c r="B303" s="522">
        <v>349211.92</v>
      </c>
    </row>
    <row r="304" spans="1:2" x14ac:dyDescent="0.2">
      <c r="A304" s="521">
        <v>42790</v>
      </c>
      <c r="B304" s="522">
        <v>384176.45</v>
      </c>
    </row>
    <row r="305" spans="1:2" x14ac:dyDescent="0.2">
      <c r="A305" s="521">
        <v>42793</v>
      </c>
      <c r="B305" s="522">
        <v>384176</v>
      </c>
    </row>
    <row r="306" spans="1:2" x14ac:dyDescent="0.2">
      <c r="A306" s="521">
        <v>42794</v>
      </c>
      <c r="B306" s="522">
        <v>384176</v>
      </c>
    </row>
    <row r="307" spans="1:2" x14ac:dyDescent="0.2">
      <c r="A307" s="521">
        <v>42795</v>
      </c>
      <c r="B307" s="522">
        <v>384176</v>
      </c>
    </row>
    <row r="308" spans="1:2" x14ac:dyDescent="0.2">
      <c r="A308" s="521">
        <v>42796</v>
      </c>
      <c r="B308" s="522">
        <v>395396.43</v>
      </c>
    </row>
    <row r="309" spans="1:2" x14ac:dyDescent="0.2">
      <c r="A309" s="521">
        <v>42797</v>
      </c>
      <c r="B309" s="522">
        <v>395396</v>
      </c>
    </row>
    <row r="310" spans="1:2" x14ac:dyDescent="0.2">
      <c r="A310" s="521">
        <v>42800</v>
      </c>
      <c r="B310" s="522">
        <v>395396</v>
      </c>
    </row>
    <row r="311" spans="1:2" x14ac:dyDescent="0.2">
      <c r="A311" s="521">
        <v>42801</v>
      </c>
      <c r="B311" s="522">
        <v>361856.47</v>
      </c>
    </row>
    <row r="312" spans="1:2" x14ac:dyDescent="0.2">
      <c r="A312" s="521">
        <v>42802</v>
      </c>
      <c r="B312" s="522">
        <v>361856</v>
      </c>
    </row>
    <row r="313" spans="1:2" x14ac:dyDescent="0.2">
      <c r="A313" s="521">
        <v>42803</v>
      </c>
      <c r="B313" s="522">
        <v>349877.16</v>
      </c>
    </row>
    <row r="314" spans="1:2" x14ac:dyDescent="0.2">
      <c r="A314" s="521">
        <v>42804</v>
      </c>
      <c r="B314" s="522">
        <v>359297.81</v>
      </c>
    </row>
    <row r="315" spans="1:2" x14ac:dyDescent="0.2">
      <c r="A315" s="521">
        <v>42807</v>
      </c>
      <c r="B315" s="522">
        <v>361678.91</v>
      </c>
    </row>
    <row r="316" spans="1:2" x14ac:dyDescent="0.2">
      <c r="A316" s="521">
        <v>42808</v>
      </c>
      <c r="B316" s="522">
        <v>361679</v>
      </c>
    </row>
    <row r="317" spans="1:2" x14ac:dyDescent="0.2">
      <c r="A317" s="521">
        <v>42809</v>
      </c>
      <c r="B317" s="522">
        <v>370843.37</v>
      </c>
    </row>
    <row r="318" spans="1:2" x14ac:dyDescent="0.2">
      <c r="A318" s="521">
        <v>42810</v>
      </c>
      <c r="B318" s="522">
        <v>377566.07</v>
      </c>
    </row>
    <row r="319" spans="1:2" x14ac:dyDescent="0.2">
      <c r="A319" s="521">
        <v>42811</v>
      </c>
      <c r="B319" s="522">
        <v>370373.97</v>
      </c>
    </row>
    <row r="320" spans="1:2" x14ac:dyDescent="0.2">
      <c r="A320" s="521">
        <v>42814</v>
      </c>
      <c r="B320" s="522">
        <v>338340.3</v>
      </c>
    </row>
    <row r="321" spans="1:2" x14ac:dyDescent="0.2">
      <c r="A321" s="521">
        <v>42815</v>
      </c>
      <c r="B321" s="522">
        <v>338340</v>
      </c>
    </row>
    <row r="322" spans="1:2" x14ac:dyDescent="0.2">
      <c r="A322" s="521">
        <v>42816</v>
      </c>
      <c r="B322" s="522">
        <v>338340</v>
      </c>
    </row>
    <row r="323" spans="1:2" x14ac:dyDescent="0.2">
      <c r="A323" s="521">
        <v>42817</v>
      </c>
      <c r="B323" s="522">
        <f>25944.71+322493.66</f>
        <v>348438.37</v>
      </c>
    </row>
    <row r="324" spans="1:2" x14ac:dyDescent="0.2">
      <c r="A324" s="521">
        <v>42818</v>
      </c>
      <c r="B324" s="522">
        <v>348438</v>
      </c>
    </row>
    <row r="325" spans="1:2" x14ac:dyDescent="0.2">
      <c r="A325" s="521">
        <v>42821</v>
      </c>
      <c r="B325" s="522">
        <v>348360.51</v>
      </c>
    </row>
    <row r="326" spans="1:2" x14ac:dyDescent="0.2">
      <c r="A326" s="521">
        <v>42822</v>
      </c>
      <c r="B326" s="497">
        <v>348440.48</v>
      </c>
    </row>
    <row r="327" spans="1:2" x14ac:dyDescent="0.2">
      <c r="A327" s="521">
        <v>42823</v>
      </c>
      <c r="B327" s="497">
        <v>348440</v>
      </c>
    </row>
    <row r="328" spans="1:2" x14ac:dyDescent="0.2">
      <c r="A328" s="521">
        <v>42824</v>
      </c>
      <c r="B328" s="497">
        <v>350305.92</v>
      </c>
    </row>
    <row r="329" spans="1:2" x14ac:dyDescent="0.2">
      <c r="A329" s="521">
        <v>42825</v>
      </c>
      <c r="B329" s="497">
        <v>350306</v>
      </c>
    </row>
    <row r="330" spans="1:2" x14ac:dyDescent="0.2">
      <c r="A330" s="521">
        <v>42828</v>
      </c>
      <c r="B330" s="497">
        <v>350306</v>
      </c>
    </row>
    <row r="331" spans="1:2" x14ac:dyDescent="0.2">
      <c r="A331" s="521">
        <v>42829</v>
      </c>
      <c r="B331" s="497">
        <v>320389.65000000002</v>
      </c>
    </row>
    <row r="332" spans="1:2" x14ac:dyDescent="0.2">
      <c r="A332" s="521">
        <v>42830</v>
      </c>
      <c r="B332" s="497">
        <v>320390</v>
      </c>
    </row>
    <row r="333" spans="1:2" x14ac:dyDescent="0.2">
      <c r="A333" s="521">
        <v>42831</v>
      </c>
      <c r="B333" s="497">
        <v>313344</v>
      </c>
    </row>
    <row r="334" spans="1:2" x14ac:dyDescent="0.2">
      <c r="A334" s="521">
        <v>42832</v>
      </c>
      <c r="B334" s="497">
        <v>313344</v>
      </c>
    </row>
    <row r="335" spans="1:2" x14ac:dyDescent="0.2">
      <c r="A335" s="521">
        <v>42835</v>
      </c>
      <c r="B335" s="497">
        <v>306132.78000000003</v>
      </c>
    </row>
    <row r="336" spans="1:2" x14ac:dyDescent="0.2">
      <c r="A336" s="521">
        <v>42836</v>
      </c>
      <c r="B336" s="497">
        <v>286047.34999999998</v>
      </c>
    </row>
    <row r="337" spans="1:2" x14ac:dyDescent="0.2">
      <c r="A337" s="521">
        <v>42837</v>
      </c>
      <c r="B337" s="497">
        <v>286047</v>
      </c>
    </row>
    <row r="338" spans="1:2" x14ac:dyDescent="0.2">
      <c r="A338" s="521">
        <v>42838</v>
      </c>
      <c r="B338" s="497">
        <v>272128.99</v>
      </c>
    </row>
    <row r="339" spans="1:2" x14ac:dyDescent="0.2">
      <c r="A339" s="521">
        <v>42839</v>
      </c>
      <c r="B339" s="497">
        <v>272229.71000000002</v>
      </c>
    </row>
    <row r="340" spans="1:2" x14ac:dyDescent="0.2">
      <c r="A340" s="521">
        <v>42842</v>
      </c>
      <c r="B340" s="497">
        <v>236683.56</v>
      </c>
    </row>
    <row r="341" spans="1:2" x14ac:dyDescent="0.2">
      <c r="A341" s="521">
        <v>42843</v>
      </c>
      <c r="B341" s="497">
        <v>244114.64</v>
      </c>
    </row>
    <row r="342" spans="1:2" x14ac:dyDescent="0.2">
      <c r="A342" s="521">
        <v>42844</v>
      </c>
      <c r="B342" s="497">
        <v>244115</v>
      </c>
    </row>
    <row r="343" spans="1:2" x14ac:dyDescent="0.2">
      <c r="A343" s="521">
        <v>42845</v>
      </c>
      <c r="B343" s="497">
        <v>241798.76</v>
      </c>
    </row>
    <row r="344" spans="1:2" x14ac:dyDescent="0.2">
      <c r="A344" s="521">
        <v>42846</v>
      </c>
      <c r="B344" s="497">
        <v>241799</v>
      </c>
    </row>
    <row r="345" spans="1:2" x14ac:dyDescent="0.2">
      <c r="A345" s="521">
        <v>42849</v>
      </c>
      <c r="B345" s="497">
        <v>241973.76000000001</v>
      </c>
    </row>
    <row r="346" spans="1:2" x14ac:dyDescent="0.2">
      <c r="A346" s="521">
        <v>42850</v>
      </c>
      <c r="B346" s="497">
        <v>243364.2</v>
      </c>
    </row>
    <row r="347" spans="1:2" x14ac:dyDescent="0.2">
      <c r="A347" s="521">
        <v>42851</v>
      </c>
      <c r="B347" s="497">
        <v>243364</v>
      </c>
    </row>
    <row r="348" spans="1:2" x14ac:dyDescent="0.2">
      <c r="A348" s="521">
        <v>42852</v>
      </c>
      <c r="B348" s="497">
        <v>259265.45</v>
      </c>
    </row>
    <row r="349" spans="1:2" x14ac:dyDescent="0.2">
      <c r="A349" s="521">
        <v>42853</v>
      </c>
      <c r="B349" s="497">
        <v>290731.18</v>
      </c>
    </row>
    <row r="350" spans="1:2" x14ac:dyDescent="0.2">
      <c r="A350" s="521">
        <v>42856</v>
      </c>
      <c r="B350" s="497">
        <v>251486.17</v>
      </c>
    </row>
    <row r="351" spans="1:2" x14ac:dyDescent="0.2">
      <c r="A351" s="521">
        <v>42857</v>
      </c>
      <c r="B351" s="497">
        <v>253188.17</v>
      </c>
    </row>
    <row r="352" spans="1:2" x14ac:dyDescent="0.2">
      <c r="A352" s="521">
        <v>42858</v>
      </c>
      <c r="B352" s="497">
        <v>253188</v>
      </c>
    </row>
    <row r="353" spans="1:2" x14ac:dyDescent="0.2">
      <c r="A353" s="521">
        <v>42859</v>
      </c>
      <c r="B353" s="497">
        <v>232739.33</v>
      </c>
    </row>
    <row r="354" spans="1:2" x14ac:dyDescent="0.2">
      <c r="A354" s="521">
        <v>42860</v>
      </c>
      <c r="B354" s="497">
        <v>234049.33</v>
      </c>
    </row>
    <row r="355" spans="1:2" x14ac:dyDescent="0.2">
      <c r="A355" s="521">
        <v>42863</v>
      </c>
      <c r="B355" s="497">
        <v>314317.77</v>
      </c>
    </row>
    <row r="356" spans="1:2" x14ac:dyDescent="0.2">
      <c r="A356" s="521">
        <v>42864</v>
      </c>
      <c r="B356" s="497">
        <v>314318</v>
      </c>
    </row>
    <row r="357" spans="1:2" x14ac:dyDescent="0.2">
      <c r="A357" s="521">
        <v>42865</v>
      </c>
      <c r="B357" s="497">
        <v>314318</v>
      </c>
    </row>
    <row r="358" spans="1:2" x14ac:dyDescent="0.2">
      <c r="A358" s="521">
        <v>42866</v>
      </c>
      <c r="B358" s="497">
        <v>313971.28000000003</v>
      </c>
    </row>
    <row r="359" spans="1:2" x14ac:dyDescent="0.2">
      <c r="A359" s="521">
        <v>42867</v>
      </c>
      <c r="B359" s="497">
        <v>313971</v>
      </c>
    </row>
    <row r="360" spans="1:2" x14ac:dyDescent="0.2">
      <c r="A360" s="521">
        <v>42870</v>
      </c>
      <c r="B360" s="497">
        <v>271063.69</v>
      </c>
    </row>
    <row r="361" spans="1:2" x14ac:dyDescent="0.2">
      <c r="A361" s="521">
        <v>42871</v>
      </c>
      <c r="B361" s="497">
        <v>271064</v>
      </c>
    </row>
    <row r="362" spans="1:2" x14ac:dyDescent="0.2">
      <c r="A362" s="521">
        <v>42872</v>
      </c>
      <c r="B362" s="497">
        <v>271064</v>
      </c>
    </row>
    <row r="363" spans="1:2" x14ac:dyDescent="0.2">
      <c r="A363" s="521">
        <v>42873</v>
      </c>
      <c r="B363" s="497">
        <v>261497.73</v>
      </c>
    </row>
    <row r="364" spans="1:2" x14ac:dyDescent="0.2">
      <c r="A364" s="521">
        <v>42874</v>
      </c>
      <c r="B364" s="497">
        <v>311507.92</v>
      </c>
    </row>
    <row r="365" spans="1:2" x14ac:dyDescent="0.2">
      <c r="A365" s="521">
        <v>42877</v>
      </c>
      <c r="B365" s="497">
        <v>290080.52</v>
      </c>
    </row>
    <row r="366" spans="1:2" x14ac:dyDescent="0.2">
      <c r="A366" s="521">
        <v>42878</v>
      </c>
      <c r="B366" s="497">
        <v>290081</v>
      </c>
    </row>
    <row r="367" spans="1:2" x14ac:dyDescent="0.2">
      <c r="A367" s="521">
        <v>42879</v>
      </c>
      <c r="B367" s="497">
        <v>327080.46000000002</v>
      </c>
    </row>
    <row r="368" spans="1:2" x14ac:dyDescent="0.2">
      <c r="A368" s="521">
        <v>42880</v>
      </c>
      <c r="B368" s="497">
        <v>327080</v>
      </c>
    </row>
    <row r="369" spans="1:2" x14ac:dyDescent="0.2">
      <c r="A369" s="521">
        <v>42881</v>
      </c>
      <c r="B369" s="497">
        <v>336844.12</v>
      </c>
    </row>
    <row r="370" spans="1:2" x14ac:dyDescent="0.2">
      <c r="A370" s="521">
        <v>42884</v>
      </c>
      <c r="B370" s="497">
        <v>336844</v>
      </c>
    </row>
    <row r="371" spans="1:2" x14ac:dyDescent="0.2">
      <c r="A371" s="521">
        <v>42885</v>
      </c>
      <c r="B371" s="497">
        <v>300553.48</v>
      </c>
    </row>
    <row r="372" spans="1:2" x14ac:dyDescent="0.2">
      <c r="A372" s="521">
        <v>42886</v>
      </c>
      <c r="B372" s="497">
        <v>296887.5</v>
      </c>
    </row>
    <row r="373" spans="1:2" x14ac:dyDescent="0.2">
      <c r="A373" s="521">
        <v>42887</v>
      </c>
      <c r="B373" s="497">
        <v>297355.68</v>
      </c>
    </row>
    <row r="374" spans="1:2" x14ac:dyDescent="0.2">
      <c r="A374" s="521">
        <v>42888</v>
      </c>
      <c r="B374" s="497">
        <v>298760.68</v>
      </c>
    </row>
    <row r="375" spans="1:2" x14ac:dyDescent="0.2">
      <c r="A375" s="521">
        <v>42891</v>
      </c>
      <c r="B375" s="497">
        <v>279006.82</v>
      </c>
    </row>
    <row r="376" spans="1:2" x14ac:dyDescent="0.2">
      <c r="A376" s="521">
        <v>42892</v>
      </c>
      <c r="B376" s="497">
        <v>279007</v>
      </c>
    </row>
    <row r="377" spans="1:2" x14ac:dyDescent="0.2">
      <c r="A377" s="521">
        <v>42893</v>
      </c>
      <c r="B377" s="497">
        <v>279007</v>
      </c>
    </row>
    <row r="378" spans="1:2" x14ac:dyDescent="0.2">
      <c r="A378" s="521">
        <v>42894</v>
      </c>
      <c r="B378" s="497">
        <v>279112.07</v>
      </c>
    </row>
    <row r="379" spans="1:2" x14ac:dyDescent="0.2">
      <c r="A379" s="521">
        <v>42895</v>
      </c>
      <c r="B379" s="497">
        <v>279112</v>
      </c>
    </row>
    <row r="380" spans="1:2" x14ac:dyDescent="0.2">
      <c r="A380" s="521">
        <v>42898</v>
      </c>
      <c r="B380" s="497">
        <v>244072.02</v>
      </c>
    </row>
    <row r="381" spans="1:2" x14ac:dyDescent="0.2">
      <c r="A381" s="521">
        <v>42899</v>
      </c>
      <c r="B381" s="497">
        <v>249325.41</v>
      </c>
    </row>
    <row r="382" spans="1:2" x14ac:dyDescent="0.2">
      <c r="A382" s="521">
        <v>42900</v>
      </c>
      <c r="B382" s="497">
        <v>249325</v>
      </c>
    </row>
    <row r="383" spans="1:2" x14ac:dyDescent="0.2">
      <c r="A383" s="521">
        <v>42901</v>
      </c>
      <c r="B383" s="497">
        <v>252874.48</v>
      </c>
    </row>
    <row r="384" spans="1:2" x14ac:dyDescent="0.2">
      <c r="A384" s="521">
        <v>42902</v>
      </c>
      <c r="B384" s="497">
        <v>253128.65</v>
      </c>
    </row>
    <row r="385" spans="1:2" x14ac:dyDescent="0.2">
      <c r="A385" s="521">
        <v>42905</v>
      </c>
      <c r="B385" s="497">
        <v>255098.96</v>
      </c>
    </row>
    <row r="386" spans="1:2" x14ac:dyDescent="0.2">
      <c r="A386" s="521">
        <v>42906</v>
      </c>
      <c r="B386" s="497">
        <v>253521.42</v>
      </c>
    </row>
    <row r="387" spans="1:2" x14ac:dyDescent="0.2">
      <c r="A387" s="521">
        <v>42907</v>
      </c>
      <c r="B387" s="497">
        <v>253521</v>
      </c>
    </row>
    <row r="388" spans="1:2" x14ac:dyDescent="0.2">
      <c r="A388" s="521">
        <v>42908</v>
      </c>
      <c r="B388" s="497">
        <v>235912.36</v>
      </c>
    </row>
    <row r="389" spans="1:2" x14ac:dyDescent="0.2">
      <c r="A389" s="521">
        <v>42909</v>
      </c>
      <c r="B389" s="497">
        <v>235912</v>
      </c>
    </row>
    <row r="390" spans="1:2" x14ac:dyDescent="0.2">
      <c r="A390" s="521">
        <v>42912</v>
      </c>
      <c r="B390" s="557">
        <v>198879.76</v>
      </c>
    </row>
    <row r="391" spans="1:2" x14ac:dyDescent="0.2">
      <c r="A391" s="521">
        <v>42913</v>
      </c>
      <c r="B391" s="497">
        <v>199009.76</v>
      </c>
    </row>
    <row r="392" spans="1:2" x14ac:dyDescent="0.2">
      <c r="A392" s="521">
        <v>42914</v>
      </c>
      <c r="B392" s="497">
        <v>199010</v>
      </c>
    </row>
    <row r="393" spans="1:2" x14ac:dyDescent="0.2">
      <c r="A393" s="521">
        <v>42915</v>
      </c>
      <c r="B393" s="497">
        <v>210354</v>
      </c>
    </row>
    <row r="394" spans="1:2" x14ac:dyDescent="0.2">
      <c r="A394" s="521">
        <v>42916</v>
      </c>
      <c r="B394" s="497">
        <v>260779.62</v>
      </c>
    </row>
    <row r="395" spans="1:2" x14ac:dyDescent="0.2">
      <c r="A395" s="521">
        <v>42919</v>
      </c>
      <c r="B395" s="497">
        <v>260780</v>
      </c>
    </row>
    <row r="396" spans="1:2" x14ac:dyDescent="0.2">
      <c r="A396" s="521">
        <v>42920</v>
      </c>
      <c r="B396" s="497">
        <v>260780</v>
      </c>
    </row>
    <row r="397" spans="1:2" x14ac:dyDescent="0.2">
      <c r="A397" s="521">
        <v>42921</v>
      </c>
      <c r="B397" s="497">
        <v>260780</v>
      </c>
    </row>
    <row r="398" spans="1:2" x14ac:dyDescent="0.2">
      <c r="A398" s="521">
        <v>42922</v>
      </c>
      <c r="B398" s="497">
        <v>261774.11</v>
      </c>
    </row>
    <row r="399" spans="1:2" x14ac:dyDescent="0.2">
      <c r="A399" s="521">
        <v>42923</v>
      </c>
      <c r="B399" s="497">
        <v>261774</v>
      </c>
    </row>
    <row r="400" spans="1:2" x14ac:dyDescent="0.2">
      <c r="A400" s="521">
        <v>42926</v>
      </c>
      <c r="B400" s="497">
        <v>226950.89</v>
      </c>
    </row>
    <row r="401" spans="1:2" x14ac:dyDescent="0.2">
      <c r="A401" s="521">
        <v>42927</v>
      </c>
      <c r="B401" s="497">
        <v>226951</v>
      </c>
    </row>
    <row r="402" spans="1:2" x14ac:dyDescent="0.2">
      <c r="A402" s="521">
        <v>42928</v>
      </c>
      <c r="B402" s="497">
        <v>248711.94</v>
      </c>
    </row>
    <row r="403" spans="1:2" x14ac:dyDescent="0.2">
      <c r="A403" s="521">
        <v>42929</v>
      </c>
      <c r="B403" s="497">
        <v>256201.58</v>
      </c>
    </row>
    <row r="404" spans="1:2" x14ac:dyDescent="0.2">
      <c r="A404" s="521">
        <v>42930</v>
      </c>
      <c r="B404" s="497">
        <v>256272.97</v>
      </c>
    </row>
    <row r="405" spans="1:2" x14ac:dyDescent="0.2">
      <c r="A405" s="521">
        <v>42933</v>
      </c>
      <c r="B405" s="497">
        <v>256056.42</v>
      </c>
    </row>
    <row r="406" spans="1:2" x14ac:dyDescent="0.2">
      <c r="A406" s="521">
        <v>42934</v>
      </c>
      <c r="B406" s="497">
        <v>257213.96</v>
      </c>
    </row>
    <row r="407" spans="1:2" x14ac:dyDescent="0.2">
      <c r="A407" s="521">
        <v>42935</v>
      </c>
      <c r="B407" s="497">
        <v>257214</v>
      </c>
    </row>
    <row r="408" spans="1:2" x14ac:dyDescent="0.2">
      <c r="A408" s="521">
        <v>42936</v>
      </c>
      <c r="B408" s="497">
        <v>260075.5</v>
      </c>
    </row>
    <row r="409" spans="1:2" x14ac:dyDescent="0.2">
      <c r="A409" s="521">
        <v>42937</v>
      </c>
      <c r="B409" s="497">
        <v>339825.5</v>
      </c>
    </row>
    <row r="410" spans="1:2" x14ac:dyDescent="0.2">
      <c r="A410" s="521">
        <v>42940</v>
      </c>
      <c r="B410" s="497">
        <v>303182.65000000002</v>
      </c>
    </row>
    <row r="411" spans="1:2" x14ac:dyDescent="0.2">
      <c r="A411" s="521">
        <v>42941</v>
      </c>
      <c r="B411" s="497">
        <v>322340.12</v>
      </c>
    </row>
    <row r="412" spans="1:2" x14ac:dyDescent="0.2">
      <c r="A412" s="521">
        <v>42942</v>
      </c>
      <c r="B412" s="497">
        <v>322340</v>
      </c>
    </row>
    <row r="413" spans="1:2" x14ac:dyDescent="0.2">
      <c r="A413" s="521">
        <v>42943</v>
      </c>
      <c r="B413" s="497">
        <v>308772.78999999998</v>
      </c>
    </row>
    <row r="414" spans="1:2" x14ac:dyDescent="0.2">
      <c r="A414" s="521">
        <v>42944</v>
      </c>
      <c r="B414" s="497">
        <v>317343.40999999997</v>
      </c>
    </row>
    <row r="415" spans="1:2" x14ac:dyDescent="0.2">
      <c r="A415" s="521">
        <v>42947</v>
      </c>
      <c r="B415" s="497">
        <v>317343</v>
      </c>
    </row>
    <row r="416" spans="1:2" x14ac:dyDescent="0.2">
      <c r="A416" s="521">
        <v>42948</v>
      </c>
      <c r="B416" s="497">
        <v>369152.35</v>
      </c>
    </row>
    <row r="417" spans="1:2" x14ac:dyDescent="0.2">
      <c r="A417" s="521">
        <v>42949</v>
      </c>
      <c r="B417" s="497">
        <v>371061.94</v>
      </c>
    </row>
    <row r="418" spans="1:2" x14ac:dyDescent="0.2">
      <c r="A418" s="521">
        <v>42950</v>
      </c>
      <c r="B418" s="497">
        <v>372080.87</v>
      </c>
    </row>
    <row r="419" spans="1:2" x14ac:dyDescent="0.2">
      <c r="A419" s="521">
        <v>42951</v>
      </c>
      <c r="B419" s="497">
        <v>372080.87</v>
      </c>
    </row>
    <row r="420" spans="1:2" x14ac:dyDescent="0.2">
      <c r="A420" s="521">
        <v>42954</v>
      </c>
      <c r="B420" s="497">
        <v>336189.47</v>
      </c>
    </row>
    <row r="421" spans="1:2" x14ac:dyDescent="0.2">
      <c r="A421" s="521">
        <v>42955</v>
      </c>
      <c r="B421" s="497">
        <v>340998.07</v>
      </c>
    </row>
    <row r="422" spans="1:2" x14ac:dyDescent="0.2">
      <c r="A422" s="521">
        <v>42956</v>
      </c>
      <c r="B422" s="497">
        <v>332763.65000000002</v>
      </c>
    </row>
    <row r="423" spans="1:2" x14ac:dyDescent="0.2">
      <c r="A423" s="521">
        <v>42957</v>
      </c>
      <c r="B423" s="497">
        <v>375651.45</v>
      </c>
    </row>
    <row r="424" spans="1:2" x14ac:dyDescent="0.2">
      <c r="A424" s="521">
        <v>42958</v>
      </c>
      <c r="B424" s="497">
        <v>378293.21</v>
      </c>
    </row>
    <row r="425" spans="1:2" x14ac:dyDescent="0.2">
      <c r="A425" s="521">
        <v>42961</v>
      </c>
      <c r="B425" s="497">
        <v>378293</v>
      </c>
    </row>
    <row r="426" spans="1:2" x14ac:dyDescent="0.2">
      <c r="A426" s="521">
        <v>42962</v>
      </c>
      <c r="B426" s="497">
        <v>401190.06</v>
      </c>
    </row>
    <row r="427" spans="1:2" x14ac:dyDescent="0.2">
      <c r="A427" s="521">
        <v>42963</v>
      </c>
      <c r="B427" s="497">
        <v>401190</v>
      </c>
    </row>
    <row r="428" spans="1:2" x14ac:dyDescent="0.2">
      <c r="A428" s="521">
        <v>42964</v>
      </c>
      <c r="B428" s="497">
        <v>401569.72</v>
      </c>
    </row>
    <row r="429" spans="1:2" x14ac:dyDescent="0.2">
      <c r="A429" s="521">
        <v>42965</v>
      </c>
      <c r="B429" s="497">
        <v>403837.72</v>
      </c>
    </row>
    <row r="430" spans="1:2" x14ac:dyDescent="0.2">
      <c r="A430" s="521">
        <v>42968</v>
      </c>
      <c r="B430" s="497">
        <v>369495.17</v>
      </c>
    </row>
    <row r="431" spans="1:2" x14ac:dyDescent="0.2">
      <c r="A431" s="521">
        <v>42969</v>
      </c>
      <c r="B431" s="497">
        <v>379169.06</v>
      </c>
    </row>
    <row r="432" spans="1:2" x14ac:dyDescent="0.2">
      <c r="A432" s="521">
        <v>42970</v>
      </c>
      <c r="B432" s="497">
        <v>379169</v>
      </c>
    </row>
    <row r="433" spans="1:2" x14ac:dyDescent="0.2">
      <c r="A433" s="521">
        <v>42971</v>
      </c>
      <c r="B433" s="497">
        <v>372540.41</v>
      </c>
    </row>
    <row r="434" spans="1:2" x14ac:dyDescent="0.2">
      <c r="A434" s="521">
        <v>42972</v>
      </c>
      <c r="B434" s="497">
        <v>372540</v>
      </c>
    </row>
    <row r="435" spans="1:2" x14ac:dyDescent="0.2">
      <c r="A435" s="521">
        <v>42975</v>
      </c>
      <c r="B435" s="497">
        <v>372540</v>
      </c>
    </row>
    <row r="436" spans="1:2" x14ac:dyDescent="0.2">
      <c r="A436" s="521">
        <v>42976</v>
      </c>
      <c r="B436" s="497">
        <v>374625.25</v>
      </c>
    </row>
    <row r="437" spans="1:2" x14ac:dyDescent="0.2">
      <c r="A437" s="521">
        <v>42977</v>
      </c>
      <c r="B437" s="497">
        <v>382658.46</v>
      </c>
    </row>
    <row r="438" spans="1:2" x14ac:dyDescent="0.2">
      <c r="A438" s="521">
        <v>42978</v>
      </c>
      <c r="B438" s="497">
        <v>389160.26</v>
      </c>
    </row>
    <row r="439" spans="1:2" x14ac:dyDescent="0.2">
      <c r="A439" s="521">
        <v>42979</v>
      </c>
      <c r="B439" s="497">
        <v>389160</v>
      </c>
    </row>
    <row r="440" spans="1:2" x14ac:dyDescent="0.2">
      <c r="A440" s="521">
        <v>42982</v>
      </c>
      <c r="B440" s="497">
        <v>389160</v>
      </c>
    </row>
    <row r="441" spans="1:2" x14ac:dyDescent="0.2">
      <c r="A441" s="521">
        <v>42983</v>
      </c>
      <c r="B441" s="497">
        <v>352908.42</v>
      </c>
    </row>
    <row r="442" spans="1:2" x14ac:dyDescent="0.2">
      <c r="A442" s="521">
        <v>42984</v>
      </c>
      <c r="B442" s="497">
        <v>383959.41</v>
      </c>
    </row>
    <row r="443" spans="1:2" x14ac:dyDescent="0.2">
      <c r="A443" s="521">
        <v>42985</v>
      </c>
      <c r="B443" s="497">
        <v>403148.81</v>
      </c>
    </row>
    <row r="444" spans="1:2" x14ac:dyDescent="0.2">
      <c r="A444" s="521">
        <v>42986</v>
      </c>
      <c r="B444" s="497">
        <v>403344.11</v>
      </c>
    </row>
    <row r="445" spans="1:2" x14ac:dyDescent="0.2">
      <c r="A445" s="521">
        <v>42989</v>
      </c>
      <c r="B445" s="497">
        <v>403344</v>
      </c>
    </row>
    <row r="446" spans="1:2" x14ac:dyDescent="0.2">
      <c r="A446" s="521">
        <v>42990</v>
      </c>
      <c r="B446" s="497">
        <v>403344</v>
      </c>
    </row>
    <row r="447" spans="1:2" x14ac:dyDescent="0.2">
      <c r="A447" s="521">
        <v>42991</v>
      </c>
      <c r="B447" s="497">
        <v>403344</v>
      </c>
    </row>
    <row r="448" spans="1:2" x14ac:dyDescent="0.2">
      <c r="A448" s="521">
        <v>42992</v>
      </c>
      <c r="B448" s="497">
        <v>400016.8</v>
      </c>
    </row>
    <row r="449" spans="1:2" x14ac:dyDescent="0.2">
      <c r="A449" s="521">
        <v>42993</v>
      </c>
      <c r="B449" s="497">
        <v>400134.96</v>
      </c>
    </row>
    <row r="450" spans="1:2" x14ac:dyDescent="0.2">
      <c r="A450" s="521">
        <v>42996</v>
      </c>
      <c r="B450" s="497">
        <v>364805.11</v>
      </c>
    </row>
    <row r="451" spans="1:2" x14ac:dyDescent="0.2">
      <c r="A451" s="521">
        <v>42997</v>
      </c>
      <c r="B451" s="497">
        <v>364805</v>
      </c>
    </row>
    <row r="452" spans="1:2" x14ac:dyDescent="0.2">
      <c r="A452" s="521">
        <v>42998</v>
      </c>
      <c r="B452" s="497">
        <v>371804.33</v>
      </c>
    </row>
    <row r="453" spans="1:2" x14ac:dyDescent="0.2">
      <c r="A453" s="521">
        <v>42999</v>
      </c>
      <c r="B453" s="497">
        <v>370759.85</v>
      </c>
    </row>
    <row r="454" spans="1:2" x14ac:dyDescent="0.2">
      <c r="A454" s="521">
        <v>43000</v>
      </c>
      <c r="B454" s="497">
        <v>389878.66</v>
      </c>
    </row>
    <row r="455" spans="1:2" x14ac:dyDescent="0.2">
      <c r="A455" s="521">
        <v>43003</v>
      </c>
      <c r="B455" s="497">
        <v>393013.02</v>
      </c>
    </row>
    <row r="456" spans="1:2" x14ac:dyDescent="0.2">
      <c r="A456" s="521">
        <v>43004</v>
      </c>
      <c r="B456" s="497">
        <v>393593.22</v>
      </c>
    </row>
    <row r="457" spans="1:2" x14ac:dyDescent="0.2">
      <c r="A457" s="521">
        <v>43005</v>
      </c>
      <c r="B457" s="497">
        <v>393593</v>
      </c>
    </row>
    <row r="458" spans="1:2" x14ac:dyDescent="0.2">
      <c r="A458" s="521">
        <v>43006</v>
      </c>
      <c r="B458" s="497">
        <v>385433.95</v>
      </c>
    </row>
    <row r="459" spans="1:2" x14ac:dyDescent="0.2">
      <c r="A459" s="521">
        <v>43007</v>
      </c>
      <c r="B459" s="497">
        <v>385678.15</v>
      </c>
    </row>
    <row r="460" spans="1:2" x14ac:dyDescent="0.2">
      <c r="A460" s="521">
        <v>43010</v>
      </c>
      <c r="B460" s="497">
        <v>350949.28</v>
      </c>
    </row>
    <row r="461" spans="1:2" x14ac:dyDescent="0.2">
      <c r="A461" s="521">
        <v>43011</v>
      </c>
      <c r="B461" s="497">
        <v>352010.98</v>
      </c>
    </row>
    <row r="462" spans="1:2" x14ac:dyDescent="0.2">
      <c r="A462" s="521">
        <v>43012</v>
      </c>
      <c r="B462" s="497">
        <v>352011</v>
      </c>
    </row>
    <row r="463" spans="1:2" x14ac:dyDescent="0.2">
      <c r="A463" s="521">
        <v>43013</v>
      </c>
      <c r="B463" s="497">
        <v>348679</v>
      </c>
    </row>
    <row r="464" spans="1:2" x14ac:dyDescent="0.2">
      <c r="A464" s="521">
        <v>43014</v>
      </c>
      <c r="B464" s="497">
        <v>348679</v>
      </c>
    </row>
    <row r="465" spans="1:2" x14ac:dyDescent="0.2">
      <c r="A465" s="521">
        <v>43017</v>
      </c>
      <c r="B465" s="497">
        <v>348679</v>
      </c>
    </row>
    <row r="466" spans="1:2" x14ac:dyDescent="0.2">
      <c r="A466" s="521">
        <v>43018</v>
      </c>
      <c r="B466" s="497">
        <v>348679</v>
      </c>
    </row>
    <row r="467" spans="1:2" x14ac:dyDescent="0.2">
      <c r="A467" s="521">
        <v>43019</v>
      </c>
      <c r="B467" s="497">
        <v>348761.24</v>
      </c>
    </row>
    <row r="468" spans="1:2" x14ac:dyDescent="0.2">
      <c r="A468" s="521">
        <v>43020</v>
      </c>
      <c r="B468" s="497">
        <v>349998.26</v>
      </c>
    </row>
    <row r="469" spans="1:2" x14ac:dyDescent="0.2">
      <c r="A469" s="521">
        <v>43021</v>
      </c>
      <c r="B469" s="497">
        <v>370561.14</v>
      </c>
    </row>
    <row r="470" spans="1:2" x14ac:dyDescent="0.2">
      <c r="A470" s="521">
        <v>43024</v>
      </c>
      <c r="B470" s="497">
        <v>336220.14</v>
      </c>
    </row>
    <row r="471" spans="1:2" x14ac:dyDescent="0.2">
      <c r="A471" s="521">
        <v>43025</v>
      </c>
      <c r="B471" s="497">
        <v>336332.14</v>
      </c>
    </row>
    <row r="472" spans="1:2" x14ac:dyDescent="0.2">
      <c r="A472" s="521">
        <v>43026</v>
      </c>
      <c r="B472" s="497">
        <v>336332</v>
      </c>
    </row>
    <row r="473" spans="1:2" x14ac:dyDescent="0.2">
      <c r="A473" s="521">
        <v>43027</v>
      </c>
      <c r="B473" s="497">
        <v>339185.02</v>
      </c>
    </row>
    <row r="474" spans="1:2" x14ac:dyDescent="0.2">
      <c r="A474" s="521">
        <v>43028</v>
      </c>
      <c r="B474" s="497">
        <v>344936.35</v>
      </c>
    </row>
    <row r="475" spans="1:2" x14ac:dyDescent="0.2">
      <c r="A475" s="521">
        <v>43031</v>
      </c>
      <c r="B475" s="497">
        <v>344564.68</v>
      </c>
    </row>
    <row r="476" spans="1:2" x14ac:dyDescent="0.2">
      <c r="A476" s="521">
        <v>43032</v>
      </c>
      <c r="B476" s="497">
        <v>344565</v>
      </c>
    </row>
    <row r="477" spans="1:2" x14ac:dyDescent="0.2">
      <c r="A477" s="521">
        <v>43033</v>
      </c>
      <c r="B477" s="497">
        <v>344829.18</v>
      </c>
    </row>
    <row r="478" spans="1:2" x14ac:dyDescent="0.2">
      <c r="A478" s="521">
        <v>43034</v>
      </c>
      <c r="B478" s="497">
        <v>339942.05</v>
      </c>
    </row>
    <row r="479" spans="1:2" x14ac:dyDescent="0.2">
      <c r="A479" s="521">
        <v>43035</v>
      </c>
      <c r="B479" s="497">
        <v>360185.72</v>
      </c>
    </row>
    <row r="480" spans="1:2" x14ac:dyDescent="0.2">
      <c r="A480" s="521">
        <v>43038</v>
      </c>
      <c r="B480" s="497">
        <v>323067.73</v>
      </c>
    </row>
    <row r="481" spans="1:2" x14ac:dyDescent="0.2">
      <c r="A481" s="521">
        <v>43039</v>
      </c>
      <c r="B481" s="497">
        <v>323197.73</v>
      </c>
    </row>
    <row r="482" spans="1:2" x14ac:dyDescent="0.2">
      <c r="A482" s="521">
        <v>43040</v>
      </c>
      <c r="B482" s="497">
        <v>323198</v>
      </c>
    </row>
    <row r="483" spans="1:2" x14ac:dyDescent="0.2">
      <c r="A483" s="521">
        <v>43041</v>
      </c>
      <c r="B483" s="497">
        <v>341044.7</v>
      </c>
    </row>
    <row r="484" spans="1:2" x14ac:dyDescent="0.2">
      <c r="A484" s="521">
        <v>43042</v>
      </c>
      <c r="B484" s="497">
        <v>341676.17</v>
      </c>
    </row>
    <row r="485" spans="1:2" x14ac:dyDescent="0.2">
      <c r="A485" s="521">
        <v>43045</v>
      </c>
      <c r="B485" s="497">
        <v>341676</v>
      </c>
    </row>
    <row r="486" spans="1:2" x14ac:dyDescent="0.2">
      <c r="A486" s="521">
        <v>43046</v>
      </c>
      <c r="B486" s="497">
        <v>341676</v>
      </c>
    </row>
    <row r="487" spans="1:2" x14ac:dyDescent="0.2">
      <c r="A487" s="521">
        <v>43047</v>
      </c>
      <c r="B487" s="497">
        <v>379863.97</v>
      </c>
    </row>
    <row r="488" spans="1:2" x14ac:dyDescent="0.2">
      <c r="A488" s="521">
        <v>43048</v>
      </c>
      <c r="B488" s="497">
        <v>378842.06</v>
      </c>
    </row>
    <row r="489" spans="1:2" x14ac:dyDescent="0.2">
      <c r="A489" s="521">
        <v>43049</v>
      </c>
      <c r="B489" s="497">
        <v>378842</v>
      </c>
    </row>
    <row r="490" spans="1:2" x14ac:dyDescent="0.2">
      <c r="A490" s="521">
        <v>43052</v>
      </c>
      <c r="B490" s="497">
        <v>340784.14</v>
      </c>
    </row>
    <row r="491" spans="1:2" x14ac:dyDescent="0.2">
      <c r="A491" s="521">
        <v>43053</v>
      </c>
      <c r="B491" s="497">
        <v>340784</v>
      </c>
    </row>
    <row r="492" spans="1:2" x14ac:dyDescent="0.2">
      <c r="A492" s="521">
        <v>43054</v>
      </c>
      <c r="B492" s="497">
        <v>340895.76</v>
      </c>
    </row>
    <row r="493" spans="1:2" x14ac:dyDescent="0.2">
      <c r="A493" s="521">
        <v>43055</v>
      </c>
      <c r="B493" s="497">
        <v>354246.44</v>
      </c>
    </row>
    <row r="494" spans="1:2" x14ac:dyDescent="0.2">
      <c r="A494" s="521">
        <v>43056</v>
      </c>
      <c r="B494" s="497">
        <v>354246.44</v>
      </c>
    </row>
    <row r="495" spans="1:2" x14ac:dyDescent="0.2">
      <c r="A495" s="521">
        <v>43059</v>
      </c>
      <c r="B495" s="497">
        <v>354264.44</v>
      </c>
    </row>
    <row r="496" spans="1:2" x14ac:dyDescent="0.2">
      <c r="A496" s="521">
        <v>43060</v>
      </c>
      <c r="B496" s="497">
        <v>354264</v>
      </c>
    </row>
    <row r="497" spans="1:2" x14ac:dyDescent="0.2">
      <c r="A497" s="521">
        <v>43061</v>
      </c>
      <c r="B497" s="497">
        <v>357804.55</v>
      </c>
    </row>
    <row r="498" spans="1:2" x14ac:dyDescent="0.2">
      <c r="A498" s="521">
        <v>43062</v>
      </c>
      <c r="B498" s="497">
        <v>357805</v>
      </c>
    </row>
    <row r="499" spans="1:2" x14ac:dyDescent="0.2">
      <c r="A499" s="521">
        <v>43063</v>
      </c>
      <c r="B499" s="497">
        <v>361119.05</v>
      </c>
    </row>
    <row r="500" spans="1:2" x14ac:dyDescent="0.2">
      <c r="A500" s="521">
        <v>43066</v>
      </c>
      <c r="B500" s="497">
        <v>318415.71000000002</v>
      </c>
    </row>
    <row r="501" spans="1:2" x14ac:dyDescent="0.2">
      <c r="A501" s="521">
        <v>43067</v>
      </c>
      <c r="B501" s="497">
        <v>320237.53999999998</v>
      </c>
    </row>
    <row r="502" spans="1:2" x14ac:dyDescent="0.2">
      <c r="A502" s="521">
        <v>43068</v>
      </c>
      <c r="B502" s="497">
        <v>320237.53999999998</v>
      </c>
    </row>
    <row r="503" spans="1:2" x14ac:dyDescent="0.2">
      <c r="A503" s="521">
        <v>43069</v>
      </c>
      <c r="B503" s="497">
        <v>325286.46999999997</v>
      </c>
    </row>
    <row r="504" spans="1:2" x14ac:dyDescent="0.2">
      <c r="A504" s="521">
        <v>43070</v>
      </c>
      <c r="B504" s="497">
        <v>334247.03000000003</v>
      </c>
    </row>
    <row r="505" spans="1:2" x14ac:dyDescent="0.2">
      <c r="A505" s="521">
        <v>43073</v>
      </c>
      <c r="B505" s="497">
        <v>334247</v>
      </c>
    </row>
    <row r="506" spans="1:2" x14ac:dyDescent="0.2">
      <c r="A506" s="521">
        <v>43074</v>
      </c>
      <c r="B506" s="497">
        <v>334247.03000000003</v>
      </c>
    </row>
    <row r="507" spans="1:2" x14ac:dyDescent="0.2">
      <c r="A507" s="521">
        <v>43075</v>
      </c>
      <c r="B507" s="497">
        <v>334247</v>
      </c>
    </row>
    <row r="508" spans="1:2" x14ac:dyDescent="0.2">
      <c r="A508" s="521">
        <v>43076</v>
      </c>
      <c r="B508" s="497">
        <v>323171.46000000002</v>
      </c>
    </row>
    <row r="509" spans="1:2" x14ac:dyDescent="0.2">
      <c r="A509" s="521">
        <v>43077</v>
      </c>
      <c r="B509" s="497">
        <v>324229.90999999997</v>
      </c>
    </row>
    <row r="510" spans="1:2" x14ac:dyDescent="0.2">
      <c r="A510" s="521">
        <v>43080</v>
      </c>
      <c r="B510" s="497">
        <v>324230</v>
      </c>
    </row>
    <row r="511" spans="1:2" x14ac:dyDescent="0.2">
      <c r="A511" s="521">
        <v>43081</v>
      </c>
      <c r="B511" s="497">
        <v>286030.39</v>
      </c>
    </row>
    <row r="512" spans="1:2" x14ac:dyDescent="0.2">
      <c r="A512" s="521">
        <v>43082</v>
      </c>
      <c r="B512" s="497">
        <v>286197.44</v>
      </c>
    </row>
    <row r="513" spans="1:14" x14ac:dyDescent="0.2">
      <c r="A513" s="521">
        <v>43083</v>
      </c>
      <c r="B513" s="497">
        <v>280065.2</v>
      </c>
    </row>
    <row r="514" spans="1:14" x14ac:dyDescent="0.2">
      <c r="A514" s="521">
        <v>43084</v>
      </c>
      <c r="B514" s="497">
        <v>284409.09999999998</v>
      </c>
    </row>
    <row r="515" spans="1:14" x14ac:dyDescent="0.2">
      <c r="A515" s="521">
        <v>43087</v>
      </c>
      <c r="B515" s="497">
        <v>285119.09999999998</v>
      </c>
    </row>
    <row r="516" spans="1:14" x14ac:dyDescent="0.2">
      <c r="A516" s="521">
        <v>43088</v>
      </c>
      <c r="B516" s="497">
        <v>285395.49</v>
      </c>
    </row>
    <row r="517" spans="1:14" x14ac:dyDescent="0.2">
      <c r="A517" s="521">
        <v>43089</v>
      </c>
      <c r="B517" s="497">
        <v>285395</v>
      </c>
    </row>
    <row r="518" spans="1:14" x14ac:dyDescent="0.2">
      <c r="A518" s="521">
        <v>43090</v>
      </c>
      <c r="B518" s="497">
        <v>285542.49</v>
      </c>
    </row>
    <row r="519" spans="1:14" x14ac:dyDescent="0.2">
      <c r="A519" s="521">
        <v>43091</v>
      </c>
      <c r="B519" s="497">
        <v>285542</v>
      </c>
    </row>
    <row r="520" spans="1:14" x14ac:dyDescent="0.2">
      <c r="A520" s="521">
        <v>43094</v>
      </c>
      <c r="B520" s="497">
        <v>285542</v>
      </c>
    </row>
    <row r="521" spans="1:14" x14ac:dyDescent="0.2">
      <c r="A521" s="521">
        <v>43095</v>
      </c>
      <c r="B521" s="497">
        <v>248584.72</v>
      </c>
    </row>
    <row r="522" spans="1:14" x14ac:dyDescent="0.2">
      <c r="A522" s="521">
        <v>43096</v>
      </c>
      <c r="B522" s="497">
        <v>248585</v>
      </c>
    </row>
    <row r="523" spans="1:14" x14ac:dyDescent="0.2">
      <c r="A523" s="521">
        <v>43097</v>
      </c>
      <c r="B523" s="497">
        <v>270685.83</v>
      </c>
    </row>
    <row r="524" spans="1:14" x14ac:dyDescent="0.2">
      <c r="A524" s="521">
        <v>43098</v>
      </c>
      <c r="B524" s="497">
        <v>282558.58</v>
      </c>
    </row>
    <row r="525" spans="1:14" x14ac:dyDescent="0.2">
      <c r="A525" s="521">
        <v>43101</v>
      </c>
      <c r="B525" s="497">
        <v>282559</v>
      </c>
      <c r="F525" s="499"/>
      <c r="G525" t="s">
        <v>189</v>
      </c>
      <c r="H525" t="s">
        <v>217</v>
      </c>
      <c r="J525" t="s">
        <v>370</v>
      </c>
      <c r="K525" t="s">
        <v>217</v>
      </c>
      <c r="N525">
        <v>7.3999999999999996E-2</v>
      </c>
    </row>
    <row r="526" spans="1:14" x14ac:dyDescent="0.2">
      <c r="A526" s="521">
        <v>43102</v>
      </c>
      <c r="B526" s="497">
        <v>282508.58</v>
      </c>
      <c r="F526" s="499">
        <v>42370</v>
      </c>
      <c r="G526" s="500">
        <v>369484</v>
      </c>
      <c r="H526" s="610">
        <v>31036</v>
      </c>
      <c r="J526" s="499">
        <v>42461</v>
      </c>
      <c r="K526" s="610">
        <v>151036</v>
      </c>
      <c r="N526" s="711">
        <f>K526*N525/12 +K526</f>
        <v>151967.38866666667</v>
      </c>
    </row>
    <row r="527" spans="1:14" x14ac:dyDescent="0.2">
      <c r="A527" s="521">
        <v>43103</v>
      </c>
      <c r="B527" s="497">
        <v>282509</v>
      </c>
      <c r="F527" s="499">
        <v>42401</v>
      </c>
      <c r="G527" s="500">
        <v>295493.53000000003</v>
      </c>
      <c r="H527" s="610">
        <v>31035.72</v>
      </c>
      <c r="J527" s="499">
        <v>42491</v>
      </c>
      <c r="K527" s="610">
        <v>151087.09</v>
      </c>
      <c r="N527" s="711">
        <f>N$525*N526/12 +N526</f>
        <v>152904.52089677777</v>
      </c>
    </row>
    <row r="528" spans="1:14" x14ac:dyDescent="0.2">
      <c r="A528" s="521">
        <v>43104</v>
      </c>
      <c r="B528" s="497">
        <v>283213.14</v>
      </c>
      <c r="F528" s="499">
        <v>42430</v>
      </c>
      <c r="G528" s="500">
        <v>255865.07</v>
      </c>
      <c r="H528" s="610">
        <v>151035.72</v>
      </c>
      <c r="J528" s="499">
        <v>42551</v>
      </c>
      <c r="K528" s="610">
        <v>151336.84</v>
      </c>
      <c r="N528" s="711">
        <f t="shared" ref="N528:N588" si="3">N$525*N527/12 +N527</f>
        <v>153847.43210897458</v>
      </c>
    </row>
    <row r="529" spans="1:14" x14ac:dyDescent="0.2">
      <c r="A529" s="521">
        <v>43105</v>
      </c>
      <c r="B529" s="497">
        <v>297779.06</v>
      </c>
      <c r="F529" s="499">
        <v>42461</v>
      </c>
      <c r="G529" s="500">
        <v>294098.96000000002</v>
      </c>
      <c r="H529" s="610">
        <v>151036</v>
      </c>
      <c r="J529" s="499">
        <v>42582</v>
      </c>
      <c r="K529" s="610">
        <v>151611.29999999999</v>
      </c>
      <c r="N529" s="711">
        <f t="shared" si="3"/>
        <v>154796.15794031325</v>
      </c>
    </row>
    <row r="530" spans="1:14" x14ac:dyDescent="0.2">
      <c r="A530" s="521">
        <v>43108</v>
      </c>
      <c r="B530" s="497">
        <v>263886.2</v>
      </c>
      <c r="F530" s="499">
        <v>42491</v>
      </c>
      <c r="G530" s="500">
        <v>333922.02</v>
      </c>
      <c r="H530" s="610">
        <v>151087.09</v>
      </c>
      <c r="J530" s="499">
        <v>42583</v>
      </c>
      <c r="K530" s="610">
        <v>151776.70000000001</v>
      </c>
      <c r="N530" s="711">
        <f t="shared" si="3"/>
        <v>155750.73424761184</v>
      </c>
    </row>
    <row r="531" spans="1:14" x14ac:dyDescent="0.2">
      <c r="A531" s="521">
        <v>43109</v>
      </c>
      <c r="B531" s="497">
        <v>277030.96999999997</v>
      </c>
      <c r="F531" s="499">
        <v>42551</v>
      </c>
      <c r="G531" s="500">
        <v>384005.8</v>
      </c>
      <c r="H531" s="610">
        <v>151336.84</v>
      </c>
      <c r="J531" s="499">
        <v>42614</v>
      </c>
      <c r="K531" s="610">
        <v>151844.44</v>
      </c>
      <c r="N531" s="711">
        <f t="shared" si="3"/>
        <v>156711.19710880544</v>
      </c>
    </row>
    <row r="532" spans="1:14" x14ac:dyDescent="0.2">
      <c r="A532" s="521">
        <v>43110</v>
      </c>
      <c r="B532" s="497">
        <v>277031</v>
      </c>
      <c r="F532" s="499">
        <v>42582</v>
      </c>
      <c r="G532" s="500">
        <v>292004.15999999997</v>
      </c>
      <c r="H532" s="610">
        <v>151611.29999999999</v>
      </c>
      <c r="J532" s="499">
        <v>42644</v>
      </c>
      <c r="K532" s="610">
        <v>152036.04</v>
      </c>
      <c r="N532" s="711">
        <f t="shared" si="3"/>
        <v>157677.58282430973</v>
      </c>
    </row>
    <row r="533" spans="1:14" x14ac:dyDescent="0.2">
      <c r="A533" s="521">
        <v>43111</v>
      </c>
      <c r="B533" s="497">
        <v>281394.14</v>
      </c>
      <c r="F533" s="499">
        <v>42583</v>
      </c>
      <c r="G533" s="500">
        <v>182562.29</v>
      </c>
      <c r="H533" s="610">
        <v>151776.70000000001</v>
      </c>
      <c r="J533" s="499">
        <v>42675</v>
      </c>
      <c r="K533" s="610">
        <v>152464.91</v>
      </c>
      <c r="N533" s="711">
        <f t="shared" si="3"/>
        <v>158649.92791839299</v>
      </c>
    </row>
    <row r="534" spans="1:14" x14ac:dyDescent="0.2">
      <c r="A534" s="521">
        <v>43112</v>
      </c>
      <c r="B534" s="497">
        <v>281470.18</v>
      </c>
      <c r="F534" s="499">
        <v>42614</v>
      </c>
      <c r="G534" s="500">
        <v>242442.87</v>
      </c>
      <c r="H534" s="610">
        <v>151844.44</v>
      </c>
      <c r="J534" s="499">
        <v>42705</v>
      </c>
      <c r="K534" s="610">
        <v>154533.13</v>
      </c>
      <c r="N534" s="711">
        <f t="shared" si="3"/>
        <v>159628.26914055643</v>
      </c>
    </row>
    <row r="535" spans="1:14" x14ac:dyDescent="0.2">
      <c r="A535" s="521">
        <v>43115</v>
      </c>
      <c r="B535" s="497">
        <v>281470</v>
      </c>
      <c r="F535" s="499">
        <v>42644</v>
      </c>
      <c r="G535" s="500">
        <v>247104.37</v>
      </c>
      <c r="H535" s="610">
        <v>152036.04</v>
      </c>
      <c r="J535" s="499">
        <v>42736</v>
      </c>
      <c r="K535" s="610">
        <v>155633.59</v>
      </c>
      <c r="N535" s="711">
        <f t="shared" si="3"/>
        <v>160612.64346692318</v>
      </c>
    </row>
    <row r="536" spans="1:14" x14ac:dyDescent="0.2">
      <c r="A536" s="521">
        <v>43116</v>
      </c>
      <c r="B536" s="497">
        <v>284325.94</v>
      </c>
      <c r="F536" s="499">
        <v>42675</v>
      </c>
      <c r="G536" s="500">
        <v>246462.95</v>
      </c>
      <c r="H536" s="610">
        <v>152464.91</v>
      </c>
      <c r="J536" s="499">
        <v>42767</v>
      </c>
      <c r="K536" s="610">
        <v>158448.25</v>
      </c>
      <c r="N536" s="711">
        <f t="shared" si="3"/>
        <v>161603.08810163586</v>
      </c>
    </row>
    <row r="537" spans="1:14" x14ac:dyDescent="0.2">
      <c r="A537" s="521">
        <v>43117</v>
      </c>
      <c r="B537" s="497">
        <v>305911.78000000003</v>
      </c>
      <c r="F537" s="499">
        <v>42705</v>
      </c>
      <c r="G537" s="500">
        <v>249839.51</v>
      </c>
      <c r="H537" s="610">
        <v>154533.13</v>
      </c>
      <c r="J537" s="499">
        <v>42795</v>
      </c>
      <c r="K537" s="610">
        <v>159113.29</v>
      </c>
      <c r="N537" s="711">
        <f t="shared" si="3"/>
        <v>162599.64047826262</v>
      </c>
    </row>
    <row r="538" spans="1:14" x14ac:dyDescent="0.2">
      <c r="A538" s="521">
        <v>43118</v>
      </c>
      <c r="B538" s="497">
        <v>305752.93</v>
      </c>
      <c r="F538" s="499">
        <v>42736</v>
      </c>
      <c r="G538" s="500">
        <v>351420</v>
      </c>
      <c r="H538" s="610">
        <v>155633.59</v>
      </c>
      <c r="J538" s="499">
        <v>42826</v>
      </c>
      <c r="K538" s="610">
        <v>159614.53</v>
      </c>
      <c r="N538" s="711">
        <f t="shared" si="3"/>
        <v>163602.3382612119</v>
      </c>
    </row>
    <row r="539" spans="1:14" x14ac:dyDescent="0.2">
      <c r="A539" s="521">
        <v>43119</v>
      </c>
      <c r="B539" s="497">
        <v>332730.14</v>
      </c>
      <c r="F539" s="499">
        <v>42767</v>
      </c>
      <c r="G539" s="500">
        <v>253330</v>
      </c>
      <c r="H539" s="610">
        <v>158448.25</v>
      </c>
      <c r="J539" s="499">
        <v>42856</v>
      </c>
      <c r="K539" s="610">
        <v>160436.21</v>
      </c>
      <c r="N539" s="711">
        <f t="shared" si="3"/>
        <v>164611.21934715603</v>
      </c>
    </row>
    <row r="540" spans="1:14" x14ac:dyDescent="0.2">
      <c r="A540" s="521">
        <v>43122</v>
      </c>
      <c r="B540" s="497">
        <v>291419.49</v>
      </c>
      <c r="F540" s="499">
        <v>42795</v>
      </c>
      <c r="G540" s="500">
        <v>280744</v>
      </c>
      <c r="H540" s="610">
        <v>159113.29</v>
      </c>
      <c r="J540" s="499">
        <v>42887</v>
      </c>
      <c r="K540" s="610">
        <v>160443.22</v>
      </c>
      <c r="N540" s="711">
        <f t="shared" si="3"/>
        <v>165626.32186646349</v>
      </c>
    </row>
    <row r="541" spans="1:14" x14ac:dyDescent="0.2">
      <c r="A541" s="521">
        <v>43123</v>
      </c>
      <c r="B541" s="497">
        <v>293419.65000000002</v>
      </c>
      <c r="F541" s="499">
        <v>42826</v>
      </c>
      <c r="G541" s="500">
        <v>319478.15999999997</v>
      </c>
      <c r="H541" s="610">
        <v>159614.53</v>
      </c>
      <c r="J541" s="499">
        <v>42917</v>
      </c>
      <c r="K541" s="610">
        <v>161526.35999999999</v>
      </c>
      <c r="N541" s="711">
        <f t="shared" si="3"/>
        <v>166647.68418464001</v>
      </c>
    </row>
    <row r="542" spans="1:14" x14ac:dyDescent="0.2">
      <c r="A542" s="521">
        <v>43124</v>
      </c>
      <c r="B542" s="497">
        <v>293420</v>
      </c>
      <c r="F542" s="499">
        <v>42856</v>
      </c>
      <c r="G542" s="500">
        <v>241828.1</v>
      </c>
      <c r="H542" s="610">
        <v>160436.21</v>
      </c>
      <c r="J542" s="499">
        <v>42948</v>
      </c>
      <c r="K542" s="610">
        <v>162013.01</v>
      </c>
      <c r="N542" s="711">
        <f t="shared" si="3"/>
        <v>167675.3449037786</v>
      </c>
    </row>
    <row r="543" spans="1:14" x14ac:dyDescent="0.2">
      <c r="A543" s="521">
        <v>43125</v>
      </c>
      <c r="B543" s="497">
        <v>301331.82</v>
      </c>
      <c r="F543" s="499">
        <v>42887</v>
      </c>
      <c r="G543" s="500">
        <v>248981.18</v>
      </c>
      <c r="H543" s="610">
        <v>160443.22</v>
      </c>
      <c r="J543" s="499">
        <v>42979</v>
      </c>
      <c r="K543" s="610">
        <v>163493.49</v>
      </c>
      <c r="M543" s="610"/>
      <c r="N543" s="711">
        <f t="shared" si="3"/>
        <v>168709.34286401857</v>
      </c>
    </row>
    <row r="544" spans="1:14" x14ac:dyDescent="0.2">
      <c r="A544" s="521">
        <v>43126</v>
      </c>
      <c r="B544" s="497">
        <v>327084.28999999998</v>
      </c>
      <c r="F544" s="499">
        <v>42917</v>
      </c>
      <c r="G544" s="500">
        <v>268937.63</v>
      </c>
      <c r="H544" s="610">
        <v>161526.35999999999</v>
      </c>
      <c r="J544" s="499">
        <v>43009</v>
      </c>
      <c r="K544" s="610">
        <v>164090.28</v>
      </c>
      <c r="M544" s="244"/>
      <c r="N544" s="711">
        <f t="shared" si="3"/>
        <v>169749.71714501336</v>
      </c>
    </row>
    <row r="545" spans="1:14" x14ac:dyDescent="0.2">
      <c r="A545" s="521">
        <v>43129</v>
      </c>
      <c r="B545" s="497">
        <v>327084</v>
      </c>
      <c r="F545" s="499">
        <v>42948</v>
      </c>
      <c r="G545" s="500">
        <v>198251.6</v>
      </c>
      <c r="H545" s="610">
        <v>162013.01</v>
      </c>
      <c r="J545" s="499">
        <v>43040</v>
      </c>
      <c r="K545" s="610">
        <v>164908.01</v>
      </c>
      <c r="M545" s="244"/>
      <c r="N545" s="711">
        <f t="shared" si="3"/>
        <v>170796.5070674076</v>
      </c>
    </row>
    <row r="546" spans="1:14" x14ac:dyDescent="0.2">
      <c r="A546" s="521">
        <v>43130</v>
      </c>
      <c r="B546" s="497">
        <v>327084</v>
      </c>
      <c r="F546" s="499">
        <v>42979</v>
      </c>
      <c r="G546" s="500">
        <v>178964.63</v>
      </c>
      <c r="H546" s="610">
        <v>163493.49</v>
      </c>
      <c r="J546" s="499">
        <v>43070</v>
      </c>
      <c r="K546" s="610">
        <v>164937.87</v>
      </c>
      <c r="M546" s="244"/>
      <c r="N546" s="711">
        <f t="shared" si="3"/>
        <v>171849.75219432329</v>
      </c>
    </row>
    <row r="547" spans="1:14" x14ac:dyDescent="0.2">
      <c r="A547" s="521">
        <v>43131</v>
      </c>
      <c r="B547" s="497">
        <v>337130.63</v>
      </c>
      <c r="F547" s="499">
        <v>43009</v>
      </c>
      <c r="G547" s="500">
        <v>199171.39</v>
      </c>
      <c r="H547" s="610">
        <v>164090.28</v>
      </c>
      <c r="J547" s="499">
        <v>43101</v>
      </c>
      <c r="K547" s="610">
        <v>167966.33</v>
      </c>
      <c r="M547" s="244"/>
      <c r="N547" s="711">
        <f t="shared" si="3"/>
        <v>172909.49233285495</v>
      </c>
    </row>
    <row r="548" spans="1:14" x14ac:dyDescent="0.2">
      <c r="A548" s="521">
        <v>43132</v>
      </c>
      <c r="B548" s="497">
        <v>334292.59999999998</v>
      </c>
      <c r="F548" s="499">
        <v>43040</v>
      </c>
      <c r="G548" s="500">
        <v>180584.58</v>
      </c>
      <c r="H548" s="610">
        <v>164908.01</v>
      </c>
      <c r="J548" s="499">
        <v>43132</v>
      </c>
      <c r="K548" s="610">
        <v>164746.72</v>
      </c>
      <c r="M548" s="244"/>
      <c r="N548" s="711">
        <f t="shared" si="3"/>
        <v>173975.76753557421</v>
      </c>
    </row>
    <row r="549" spans="1:14" x14ac:dyDescent="0.2">
      <c r="A549" s="521">
        <v>43133</v>
      </c>
      <c r="B549" s="497">
        <v>335977.23</v>
      </c>
      <c r="F549" s="499">
        <v>43070</v>
      </c>
      <c r="G549" s="500">
        <v>258260.86</v>
      </c>
      <c r="H549" s="610">
        <v>164937.87</v>
      </c>
      <c r="J549" s="499">
        <v>43160</v>
      </c>
      <c r="K549" s="610">
        <v>163400.39000000001</v>
      </c>
      <c r="N549" s="711">
        <f t="shared" si="3"/>
        <v>175048.61810204358</v>
      </c>
    </row>
    <row r="550" spans="1:14" x14ac:dyDescent="0.2">
      <c r="A550" s="521">
        <v>43136</v>
      </c>
      <c r="B550" s="497">
        <v>300614.99</v>
      </c>
      <c r="F550" s="499">
        <v>43101</v>
      </c>
      <c r="G550" s="500">
        <v>297556.56</v>
      </c>
      <c r="H550" s="610">
        <v>167966.33</v>
      </c>
      <c r="J550" s="499">
        <v>43191</v>
      </c>
      <c r="K550" s="610">
        <v>163874.63</v>
      </c>
      <c r="N550" s="711">
        <f t="shared" si="3"/>
        <v>176128.08458033952</v>
      </c>
    </row>
    <row r="551" spans="1:14" x14ac:dyDescent="0.2">
      <c r="A551" s="521">
        <v>43137</v>
      </c>
      <c r="B551" s="497">
        <v>295509.53999999998</v>
      </c>
      <c r="F551" s="499">
        <v>43132</v>
      </c>
      <c r="G551" s="500">
        <v>287550</v>
      </c>
      <c r="H551" s="610">
        <v>164746.72</v>
      </c>
      <c r="J551" s="499">
        <v>43221</v>
      </c>
      <c r="K551" s="610">
        <v>165109.67000000001</v>
      </c>
      <c r="N551" s="711">
        <f t="shared" si="3"/>
        <v>177214.20776858495</v>
      </c>
    </row>
    <row r="552" spans="1:14" x14ac:dyDescent="0.2">
      <c r="A552" s="521">
        <v>43138</v>
      </c>
      <c r="B552" s="497">
        <v>295510</v>
      </c>
      <c r="F552" s="499">
        <v>43160</v>
      </c>
      <c r="G552" s="500">
        <v>277699.34999999998</v>
      </c>
      <c r="H552" s="610">
        <v>163400.39000000001</v>
      </c>
      <c r="J552" s="499">
        <v>43252</v>
      </c>
      <c r="K552" s="610">
        <v>164894.5</v>
      </c>
      <c r="M552" s="610"/>
      <c r="N552" s="711">
        <f t="shared" si="3"/>
        <v>178307.02871649122</v>
      </c>
    </row>
    <row r="553" spans="1:14" x14ac:dyDescent="0.2">
      <c r="A553" s="521">
        <v>43139</v>
      </c>
      <c r="B553" s="497">
        <v>295623.09999999998</v>
      </c>
      <c r="F553" s="499">
        <v>43191</v>
      </c>
      <c r="G553" s="500">
        <v>310068.02</v>
      </c>
      <c r="H553" s="610">
        <v>163874.63</v>
      </c>
      <c r="J553" s="499">
        <v>43282</v>
      </c>
      <c r="K553" s="610">
        <v>168308.43</v>
      </c>
      <c r="N553" s="711">
        <f t="shared" si="3"/>
        <v>179406.58872690957</v>
      </c>
    </row>
    <row r="554" spans="1:14" x14ac:dyDescent="0.2">
      <c r="A554" s="521">
        <v>43140</v>
      </c>
      <c r="B554" s="497">
        <v>295623</v>
      </c>
      <c r="F554" s="499">
        <v>43221</v>
      </c>
      <c r="G554" s="500">
        <v>338828.68</v>
      </c>
      <c r="H554" s="610">
        <v>165109.67000000001</v>
      </c>
      <c r="J554" s="499">
        <v>43313</v>
      </c>
      <c r="K554" s="610">
        <v>169314.31</v>
      </c>
      <c r="M554" s="500"/>
      <c r="N554" s="711">
        <f t="shared" si="3"/>
        <v>180512.92935739219</v>
      </c>
    </row>
    <row r="555" spans="1:14" x14ac:dyDescent="0.2">
      <c r="A555" s="521">
        <v>43143</v>
      </c>
      <c r="B555" s="497">
        <v>299232.09999999998</v>
      </c>
      <c r="F555" s="499">
        <v>43252</v>
      </c>
      <c r="G555" s="500">
        <v>316601.96000000002</v>
      </c>
      <c r="H555" s="610">
        <v>164894.5</v>
      </c>
      <c r="J555" s="499">
        <v>43344</v>
      </c>
      <c r="K555" s="610">
        <v>170138.99</v>
      </c>
      <c r="N555" s="711">
        <f t="shared" si="3"/>
        <v>181626.09242176276</v>
      </c>
    </row>
    <row r="556" spans="1:14" x14ac:dyDescent="0.2">
      <c r="A556" s="521">
        <v>43144</v>
      </c>
      <c r="B556" s="497">
        <v>304422.01</v>
      </c>
      <c r="F556" s="499">
        <v>43282</v>
      </c>
      <c r="G556" s="500">
        <v>282196.90999999997</v>
      </c>
      <c r="H556" s="610">
        <v>168308.43</v>
      </c>
      <c r="J556" s="499">
        <v>43374</v>
      </c>
      <c r="K556" s="610">
        <v>164332.01</v>
      </c>
      <c r="M556" s="630"/>
      <c r="N556" s="711">
        <f t="shared" si="3"/>
        <v>182746.11999169696</v>
      </c>
    </row>
    <row r="557" spans="1:14" x14ac:dyDescent="0.2">
      <c r="A557" s="521">
        <v>43145</v>
      </c>
      <c r="B557" s="497">
        <v>330191.24</v>
      </c>
      <c r="F557" s="499">
        <v>43313</v>
      </c>
      <c r="G557" s="500">
        <v>287391.71999999997</v>
      </c>
      <c r="H557" s="610">
        <v>169314.31</v>
      </c>
      <c r="J557" s="499">
        <v>43405</v>
      </c>
      <c r="K557" s="610">
        <v>166031.76999999999</v>
      </c>
      <c r="N557" s="711">
        <f t="shared" si="3"/>
        <v>183873.05439831244</v>
      </c>
    </row>
    <row r="558" spans="1:14" x14ac:dyDescent="0.2">
      <c r="A558" s="521">
        <v>43146</v>
      </c>
      <c r="B558" s="497">
        <v>313471.64</v>
      </c>
      <c r="F558" s="499">
        <v>43344</v>
      </c>
      <c r="G558" s="500">
        <v>327095.84000000003</v>
      </c>
      <c r="H558" s="610">
        <v>170138.99</v>
      </c>
      <c r="J558" s="499">
        <v>43435</v>
      </c>
      <c r="K558" s="610">
        <v>159621.23000000001</v>
      </c>
      <c r="N558" s="711">
        <f t="shared" si="3"/>
        <v>185006.93823376868</v>
      </c>
    </row>
    <row r="559" spans="1:14" x14ac:dyDescent="0.2">
      <c r="A559" s="521">
        <v>43147</v>
      </c>
      <c r="B559" s="497">
        <v>313472</v>
      </c>
      <c r="F559" s="499">
        <v>43374</v>
      </c>
      <c r="G559" s="500">
        <v>233504.28</v>
      </c>
      <c r="H559" s="610">
        <v>164332.01</v>
      </c>
      <c r="J559" s="499">
        <v>43466</v>
      </c>
      <c r="K559" s="610">
        <v>166873.93</v>
      </c>
      <c r="N559" s="711">
        <f t="shared" si="3"/>
        <v>186147.81435287691</v>
      </c>
    </row>
    <row r="560" spans="1:14" x14ac:dyDescent="0.2">
      <c r="A560" s="521">
        <v>43150</v>
      </c>
      <c r="B560" s="497">
        <v>313472</v>
      </c>
      <c r="F560" s="499">
        <v>43405</v>
      </c>
      <c r="G560" s="500">
        <v>166530.44</v>
      </c>
      <c r="H560" s="610">
        <v>166031.76999999999</v>
      </c>
      <c r="J560" s="499">
        <v>43497</v>
      </c>
      <c r="K560" s="610">
        <v>170486.28</v>
      </c>
      <c r="N560" s="711">
        <f t="shared" si="3"/>
        <v>187295.72587471965</v>
      </c>
    </row>
    <row r="561" spans="1:14" x14ac:dyDescent="0.2">
      <c r="A561" s="521">
        <v>43151</v>
      </c>
      <c r="B561" s="497">
        <v>277471.58</v>
      </c>
      <c r="F561" s="499">
        <v>43435</v>
      </c>
      <c r="G561" s="500">
        <v>245292.72</v>
      </c>
      <c r="H561" s="610">
        <v>159621.23000000001</v>
      </c>
      <c r="J561" s="499">
        <v>43525</v>
      </c>
      <c r="K561" s="610">
        <v>171537.16</v>
      </c>
      <c r="N561" s="711">
        <f t="shared" si="3"/>
        <v>188450.71618428041</v>
      </c>
    </row>
    <row r="562" spans="1:14" x14ac:dyDescent="0.2">
      <c r="A562" s="521">
        <v>43152</v>
      </c>
      <c r="B562" s="497">
        <v>287526.92</v>
      </c>
      <c r="F562" s="499">
        <v>43466</v>
      </c>
      <c r="G562" s="500">
        <v>322895</v>
      </c>
      <c r="H562" s="610">
        <v>166873.93</v>
      </c>
      <c r="J562" s="499">
        <v>43556</v>
      </c>
      <c r="K562" s="610">
        <v>174601.21</v>
      </c>
      <c r="N562" s="711">
        <f t="shared" si="3"/>
        <v>189612.82893408346</v>
      </c>
    </row>
    <row r="563" spans="1:14" x14ac:dyDescent="0.2">
      <c r="A563" s="521">
        <v>43153</v>
      </c>
      <c r="B563" s="497">
        <v>296486.64</v>
      </c>
      <c r="F563" s="499">
        <v>43497</v>
      </c>
      <c r="G563" s="500">
        <v>388590.24</v>
      </c>
      <c r="H563" s="610">
        <v>170486.28</v>
      </c>
      <c r="J563" s="499">
        <v>43586</v>
      </c>
      <c r="K563" s="610">
        <v>169831.32</v>
      </c>
      <c r="N563" s="711">
        <f t="shared" si="3"/>
        <v>190782.10804584363</v>
      </c>
    </row>
    <row r="564" spans="1:14" x14ac:dyDescent="0.2">
      <c r="A564" s="521">
        <v>43154</v>
      </c>
      <c r="B564" s="497">
        <v>296487</v>
      </c>
      <c r="F564" s="499">
        <v>43525</v>
      </c>
      <c r="G564" s="500">
        <v>244069.19</v>
      </c>
      <c r="H564" s="610">
        <v>171537.16</v>
      </c>
      <c r="J564" s="499">
        <v>43617</v>
      </c>
      <c r="K564" s="610">
        <v>175962.43</v>
      </c>
      <c r="N564" s="711">
        <f t="shared" si="3"/>
        <v>191958.59771212633</v>
      </c>
    </row>
    <row r="565" spans="1:14" x14ac:dyDescent="0.2">
      <c r="A565" s="521">
        <v>43157</v>
      </c>
      <c r="B565" s="497">
        <v>296487</v>
      </c>
      <c r="F565" s="499">
        <v>43556</v>
      </c>
      <c r="G565" s="500">
        <v>265093.77</v>
      </c>
      <c r="H565" s="610">
        <v>174601.21</v>
      </c>
      <c r="J565" s="499">
        <v>43647</v>
      </c>
      <c r="K565" s="610">
        <v>176392.07</v>
      </c>
      <c r="N565" s="711">
        <f t="shared" si="3"/>
        <v>193142.34239801776</v>
      </c>
    </row>
    <row r="566" spans="1:14" x14ac:dyDescent="0.2">
      <c r="A566" s="521">
        <v>43158</v>
      </c>
      <c r="B566" s="497">
        <v>335911.5</v>
      </c>
      <c r="F566" s="499">
        <v>43586</v>
      </c>
      <c r="G566" s="500">
        <v>218979.44</v>
      </c>
      <c r="H566" s="610">
        <v>169831.32</v>
      </c>
      <c r="J566" s="499">
        <v>43678</v>
      </c>
      <c r="K566" s="610">
        <v>174581</v>
      </c>
      <c r="N566" s="711">
        <f t="shared" si="3"/>
        <v>194333.38684280554</v>
      </c>
    </row>
    <row r="567" spans="1:14" x14ac:dyDescent="0.2">
      <c r="A567" s="521">
        <v>43159</v>
      </c>
      <c r="B567" s="497">
        <v>335912</v>
      </c>
      <c r="F567" s="499">
        <v>43617</v>
      </c>
      <c r="G567" s="500">
        <v>271553.78999999998</v>
      </c>
      <c r="H567" s="610">
        <v>175962.43</v>
      </c>
      <c r="J567" s="499">
        <v>43709</v>
      </c>
      <c r="K567" s="610">
        <v>175832.82</v>
      </c>
      <c r="N567" s="711">
        <f t="shared" si="3"/>
        <v>195531.77606166952</v>
      </c>
    </row>
    <row r="568" spans="1:14" x14ac:dyDescent="0.2">
      <c r="A568" s="521">
        <v>43160</v>
      </c>
      <c r="B568" s="497">
        <v>330042.21999999997</v>
      </c>
      <c r="F568" s="499">
        <v>43647</v>
      </c>
      <c r="G568" s="500">
        <v>272625.19</v>
      </c>
      <c r="H568" s="610">
        <v>176392.07</v>
      </c>
      <c r="J568" s="499">
        <v>43739</v>
      </c>
      <c r="K568" s="610">
        <v>176684.91</v>
      </c>
      <c r="N568" s="711">
        <f t="shared" si="3"/>
        <v>196737.55534738314</v>
      </c>
    </row>
    <row r="569" spans="1:14" x14ac:dyDescent="0.2">
      <c r="A569" s="521">
        <v>43161</v>
      </c>
      <c r="B569" s="557">
        <v>367034.5</v>
      </c>
      <c r="F569" s="499">
        <v>43678</v>
      </c>
      <c r="G569" s="500">
        <v>249105.04</v>
      </c>
      <c r="H569" s="610">
        <v>174581.16</v>
      </c>
      <c r="J569" s="499">
        <v>43770</v>
      </c>
      <c r="K569" s="610">
        <v>180686.55</v>
      </c>
      <c r="N569" s="711">
        <f t="shared" si="3"/>
        <v>197950.77027202534</v>
      </c>
    </row>
    <row r="570" spans="1:14" x14ac:dyDescent="0.2">
      <c r="A570" s="521">
        <v>43164</v>
      </c>
      <c r="B570" s="497">
        <v>330990.42</v>
      </c>
      <c r="F570" s="499">
        <v>43709</v>
      </c>
      <c r="G570" s="500">
        <v>224675.57</v>
      </c>
      <c r="H570" s="610">
        <v>175832.82</v>
      </c>
      <c r="J570" s="499">
        <v>43800</v>
      </c>
      <c r="K570" s="610">
        <v>184417.26</v>
      </c>
      <c r="N570" s="711">
        <f t="shared" si="3"/>
        <v>199171.46668870284</v>
      </c>
    </row>
    <row r="571" spans="1:14" x14ac:dyDescent="0.2">
      <c r="A571" s="521">
        <v>43165</v>
      </c>
      <c r="B571" s="497">
        <v>333065.89</v>
      </c>
      <c r="F571" s="499">
        <v>43739</v>
      </c>
      <c r="G571" s="500">
        <f>250597.51-10616</f>
        <v>239981.51</v>
      </c>
      <c r="H571" s="610">
        <v>176684.91</v>
      </c>
      <c r="J571" s="499">
        <v>43831</v>
      </c>
      <c r="K571" s="610">
        <v>186588.03</v>
      </c>
      <c r="N571" s="711">
        <f t="shared" si="3"/>
        <v>200399.69073328318</v>
      </c>
    </row>
    <row r="572" spans="1:14" x14ac:dyDescent="0.2">
      <c r="A572" s="521">
        <v>43166</v>
      </c>
      <c r="B572" s="497">
        <v>331065.89</v>
      </c>
      <c r="F572" s="499">
        <v>43770</v>
      </c>
      <c r="G572" s="500">
        <f>213081.72-10616</f>
        <v>202465.72</v>
      </c>
      <c r="H572" s="610">
        <v>180686.55</v>
      </c>
      <c r="J572" s="499">
        <v>43862</v>
      </c>
      <c r="K572" s="610">
        <v>177685.24</v>
      </c>
      <c r="N572" s="711">
        <f t="shared" si="3"/>
        <v>201635.48882613843</v>
      </c>
    </row>
    <row r="573" spans="1:14" x14ac:dyDescent="0.2">
      <c r="A573" s="521">
        <v>43167</v>
      </c>
      <c r="B573" s="497">
        <v>331092.17</v>
      </c>
      <c r="F573" s="499">
        <v>43800</v>
      </c>
      <c r="G573" s="500">
        <v>298881.24</v>
      </c>
      <c r="H573" s="610">
        <v>184417.26</v>
      </c>
      <c r="J573" s="499">
        <v>43891</v>
      </c>
      <c r="K573" s="610">
        <v>162398.81</v>
      </c>
      <c r="N573" s="711">
        <f t="shared" si="3"/>
        <v>202878.90767389961</v>
      </c>
    </row>
    <row r="574" spans="1:14" x14ac:dyDescent="0.2">
      <c r="A574" s="521">
        <v>43168</v>
      </c>
      <c r="B574" s="497">
        <v>311733.17</v>
      </c>
      <c r="F574" s="499">
        <v>43831</v>
      </c>
      <c r="G574" s="500">
        <v>326352.59000000003</v>
      </c>
      <c r="H574" s="610">
        <v>186588.03</v>
      </c>
      <c r="J574" s="499">
        <v>43922</v>
      </c>
      <c r="K574" s="610">
        <v>175055.83</v>
      </c>
      <c r="N574" s="711">
        <f t="shared" si="3"/>
        <v>204129.99427122198</v>
      </c>
    </row>
    <row r="575" spans="1:14" x14ac:dyDescent="0.2">
      <c r="A575" s="521">
        <v>43171</v>
      </c>
      <c r="B575" s="497">
        <v>317116.19</v>
      </c>
      <c r="F575" s="499">
        <v>43862</v>
      </c>
      <c r="G575" s="500">
        <v>247842.14</v>
      </c>
      <c r="H575" s="610">
        <v>177685.24</v>
      </c>
      <c r="J575" s="499">
        <v>43952</v>
      </c>
      <c r="K575" s="610">
        <v>180640.71</v>
      </c>
      <c r="N575" s="711">
        <f t="shared" si="3"/>
        <v>205388.79590256119</v>
      </c>
    </row>
    <row r="576" spans="1:14" x14ac:dyDescent="0.2">
      <c r="A576" s="521">
        <v>43172</v>
      </c>
      <c r="B576" s="497">
        <v>317116</v>
      </c>
      <c r="F576" s="499">
        <v>43891</v>
      </c>
      <c r="G576" s="500">
        <v>256001.05</v>
      </c>
      <c r="H576" s="610">
        <v>162398.81</v>
      </c>
      <c r="J576" s="499">
        <v>43983</v>
      </c>
      <c r="K576" s="610">
        <v>183627.14</v>
      </c>
      <c r="N576" s="711">
        <f t="shared" si="3"/>
        <v>206655.36014396031</v>
      </c>
    </row>
    <row r="577" spans="1:18" x14ac:dyDescent="0.2">
      <c r="A577" s="521">
        <v>43173</v>
      </c>
      <c r="B577" s="497">
        <v>317496.19</v>
      </c>
      <c r="F577" s="499">
        <v>43922</v>
      </c>
      <c r="G577" s="500">
        <v>319553.11</v>
      </c>
      <c r="H577" s="610">
        <v>175055.83</v>
      </c>
      <c r="J577" s="499">
        <v>44013</v>
      </c>
      <c r="K577" s="610">
        <v>191310.14</v>
      </c>
      <c r="L577" s="244"/>
      <c r="N577" s="711">
        <f t="shared" si="3"/>
        <v>207929.73486484805</v>
      </c>
      <c r="O577" s="244"/>
      <c r="P577" s="244"/>
      <c r="Q577" s="244"/>
      <c r="R577" s="244"/>
    </row>
    <row r="578" spans="1:18" x14ac:dyDescent="0.2">
      <c r="A578" s="521">
        <v>43174</v>
      </c>
      <c r="B578" s="497">
        <v>317772.45</v>
      </c>
      <c r="F578" s="499">
        <v>43952</v>
      </c>
      <c r="G578" s="500">
        <v>373887.89</v>
      </c>
      <c r="H578" s="610">
        <v>180640.71</v>
      </c>
      <c r="J578" s="499">
        <v>44044</v>
      </c>
      <c r="K578" s="610">
        <v>196731.42</v>
      </c>
      <c r="L578" s="244"/>
      <c r="N578" s="711">
        <f t="shared" si="3"/>
        <v>209211.96822984796</v>
      </c>
      <c r="P578" s="244"/>
      <c r="Q578" s="244"/>
      <c r="R578" s="244"/>
    </row>
    <row r="579" spans="1:18" x14ac:dyDescent="0.2">
      <c r="A579" s="521">
        <v>43175</v>
      </c>
      <c r="B579" s="497">
        <v>317772</v>
      </c>
      <c r="C579" s="521"/>
      <c r="D579" s="497"/>
      <c r="F579" s="499">
        <v>43983</v>
      </c>
      <c r="G579" s="500">
        <v>387259.9</v>
      </c>
      <c r="H579" s="610">
        <v>183627.14</v>
      </c>
      <c r="J579" s="499">
        <v>44075</v>
      </c>
      <c r="K579" s="610">
        <v>192424.98</v>
      </c>
      <c r="L579" s="244"/>
      <c r="N579" s="711">
        <f t="shared" si="3"/>
        <v>210502.10870059868</v>
      </c>
      <c r="P579" s="244"/>
      <c r="Q579" s="244"/>
      <c r="R579" s="244"/>
    </row>
    <row r="580" spans="1:18" x14ac:dyDescent="0.2">
      <c r="A580" s="521">
        <v>43178</v>
      </c>
      <c r="B580" s="497">
        <v>279446.55</v>
      </c>
      <c r="C580" s="521"/>
      <c r="D580" s="497"/>
      <c r="F580" s="499">
        <v>44013</v>
      </c>
      <c r="G580" s="500">
        <v>393896.48</v>
      </c>
      <c r="H580" s="610">
        <v>191310.14</v>
      </c>
      <c r="J580" s="499">
        <v>44105</v>
      </c>
      <c r="K580" s="610">
        <v>189044.54</v>
      </c>
      <c r="L580" s="244"/>
      <c r="N580" s="711">
        <f t="shared" si="3"/>
        <v>211800.20503758569</v>
      </c>
      <c r="P580" s="244"/>
      <c r="Q580" s="244"/>
      <c r="R580" s="244"/>
    </row>
    <row r="581" spans="1:18" x14ac:dyDescent="0.2">
      <c r="A581" s="521">
        <v>43179</v>
      </c>
      <c r="B581" s="497">
        <v>272785.62</v>
      </c>
      <c r="C581" s="521"/>
      <c r="D581" s="497"/>
      <c r="F581" s="499">
        <v>44044</v>
      </c>
      <c r="G581" s="500">
        <v>318622.86</v>
      </c>
      <c r="H581" s="610">
        <v>196731.42</v>
      </c>
      <c r="J581" s="499">
        <v>44136</v>
      </c>
      <c r="K581" s="610">
        <v>201253.81</v>
      </c>
      <c r="L581" s="244"/>
      <c r="N581" s="711">
        <f t="shared" si="3"/>
        <v>213106.30630198415</v>
      </c>
      <c r="P581" s="244"/>
      <c r="Q581" s="244"/>
      <c r="R581" s="244"/>
    </row>
    <row r="582" spans="1:18" x14ac:dyDescent="0.2">
      <c r="A582" s="521">
        <v>43180</v>
      </c>
      <c r="B582" s="497">
        <v>288240.15999999997</v>
      </c>
      <c r="C582" s="521"/>
      <c r="D582" s="497"/>
      <c r="F582" s="499">
        <v>44075</v>
      </c>
      <c r="G582" s="500">
        <v>310792.11</v>
      </c>
      <c r="H582" s="610">
        <v>192424.98</v>
      </c>
      <c r="J582" s="499">
        <v>44166</v>
      </c>
      <c r="K582" s="610">
        <v>206549.06</v>
      </c>
      <c r="L582" s="244"/>
      <c r="N582" s="711">
        <f t="shared" si="3"/>
        <v>214420.46185751306</v>
      </c>
      <c r="O582" s="244"/>
      <c r="P582" s="244"/>
      <c r="Q582" s="244"/>
      <c r="R582" s="244"/>
    </row>
    <row r="583" spans="1:18" x14ac:dyDescent="0.2">
      <c r="A583" s="521">
        <v>43181</v>
      </c>
      <c r="B583" s="497">
        <v>278742.74</v>
      </c>
      <c r="C583" s="521"/>
      <c r="D583" s="497"/>
      <c r="F583" s="499">
        <v>44105</v>
      </c>
      <c r="G583" s="500">
        <v>337545.3</v>
      </c>
      <c r="H583" s="610">
        <v>189044.54</v>
      </c>
      <c r="J583" s="499">
        <v>44197</v>
      </c>
      <c r="K583" s="610">
        <v>204163.62</v>
      </c>
      <c r="L583" s="244"/>
      <c r="N583" s="711">
        <f t="shared" si="3"/>
        <v>215742.72137230105</v>
      </c>
      <c r="O583" s="244"/>
      <c r="P583" s="244"/>
      <c r="Q583" s="244"/>
      <c r="R583" s="244"/>
    </row>
    <row r="584" spans="1:18" x14ac:dyDescent="0.2">
      <c r="A584" s="521">
        <v>43182</v>
      </c>
      <c r="B584" s="497">
        <v>278840.24</v>
      </c>
      <c r="C584" s="521"/>
      <c r="D584" s="497"/>
      <c r="F584" s="499">
        <v>44136</v>
      </c>
      <c r="G584" s="500">
        <v>407385.79</v>
      </c>
      <c r="H584" s="610">
        <v>201253.81</v>
      </c>
      <c r="J584" s="499">
        <v>44228</v>
      </c>
      <c r="K584" s="610">
        <v>207045.8</v>
      </c>
      <c r="L584" s="244"/>
      <c r="N584" s="711">
        <f t="shared" si="3"/>
        <v>217073.13482076357</v>
      </c>
      <c r="O584" s="244"/>
      <c r="P584" s="244"/>
      <c r="Q584" s="244"/>
      <c r="R584" s="244"/>
    </row>
    <row r="585" spans="1:18" x14ac:dyDescent="0.2">
      <c r="A585" s="521">
        <v>43185</v>
      </c>
      <c r="B585" s="497">
        <v>278942.24</v>
      </c>
      <c r="C585" s="521"/>
      <c r="D585" s="497"/>
      <c r="F585" s="499">
        <v>44166</v>
      </c>
      <c r="G585" s="500">
        <v>325944.61</v>
      </c>
      <c r="H585" s="610">
        <v>206549.06</v>
      </c>
      <c r="J585" s="499">
        <v>44256</v>
      </c>
      <c r="K585" s="610">
        <v>211866.05</v>
      </c>
      <c r="L585" s="244"/>
      <c r="N585" s="711">
        <f t="shared" si="3"/>
        <v>218411.75248549163</v>
      </c>
      <c r="O585" s="244"/>
      <c r="P585" s="244"/>
      <c r="Q585" s="244"/>
      <c r="R585" s="244"/>
    </row>
    <row r="586" spans="1:18" x14ac:dyDescent="0.2">
      <c r="A586" s="521">
        <v>43186</v>
      </c>
      <c r="B586" s="497">
        <v>257048.49</v>
      </c>
      <c r="C586" s="521"/>
      <c r="D586" s="497"/>
      <c r="F586" s="499">
        <v>44197</v>
      </c>
      <c r="G586" s="500">
        <v>416865.56</v>
      </c>
      <c r="H586" s="610">
        <v>204163.62</v>
      </c>
      <c r="J586" s="499">
        <v>44287</v>
      </c>
      <c r="K586" s="610">
        <v>218448.38</v>
      </c>
      <c r="L586" s="244"/>
      <c r="N586" s="711">
        <f t="shared" si="3"/>
        <v>219758.62495915216</v>
      </c>
      <c r="O586" s="244"/>
      <c r="P586" s="244"/>
      <c r="Q586" s="244"/>
      <c r="R586" s="244"/>
    </row>
    <row r="587" spans="1:18" x14ac:dyDescent="0.2">
      <c r="A587" s="521">
        <v>43187</v>
      </c>
      <c r="B587" s="497">
        <v>252662.47</v>
      </c>
      <c r="C587" s="521"/>
      <c r="D587" s="497"/>
      <c r="F587" s="499">
        <v>44228</v>
      </c>
      <c r="G587" s="500">
        <v>403762.36</v>
      </c>
      <c r="H587" s="610">
        <v>207045.8</v>
      </c>
      <c r="J587" s="499">
        <v>44317</v>
      </c>
      <c r="K587" s="610">
        <f>222185</f>
        <v>222185</v>
      </c>
      <c r="L587" s="244"/>
      <c r="N587" s="711">
        <f t="shared" si="3"/>
        <v>221113.80314640026</v>
      </c>
      <c r="O587" s="244"/>
      <c r="P587" s="244"/>
      <c r="Q587" s="244"/>
      <c r="R587" s="244"/>
    </row>
    <row r="588" spans="1:18" x14ac:dyDescent="0.2">
      <c r="A588" s="521">
        <v>43188</v>
      </c>
      <c r="B588" s="497">
        <v>254708.73</v>
      </c>
      <c r="C588" s="521"/>
      <c r="D588" s="497"/>
      <c r="F588" s="499">
        <v>44256</v>
      </c>
      <c r="G588" s="500">
        <v>218522.99</v>
      </c>
      <c r="H588" s="610">
        <v>211866.05</v>
      </c>
      <c r="J588" s="499">
        <v>44348</v>
      </c>
      <c r="K588" s="610">
        <v>222449</v>
      </c>
      <c r="L588" s="244"/>
      <c r="N588" s="711">
        <f t="shared" si="3"/>
        <v>222477.33826580306</v>
      </c>
      <c r="O588" s="244"/>
      <c r="P588" s="244"/>
      <c r="Q588" s="244"/>
      <c r="R588" s="244"/>
    </row>
    <row r="589" spans="1:18" x14ac:dyDescent="0.2">
      <c r="A589" s="521">
        <v>43189</v>
      </c>
      <c r="B589" s="497">
        <v>281702.86</v>
      </c>
      <c r="C589" s="521"/>
      <c r="D589" s="497"/>
      <c r="F589" s="499">
        <v>44287</v>
      </c>
      <c r="G589" s="500">
        <v>281881.69</v>
      </c>
      <c r="H589" s="610">
        <v>218448.38</v>
      </c>
      <c r="J589" s="499">
        <v>44378</v>
      </c>
      <c r="K589" s="610"/>
      <c r="L589" s="244"/>
      <c r="O589" s="244"/>
      <c r="P589" s="244"/>
      <c r="Q589" s="244"/>
      <c r="R589" s="244"/>
    </row>
    <row r="590" spans="1:18" x14ac:dyDescent="0.2">
      <c r="A590" s="521">
        <v>43192</v>
      </c>
      <c r="B590" s="497">
        <v>244220.77</v>
      </c>
      <c r="C590" s="521"/>
      <c r="D590" s="497"/>
      <c r="F590" s="499">
        <v>44317</v>
      </c>
      <c r="G590" s="500">
        <v>232303.26</v>
      </c>
      <c r="H590" s="610">
        <v>222184.92</v>
      </c>
      <c r="J590" s="499">
        <v>44409</v>
      </c>
      <c r="K590" s="610"/>
      <c r="L590" s="244"/>
    </row>
    <row r="591" spans="1:18" x14ac:dyDescent="0.2">
      <c r="A591" s="521">
        <v>43193</v>
      </c>
      <c r="B591" s="497">
        <v>244221</v>
      </c>
      <c r="C591" s="521"/>
      <c r="D591" s="497"/>
      <c r="F591" s="499">
        <v>44348</v>
      </c>
      <c r="G591" s="500">
        <v>249012.59</v>
      </c>
      <c r="H591" s="610">
        <v>222449.07</v>
      </c>
      <c r="J591" s="499">
        <v>44440</v>
      </c>
      <c r="K591" s="610"/>
      <c r="L591" s="244"/>
    </row>
    <row r="592" spans="1:18" x14ac:dyDescent="0.2">
      <c r="A592" s="521">
        <v>43194</v>
      </c>
      <c r="B592" s="497">
        <v>244221</v>
      </c>
      <c r="C592" s="521"/>
      <c r="D592" s="497"/>
      <c r="F592" s="499">
        <v>44378</v>
      </c>
      <c r="K592" s="701"/>
      <c r="L592" s="244"/>
    </row>
    <row r="593" spans="1:12" x14ac:dyDescent="0.2">
      <c r="A593" s="521">
        <v>43195</v>
      </c>
      <c r="B593" s="497">
        <v>225503.87</v>
      </c>
      <c r="C593" s="521"/>
      <c r="D593" s="497"/>
      <c r="F593" s="499">
        <v>44409</v>
      </c>
      <c r="K593" s="701"/>
      <c r="L593" s="244"/>
    </row>
    <row r="594" spans="1:12" x14ac:dyDescent="0.2">
      <c r="A594" s="521">
        <v>43196</v>
      </c>
      <c r="B594" s="497">
        <v>225504</v>
      </c>
      <c r="C594" s="521"/>
      <c r="D594" s="497"/>
      <c r="K594" s="701"/>
      <c r="L594" s="244"/>
    </row>
    <row r="595" spans="1:12" x14ac:dyDescent="0.2">
      <c r="A595" s="521">
        <v>43199</v>
      </c>
      <c r="B595" s="497">
        <v>225503.8</v>
      </c>
      <c r="C595" s="521"/>
      <c r="D595" s="497"/>
      <c r="K595" s="701"/>
      <c r="L595" s="244"/>
    </row>
    <row r="596" spans="1:12" x14ac:dyDescent="0.2">
      <c r="A596" s="521">
        <v>43200</v>
      </c>
      <c r="B596" s="497">
        <v>227389.96</v>
      </c>
      <c r="C596" s="521"/>
      <c r="D596" s="497"/>
      <c r="K596" s="701"/>
      <c r="L596" s="244"/>
    </row>
    <row r="597" spans="1:12" x14ac:dyDescent="0.2">
      <c r="A597" s="521">
        <v>43201</v>
      </c>
      <c r="B597" s="497">
        <v>235472.53</v>
      </c>
      <c r="C597" s="521"/>
      <c r="D597" s="497"/>
      <c r="K597" s="701"/>
      <c r="L597" s="244"/>
    </row>
    <row r="598" spans="1:12" x14ac:dyDescent="0.2">
      <c r="A598" s="521">
        <v>43202</v>
      </c>
      <c r="B598" s="497">
        <v>222207.84</v>
      </c>
      <c r="C598" s="521"/>
      <c r="D598" s="497"/>
      <c r="K598" s="701"/>
      <c r="L598" s="244"/>
    </row>
    <row r="599" spans="1:12" x14ac:dyDescent="0.2">
      <c r="A599" s="521">
        <v>43203</v>
      </c>
      <c r="B599" s="497">
        <v>222287.93</v>
      </c>
      <c r="C599" s="521"/>
      <c r="D599" s="497"/>
      <c r="K599" s="701"/>
      <c r="L599" s="244"/>
    </row>
    <row r="600" spans="1:12" x14ac:dyDescent="0.2">
      <c r="A600" s="521">
        <v>43206</v>
      </c>
      <c r="B600" s="497">
        <v>186664.28</v>
      </c>
      <c r="C600" s="521"/>
      <c r="D600" s="497"/>
      <c r="K600" s="701"/>
      <c r="L600" s="244"/>
    </row>
    <row r="601" spans="1:12" x14ac:dyDescent="0.2">
      <c r="A601" s="521">
        <v>43207</v>
      </c>
      <c r="B601" s="497">
        <v>188484.95</v>
      </c>
      <c r="C601" s="521"/>
      <c r="D601" s="497"/>
      <c r="K601" s="701"/>
      <c r="L601" s="244"/>
    </row>
    <row r="602" spans="1:12" x14ac:dyDescent="0.2">
      <c r="A602" s="521">
        <v>43208</v>
      </c>
      <c r="B602" s="497">
        <v>188485</v>
      </c>
      <c r="C602" s="521"/>
      <c r="D602" s="497"/>
      <c r="K602" s="701"/>
      <c r="L602" s="244"/>
    </row>
    <row r="603" spans="1:12" x14ac:dyDescent="0.2">
      <c r="A603" s="521">
        <v>43209</v>
      </c>
      <c r="B603" s="497">
        <v>180474.73</v>
      </c>
      <c r="C603" s="521"/>
      <c r="D603" s="497"/>
      <c r="K603" s="701"/>
      <c r="L603" s="244"/>
    </row>
    <row r="604" spans="1:12" x14ac:dyDescent="0.2">
      <c r="A604" s="521">
        <v>43210</v>
      </c>
      <c r="B604" s="497">
        <v>188207.38</v>
      </c>
      <c r="C604" s="521"/>
      <c r="D604" s="497"/>
      <c r="K604" s="701"/>
      <c r="L604" s="244"/>
    </row>
    <row r="605" spans="1:12" x14ac:dyDescent="0.2">
      <c r="A605" s="521">
        <v>43213</v>
      </c>
      <c r="B605" s="497">
        <v>198618.83</v>
      </c>
      <c r="C605" s="521"/>
      <c r="D605" s="497"/>
      <c r="K605" s="701"/>
      <c r="L605" s="244"/>
    </row>
    <row r="606" spans="1:12" x14ac:dyDescent="0.2">
      <c r="A606" s="521">
        <v>43214</v>
      </c>
      <c r="B606" s="497">
        <v>198619</v>
      </c>
      <c r="C606" s="521"/>
      <c r="D606" s="497"/>
      <c r="F606" t="s">
        <v>410</v>
      </c>
      <c r="K606" s="701"/>
      <c r="L606" s="244"/>
    </row>
    <row r="607" spans="1:12" x14ac:dyDescent="0.2">
      <c r="A607" s="521">
        <v>43215</v>
      </c>
      <c r="B607" s="497">
        <v>198619</v>
      </c>
      <c r="C607" s="521"/>
      <c r="D607" s="497"/>
      <c r="F607" t="s">
        <v>367</v>
      </c>
      <c r="G607">
        <v>50000</v>
      </c>
      <c r="K607" s="701"/>
      <c r="L607" s="244"/>
    </row>
    <row r="608" spans="1:12" x14ac:dyDescent="0.2">
      <c r="A608" s="521">
        <v>43216</v>
      </c>
      <c r="B608" s="497">
        <v>189089.55</v>
      </c>
      <c r="C608" s="521"/>
      <c r="D608" s="497"/>
      <c r="F608" t="s">
        <v>74</v>
      </c>
      <c r="G608" s="558">
        <v>158720.91</v>
      </c>
      <c r="K608" s="701"/>
      <c r="L608" s="244"/>
    </row>
    <row r="609" spans="1:12" x14ac:dyDescent="0.2">
      <c r="A609" s="521">
        <v>43217</v>
      </c>
      <c r="B609" s="497">
        <v>216053.77</v>
      </c>
      <c r="C609" s="521"/>
      <c r="D609" s="497"/>
      <c r="F609" t="s">
        <v>357</v>
      </c>
      <c r="G609" s="558">
        <v>820788.58</v>
      </c>
      <c r="K609" s="701"/>
      <c r="L609" s="244"/>
    </row>
    <row r="610" spans="1:12" x14ac:dyDescent="0.2">
      <c r="A610" s="521">
        <v>43220</v>
      </c>
      <c r="B610" s="497">
        <v>179849.52</v>
      </c>
      <c r="C610" s="521"/>
      <c r="D610" s="497"/>
      <c r="F610" t="s">
        <v>332</v>
      </c>
      <c r="G610" s="558"/>
      <c r="K610" s="701"/>
      <c r="L610" s="244"/>
    </row>
    <row r="611" spans="1:12" x14ac:dyDescent="0.2">
      <c r="A611" s="521">
        <v>43221</v>
      </c>
      <c r="B611" s="497">
        <v>179850</v>
      </c>
      <c r="C611" s="521"/>
      <c r="D611" s="497"/>
      <c r="F611" t="s">
        <v>358</v>
      </c>
      <c r="G611" s="558">
        <v>248821.26</v>
      </c>
      <c r="K611" s="701"/>
      <c r="L611" s="244"/>
    </row>
    <row r="612" spans="1:12" x14ac:dyDescent="0.2">
      <c r="A612" s="521">
        <v>43222</v>
      </c>
      <c r="B612" s="497">
        <v>173749.01</v>
      </c>
      <c r="C612" s="521"/>
      <c r="D612" s="497"/>
      <c r="F612" t="s">
        <v>359</v>
      </c>
      <c r="G612" s="558">
        <v>2000</v>
      </c>
      <c r="H612" t="s">
        <v>360</v>
      </c>
      <c r="K612" s="701"/>
      <c r="L612" s="244"/>
    </row>
    <row r="613" spans="1:12" x14ac:dyDescent="0.2">
      <c r="A613" s="521">
        <v>43223</v>
      </c>
      <c r="B613" s="497">
        <v>200792.85</v>
      </c>
      <c r="C613" s="521"/>
      <c r="D613" s="497"/>
      <c r="F613" t="s">
        <v>365</v>
      </c>
      <c r="G613" s="558">
        <f>51000+19000</f>
        <v>70000</v>
      </c>
      <c r="K613" s="701"/>
      <c r="L613" s="244"/>
    </row>
    <row r="614" spans="1:12" x14ac:dyDescent="0.2">
      <c r="A614" s="521">
        <v>43224</v>
      </c>
      <c r="B614" s="497">
        <v>202331.91</v>
      </c>
      <c r="C614" s="521"/>
      <c r="D614" s="497"/>
      <c r="E614" t="s">
        <v>361</v>
      </c>
      <c r="G614" s="558">
        <f>SUM(G607:G613)</f>
        <v>1350330.75</v>
      </c>
      <c r="K614" s="701"/>
      <c r="L614" s="244"/>
    </row>
    <row r="615" spans="1:12" x14ac:dyDescent="0.2">
      <c r="A615" s="521">
        <v>43227</v>
      </c>
      <c r="B615" s="497">
        <v>203517.87</v>
      </c>
      <c r="C615" s="521"/>
      <c r="D615" s="497"/>
      <c r="G615" s="558"/>
      <c r="K615" s="701"/>
      <c r="L615" s="244"/>
    </row>
    <row r="616" spans="1:12" x14ac:dyDescent="0.2">
      <c r="A616" s="521">
        <v>43228</v>
      </c>
      <c r="B616" s="497">
        <v>203518</v>
      </c>
      <c r="C616" s="521"/>
      <c r="D616" s="497"/>
      <c r="E616" t="s">
        <v>362</v>
      </c>
      <c r="G616" s="558">
        <f>AVERAGE(G561:G573)</f>
        <v>264939.10923076922</v>
      </c>
      <c r="L616" s="244"/>
    </row>
    <row r="617" spans="1:12" x14ac:dyDescent="0.2">
      <c r="A617" s="521">
        <v>43229</v>
      </c>
      <c r="B617" s="497">
        <v>203518</v>
      </c>
      <c r="C617" s="521"/>
      <c r="D617" s="497"/>
      <c r="G617" s="558"/>
      <c r="L617" s="244"/>
    </row>
    <row r="618" spans="1:12" x14ac:dyDescent="0.2">
      <c r="A618" s="521">
        <v>43230</v>
      </c>
      <c r="B618" s="497">
        <v>191114.58</v>
      </c>
      <c r="C618" s="521"/>
      <c r="D618" s="497"/>
      <c r="E618" t="s">
        <v>363</v>
      </c>
      <c r="G618" s="559">
        <f>G614/G616</f>
        <v>5.0967588511963511</v>
      </c>
      <c r="L618" s="244"/>
    </row>
    <row r="619" spans="1:12" x14ac:dyDescent="0.2">
      <c r="A619" s="521">
        <v>43231</v>
      </c>
      <c r="B619" s="557">
        <v>153114.57999999999</v>
      </c>
      <c r="C619" s="521"/>
      <c r="D619" s="497"/>
      <c r="G619" s="558"/>
      <c r="L619" s="244"/>
    </row>
    <row r="620" spans="1:12" x14ac:dyDescent="0.2">
      <c r="A620" s="521">
        <v>43234</v>
      </c>
      <c r="B620" s="557">
        <v>153115</v>
      </c>
      <c r="C620" s="521"/>
      <c r="D620" s="497"/>
      <c r="E620" t="s">
        <v>364</v>
      </c>
      <c r="G620" s="558">
        <v>365</v>
      </c>
      <c r="L620" s="244"/>
    </row>
    <row r="621" spans="1:12" x14ac:dyDescent="0.2">
      <c r="A621" s="521">
        <v>43235</v>
      </c>
      <c r="B621" s="497">
        <v>182792.08</v>
      </c>
      <c r="C621" s="521"/>
      <c r="D621" s="497"/>
      <c r="G621" s="558">
        <f>G620/G618</f>
        <v>71.614139624111189</v>
      </c>
      <c r="L621" s="244"/>
    </row>
    <row r="622" spans="1:12" x14ac:dyDescent="0.2">
      <c r="A622" s="521">
        <v>43236</v>
      </c>
      <c r="B622" s="497">
        <v>182792</v>
      </c>
      <c r="C622" s="521"/>
      <c r="D622" s="497"/>
      <c r="L622" s="244"/>
    </row>
    <row r="623" spans="1:12" x14ac:dyDescent="0.2">
      <c r="A623" s="521">
        <v>43237</v>
      </c>
      <c r="B623" s="497">
        <v>222152.66</v>
      </c>
      <c r="C623" s="521"/>
      <c r="D623" s="497"/>
      <c r="L623" s="244"/>
    </row>
    <row r="624" spans="1:12" x14ac:dyDescent="0.2">
      <c r="A624" s="521">
        <v>43238</v>
      </c>
      <c r="B624" s="497">
        <v>222153</v>
      </c>
      <c r="C624" s="521"/>
      <c r="D624" s="497"/>
      <c r="L624" s="244"/>
    </row>
    <row r="625" spans="1:12" x14ac:dyDescent="0.2">
      <c r="A625" s="521">
        <v>43241</v>
      </c>
      <c r="B625" s="497">
        <v>222153</v>
      </c>
      <c r="C625" s="521"/>
      <c r="D625" s="497"/>
      <c r="L625" s="244"/>
    </row>
    <row r="626" spans="1:12" x14ac:dyDescent="0.2">
      <c r="A626" s="521">
        <v>43242</v>
      </c>
      <c r="B626" s="497">
        <v>222153</v>
      </c>
      <c r="C626" s="521"/>
      <c r="D626" s="497"/>
      <c r="L626" s="244"/>
    </row>
    <row r="627" spans="1:12" x14ac:dyDescent="0.2">
      <c r="A627" s="521">
        <v>43243</v>
      </c>
      <c r="B627" s="497">
        <v>222152</v>
      </c>
      <c r="C627" s="521"/>
      <c r="D627" s="497"/>
      <c r="L627" s="244"/>
    </row>
    <row r="628" spans="1:12" x14ac:dyDescent="0.2">
      <c r="A628" s="521">
        <v>43244</v>
      </c>
      <c r="B628" s="497">
        <v>211720.43</v>
      </c>
      <c r="C628" s="521"/>
      <c r="D628" s="497"/>
    </row>
    <row r="629" spans="1:12" x14ac:dyDescent="0.2">
      <c r="A629" s="521">
        <v>43245</v>
      </c>
      <c r="B629" s="497">
        <v>211720</v>
      </c>
      <c r="C629" s="521"/>
      <c r="D629" s="497"/>
    </row>
    <row r="630" spans="1:12" x14ac:dyDescent="0.2">
      <c r="A630" s="521">
        <v>43248</v>
      </c>
      <c r="B630" s="497">
        <v>211720</v>
      </c>
      <c r="C630" s="521"/>
      <c r="D630" s="497"/>
    </row>
    <row r="631" spans="1:12" x14ac:dyDescent="0.2">
      <c r="A631" s="521">
        <v>43249</v>
      </c>
      <c r="B631" s="497">
        <v>176327.95</v>
      </c>
      <c r="C631" s="521"/>
      <c r="D631" s="497"/>
    </row>
    <row r="632" spans="1:12" x14ac:dyDescent="0.2">
      <c r="A632" s="521">
        <v>43250</v>
      </c>
      <c r="B632" s="497">
        <v>176328</v>
      </c>
      <c r="C632" s="521"/>
      <c r="D632" s="497"/>
    </row>
    <row r="633" spans="1:12" x14ac:dyDescent="0.2">
      <c r="A633" s="521">
        <v>43251</v>
      </c>
      <c r="B633" s="497">
        <v>169004.5</v>
      </c>
      <c r="C633" s="521"/>
      <c r="D633" s="497"/>
    </row>
    <row r="634" spans="1:12" x14ac:dyDescent="0.2">
      <c r="A634" s="521">
        <v>43252</v>
      </c>
      <c r="B634" s="497">
        <v>261992.26</v>
      </c>
      <c r="C634" s="521"/>
      <c r="D634" s="497"/>
    </row>
    <row r="635" spans="1:12" x14ac:dyDescent="0.2">
      <c r="A635" s="521">
        <v>43255</v>
      </c>
      <c r="B635" s="497">
        <v>270521.09000000003</v>
      </c>
      <c r="C635" s="521"/>
      <c r="D635" s="497"/>
    </row>
    <row r="636" spans="1:12" x14ac:dyDescent="0.2">
      <c r="A636" s="521">
        <v>43256</v>
      </c>
      <c r="B636" s="497">
        <v>285365.09000000003</v>
      </c>
      <c r="C636" s="521"/>
      <c r="D636" s="497"/>
    </row>
    <row r="637" spans="1:12" x14ac:dyDescent="0.2">
      <c r="A637" s="521">
        <v>43257</v>
      </c>
      <c r="B637" s="497">
        <v>285365</v>
      </c>
      <c r="C637" s="521"/>
      <c r="D637" s="497"/>
    </row>
    <row r="638" spans="1:12" x14ac:dyDescent="0.2">
      <c r="A638" s="521">
        <v>43258</v>
      </c>
      <c r="B638" s="497">
        <v>287246.65999999997</v>
      </c>
      <c r="C638" s="521"/>
      <c r="D638" s="497"/>
    </row>
    <row r="639" spans="1:12" x14ac:dyDescent="0.2">
      <c r="A639" s="521">
        <v>43259</v>
      </c>
      <c r="B639" s="497">
        <v>287247</v>
      </c>
      <c r="C639" s="521"/>
      <c r="D639" s="497"/>
    </row>
    <row r="640" spans="1:12" x14ac:dyDescent="0.2">
      <c r="A640" s="521">
        <v>43262</v>
      </c>
      <c r="B640" s="497">
        <v>287247</v>
      </c>
      <c r="C640" s="521"/>
      <c r="D640" s="497"/>
    </row>
    <row r="641" spans="1:4" x14ac:dyDescent="0.2">
      <c r="A641" s="521">
        <v>43263</v>
      </c>
      <c r="B641" s="497">
        <v>253042.79</v>
      </c>
      <c r="C641" s="521"/>
      <c r="D641" s="497"/>
    </row>
    <row r="642" spans="1:4" x14ac:dyDescent="0.2">
      <c r="A642" s="521">
        <v>43264</v>
      </c>
      <c r="B642" s="497">
        <v>253043</v>
      </c>
      <c r="C642" s="521"/>
      <c r="D642" s="497"/>
    </row>
    <row r="643" spans="1:4" x14ac:dyDescent="0.2">
      <c r="A643" s="521">
        <v>43265</v>
      </c>
      <c r="B643" s="497">
        <v>246521.36</v>
      </c>
      <c r="C643" s="521"/>
      <c r="D643" s="497"/>
    </row>
    <row r="644" spans="1:4" x14ac:dyDescent="0.2">
      <c r="A644" s="521">
        <v>43266</v>
      </c>
      <c r="B644" s="497">
        <v>246593.56</v>
      </c>
      <c r="C644" s="521"/>
      <c r="D644" s="497"/>
    </row>
    <row r="645" spans="1:4" x14ac:dyDescent="0.2">
      <c r="A645" s="521">
        <v>43269</v>
      </c>
      <c r="B645" s="497">
        <v>246594</v>
      </c>
      <c r="C645" s="521"/>
      <c r="D645" s="497"/>
    </row>
    <row r="646" spans="1:4" x14ac:dyDescent="0.2">
      <c r="A646" s="521">
        <v>43270</v>
      </c>
      <c r="B646" s="497">
        <v>246594</v>
      </c>
      <c r="C646" s="521"/>
      <c r="D646" s="497"/>
    </row>
    <row r="647" spans="1:4" x14ac:dyDescent="0.2">
      <c r="A647" s="521">
        <v>43271</v>
      </c>
      <c r="B647" s="497">
        <v>246594</v>
      </c>
      <c r="C647" s="521"/>
      <c r="D647" s="497"/>
    </row>
    <row r="648" spans="1:4" x14ac:dyDescent="0.2">
      <c r="A648" s="521">
        <v>43272</v>
      </c>
      <c r="B648" s="497">
        <v>228395.48</v>
      </c>
      <c r="C648" s="521"/>
      <c r="D648" s="497"/>
    </row>
    <row r="649" spans="1:4" x14ac:dyDescent="0.2">
      <c r="A649" s="521">
        <v>43273</v>
      </c>
      <c r="B649" s="497">
        <v>228395</v>
      </c>
      <c r="C649" s="521"/>
      <c r="D649" s="497"/>
    </row>
    <row r="650" spans="1:4" x14ac:dyDescent="0.2">
      <c r="A650" s="521">
        <v>43276</v>
      </c>
      <c r="B650" s="497">
        <v>192627.9</v>
      </c>
      <c r="C650" s="521"/>
      <c r="D650" s="497"/>
    </row>
    <row r="651" spans="1:4" x14ac:dyDescent="0.2">
      <c r="A651" s="521">
        <v>43277</v>
      </c>
      <c r="B651" s="497">
        <v>192628</v>
      </c>
      <c r="C651" s="521"/>
      <c r="D651" s="497"/>
    </row>
    <row r="652" spans="1:4" x14ac:dyDescent="0.2">
      <c r="A652" s="521">
        <v>43278</v>
      </c>
      <c r="B652" s="497">
        <v>192628</v>
      </c>
      <c r="C652" s="521"/>
      <c r="D652" s="497"/>
    </row>
    <row r="653" spans="1:4" x14ac:dyDescent="0.2">
      <c r="A653" s="521">
        <v>43279</v>
      </c>
      <c r="B653" s="497">
        <v>193904.61</v>
      </c>
      <c r="C653" s="521"/>
      <c r="D653" s="497"/>
    </row>
    <row r="654" spans="1:4" x14ac:dyDescent="0.2">
      <c r="A654" s="521">
        <v>43280</v>
      </c>
      <c r="B654" s="497">
        <v>195328.48</v>
      </c>
      <c r="C654" s="521"/>
      <c r="D654" s="497"/>
    </row>
    <row r="655" spans="1:4" x14ac:dyDescent="0.2">
      <c r="A655" s="521">
        <v>43283</v>
      </c>
      <c r="B655" s="497">
        <v>199304.09</v>
      </c>
      <c r="C655" s="521"/>
      <c r="D655" s="497"/>
    </row>
    <row r="656" spans="1:4" x14ac:dyDescent="0.2">
      <c r="A656" s="521">
        <v>43284</v>
      </c>
      <c r="B656" s="497">
        <v>201071.11</v>
      </c>
      <c r="C656" s="521"/>
      <c r="D656" s="497"/>
    </row>
    <row r="657" spans="1:4" x14ac:dyDescent="0.2">
      <c r="A657" s="521">
        <v>43285</v>
      </c>
      <c r="B657" s="497">
        <v>201071</v>
      </c>
      <c r="C657" s="521"/>
      <c r="D657" s="497"/>
    </row>
    <row r="658" spans="1:4" x14ac:dyDescent="0.2">
      <c r="A658" s="521">
        <v>43286</v>
      </c>
      <c r="B658" s="497">
        <v>223298.16</v>
      </c>
      <c r="C658" s="521"/>
      <c r="D658" s="497"/>
    </row>
    <row r="659" spans="1:4" x14ac:dyDescent="0.2">
      <c r="A659" s="521">
        <v>43287</v>
      </c>
      <c r="B659" s="497">
        <v>238962.66</v>
      </c>
      <c r="C659" s="521"/>
      <c r="D659" s="497"/>
    </row>
    <row r="660" spans="1:4" x14ac:dyDescent="0.2">
      <c r="A660" s="521">
        <v>43290</v>
      </c>
      <c r="B660" s="497">
        <v>203086.22</v>
      </c>
      <c r="C660" s="521"/>
      <c r="D660" s="497"/>
    </row>
    <row r="661" spans="1:4" x14ac:dyDescent="0.2">
      <c r="A661" s="521">
        <v>43291</v>
      </c>
      <c r="B661" s="497">
        <v>226930.31</v>
      </c>
      <c r="C661" s="521"/>
      <c r="D661" s="497"/>
    </row>
    <row r="662" spans="1:4" x14ac:dyDescent="0.2">
      <c r="A662" s="521">
        <v>43292</v>
      </c>
      <c r="B662" s="497">
        <v>226930</v>
      </c>
      <c r="C662" s="521"/>
      <c r="D662" s="497"/>
    </row>
    <row r="663" spans="1:4" x14ac:dyDescent="0.2">
      <c r="A663" s="521">
        <v>43293</v>
      </c>
      <c r="B663" s="497">
        <v>220822.05</v>
      </c>
      <c r="C663" s="521"/>
      <c r="D663" s="497"/>
    </row>
    <row r="664" spans="1:4" x14ac:dyDescent="0.2">
      <c r="A664" s="521">
        <v>43294</v>
      </c>
      <c r="B664" s="497">
        <v>220986.35</v>
      </c>
      <c r="C664" s="521"/>
      <c r="D664" s="497"/>
    </row>
    <row r="665" spans="1:4" x14ac:dyDescent="0.2">
      <c r="A665" s="521">
        <v>43297</v>
      </c>
      <c r="B665" s="497">
        <v>220986</v>
      </c>
      <c r="C665" s="521"/>
      <c r="D665" s="497"/>
    </row>
    <row r="666" spans="1:4" x14ac:dyDescent="0.2">
      <c r="A666" s="521">
        <v>43298</v>
      </c>
      <c r="B666" s="497">
        <v>220986</v>
      </c>
      <c r="C666" s="521"/>
      <c r="D666" s="497"/>
    </row>
    <row r="667" spans="1:4" x14ac:dyDescent="0.2">
      <c r="A667" s="521">
        <v>43299</v>
      </c>
      <c r="B667" s="497">
        <v>197995.27</v>
      </c>
      <c r="C667" s="521"/>
      <c r="D667" s="497"/>
    </row>
    <row r="668" spans="1:4" x14ac:dyDescent="0.2">
      <c r="A668" s="521">
        <v>43300</v>
      </c>
      <c r="B668" s="497">
        <v>202931.61</v>
      </c>
      <c r="C668" s="521"/>
      <c r="D668" s="497"/>
    </row>
    <row r="669" spans="1:4" x14ac:dyDescent="0.2">
      <c r="A669" s="521">
        <v>43301</v>
      </c>
      <c r="B669" s="497">
        <v>202932</v>
      </c>
      <c r="C669" s="521"/>
      <c r="D669" s="497"/>
    </row>
    <row r="670" spans="1:4" x14ac:dyDescent="0.2">
      <c r="A670" s="521">
        <v>43304</v>
      </c>
      <c r="B670" s="497">
        <v>167839.6</v>
      </c>
      <c r="C670" s="521"/>
      <c r="D670" s="497"/>
    </row>
    <row r="671" spans="1:4" x14ac:dyDescent="0.2">
      <c r="A671" s="521">
        <v>43305</v>
      </c>
      <c r="B671" s="497">
        <v>167840</v>
      </c>
      <c r="C671" s="521"/>
      <c r="D671" s="497"/>
    </row>
    <row r="672" spans="1:4" x14ac:dyDescent="0.2">
      <c r="A672" s="521">
        <v>43306</v>
      </c>
      <c r="B672" s="497">
        <v>167840</v>
      </c>
      <c r="C672" s="521"/>
      <c r="D672" s="497"/>
    </row>
    <row r="673" spans="1:4" x14ac:dyDescent="0.2">
      <c r="A673" s="521">
        <v>43307</v>
      </c>
      <c r="B673" s="497">
        <v>180485.58</v>
      </c>
      <c r="C673" s="521"/>
      <c r="D673" s="497"/>
    </row>
    <row r="674" spans="1:4" x14ac:dyDescent="0.2">
      <c r="A674" s="521">
        <v>43308</v>
      </c>
      <c r="B674" s="497">
        <v>205676.09</v>
      </c>
      <c r="C674" s="521"/>
      <c r="D674" s="497"/>
    </row>
    <row r="675" spans="1:4" x14ac:dyDescent="0.2">
      <c r="A675" s="521">
        <v>43311</v>
      </c>
      <c r="B675" s="497">
        <v>199229.46</v>
      </c>
      <c r="C675" s="521"/>
      <c r="D675" s="497"/>
    </row>
    <row r="676" spans="1:4" x14ac:dyDescent="0.2">
      <c r="A676" s="521">
        <v>43312</v>
      </c>
      <c r="B676" s="497">
        <v>199612.46</v>
      </c>
      <c r="C676" s="521"/>
      <c r="D676" s="497"/>
    </row>
    <row r="677" spans="1:4" x14ac:dyDescent="0.2">
      <c r="A677" s="521">
        <v>43313</v>
      </c>
      <c r="B677" s="497">
        <v>327321.84000000003</v>
      </c>
      <c r="C677" s="521"/>
      <c r="D677" s="497"/>
    </row>
    <row r="678" spans="1:4" x14ac:dyDescent="0.2">
      <c r="A678" s="521">
        <v>43314</v>
      </c>
      <c r="B678" s="497">
        <v>328551.67</v>
      </c>
      <c r="C678" s="521"/>
      <c r="D678" s="497"/>
    </row>
    <row r="679" spans="1:4" x14ac:dyDescent="0.2">
      <c r="A679" s="521">
        <v>43315</v>
      </c>
      <c r="B679" s="497">
        <v>328552</v>
      </c>
      <c r="C679" s="521"/>
      <c r="D679" s="497"/>
    </row>
    <row r="680" spans="1:4" x14ac:dyDescent="0.2">
      <c r="A680" s="521">
        <v>43318</v>
      </c>
      <c r="B680" s="497">
        <v>293600.95</v>
      </c>
      <c r="C680" s="521"/>
      <c r="D680" s="497"/>
    </row>
    <row r="681" spans="1:4" x14ac:dyDescent="0.2">
      <c r="A681" s="521">
        <v>43319</v>
      </c>
      <c r="B681" s="497">
        <v>298153.56</v>
      </c>
      <c r="C681" s="521"/>
      <c r="D681" s="497"/>
    </row>
    <row r="682" spans="1:4" x14ac:dyDescent="0.2">
      <c r="A682" s="521">
        <v>43320</v>
      </c>
      <c r="B682" s="497">
        <v>298154</v>
      </c>
      <c r="C682" s="521"/>
      <c r="D682" s="497"/>
    </row>
    <row r="683" spans="1:4" x14ac:dyDescent="0.2">
      <c r="A683" s="521">
        <v>43321</v>
      </c>
      <c r="B683" s="497">
        <v>294180.65999999997</v>
      </c>
      <c r="C683" s="521"/>
      <c r="D683" s="497"/>
    </row>
    <row r="684" spans="1:4" x14ac:dyDescent="0.2">
      <c r="A684" s="521">
        <v>43322</v>
      </c>
      <c r="B684" s="497">
        <v>294181</v>
      </c>
      <c r="C684" s="521"/>
      <c r="D684" s="497"/>
    </row>
    <row r="685" spans="1:4" x14ac:dyDescent="0.2">
      <c r="A685" s="521">
        <v>43325</v>
      </c>
      <c r="B685" s="497">
        <v>294679.65999999997</v>
      </c>
      <c r="C685" s="521"/>
      <c r="D685" s="497"/>
    </row>
    <row r="686" spans="1:4" x14ac:dyDescent="0.2">
      <c r="A686" s="521">
        <v>43326</v>
      </c>
      <c r="B686" s="497">
        <v>294680</v>
      </c>
      <c r="C686" s="521"/>
      <c r="D686" s="497"/>
    </row>
    <row r="687" spans="1:4" x14ac:dyDescent="0.2">
      <c r="A687" s="521">
        <v>43327</v>
      </c>
      <c r="B687" s="497">
        <v>294761.65000000002</v>
      </c>
      <c r="C687" s="521"/>
      <c r="D687" s="497"/>
    </row>
    <row r="688" spans="1:4" x14ac:dyDescent="0.2">
      <c r="A688" s="521">
        <v>43328</v>
      </c>
      <c r="B688" s="497">
        <v>290632.52</v>
      </c>
      <c r="C688" s="521"/>
      <c r="D688" s="497"/>
    </row>
    <row r="689" spans="1:4" x14ac:dyDescent="0.2">
      <c r="A689" s="521">
        <v>43329</v>
      </c>
      <c r="B689" s="497">
        <v>290633</v>
      </c>
      <c r="C689" s="521"/>
      <c r="D689" s="497"/>
    </row>
    <row r="690" spans="1:4" x14ac:dyDescent="0.2">
      <c r="A690" s="521">
        <v>43332</v>
      </c>
      <c r="B690" s="497">
        <v>254427.11</v>
      </c>
      <c r="C690" s="521"/>
      <c r="D690" s="497"/>
    </row>
    <row r="691" spans="1:4" x14ac:dyDescent="0.2">
      <c r="A691" s="521">
        <v>43333</v>
      </c>
      <c r="B691" s="497">
        <v>255823.93</v>
      </c>
      <c r="C691" s="521"/>
      <c r="D691" s="497"/>
    </row>
    <row r="692" spans="1:4" x14ac:dyDescent="0.2">
      <c r="A692" s="521">
        <v>43334</v>
      </c>
      <c r="B692" s="497">
        <v>255419.13</v>
      </c>
      <c r="C692" s="521"/>
      <c r="D692" s="497"/>
    </row>
    <row r="693" spans="1:4" x14ac:dyDescent="0.2">
      <c r="A693" s="521">
        <v>43335</v>
      </c>
      <c r="B693" s="497">
        <v>272759.37</v>
      </c>
      <c r="C693" s="521"/>
      <c r="D693" s="497"/>
    </row>
    <row r="694" spans="1:4" x14ac:dyDescent="0.2">
      <c r="A694" s="521">
        <v>43336</v>
      </c>
      <c r="B694" s="497">
        <v>272846.37</v>
      </c>
      <c r="C694" s="521"/>
      <c r="D694" s="497"/>
    </row>
    <row r="695" spans="1:4" x14ac:dyDescent="0.2">
      <c r="A695" s="521">
        <v>43339</v>
      </c>
      <c r="B695" s="497">
        <v>272846</v>
      </c>
      <c r="C695" s="521"/>
      <c r="D695" s="497"/>
    </row>
    <row r="696" spans="1:4" x14ac:dyDescent="0.2">
      <c r="A696" s="521">
        <v>43340</v>
      </c>
      <c r="B696" s="497">
        <v>272846</v>
      </c>
      <c r="C696" s="521"/>
      <c r="D696" s="497"/>
    </row>
    <row r="697" spans="1:4" x14ac:dyDescent="0.2">
      <c r="A697" s="521">
        <v>43341</v>
      </c>
      <c r="B697" s="497">
        <v>276622.58</v>
      </c>
      <c r="C697" s="521"/>
      <c r="D697" s="497"/>
    </row>
    <row r="698" spans="1:4" x14ac:dyDescent="0.2">
      <c r="A698" s="521">
        <v>43342</v>
      </c>
      <c r="B698" s="497">
        <v>276623</v>
      </c>
      <c r="C698" s="521"/>
      <c r="D698" s="497"/>
    </row>
    <row r="699" spans="1:4" x14ac:dyDescent="0.2">
      <c r="A699" s="521">
        <v>43343</v>
      </c>
      <c r="B699" s="497">
        <v>276773.33</v>
      </c>
      <c r="C699" s="521"/>
      <c r="D699" s="497"/>
    </row>
    <row r="700" spans="1:4" x14ac:dyDescent="0.2">
      <c r="A700" s="521">
        <v>43346</v>
      </c>
      <c r="B700" s="497">
        <v>276773</v>
      </c>
      <c r="C700" s="521"/>
      <c r="D700" s="497"/>
    </row>
    <row r="701" spans="1:4" x14ac:dyDescent="0.2">
      <c r="A701" s="521">
        <v>43347</v>
      </c>
      <c r="B701" s="497">
        <v>240090.56</v>
      </c>
      <c r="C701" s="521"/>
      <c r="D701" s="497"/>
    </row>
    <row r="702" spans="1:4" x14ac:dyDescent="0.2">
      <c r="A702" s="521">
        <v>43348</v>
      </c>
      <c r="B702" s="497">
        <v>240091</v>
      </c>
      <c r="C702" s="521"/>
      <c r="D702" s="497"/>
    </row>
    <row r="703" spans="1:4" x14ac:dyDescent="0.2">
      <c r="A703" s="521">
        <v>43349</v>
      </c>
      <c r="B703" s="497">
        <v>237779.31</v>
      </c>
      <c r="C703" s="521"/>
      <c r="D703" s="497"/>
    </row>
    <row r="704" spans="1:4" x14ac:dyDescent="0.2">
      <c r="A704" s="521">
        <v>43350</v>
      </c>
      <c r="B704" s="497">
        <v>237779</v>
      </c>
      <c r="C704" s="521"/>
      <c r="D704" s="497"/>
    </row>
    <row r="705" spans="1:4" x14ac:dyDescent="0.2">
      <c r="A705" s="521">
        <v>43353</v>
      </c>
      <c r="B705" s="497">
        <v>243552.34</v>
      </c>
      <c r="C705" s="521"/>
      <c r="D705" s="497"/>
    </row>
    <row r="706" spans="1:4" x14ac:dyDescent="0.2">
      <c r="A706" s="521">
        <v>43354</v>
      </c>
      <c r="B706" s="497">
        <v>243552</v>
      </c>
      <c r="C706" s="521"/>
      <c r="D706" s="497"/>
    </row>
    <row r="707" spans="1:4" x14ac:dyDescent="0.2">
      <c r="A707" s="521">
        <v>43355</v>
      </c>
      <c r="B707" s="497">
        <v>243552</v>
      </c>
      <c r="C707" s="521"/>
      <c r="D707" s="497"/>
    </row>
    <row r="708" spans="1:4" x14ac:dyDescent="0.2">
      <c r="A708" s="521">
        <v>43356</v>
      </c>
      <c r="B708" s="497">
        <v>266009.96000000002</v>
      </c>
      <c r="C708" s="521"/>
      <c r="D708" s="497"/>
    </row>
    <row r="709" spans="1:4" x14ac:dyDescent="0.2">
      <c r="A709" s="521">
        <v>43357</v>
      </c>
      <c r="B709" s="497">
        <v>266087.59999999998</v>
      </c>
      <c r="C709" s="521"/>
      <c r="D709" s="497"/>
    </row>
    <row r="710" spans="1:4" x14ac:dyDescent="0.2">
      <c r="A710" s="521">
        <v>43360</v>
      </c>
      <c r="B710" s="497">
        <v>229939.6</v>
      </c>
      <c r="C710" s="521"/>
      <c r="D710" s="497"/>
    </row>
    <row r="711" spans="1:4" x14ac:dyDescent="0.2">
      <c r="A711" s="521">
        <v>43361</v>
      </c>
      <c r="B711" s="497">
        <v>229940</v>
      </c>
      <c r="C711" s="521"/>
      <c r="D711" s="497"/>
    </row>
    <row r="712" spans="1:4" x14ac:dyDescent="0.2">
      <c r="A712" s="521">
        <v>43362</v>
      </c>
      <c r="B712" s="497">
        <v>229940</v>
      </c>
      <c r="C712" s="521"/>
      <c r="D712" s="497"/>
    </row>
    <row r="713" spans="1:4" x14ac:dyDescent="0.2">
      <c r="A713" s="521">
        <v>43363</v>
      </c>
      <c r="B713" s="497">
        <v>226983.82</v>
      </c>
      <c r="C713" s="521"/>
      <c r="D713" s="497"/>
    </row>
    <row r="714" spans="1:4" x14ac:dyDescent="0.2">
      <c r="A714" s="521">
        <v>43364</v>
      </c>
      <c r="B714" s="497">
        <v>226983.82</v>
      </c>
      <c r="C714" s="521"/>
      <c r="D714" s="497"/>
    </row>
    <row r="715" spans="1:4" x14ac:dyDescent="0.2">
      <c r="A715" s="521">
        <v>43367</v>
      </c>
      <c r="B715" s="497">
        <v>231167.41</v>
      </c>
      <c r="C715" s="521"/>
      <c r="D715" s="497"/>
    </row>
    <row r="716" spans="1:4" x14ac:dyDescent="0.2">
      <c r="A716" s="521">
        <v>43368</v>
      </c>
      <c r="B716" s="497">
        <v>231298.26</v>
      </c>
      <c r="C716" s="521"/>
      <c r="D716" s="497"/>
    </row>
    <row r="717" spans="1:4" x14ac:dyDescent="0.2">
      <c r="A717" s="521">
        <v>43369</v>
      </c>
      <c r="B717" s="497">
        <v>231298</v>
      </c>
      <c r="C717" s="521"/>
      <c r="D717" s="497"/>
    </row>
    <row r="718" spans="1:4" x14ac:dyDescent="0.2">
      <c r="A718" s="521">
        <v>43370</v>
      </c>
      <c r="B718" s="497">
        <v>218195.44</v>
      </c>
      <c r="C718" s="521"/>
      <c r="D718" s="497"/>
    </row>
    <row r="719" spans="1:4" x14ac:dyDescent="0.2">
      <c r="A719" s="521">
        <v>43371</v>
      </c>
      <c r="B719" s="497">
        <v>218195</v>
      </c>
      <c r="C719" s="521"/>
      <c r="D719" s="497"/>
    </row>
    <row r="720" spans="1:4" x14ac:dyDescent="0.2">
      <c r="A720" s="521">
        <v>43374</v>
      </c>
      <c r="B720" s="497">
        <v>181738.47</v>
      </c>
      <c r="C720" s="521"/>
      <c r="D720" s="497"/>
    </row>
    <row r="721" spans="1:4" x14ac:dyDescent="0.2">
      <c r="A721" s="521">
        <v>43375</v>
      </c>
      <c r="B721" s="497">
        <v>175674.86</v>
      </c>
      <c r="C721" s="521"/>
      <c r="D721" s="497"/>
    </row>
    <row r="722" spans="1:4" x14ac:dyDescent="0.2">
      <c r="A722" s="521">
        <v>43376</v>
      </c>
      <c r="B722" s="497">
        <v>175890.11</v>
      </c>
      <c r="C722" s="521"/>
      <c r="D722" s="497"/>
    </row>
    <row r="723" spans="1:4" x14ac:dyDescent="0.2">
      <c r="A723" s="521">
        <v>43377</v>
      </c>
      <c r="B723" s="497">
        <v>176908.84</v>
      </c>
      <c r="C723" s="521"/>
      <c r="D723" s="497"/>
    </row>
    <row r="724" spans="1:4" x14ac:dyDescent="0.2">
      <c r="A724" s="521">
        <v>43378</v>
      </c>
      <c r="B724" s="497">
        <v>176909</v>
      </c>
      <c r="C724" s="521"/>
      <c r="D724" s="497"/>
    </row>
    <row r="725" spans="1:4" x14ac:dyDescent="0.2">
      <c r="A725" s="521">
        <v>43381</v>
      </c>
      <c r="B725" s="497">
        <v>176909</v>
      </c>
      <c r="C725" s="521"/>
      <c r="D725" s="497"/>
    </row>
    <row r="726" spans="1:4" x14ac:dyDescent="0.2">
      <c r="A726" s="521">
        <v>43382</v>
      </c>
      <c r="B726" s="497">
        <v>226038.22</v>
      </c>
      <c r="C726" s="521"/>
      <c r="D726" s="497"/>
    </row>
    <row r="727" spans="1:4" x14ac:dyDescent="0.2">
      <c r="A727" s="521">
        <v>43383</v>
      </c>
      <c r="B727" s="497">
        <v>226038</v>
      </c>
      <c r="C727" s="521"/>
      <c r="D727" s="497"/>
    </row>
    <row r="728" spans="1:4" x14ac:dyDescent="0.2">
      <c r="A728" s="521">
        <v>43384</v>
      </c>
      <c r="B728" s="497">
        <v>223293.31</v>
      </c>
      <c r="C728" s="521"/>
      <c r="D728" s="497"/>
    </row>
    <row r="729" spans="1:4" x14ac:dyDescent="0.2">
      <c r="A729" s="521">
        <v>43385</v>
      </c>
      <c r="B729" s="497">
        <v>272327.27</v>
      </c>
      <c r="C729" s="521"/>
      <c r="D729" s="497"/>
    </row>
    <row r="730" spans="1:4" x14ac:dyDescent="0.2">
      <c r="A730" s="521">
        <v>43388</v>
      </c>
      <c r="B730" s="497">
        <v>236397.34</v>
      </c>
      <c r="C730" s="521"/>
      <c r="D730" s="497"/>
    </row>
    <row r="731" spans="1:4" x14ac:dyDescent="0.2">
      <c r="A731" s="521">
        <v>43389</v>
      </c>
      <c r="B731" s="497">
        <v>236553.84</v>
      </c>
      <c r="C731" s="521"/>
      <c r="D731" s="497"/>
    </row>
    <row r="732" spans="1:4" x14ac:dyDescent="0.2">
      <c r="A732" s="521">
        <v>43390</v>
      </c>
      <c r="B732" s="497">
        <v>249133.92</v>
      </c>
      <c r="C732" s="521"/>
      <c r="D732" s="497"/>
    </row>
    <row r="733" spans="1:4" x14ac:dyDescent="0.2">
      <c r="A733" s="521">
        <v>43391</v>
      </c>
      <c r="B733" s="497">
        <v>254043.68</v>
      </c>
      <c r="C733" s="521"/>
      <c r="D733" s="497"/>
    </row>
    <row r="734" spans="1:4" x14ac:dyDescent="0.2">
      <c r="A734" s="521">
        <v>43392</v>
      </c>
      <c r="B734" s="497">
        <v>254064.5</v>
      </c>
      <c r="C734" s="521"/>
      <c r="D734" s="497"/>
    </row>
    <row r="735" spans="1:4" x14ac:dyDescent="0.2">
      <c r="A735" s="521">
        <v>43395</v>
      </c>
      <c r="B735" s="497">
        <v>290142.09999999998</v>
      </c>
      <c r="C735" s="521"/>
      <c r="D735" s="497"/>
    </row>
    <row r="736" spans="1:4" x14ac:dyDescent="0.2">
      <c r="A736" s="521">
        <v>43396</v>
      </c>
      <c r="B736" s="497">
        <v>290142</v>
      </c>
      <c r="C736" s="521"/>
      <c r="D736" s="497"/>
    </row>
    <row r="737" spans="1:4" x14ac:dyDescent="0.2">
      <c r="A737" s="521">
        <v>43397</v>
      </c>
      <c r="B737" s="497">
        <v>290034.38</v>
      </c>
      <c r="C737" s="521"/>
      <c r="D737" s="497"/>
    </row>
    <row r="738" spans="1:4" x14ac:dyDescent="0.2">
      <c r="A738" s="521">
        <v>43398</v>
      </c>
      <c r="B738" s="497">
        <v>291747.36</v>
      </c>
      <c r="C738" s="521"/>
      <c r="D738" s="497"/>
    </row>
    <row r="739" spans="1:4" x14ac:dyDescent="0.2">
      <c r="A739" s="521">
        <v>43399</v>
      </c>
      <c r="B739" s="497">
        <v>306637.48</v>
      </c>
      <c r="C739" s="521"/>
      <c r="D739" s="497"/>
    </row>
    <row r="740" spans="1:4" x14ac:dyDescent="0.2">
      <c r="A740" s="521">
        <v>43402</v>
      </c>
      <c r="B740" s="497">
        <v>270401.28999999998</v>
      </c>
      <c r="C740" s="521"/>
      <c r="D740" s="497"/>
    </row>
    <row r="741" spans="1:4" x14ac:dyDescent="0.2">
      <c r="A741" s="521">
        <v>43403</v>
      </c>
      <c r="B741" s="497">
        <v>278028.58</v>
      </c>
      <c r="C741" s="521"/>
      <c r="D741" s="497"/>
    </row>
    <row r="742" spans="1:4" x14ac:dyDescent="0.2">
      <c r="A742" s="521">
        <v>43404</v>
      </c>
      <c r="B742" s="497">
        <v>278029</v>
      </c>
      <c r="C742" s="521"/>
      <c r="D742" s="497"/>
    </row>
    <row r="743" spans="1:4" x14ac:dyDescent="0.2">
      <c r="A743" s="521">
        <v>43405</v>
      </c>
      <c r="B743" s="497">
        <v>279523.53000000003</v>
      </c>
      <c r="C743" s="521"/>
      <c r="D743" s="497"/>
    </row>
    <row r="744" spans="1:4" x14ac:dyDescent="0.2">
      <c r="A744" s="521">
        <v>43406</v>
      </c>
      <c r="B744" s="497">
        <v>303100.06</v>
      </c>
      <c r="C744" s="521"/>
      <c r="D744" s="497"/>
    </row>
    <row r="745" spans="1:4" x14ac:dyDescent="0.2">
      <c r="A745" s="521">
        <v>43409</v>
      </c>
      <c r="B745" s="497">
        <v>303100.06</v>
      </c>
      <c r="C745" s="521"/>
      <c r="D745" s="497"/>
    </row>
    <row r="746" spans="1:4" x14ac:dyDescent="0.2">
      <c r="A746" s="521">
        <v>43410</v>
      </c>
      <c r="B746" s="497">
        <v>303100.06</v>
      </c>
      <c r="C746" s="521"/>
      <c r="D746" s="497"/>
    </row>
    <row r="747" spans="1:4" x14ac:dyDescent="0.2">
      <c r="A747" s="521">
        <v>43411</v>
      </c>
      <c r="B747" s="497">
        <v>303954.14</v>
      </c>
      <c r="C747" s="521"/>
      <c r="D747" s="497"/>
    </row>
    <row r="748" spans="1:4" x14ac:dyDescent="0.2">
      <c r="A748" s="521">
        <v>43412</v>
      </c>
      <c r="B748" s="497">
        <v>294843.14</v>
      </c>
      <c r="C748" s="521"/>
      <c r="D748" s="497"/>
    </row>
    <row r="749" spans="1:4" x14ac:dyDescent="0.2">
      <c r="A749" s="521">
        <v>43413</v>
      </c>
      <c r="B749" s="497">
        <v>294843</v>
      </c>
      <c r="C749" s="521"/>
      <c r="D749" s="497"/>
    </row>
    <row r="750" spans="1:4" x14ac:dyDescent="0.2">
      <c r="A750" s="521">
        <v>43416</v>
      </c>
      <c r="B750" s="497">
        <v>294843</v>
      </c>
      <c r="C750" s="521"/>
      <c r="D750" s="497"/>
    </row>
    <row r="751" spans="1:4" x14ac:dyDescent="0.2">
      <c r="A751" s="521">
        <v>43417</v>
      </c>
      <c r="B751" s="497">
        <v>294843</v>
      </c>
      <c r="C751" s="521"/>
      <c r="D751" s="497"/>
    </row>
    <row r="752" spans="1:4" x14ac:dyDescent="0.2">
      <c r="A752" s="521">
        <v>43418</v>
      </c>
      <c r="B752" s="497">
        <v>259514.47</v>
      </c>
      <c r="C752" s="521"/>
      <c r="D752" s="497"/>
    </row>
    <row r="753" spans="1:4" x14ac:dyDescent="0.2">
      <c r="A753" s="521">
        <v>43419</v>
      </c>
      <c r="B753" s="497">
        <v>255987.45</v>
      </c>
      <c r="C753" s="521"/>
      <c r="D753" s="497"/>
    </row>
    <row r="754" spans="1:4" x14ac:dyDescent="0.2">
      <c r="A754" s="521">
        <v>43420</v>
      </c>
      <c r="B754" s="497">
        <v>255987.45</v>
      </c>
      <c r="C754" s="521"/>
      <c r="D754" s="497"/>
    </row>
    <row r="755" spans="1:4" x14ac:dyDescent="0.2">
      <c r="A755" s="521">
        <v>43423</v>
      </c>
      <c r="B755" s="497">
        <v>255987.45</v>
      </c>
      <c r="C755" s="521"/>
      <c r="D755" s="497"/>
    </row>
    <row r="756" spans="1:4" x14ac:dyDescent="0.2">
      <c r="A756" s="521">
        <v>43424</v>
      </c>
      <c r="B756" s="497">
        <v>254650.75</v>
      </c>
      <c r="C756" s="521"/>
      <c r="D756" s="497"/>
    </row>
    <row r="757" spans="1:4" x14ac:dyDescent="0.2">
      <c r="A757" s="521">
        <v>43425</v>
      </c>
      <c r="B757" s="497">
        <v>298403.21000000002</v>
      </c>
      <c r="C757" s="521"/>
      <c r="D757" s="497"/>
    </row>
    <row r="758" spans="1:4" x14ac:dyDescent="0.2">
      <c r="A758" s="521">
        <v>43426</v>
      </c>
      <c r="B758" s="497">
        <v>300529.64</v>
      </c>
      <c r="C758" s="521"/>
      <c r="D758" s="497"/>
    </row>
    <row r="759" spans="1:4" x14ac:dyDescent="0.2">
      <c r="A759" s="521">
        <v>43427</v>
      </c>
      <c r="B759" s="497">
        <v>300229.64</v>
      </c>
      <c r="C759" s="521"/>
      <c r="D759" s="497"/>
    </row>
    <row r="760" spans="1:4" x14ac:dyDescent="0.2">
      <c r="A760" s="521">
        <v>43430</v>
      </c>
      <c r="B760" s="497">
        <v>300230</v>
      </c>
      <c r="C760" s="521"/>
      <c r="D760" s="497"/>
    </row>
    <row r="761" spans="1:4" x14ac:dyDescent="0.2">
      <c r="A761" s="521">
        <v>43431</v>
      </c>
      <c r="B761" s="497">
        <v>267674.82</v>
      </c>
      <c r="C761" s="521"/>
      <c r="D761" s="497"/>
    </row>
    <row r="762" spans="1:4" x14ac:dyDescent="0.2">
      <c r="A762" s="521">
        <v>43432</v>
      </c>
      <c r="B762" s="497">
        <v>273448.82</v>
      </c>
      <c r="C762" s="521"/>
      <c r="D762" s="497"/>
    </row>
    <row r="763" spans="1:4" x14ac:dyDescent="0.2">
      <c r="A763" s="521">
        <v>43433</v>
      </c>
      <c r="B763" s="497">
        <v>252527.09</v>
      </c>
      <c r="C763" s="521"/>
      <c r="D763" s="497"/>
    </row>
    <row r="764" spans="1:4" x14ac:dyDescent="0.2">
      <c r="A764" s="521">
        <v>43434</v>
      </c>
      <c r="B764" s="497">
        <v>321968.59000000003</v>
      </c>
      <c r="C764" s="521"/>
      <c r="D764" s="497"/>
    </row>
    <row r="765" spans="1:4" x14ac:dyDescent="0.2">
      <c r="A765" s="521">
        <v>43437</v>
      </c>
      <c r="B765" s="497">
        <v>321969</v>
      </c>
      <c r="C765" s="521"/>
      <c r="D765" s="497"/>
    </row>
    <row r="766" spans="1:4" x14ac:dyDescent="0.2">
      <c r="A766" s="521">
        <v>43438</v>
      </c>
      <c r="B766" s="497">
        <v>321969</v>
      </c>
      <c r="C766" s="521"/>
      <c r="D766" s="497"/>
    </row>
    <row r="767" spans="1:4" x14ac:dyDescent="0.2">
      <c r="A767" s="521">
        <v>43439</v>
      </c>
      <c r="B767" s="497">
        <v>321969</v>
      </c>
      <c r="C767" s="521"/>
      <c r="D767" s="497"/>
    </row>
    <row r="768" spans="1:4" x14ac:dyDescent="0.2">
      <c r="A768" s="521">
        <v>43440</v>
      </c>
      <c r="B768" s="497">
        <v>314251.55</v>
      </c>
      <c r="C768" s="521"/>
      <c r="D768" s="497"/>
    </row>
    <row r="769" spans="1:4" x14ac:dyDescent="0.2">
      <c r="A769" s="521">
        <v>43441</v>
      </c>
      <c r="B769" s="497">
        <v>315739.42</v>
      </c>
      <c r="C769" s="521"/>
      <c r="D769" s="497"/>
    </row>
    <row r="770" spans="1:4" x14ac:dyDescent="0.2">
      <c r="A770" s="521">
        <v>43444</v>
      </c>
      <c r="B770" s="497">
        <v>315739</v>
      </c>
      <c r="C770" s="521"/>
      <c r="D770" s="497"/>
    </row>
    <row r="771" spans="1:4" x14ac:dyDescent="0.2">
      <c r="A771" s="521">
        <v>43445</v>
      </c>
      <c r="B771" s="497">
        <v>275506.94</v>
      </c>
      <c r="C771" s="521"/>
      <c r="D771" s="497"/>
    </row>
    <row r="772" spans="1:4" x14ac:dyDescent="0.2">
      <c r="A772" s="521">
        <v>43446</v>
      </c>
      <c r="B772" s="497">
        <v>275507</v>
      </c>
      <c r="C772" s="521"/>
      <c r="D772" s="497"/>
    </row>
    <row r="773" spans="1:4" x14ac:dyDescent="0.2">
      <c r="A773" s="521">
        <v>43447</v>
      </c>
      <c r="B773" s="497">
        <v>289896.89</v>
      </c>
      <c r="C773" s="521"/>
      <c r="D773" s="497"/>
    </row>
    <row r="774" spans="1:4" x14ac:dyDescent="0.2">
      <c r="A774" s="521">
        <v>43448</v>
      </c>
      <c r="B774" s="497">
        <v>313281.34999999998</v>
      </c>
      <c r="C774" s="521"/>
      <c r="D774" s="497"/>
    </row>
    <row r="775" spans="1:4" x14ac:dyDescent="0.2">
      <c r="A775" s="521">
        <v>43451</v>
      </c>
      <c r="B775" s="497">
        <v>313281</v>
      </c>
      <c r="C775" s="521"/>
      <c r="D775" s="497"/>
    </row>
    <row r="776" spans="1:4" x14ac:dyDescent="0.2">
      <c r="A776" s="521">
        <v>43452</v>
      </c>
      <c r="B776" s="497">
        <v>317556.84999999998</v>
      </c>
      <c r="C776" s="521"/>
      <c r="D776" s="497"/>
    </row>
    <row r="777" spans="1:4" x14ac:dyDescent="0.2">
      <c r="A777" s="521">
        <v>43453</v>
      </c>
      <c r="B777" s="497">
        <v>317557</v>
      </c>
      <c r="C777" s="521"/>
      <c r="D777" s="497"/>
    </row>
    <row r="778" spans="1:4" x14ac:dyDescent="0.2">
      <c r="A778" s="521">
        <v>43454</v>
      </c>
      <c r="B778" s="497">
        <v>297159.33</v>
      </c>
      <c r="C778" s="521"/>
      <c r="D778" s="497"/>
    </row>
    <row r="779" spans="1:4" x14ac:dyDescent="0.2">
      <c r="A779" s="521">
        <v>43455</v>
      </c>
      <c r="B779" s="497">
        <v>297159</v>
      </c>
      <c r="C779" s="521"/>
      <c r="D779" s="497"/>
    </row>
    <row r="780" spans="1:4" x14ac:dyDescent="0.2">
      <c r="A780" s="521">
        <v>43458</v>
      </c>
      <c r="B780" s="497">
        <v>260233.37</v>
      </c>
      <c r="C780" s="521"/>
      <c r="D780" s="497"/>
    </row>
    <row r="781" spans="1:4" x14ac:dyDescent="0.2">
      <c r="A781" s="521">
        <v>43459</v>
      </c>
      <c r="B781" s="497">
        <v>260233</v>
      </c>
      <c r="C781" s="521"/>
      <c r="D781" s="497"/>
    </row>
    <row r="782" spans="1:4" x14ac:dyDescent="0.2">
      <c r="A782" s="521">
        <v>43460</v>
      </c>
      <c r="B782" s="497">
        <v>261845.78</v>
      </c>
      <c r="C782" s="521"/>
      <c r="D782" s="497"/>
    </row>
    <row r="783" spans="1:4" x14ac:dyDescent="0.2">
      <c r="A783" s="521">
        <v>43461</v>
      </c>
      <c r="B783" s="497">
        <v>261846</v>
      </c>
      <c r="C783" s="521"/>
      <c r="D783" s="497"/>
    </row>
    <row r="784" spans="1:4" x14ac:dyDescent="0.2">
      <c r="A784" s="521">
        <v>43462</v>
      </c>
      <c r="B784" s="497">
        <v>273805.40000000002</v>
      </c>
      <c r="C784" s="521"/>
      <c r="D784" s="497"/>
    </row>
    <row r="785" spans="1:4" x14ac:dyDescent="0.2">
      <c r="A785" s="521">
        <v>43465</v>
      </c>
      <c r="B785" s="497">
        <v>274101.40000000002</v>
      </c>
      <c r="C785" s="521"/>
      <c r="D785" s="497"/>
    </row>
    <row r="786" spans="1:4" x14ac:dyDescent="0.2">
      <c r="A786" s="521">
        <v>43466</v>
      </c>
      <c r="B786" s="497">
        <v>274101</v>
      </c>
      <c r="C786" s="521"/>
      <c r="D786" s="497"/>
    </row>
    <row r="787" spans="1:4" x14ac:dyDescent="0.2">
      <c r="A787" s="521">
        <v>43467</v>
      </c>
      <c r="B787" s="497">
        <v>299108.40000000002</v>
      </c>
      <c r="C787" s="521"/>
      <c r="D787" s="497"/>
    </row>
    <row r="788" spans="1:4" x14ac:dyDescent="0.2">
      <c r="A788" s="521">
        <v>43468</v>
      </c>
      <c r="B788" s="497">
        <v>298070.78000000003</v>
      </c>
      <c r="C788" s="521"/>
      <c r="D788" s="497"/>
    </row>
    <row r="789" spans="1:4" x14ac:dyDescent="0.2">
      <c r="A789" s="521">
        <v>43469</v>
      </c>
      <c r="B789" s="497">
        <v>298071</v>
      </c>
      <c r="C789" s="521"/>
      <c r="D789" s="497"/>
    </row>
    <row r="790" spans="1:4" x14ac:dyDescent="0.2">
      <c r="A790" s="521">
        <v>43472</v>
      </c>
      <c r="B790" s="497">
        <v>298430.78000000003</v>
      </c>
      <c r="C790" s="521"/>
      <c r="D790" s="497"/>
    </row>
    <row r="791" spans="1:4" x14ac:dyDescent="0.2">
      <c r="A791" s="521">
        <v>43473</v>
      </c>
      <c r="B791" s="497">
        <v>264835.63</v>
      </c>
      <c r="C791" s="521"/>
      <c r="D791" s="497"/>
    </row>
    <row r="792" spans="1:4" x14ac:dyDescent="0.2">
      <c r="A792" s="521">
        <v>43474</v>
      </c>
      <c r="B792" s="497">
        <v>303664.65999999997</v>
      </c>
      <c r="C792" s="521"/>
      <c r="D792" s="497"/>
    </row>
    <row r="793" spans="1:4" x14ac:dyDescent="0.2">
      <c r="A793" s="521">
        <v>43475</v>
      </c>
      <c r="B793" s="497">
        <v>299790.71999999997</v>
      </c>
      <c r="C793" s="521"/>
      <c r="D793" s="497"/>
    </row>
    <row r="794" spans="1:4" x14ac:dyDescent="0.2">
      <c r="A794" s="521">
        <v>43476</v>
      </c>
      <c r="B794" s="557">
        <v>309881.71999999997</v>
      </c>
      <c r="C794" s="521"/>
      <c r="D794" s="497"/>
    </row>
    <row r="795" spans="1:4" x14ac:dyDescent="0.2">
      <c r="A795" s="521">
        <v>43479</v>
      </c>
      <c r="B795" s="497">
        <v>284374.78999999998</v>
      </c>
      <c r="C795" s="521"/>
      <c r="D795" s="497"/>
    </row>
    <row r="796" spans="1:4" x14ac:dyDescent="0.2">
      <c r="A796" s="521">
        <v>43480</v>
      </c>
      <c r="B796" s="497">
        <v>284494.75</v>
      </c>
      <c r="C796" s="521"/>
      <c r="D796" s="497"/>
    </row>
    <row r="797" spans="1:4" x14ac:dyDescent="0.2">
      <c r="A797" s="521">
        <v>43481</v>
      </c>
      <c r="B797" s="497">
        <v>277370.03000000003</v>
      </c>
      <c r="C797" s="521"/>
      <c r="D797" s="497"/>
    </row>
    <row r="798" spans="1:4" x14ac:dyDescent="0.2">
      <c r="A798" s="521">
        <v>43482</v>
      </c>
      <c r="B798" s="497">
        <v>266103.65999999997</v>
      </c>
      <c r="C798" s="521"/>
      <c r="D798" s="497"/>
    </row>
    <row r="799" spans="1:4" x14ac:dyDescent="0.2">
      <c r="A799" s="521">
        <v>43483</v>
      </c>
      <c r="B799" s="497">
        <v>266189.65999999997</v>
      </c>
      <c r="C799" s="521"/>
      <c r="D799" s="497"/>
    </row>
    <row r="800" spans="1:4" x14ac:dyDescent="0.2">
      <c r="A800" s="521">
        <v>43486</v>
      </c>
      <c r="B800" s="497">
        <v>266190</v>
      </c>
      <c r="C800" s="521"/>
      <c r="D800" s="497"/>
    </row>
    <row r="801" spans="1:4" x14ac:dyDescent="0.2">
      <c r="A801" s="521">
        <v>43487</v>
      </c>
      <c r="B801" s="497">
        <v>228832.05</v>
      </c>
      <c r="C801" s="521"/>
      <c r="D801" s="497"/>
    </row>
    <row r="802" spans="1:4" x14ac:dyDescent="0.2">
      <c r="A802" s="521">
        <v>43488</v>
      </c>
      <c r="B802" s="497">
        <v>229285.41</v>
      </c>
      <c r="C802" s="521"/>
      <c r="D802" s="497"/>
    </row>
    <row r="803" spans="1:4" x14ac:dyDescent="0.2">
      <c r="A803" s="521">
        <v>43489</v>
      </c>
      <c r="B803" s="497">
        <v>236709.42</v>
      </c>
      <c r="C803" s="521"/>
      <c r="D803" s="497"/>
    </row>
    <row r="804" spans="1:4" x14ac:dyDescent="0.2">
      <c r="A804" s="521">
        <v>43490</v>
      </c>
      <c r="B804" s="497">
        <v>236709</v>
      </c>
      <c r="C804" s="521"/>
      <c r="D804" s="497"/>
    </row>
    <row r="805" spans="1:4" x14ac:dyDescent="0.2">
      <c r="A805" s="521">
        <v>43493</v>
      </c>
      <c r="B805" s="497">
        <v>236400.88</v>
      </c>
      <c r="C805" s="521"/>
      <c r="D805" s="497"/>
    </row>
    <row r="806" spans="1:4" x14ac:dyDescent="0.2">
      <c r="A806" s="521">
        <v>43494</v>
      </c>
      <c r="B806" s="497">
        <v>236401</v>
      </c>
      <c r="C806" s="521"/>
      <c r="D806" s="497"/>
    </row>
    <row r="807" spans="1:4" x14ac:dyDescent="0.2">
      <c r="A807" s="521">
        <v>43495</v>
      </c>
      <c r="B807" s="497">
        <v>236401</v>
      </c>
      <c r="C807" s="521"/>
      <c r="D807" s="497"/>
    </row>
    <row r="808" spans="1:4" x14ac:dyDescent="0.2">
      <c r="A808" s="521">
        <v>43496</v>
      </c>
      <c r="B808" s="497">
        <v>237605.71</v>
      </c>
      <c r="C808" s="521"/>
      <c r="D808" s="497"/>
    </row>
    <row r="809" spans="1:4" x14ac:dyDescent="0.2">
      <c r="A809" s="521">
        <v>43497</v>
      </c>
      <c r="B809" s="497">
        <v>237728.71</v>
      </c>
      <c r="C809" s="521"/>
      <c r="D809" s="497"/>
    </row>
    <row r="810" spans="1:4" x14ac:dyDescent="0.2">
      <c r="A810" s="521">
        <v>43500</v>
      </c>
      <c r="B810" s="497">
        <v>201980</v>
      </c>
      <c r="C810" s="521"/>
      <c r="D810" s="497"/>
    </row>
    <row r="811" spans="1:4" x14ac:dyDescent="0.2">
      <c r="A811" s="521">
        <v>43501</v>
      </c>
      <c r="B811" s="497">
        <v>225615.34</v>
      </c>
      <c r="C811" s="521"/>
      <c r="D811" s="497"/>
    </row>
    <row r="812" spans="1:4" x14ac:dyDescent="0.2">
      <c r="A812" s="521">
        <v>43502</v>
      </c>
      <c r="B812" s="497">
        <v>225615</v>
      </c>
      <c r="C812" s="521"/>
      <c r="D812" s="497"/>
    </row>
    <row r="813" spans="1:4" x14ac:dyDescent="0.2">
      <c r="A813" s="521">
        <v>43503</v>
      </c>
      <c r="B813" s="497">
        <v>219151.3</v>
      </c>
      <c r="C813" s="521"/>
      <c r="D813" s="497"/>
    </row>
    <row r="814" spans="1:4" x14ac:dyDescent="0.2">
      <c r="A814" s="521">
        <v>43504</v>
      </c>
      <c r="B814" s="497">
        <v>219351.3</v>
      </c>
      <c r="C814" s="521"/>
      <c r="D814" s="497"/>
    </row>
    <row r="815" spans="1:4" x14ac:dyDescent="0.2">
      <c r="A815" s="521">
        <v>43507</v>
      </c>
      <c r="B815" s="497">
        <v>219351</v>
      </c>
      <c r="C815" s="521"/>
      <c r="D815" s="497"/>
    </row>
    <row r="816" spans="1:4" x14ac:dyDescent="0.2">
      <c r="A816" s="521">
        <v>43508</v>
      </c>
      <c r="B816" s="497">
        <v>219351</v>
      </c>
      <c r="C816" s="521"/>
      <c r="D816" s="497"/>
    </row>
    <row r="817" spans="1:4" x14ac:dyDescent="0.2">
      <c r="A817" s="521">
        <v>43509</v>
      </c>
      <c r="B817" s="497">
        <v>219351</v>
      </c>
      <c r="C817" s="521"/>
      <c r="D817" s="497"/>
    </row>
    <row r="818" spans="1:4" x14ac:dyDescent="0.2">
      <c r="A818" s="521">
        <v>43510</v>
      </c>
      <c r="B818" s="497">
        <v>206758.66</v>
      </c>
      <c r="C818" s="521"/>
      <c r="D818" s="497"/>
    </row>
    <row r="819" spans="1:4" x14ac:dyDescent="0.2">
      <c r="A819" s="521">
        <v>43511</v>
      </c>
      <c r="B819" s="497">
        <v>234837.55</v>
      </c>
      <c r="C819" s="521"/>
      <c r="D819" s="497"/>
    </row>
    <row r="820" spans="1:4" x14ac:dyDescent="0.2">
      <c r="A820" s="521">
        <v>43514</v>
      </c>
      <c r="B820" s="497">
        <v>234838</v>
      </c>
      <c r="C820" s="521"/>
      <c r="D820" s="497"/>
    </row>
    <row r="821" spans="1:4" x14ac:dyDescent="0.2">
      <c r="A821" s="521">
        <v>43515</v>
      </c>
      <c r="B821" s="497">
        <v>199113.26</v>
      </c>
      <c r="C821" s="521"/>
      <c r="D821" s="497"/>
    </row>
    <row r="822" spans="1:4" x14ac:dyDescent="0.2">
      <c r="A822" s="521">
        <v>43516</v>
      </c>
      <c r="B822" s="716">
        <v>199113</v>
      </c>
      <c r="C822" s="521"/>
      <c r="D822" s="497"/>
    </row>
    <row r="823" spans="1:4" x14ac:dyDescent="0.2">
      <c r="A823" s="521">
        <v>43517</v>
      </c>
      <c r="B823" s="497">
        <v>205400.17</v>
      </c>
      <c r="C823" s="521"/>
      <c r="D823" s="497"/>
    </row>
    <row r="824" spans="1:4" x14ac:dyDescent="0.2">
      <c r="A824" s="521">
        <v>43518</v>
      </c>
      <c r="B824" s="497">
        <v>220161.91</v>
      </c>
      <c r="C824" s="521"/>
      <c r="D824" s="497"/>
    </row>
    <row r="825" spans="1:4" x14ac:dyDescent="0.2">
      <c r="A825" s="521">
        <v>43521</v>
      </c>
      <c r="B825" s="497">
        <v>220161.91</v>
      </c>
      <c r="C825" s="521"/>
      <c r="D825" s="497"/>
    </row>
    <row r="826" spans="1:4" x14ac:dyDescent="0.2">
      <c r="A826" s="521">
        <v>43522</v>
      </c>
      <c r="B826" s="497">
        <v>220161.91</v>
      </c>
      <c r="C826" s="521"/>
      <c r="D826" s="497"/>
    </row>
    <row r="827" spans="1:4" x14ac:dyDescent="0.2">
      <c r="A827" s="521">
        <v>43523</v>
      </c>
      <c r="B827" s="497">
        <v>220161.91</v>
      </c>
      <c r="C827" s="521"/>
      <c r="D827" s="497"/>
    </row>
    <row r="828" spans="1:4" x14ac:dyDescent="0.2">
      <c r="A828" s="521">
        <v>43524</v>
      </c>
      <c r="B828" s="497">
        <v>224635.26</v>
      </c>
      <c r="C828" s="521"/>
      <c r="D828" s="497"/>
    </row>
    <row r="829" spans="1:4" x14ac:dyDescent="0.2">
      <c r="A829" s="521">
        <v>43525</v>
      </c>
      <c r="B829" s="497">
        <v>298900.61</v>
      </c>
      <c r="C829" s="521"/>
      <c r="D829" s="497"/>
    </row>
    <row r="830" spans="1:4" x14ac:dyDescent="0.2">
      <c r="A830" s="521">
        <v>43528</v>
      </c>
      <c r="B830" s="497">
        <v>262246.8</v>
      </c>
      <c r="C830" s="521"/>
      <c r="D830" s="497"/>
    </row>
    <row r="831" spans="1:4" x14ac:dyDescent="0.2">
      <c r="A831" s="521">
        <v>43529</v>
      </c>
      <c r="B831" s="497">
        <v>262247</v>
      </c>
      <c r="C831" s="521"/>
      <c r="D831" s="497"/>
    </row>
    <row r="832" spans="1:4" x14ac:dyDescent="0.2">
      <c r="A832" s="521">
        <v>43530</v>
      </c>
      <c r="B832" s="497">
        <v>262247</v>
      </c>
      <c r="C832" s="521"/>
      <c r="D832" s="497"/>
    </row>
    <row r="833" spans="1:4" x14ac:dyDescent="0.2">
      <c r="A833" s="521">
        <v>43531</v>
      </c>
      <c r="B833" s="497">
        <v>275395.15000000002</v>
      </c>
      <c r="C833" s="521"/>
      <c r="D833" s="497"/>
    </row>
    <row r="834" spans="1:4" x14ac:dyDescent="0.2">
      <c r="A834" s="521">
        <v>43532</v>
      </c>
      <c r="B834" s="497">
        <v>275395</v>
      </c>
      <c r="C834" s="521"/>
      <c r="D834" s="497"/>
    </row>
    <row r="835" spans="1:4" x14ac:dyDescent="0.2">
      <c r="A835" s="521">
        <v>43535</v>
      </c>
      <c r="B835" s="497">
        <v>275395</v>
      </c>
      <c r="C835" s="521"/>
      <c r="D835" s="497"/>
    </row>
    <row r="836" spans="1:4" x14ac:dyDescent="0.2">
      <c r="A836" s="521">
        <v>43536</v>
      </c>
      <c r="B836" s="497">
        <v>275395</v>
      </c>
      <c r="C836" s="521"/>
      <c r="D836" s="497"/>
    </row>
    <row r="837" spans="1:4" x14ac:dyDescent="0.2">
      <c r="A837" s="521">
        <v>43537</v>
      </c>
      <c r="B837" s="497">
        <v>316802.46999999997</v>
      </c>
      <c r="C837" s="521"/>
      <c r="D837" s="497"/>
    </row>
    <row r="838" spans="1:4" x14ac:dyDescent="0.2">
      <c r="A838" s="521">
        <v>43538</v>
      </c>
      <c r="B838" s="497">
        <v>297067.40000000002</v>
      </c>
      <c r="C838" s="521"/>
      <c r="D838" s="497"/>
    </row>
    <row r="839" spans="1:4" x14ac:dyDescent="0.2">
      <c r="A839" s="521">
        <v>43539</v>
      </c>
      <c r="B839" s="497">
        <v>300574.83</v>
      </c>
      <c r="C839" s="521"/>
      <c r="D839" s="497"/>
    </row>
    <row r="840" spans="1:4" x14ac:dyDescent="0.2">
      <c r="A840" s="521">
        <v>43542</v>
      </c>
      <c r="B840" s="497">
        <v>264695.24</v>
      </c>
      <c r="C840" s="521"/>
      <c r="D840" s="497"/>
    </row>
    <row r="841" spans="1:4" x14ac:dyDescent="0.2">
      <c r="A841" s="521">
        <v>43543</v>
      </c>
      <c r="B841" s="497">
        <v>264695</v>
      </c>
      <c r="C841" s="521"/>
      <c r="D841" s="497"/>
    </row>
    <row r="842" spans="1:4" x14ac:dyDescent="0.2">
      <c r="A842" s="521">
        <v>43544</v>
      </c>
      <c r="B842" s="497">
        <v>264695</v>
      </c>
      <c r="C842" s="521"/>
      <c r="D842" s="497"/>
    </row>
    <row r="843" spans="1:4" x14ac:dyDescent="0.2">
      <c r="A843" s="521">
        <v>43545</v>
      </c>
      <c r="B843" s="497">
        <v>282838.67</v>
      </c>
      <c r="C843" s="521"/>
      <c r="D843" s="497"/>
    </row>
    <row r="844" spans="1:4" x14ac:dyDescent="0.2">
      <c r="A844" s="521">
        <v>43546</v>
      </c>
      <c r="B844" s="497">
        <v>282839</v>
      </c>
      <c r="C844" s="521"/>
      <c r="D844" s="497"/>
    </row>
    <row r="845" spans="1:4" x14ac:dyDescent="0.2">
      <c r="A845" s="521">
        <v>43549</v>
      </c>
      <c r="B845" s="557">
        <v>333807.26</v>
      </c>
      <c r="C845" s="521"/>
      <c r="D845" s="497"/>
    </row>
    <row r="846" spans="1:4" x14ac:dyDescent="0.2">
      <c r="A846" s="521">
        <v>43550</v>
      </c>
      <c r="B846" s="497">
        <v>332295.96000000002</v>
      </c>
      <c r="C846" s="521"/>
      <c r="D846" s="497"/>
    </row>
    <row r="847" spans="1:4" x14ac:dyDescent="0.2">
      <c r="A847" s="521">
        <v>43551</v>
      </c>
      <c r="B847" s="497">
        <v>325401.01</v>
      </c>
      <c r="C847" s="521"/>
      <c r="D847" s="497"/>
    </row>
    <row r="848" spans="1:4" x14ac:dyDescent="0.2">
      <c r="A848" s="521">
        <v>43552</v>
      </c>
      <c r="B848" s="497">
        <v>328793.55</v>
      </c>
      <c r="C848" s="521"/>
      <c r="D848" s="497"/>
    </row>
    <row r="849" spans="1:4" x14ac:dyDescent="0.2">
      <c r="A849" s="521">
        <v>43553</v>
      </c>
      <c r="B849" s="497">
        <v>329088.55</v>
      </c>
      <c r="C849" s="521"/>
      <c r="D849" s="497"/>
    </row>
    <row r="850" spans="1:4" x14ac:dyDescent="0.2">
      <c r="A850" s="521">
        <v>43556</v>
      </c>
      <c r="B850" s="497">
        <v>328488.55</v>
      </c>
      <c r="C850" s="521"/>
      <c r="D850" s="497"/>
    </row>
    <row r="851" spans="1:4" x14ac:dyDescent="0.2">
      <c r="A851" s="521">
        <v>43557</v>
      </c>
      <c r="B851" s="497">
        <v>292528.71999999997</v>
      </c>
      <c r="C851" s="521"/>
      <c r="D851" s="497"/>
    </row>
    <row r="852" spans="1:4" x14ac:dyDescent="0.2">
      <c r="A852" s="521">
        <v>43558</v>
      </c>
      <c r="B852" s="497">
        <v>294672.43</v>
      </c>
      <c r="C852" s="521"/>
      <c r="D852" s="497"/>
    </row>
    <row r="853" spans="1:4" x14ac:dyDescent="0.2">
      <c r="A853" s="521">
        <v>43559</v>
      </c>
      <c r="B853" s="497">
        <v>292850.33</v>
      </c>
      <c r="C853" s="521"/>
      <c r="D853" s="497"/>
    </row>
    <row r="854" spans="1:4" x14ac:dyDescent="0.2">
      <c r="A854" s="521">
        <v>43560</v>
      </c>
      <c r="B854" s="497">
        <v>284702.78999999998</v>
      </c>
      <c r="C854" s="521"/>
      <c r="D854" s="497"/>
    </row>
    <row r="855" spans="1:4" x14ac:dyDescent="0.2">
      <c r="A855" s="521">
        <v>43563</v>
      </c>
      <c r="B855" s="497">
        <v>284703</v>
      </c>
      <c r="C855" s="521"/>
      <c r="D855" s="497"/>
    </row>
    <row r="856" spans="1:4" x14ac:dyDescent="0.2">
      <c r="A856" s="521">
        <v>43564</v>
      </c>
      <c r="B856" s="497">
        <v>284775.52</v>
      </c>
      <c r="C856" s="521"/>
      <c r="D856" s="497"/>
    </row>
    <row r="857" spans="1:4" x14ac:dyDescent="0.2">
      <c r="A857" s="521">
        <v>43565</v>
      </c>
      <c r="B857" s="497">
        <v>284776</v>
      </c>
      <c r="C857" s="521"/>
      <c r="D857" s="497"/>
    </row>
    <row r="858" spans="1:4" x14ac:dyDescent="0.2">
      <c r="A858" s="521">
        <v>43566</v>
      </c>
      <c r="B858" s="497">
        <v>277335.02</v>
      </c>
      <c r="C858" s="521"/>
      <c r="D858" s="497"/>
    </row>
    <row r="859" spans="1:4" x14ac:dyDescent="0.2">
      <c r="A859" s="521">
        <v>43567</v>
      </c>
      <c r="B859" s="497">
        <v>277335</v>
      </c>
      <c r="C859" s="521"/>
      <c r="D859" s="497"/>
    </row>
    <row r="860" spans="1:4" x14ac:dyDescent="0.2">
      <c r="A860" s="521">
        <v>43570</v>
      </c>
      <c r="B860" s="497">
        <v>277462.90999999997</v>
      </c>
      <c r="C860" s="521"/>
      <c r="D860" s="497"/>
    </row>
    <row r="861" spans="1:4" x14ac:dyDescent="0.2">
      <c r="A861" s="521">
        <v>43571</v>
      </c>
      <c r="B861" s="497">
        <v>241180.07</v>
      </c>
      <c r="C861" s="521"/>
      <c r="D861" s="497"/>
    </row>
    <row r="862" spans="1:4" x14ac:dyDescent="0.2">
      <c r="A862" s="521">
        <v>43572</v>
      </c>
      <c r="B862" s="497">
        <v>257634.61</v>
      </c>
      <c r="C862" s="521"/>
      <c r="D862" s="497"/>
    </row>
    <row r="863" spans="1:4" x14ac:dyDescent="0.2">
      <c r="A863" s="521">
        <v>43573</v>
      </c>
      <c r="B863" s="497">
        <v>241154.55</v>
      </c>
      <c r="C863" s="521"/>
      <c r="D863" s="497"/>
    </row>
    <row r="864" spans="1:4" x14ac:dyDescent="0.2">
      <c r="A864" s="521">
        <v>43574</v>
      </c>
      <c r="B864" s="497">
        <v>243162.78</v>
      </c>
      <c r="C864" s="521"/>
      <c r="D864" s="497"/>
    </row>
    <row r="865" spans="1:4" x14ac:dyDescent="0.2">
      <c r="A865" s="521">
        <v>43577</v>
      </c>
      <c r="B865" s="497">
        <v>243003.93</v>
      </c>
      <c r="C865" s="521"/>
      <c r="D865" s="497"/>
    </row>
    <row r="866" spans="1:4" x14ac:dyDescent="0.2">
      <c r="A866" s="521">
        <v>43578</v>
      </c>
      <c r="B866" s="497">
        <v>243004</v>
      </c>
      <c r="C866" s="521"/>
      <c r="D866" s="497"/>
    </row>
    <row r="867" spans="1:4" x14ac:dyDescent="0.2">
      <c r="A867" s="521">
        <v>43579</v>
      </c>
      <c r="B867" s="497">
        <v>243060.55</v>
      </c>
      <c r="C867" s="521"/>
      <c r="D867" s="497"/>
    </row>
    <row r="868" spans="1:4" x14ac:dyDescent="0.2">
      <c r="A868" s="521">
        <v>43580</v>
      </c>
      <c r="B868" s="497">
        <v>245074.5</v>
      </c>
      <c r="C868" s="521"/>
      <c r="D868" s="497"/>
    </row>
    <row r="869" spans="1:4" x14ac:dyDescent="0.2">
      <c r="A869" s="521">
        <v>43581</v>
      </c>
      <c r="B869" s="497">
        <v>274493.84000000003</v>
      </c>
      <c r="C869" s="521"/>
      <c r="D869" s="497"/>
    </row>
    <row r="870" spans="1:4" x14ac:dyDescent="0.2">
      <c r="A870" s="521">
        <v>43584</v>
      </c>
      <c r="B870" s="497">
        <v>274494</v>
      </c>
      <c r="C870" s="521"/>
      <c r="D870" s="497"/>
    </row>
    <row r="871" spans="1:4" x14ac:dyDescent="0.2">
      <c r="A871" s="521">
        <v>43585</v>
      </c>
      <c r="B871" s="497">
        <v>268536.75</v>
      </c>
      <c r="C871" s="521"/>
      <c r="D871" s="497"/>
    </row>
    <row r="872" spans="1:4" x14ac:dyDescent="0.2">
      <c r="A872" s="521">
        <v>43586</v>
      </c>
      <c r="B872" s="497">
        <v>249086.1</v>
      </c>
      <c r="C872" s="521"/>
      <c r="D872" s="497"/>
    </row>
    <row r="873" spans="1:4" x14ac:dyDescent="0.2">
      <c r="A873" s="521">
        <v>43587</v>
      </c>
      <c r="B873" s="497">
        <v>253347.36</v>
      </c>
      <c r="C873" s="521"/>
      <c r="D873" s="497"/>
    </row>
    <row r="874" spans="1:4" x14ac:dyDescent="0.2">
      <c r="A874" s="521">
        <v>43588</v>
      </c>
      <c r="B874" s="497">
        <v>253347</v>
      </c>
      <c r="C874" s="521"/>
      <c r="D874" s="497"/>
    </row>
    <row r="875" spans="1:4" x14ac:dyDescent="0.2">
      <c r="A875" s="521">
        <v>43591</v>
      </c>
      <c r="B875" s="497">
        <v>253347</v>
      </c>
      <c r="C875" s="521"/>
      <c r="D875" s="497"/>
    </row>
    <row r="876" spans="1:4" x14ac:dyDescent="0.2">
      <c r="A876" s="521">
        <v>43592</v>
      </c>
      <c r="B876" s="497">
        <v>253347</v>
      </c>
      <c r="C876" s="521"/>
      <c r="D876" s="497"/>
    </row>
    <row r="877" spans="1:4" x14ac:dyDescent="0.2">
      <c r="A877" s="521">
        <v>43593</v>
      </c>
      <c r="B877" s="497">
        <v>253347</v>
      </c>
      <c r="C877" s="521"/>
      <c r="D877" s="497"/>
    </row>
    <row r="878" spans="1:4" x14ac:dyDescent="0.2">
      <c r="A878" s="521">
        <v>43594</v>
      </c>
      <c r="B878" s="497">
        <v>256363.47</v>
      </c>
      <c r="C878" s="521"/>
      <c r="D878" s="497"/>
    </row>
    <row r="879" spans="1:4" x14ac:dyDescent="0.2">
      <c r="A879" s="521">
        <v>43595</v>
      </c>
      <c r="B879" s="497">
        <v>256363</v>
      </c>
      <c r="C879" s="521"/>
      <c r="D879" s="497"/>
    </row>
    <row r="880" spans="1:4" x14ac:dyDescent="0.2">
      <c r="A880" s="521">
        <v>43598</v>
      </c>
      <c r="B880" s="497">
        <v>256363</v>
      </c>
      <c r="C880" s="521"/>
      <c r="D880" s="497"/>
    </row>
    <row r="881" spans="1:4" x14ac:dyDescent="0.2">
      <c r="A881" s="521">
        <v>43599</v>
      </c>
      <c r="B881" s="497">
        <v>220671.47</v>
      </c>
      <c r="C881" s="521"/>
      <c r="D881" s="497"/>
    </row>
    <row r="882" spans="1:4" x14ac:dyDescent="0.2">
      <c r="A882" s="521">
        <v>43600</v>
      </c>
      <c r="B882" s="497">
        <v>248680.89</v>
      </c>
      <c r="C882" s="521"/>
      <c r="D882" s="497"/>
    </row>
    <row r="883" spans="1:4" x14ac:dyDescent="0.2">
      <c r="A883" s="521">
        <v>43601</v>
      </c>
      <c r="B883" s="497">
        <v>254567.98</v>
      </c>
      <c r="C883" s="521"/>
      <c r="D883" s="497"/>
    </row>
    <row r="884" spans="1:4" x14ac:dyDescent="0.2">
      <c r="A884" s="521">
        <v>43602</v>
      </c>
      <c r="B884" s="497">
        <v>310563.12</v>
      </c>
      <c r="C884" s="521"/>
      <c r="D884" s="497"/>
    </row>
    <row r="885" spans="1:4" x14ac:dyDescent="0.2">
      <c r="A885" s="521">
        <v>43605</v>
      </c>
      <c r="B885" s="497">
        <v>310000.12</v>
      </c>
      <c r="C885" s="521"/>
      <c r="D885" s="497"/>
    </row>
    <row r="886" spans="1:4" x14ac:dyDescent="0.2">
      <c r="A886" s="521">
        <v>43606</v>
      </c>
      <c r="B886" s="497">
        <v>310000.12</v>
      </c>
      <c r="C886" s="521"/>
      <c r="D886" s="497"/>
    </row>
    <row r="887" spans="1:4" x14ac:dyDescent="0.2">
      <c r="A887" s="521">
        <v>43607</v>
      </c>
      <c r="B887" s="497">
        <v>310000.12</v>
      </c>
      <c r="C887" s="521"/>
      <c r="D887" s="497"/>
    </row>
    <row r="888" spans="1:4" x14ac:dyDescent="0.2">
      <c r="A888" s="521">
        <v>43608</v>
      </c>
      <c r="B888" s="497">
        <v>300109.28999999998</v>
      </c>
      <c r="C888" s="521"/>
      <c r="D888" s="497"/>
    </row>
    <row r="889" spans="1:4" x14ac:dyDescent="0.2">
      <c r="A889" s="521">
        <v>43609</v>
      </c>
      <c r="B889" s="497">
        <v>297396.90999999997</v>
      </c>
      <c r="C889" s="521"/>
      <c r="D889" s="497"/>
    </row>
    <row r="890" spans="1:4" x14ac:dyDescent="0.2">
      <c r="A890" s="521">
        <v>43612</v>
      </c>
      <c r="B890" s="497">
        <v>297397</v>
      </c>
      <c r="C890" s="521"/>
      <c r="D890" s="497"/>
    </row>
    <row r="891" spans="1:4" x14ac:dyDescent="0.2">
      <c r="A891" s="521">
        <v>43613</v>
      </c>
      <c r="B891" s="497">
        <v>309520.18</v>
      </c>
      <c r="C891" s="521"/>
      <c r="D891" s="497"/>
    </row>
    <row r="892" spans="1:4" x14ac:dyDescent="0.2">
      <c r="A892" s="521">
        <v>43614</v>
      </c>
      <c r="B892" s="497">
        <v>309520</v>
      </c>
      <c r="C892" s="521"/>
      <c r="D892" s="497"/>
    </row>
    <row r="893" spans="1:4" x14ac:dyDescent="0.2">
      <c r="A893" s="521">
        <v>43615</v>
      </c>
      <c r="B893" s="497">
        <v>306153.90000000002</v>
      </c>
      <c r="C893" s="521"/>
      <c r="D893" s="497"/>
    </row>
    <row r="894" spans="1:4" x14ac:dyDescent="0.2">
      <c r="A894" s="521">
        <v>43616</v>
      </c>
      <c r="B894" s="497">
        <v>307621.78000000003</v>
      </c>
      <c r="C894" s="521"/>
      <c r="D894" s="497"/>
    </row>
    <row r="895" spans="1:4" x14ac:dyDescent="0.2">
      <c r="A895" s="521">
        <v>43619</v>
      </c>
      <c r="B895" s="497">
        <v>307288.12</v>
      </c>
      <c r="C895" s="521"/>
      <c r="D895" s="497"/>
    </row>
    <row r="896" spans="1:4" x14ac:dyDescent="0.2">
      <c r="A896" s="521">
        <v>43620</v>
      </c>
      <c r="B896" s="497">
        <v>307288</v>
      </c>
      <c r="C896" s="521"/>
      <c r="D896" s="497"/>
    </row>
    <row r="897" spans="1:4" x14ac:dyDescent="0.2">
      <c r="A897" s="521">
        <v>43621</v>
      </c>
      <c r="B897" s="497">
        <v>307288</v>
      </c>
      <c r="C897" s="521"/>
      <c r="D897" s="497"/>
    </row>
    <row r="898" spans="1:4" x14ac:dyDescent="0.2">
      <c r="A898" s="521">
        <v>43622</v>
      </c>
      <c r="B898" s="497">
        <v>296580.19</v>
      </c>
      <c r="C898" s="521"/>
      <c r="D898" s="497"/>
    </row>
    <row r="899" spans="1:4" x14ac:dyDescent="0.2">
      <c r="A899" s="521">
        <v>43623</v>
      </c>
      <c r="B899" s="497">
        <v>295981.95</v>
      </c>
      <c r="C899" s="521"/>
      <c r="D899" s="497"/>
    </row>
    <row r="900" spans="1:4" x14ac:dyDescent="0.2">
      <c r="A900" s="521">
        <v>43626</v>
      </c>
      <c r="B900" s="497">
        <v>260513.06</v>
      </c>
      <c r="C900" s="521"/>
      <c r="D900" s="497"/>
    </row>
    <row r="901" spans="1:4" x14ac:dyDescent="0.2">
      <c r="A901" s="521">
        <v>43627</v>
      </c>
      <c r="B901" s="497">
        <v>260513</v>
      </c>
      <c r="C901" s="521"/>
      <c r="D901" s="497"/>
    </row>
    <row r="902" spans="1:4" x14ac:dyDescent="0.2">
      <c r="A902" s="521">
        <v>43628</v>
      </c>
      <c r="B902" s="497">
        <v>260513</v>
      </c>
      <c r="C902" s="521"/>
      <c r="D902" s="497"/>
    </row>
    <row r="903" spans="1:4" x14ac:dyDescent="0.2">
      <c r="A903" s="521">
        <v>43629</v>
      </c>
      <c r="B903" s="497">
        <v>255966.98</v>
      </c>
      <c r="C903" s="521"/>
      <c r="D903" s="497"/>
    </row>
    <row r="904" spans="1:4" x14ac:dyDescent="0.2">
      <c r="A904" s="521">
        <v>43630</v>
      </c>
      <c r="B904" s="497">
        <v>257507.94</v>
      </c>
      <c r="C904" s="521"/>
      <c r="D904" s="497"/>
    </row>
    <row r="905" spans="1:4" x14ac:dyDescent="0.2">
      <c r="A905" s="521">
        <v>43633</v>
      </c>
      <c r="B905" s="497">
        <v>257508</v>
      </c>
      <c r="C905" s="521"/>
      <c r="D905" s="497"/>
    </row>
    <row r="906" spans="1:4" x14ac:dyDescent="0.2">
      <c r="A906" s="521">
        <v>43634</v>
      </c>
      <c r="B906" s="497">
        <v>257508</v>
      </c>
      <c r="C906" s="521"/>
      <c r="D906" s="497"/>
    </row>
    <row r="907" spans="1:4" x14ac:dyDescent="0.2">
      <c r="A907" s="521">
        <v>43635</v>
      </c>
      <c r="B907" s="497">
        <v>257508</v>
      </c>
      <c r="C907" s="521"/>
      <c r="D907" s="497"/>
    </row>
    <row r="908" spans="1:4" x14ac:dyDescent="0.2">
      <c r="A908" s="521">
        <v>43636</v>
      </c>
      <c r="B908" s="497">
        <v>245601.94</v>
      </c>
      <c r="C908" s="521"/>
      <c r="D908" s="497"/>
    </row>
    <row r="909" spans="1:4" x14ac:dyDescent="0.2">
      <c r="A909" s="521">
        <v>43637</v>
      </c>
      <c r="B909" s="497">
        <v>245768.94</v>
      </c>
      <c r="C909" s="521"/>
      <c r="D909" s="497"/>
    </row>
    <row r="910" spans="1:4" x14ac:dyDescent="0.2">
      <c r="A910" s="521">
        <v>43640</v>
      </c>
      <c r="B910" s="497">
        <v>245769</v>
      </c>
      <c r="C910" s="521"/>
      <c r="D910" s="497"/>
    </row>
    <row r="911" spans="1:4" x14ac:dyDescent="0.2">
      <c r="A911" s="521">
        <v>43641</v>
      </c>
      <c r="B911" s="497">
        <v>209143.06</v>
      </c>
      <c r="C911" s="521"/>
      <c r="D911" s="497"/>
    </row>
    <row r="912" spans="1:4" x14ac:dyDescent="0.2">
      <c r="A912" s="521">
        <v>43642</v>
      </c>
      <c r="B912" s="497">
        <v>216087.16</v>
      </c>
      <c r="C912" s="521"/>
      <c r="D912" s="497"/>
    </row>
    <row r="913" spans="1:4" x14ac:dyDescent="0.2">
      <c r="A913" s="521">
        <v>43643</v>
      </c>
      <c r="B913" s="497">
        <v>218399.34</v>
      </c>
      <c r="C913" s="521"/>
      <c r="D913" s="497"/>
    </row>
    <row r="914" spans="1:4" x14ac:dyDescent="0.2">
      <c r="A914" s="521">
        <v>43644</v>
      </c>
      <c r="B914" s="497">
        <v>246675.15</v>
      </c>
      <c r="C914" s="521"/>
      <c r="D914" s="497"/>
    </row>
    <row r="915" spans="1:4" x14ac:dyDescent="0.2">
      <c r="A915" s="521">
        <v>43647</v>
      </c>
      <c r="B915" s="497">
        <v>246675</v>
      </c>
      <c r="C915" s="521"/>
      <c r="D915" s="497"/>
    </row>
    <row r="916" spans="1:4" x14ac:dyDescent="0.2">
      <c r="A916" s="521">
        <v>43648</v>
      </c>
      <c r="B916" s="497">
        <v>248377.32</v>
      </c>
      <c r="C916" s="521"/>
      <c r="D916" s="497"/>
    </row>
    <row r="917" spans="1:4" x14ac:dyDescent="0.2">
      <c r="A917" s="521">
        <v>43649</v>
      </c>
      <c r="B917" s="497">
        <v>277944.71000000002</v>
      </c>
      <c r="C917" s="521"/>
      <c r="D917" s="497"/>
    </row>
    <row r="918" spans="1:4" x14ac:dyDescent="0.2">
      <c r="A918" s="521">
        <v>43650</v>
      </c>
      <c r="B918" s="497">
        <v>277945</v>
      </c>
      <c r="C918" s="521"/>
      <c r="D918" s="497"/>
    </row>
    <row r="919" spans="1:4" x14ac:dyDescent="0.2">
      <c r="A919" s="521">
        <v>43651</v>
      </c>
      <c r="B919" s="497">
        <v>278046.71000000002</v>
      </c>
      <c r="C919" s="521"/>
      <c r="D919" s="497"/>
    </row>
    <row r="920" spans="1:4" x14ac:dyDescent="0.2">
      <c r="A920" s="521">
        <v>43654</v>
      </c>
      <c r="B920" s="497">
        <v>282590.19</v>
      </c>
      <c r="C920" s="521"/>
      <c r="D920" s="497"/>
    </row>
    <row r="921" spans="1:4" x14ac:dyDescent="0.2">
      <c r="A921" s="521">
        <v>43655</v>
      </c>
      <c r="B921" s="497">
        <v>247195.73</v>
      </c>
      <c r="C921" s="521"/>
      <c r="D921" s="497"/>
    </row>
    <row r="922" spans="1:4" x14ac:dyDescent="0.2">
      <c r="A922" s="521">
        <v>43656</v>
      </c>
      <c r="B922" s="497">
        <v>247195.73</v>
      </c>
      <c r="C922" s="521"/>
      <c r="D922" s="497"/>
    </row>
    <row r="923" spans="1:4" x14ac:dyDescent="0.2">
      <c r="A923" s="521">
        <v>43657</v>
      </c>
      <c r="B923" s="497">
        <v>235813.1</v>
      </c>
      <c r="C923" s="521"/>
      <c r="D923" s="497"/>
    </row>
    <row r="924" spans="1:4" x14ac:dyDescent="0.2">
      <c r="A924" s="521">
        <v>43658</v>
      </c>
      <c r="B924" s="497">
        <v>237210.07</v>
      </c>
      <c r="C924" s="521"/>
      <c r="D924" s="497"/>
    </row>
    <row r="925" spans="1:4" x14ac:dyDescent="0.2">
      <c r="A925" s="521">
        <v>43661</v>
      </c>
      <c r="B925" s="497">
        <v>237490.39</v>
      </c>
      <c r="C925" s="521"/>
      <c r="D925" s="497"/>
    </row>
    <row r="926" spans="1:4" x14ac:dyDescent="0.2">
      <c r="A926" s="521">
        <v>43662</v>
      </c>
      <c r="B926" s="497">
        <v>237490</v>
      </c>
      <c r="C926" s="521"/>
      <c r="D926" s="497"/>
    </row>
    <row r="927" spans="1:4" x14ac:dyDescent="0.2">
      <c r="A927" s="521">
        <v>43663</v>
      </c>
      <c r="B927" s="497">
        <v>237490.39</v>
      </c>
      <c r="C927" s="521"/>
      <c r="D927" s="497"/>
    </row>
    <row r="928" spans="1:4" x14ac:dyDescent="0.2">
      <c r="A928" s="521">
        <v>43664</v>
      </c>
      <c r="B928" s="497">
        <v>232593.57</v>
      </c>
      <c r="C928" s="521"/>
      <c r="D928" s="497"/>
    </row>
    <row r="929" spans="1:4" x14ac:dyDescent="0.2">
      <c r="A929" s="521">
        <v>43665</v>
      </c>
      <c r="B929" s="497">
        <v>232923.06</v>
      </c>
      <c r="C929" s="521"/>
      <c r="D929" s="497"/>
    </row>
    <row r="930" spans="1:4" x14ac:dyDescent="0.2">
      <c r="A930" s="521">
        <v>43668</v>
      </c>
      <c r="B930" s="497">
        <v>196798.51</v>
      </c>
      <c r="C930" s="521"/>
      <c r="D930" s="497"/>
    </row>
    <row r="931" spans="1:4" x14ac:dyDescent="0.2">
      <c r="A931" s="521">
        <v>43669</v>
      </c>
      <c r="B931" s="497">
        <v>199629.38</v>
      </c>
      <c r="C931" s="521"/>
      <c r="D931" s="497"/>
    </row>
    <row r="932" spans="1:4" x14ac:dyDescent="0.2">
      <c r="A932" s="521">
        <v>43670</v>
      </c>
      <c r="B932" s="497">
        <v>199629</v>
      </c>
      <c r="C932" s="521"/>
      <c r="D932" s="497"/>
    </row>
    <row r="933" spans="1:4" x14ac:dyDescent="0.2">
      <c r="A933" s="521">
        <v>43671</v>
      </c>
      <c r="B933" s="497">
        <v>195151.45</v>
      </c>
      <c r="C933" s="521"/>
      <c r="D933" s="497"/>
    </row>
    <row r="934" spans="1:4" x14ac:dyDescent="0.2">
      <c r="A934" s="521">
        <v>43672</v>
      </c>
      <c r="B934" s="497">
        <v>228843.78</v>
      </c>
      <c r="C934" s="521"/>
      <c r="D934" s="497"/>
    </row>
    <row r="935" spans="1:4" x14ac:dyDescent="0.2">
      <c r="A935" s="521">
        <v>43675</v>
      </c>
      <c r="B935" s="497">
        <v>228844</v>
      </c>
      <c r="C935" s="521"/>
      <c r="D935" s="497"/>
    </row>
    <row r="936" spans="1:4" x14ac:dyDescent="0.2">
      <c r="A936" s="521">
        <v>43676</v>
      </c>
      <c r="B936" s="497">
        <v>228844</v>
      </c>
      <c r="C936" s="521"/>
      <c r="D936" s="497"/>
    </row>
    <row r="937" spans="1:4" x14ac:dyDescent="0.2">
      <c r="A937" s="521">
        <v>43677</v>
      </c>
      <c r="B937" s="497">
        <v>229051.78</v>
      </c>
      <c r="C937" s="521"/>
      <c r="D937" s="497"/>
    </row>
    <row r="938" spans="1:4" x14ac:dyDescent="0.2">
      <c r="A938" s="521">
        <v>43678</v>
      </c>
      <c r="B938" s="497">
        <v>234767.17</v>
      </c>
      <c r="C938" s="521"/>
      <c r="D938" s="497"/>
    </row>
    <row r="939" spans="1:4" x14ac:dyDescent="0.2">
      <c r="A939" s="521">
        <v>43679</v>
      </c>
      <c r="B939" s="497">
        <v>236117.76000000001</v>
      </c>
      <c r="C939" s="521"/>
      <c r="D939" s="497"/>
    </row>
    <row r="940" spans="1:4" x14ac:dyDescent="0.2">
      <c r="A940" s="521">
        <v>43682</v>
      </c>
      <c r="B940" s="497">
        <v>236118</v>
      </c>
      <c r="C940" s="521"/>
      <c r="D940" s="497"/>
    </row>
    <row r="941" spans="1:4" x14ac:dyDescent="0.2">
      <c r="A941" s="521">
        <v>43683</v>
      </c>
      <c r="B941" s="497">
        <v>208888.5</v>
      </c>
      <c r="C941" s="521"/>
      <c r="D941" s="497"/>
    </row>
    <row r="942" spans="1:4" x14ac:dyDescent="0.2">
      <c r="A942" s="521">
        <v>43684</v>
      </c>
      <c r="B942" s="497">
        <v>208792.5</v>
      </c>
      <c r="C942" s="521"/>
      <c r="D942" s="497"/>
    </row>
    <row r="943" spans="1:4" x14ac:dyDescent="0.2">
      <c r="A943" s="521">
        <v>43685</v>
      </c>
      <c r="B943" s="497">
        <v>203219.37</v>
      </c>
      <c r="C943" s="521"/>
      <c r="D943" s="497"/>
    </row>
    <row r="944" spans="1:4" x14ac:dyDescent="0.2">
      <c r="A944" s="521">
        <v>43686</v>
      </c>
      <c r="B944" s="497">
        <v>205639.37</v>
      </c>
      <c r="C944" s="521"/>
      <c r="D944" s="497"/>
    </row>
    <row r="945" spans="1:4" x14ac:dyDescent="0.2">
      <c r="A945" s="521">
        <v>43689</v>
      </c>
      <c r="B945" s="497">
        <v>205639.37</v>
      </c>
      <c r="C945" s="521"/>
      <c r="D945" s="497"/>
    </row>
    <row r="946" spans="1:4" x14ac:dyDescent="0.2">
      <c r="A946" s="521">
        <v>43690</v>
      </c>
      <c r="B946" s="497">
        <v>232145.73</v>
      </c>
      <c r="C946" s="521"/>
      <c r="D946" s="497"/>
    </row>
    <row r="947" spans="1:4" x14ac:dyDescent="0.2">
      <c r="A947" s="521">
        <v>43691</v>
      </c>
      <c r="B947" s="497">
        <v>233325.32</v>
      </c>
      <c r="C947" s="521"/>
      <c r="D947" s="497"/>
    </row>
    <row r="948" spans="1:4" x14ac:dyDescent="0.2">
      <c r="A948" s="521">
        <v>43692</v>
      </c>
      <c r="B948" s="497">
        <v>225375.98</v>
      </c>
      <c r="C948" s="521"/>
      <c r="D948" s="497"/>
    </row>
    <row r="949" spans="1:4" x14ac:dyDescent="0.2">
      <c r="A949" s="521">
        <v>43693</v>
      </c>
      <c r="B949" s="497">
        <v>225424.1</v>
      </c>
      <c r="C949" s="521"/>
      <c r="D949" s="497"/>
    </row>
    <row r="950" spans="1:4" x14ac:dyDescent="0.2">
      <c r="A950" s="521">
        <v>43696</v>
      </c>
      <c r="B950" s="497">
        <v>187365.06</v>
      </c>
      <c r="C950" s="521"/>
      <c r="D950" s="497"/>
    </row>
    <row r="951" spans="1:4" x14ac:dyDescent="0.2">
      <c r="A951" s="521">
        <v>43697</v>
      </c>
      <c r="B951" s="497">
        <v>187365</v>
      </c>
      <c r="C951" s="521"/>
      <c r="D951" s="497"/>
    </row>
    <row r="952" spans="1:4" x14ac:dyDescent="0.2">
      <c r="A952" s="521">
        <v>43698</v>
      </c>
      <c r="B952" s="497">
        <v>187365</v>
      </c>
      <c r="C952" s="521"/>
      <c r="D952" s="497"/>
    </row>
    <row r="953" spans="1:4" x14ac:dyDescent="0.2">
      <c r="A953" s="521">
        <v>43699</v>
      </c>
      <c r="B953" s="557">
        <v>172667.6</v>
      </c>
      <c r="C953" s="521"/>
      <c r="D953" s="497"/>
    </row>
    <row r="954" spans="1:4" x14ac:dyDescent="0.2">
      <c r="A954" s="521">
        <v>43700</v>
      </c>
      <c r="B954" s="497">
        <v>172668</v>
      </c>
      <c r="C954" s="521"/>
      <c r="D954" s="497"/>
    </row>
    <row r="955" spans="1:4" x14ac:dyDescent="0.2">
      <c r="A955" s="521">
        <v>43703</v>
      </c>
      <c r="B955" s="497">
        <v>236616.35</v>
      </c>
      <c r="C955" s="521"/>
      <c r="D955" s="497"/>
    </row>
    <row r="956" spans="1:4" x14ac:dyDescent="0.2">
      <c r="A956" s="521">
        <v>43704</v>
      </c>
      <c r="B956" s="497">
        <v>237913.62</v>
      </c>
      <c r="C956" s="521"/>
      <c r="D956" s="497"/>
    </row>
    <row r="957" spans="1:4" x14ac:dyDescent="0.2">
      <c r="A957" s="521">
        <v>43705</v>
      </c>
      <c r="B957" s="497">
        <v>237914</v>
      </c>
      <c r="C957" s="521"/>
      <c r="D957" s="497"/>
    </row>
    <row r="958" spans="1:4" x14ac:dyDescent="0.2">
      <c r="A958" s="521">
        <v>43706</v>
      </c>
      <c r="B958" s="497">
        <v>244708.19</v>
      </c>
      <c r="C958" s="521"/>
      <c r="D958" s="497"/>
    </row>
    <row r="959" spans="1:4" x14ac:dyDescent="0.2">
      <c r="A959" s="521">
        <v>43707</v>
      </c>
      <c r="B959" s="497">
        <v>249899.19</v>
      </c>
      <c r="C959" s="521"/>
      <c r="D959" s="497"/>
    </row>
    <row r="960" spans="1:4" x14ac:dyDescent="0.2">
      <c r="A960" s="521">
        <v>43710</v>
      </c>
      <c r="B960" s="497">
        <v>249899</v>
      </c>
      <c r="C960" s="521"/>
      <c r="D960" s="497"/>
    </row>
    <row r="961" spans="1:4" x14ac:dyDescent="0.2">
      <c r="A961" s="521">
        <v>43711</v>
      </c>
      <c r="B961" s="497">
        <v>215930.73</v>
      </c>
      <c r="C961" s="521"/>
      <c r="D961" s="497"/>
    </row>
    <row r="962" spans="1:4" x14ac:dyDescent="0.2">
      <c r="A962" s="521">
        <v>43712</v>
      </c>
      <c r="B962" s="497">
        <v>215931</v>
      </c>
      <c r="C962" s="521"/>
      <c r="D962" s="497"/>
    </row>
    <row r="963" spans="1:4" x14ac:dyDescent="0.2">
      <c r="A963" s="521">
        <v>43713</v>
      </c>
      <c r="B963" s="497">
        <v>205664.34</v>
      </c>
      <c r="C963" s="521"/>
      <c r="D963" s="497"/>
    </row>
    <row r="964" spans="1:4" x14ac:dyDescent="0.2">
      <c r="A964" s="521">
        <v>43714</v>
      </c>
      <c r="B964" s="497">
        <v>205830.34</v>
      </c>
      <c r="C964" s="521"/>
      <c r="D964" s="497"/>
    </row>
    <row r="965" spans="1:4" x14ac:dyDescent="0.2">
      <c r="A965" s="521">
        <v>43717</v>
      </c>
      <c r="B965" s="497">
        <v>205830</v>
      </c>
      <c r="C965" s="521"/>
      <c r="D965" s="497"/>
    </row>
    <row r="966" spans="1:4" x14ac:dyDescent="0.2">
      <c r="A966" s="521">
        <v>43718</v>
      </c>
      <c r="B966" s="497">
        <v>205830</v>
      </c>
      <c r="C966" s="521"/>
      <c r="D966" s="497"/>
    </row>
    <row r="967" spans="1:4" x14ac:dyDescent="0.2">
      <c r="A967" s="521">
        <v>43719</v>
      </c>
      <c r="B967" s="497">
        <v>205830</v>
      </c>
      <c r="C967" s="521"/>
      <c r="D967" s="497"/>
    </row>
    <row r="968" spans="1:4" x14ac:dyDescent="0.2">
      <c r="A968" s="521">
        <v>43720</v>
      </c>
      <c r="B968" s="497">
        <v>207654.61</v>
      </c>
      <c r="C968" s="521"/>
      <c r="D968" s="497"/>
    </row>
    <row r="969" spans="1:4" x14ac:dyDescent="0.2">
      <c r="A969" s="521">
        <v>43721</v>
      </c>
      <c r="B969" s="497">
        <v>207743.24</v>
      </c>
      <c r="C969" s="521"/>
      <c r="D969" s="497"/>
    </row>
    <row r="970" spans="1:4" x14ac:dyDescent="0.2">
      <c r="A970" s="521">
        <v>43724</v>
      </c>
      <c r="B970" s="497">
        <v>207845.42</v>
      </c>
      <c r="C970" s="521"/>
      <c r="D970" s="497"/>
    </row>
    <row r="971" spans="1:4" x14ac:dyDescent="0.2">
      <c r="A971" s="521">
        <v>43725</v>
      </c>
      <c r="B971" s="497">
        <v>173840.8</v>
      </c>
      <c r="C971" s="521"/>
      <c r="D971" s="497"/>
    </row>
    <row r="972" spans="1:4" x14ac:dyDescent="0.2">
      <c r="A972" s="521">
        <v>43726</v>
      </c>
      <c r="B972" s="497">
        <v>212383.95</v>
      </c>
      <c r="C972" s="521"/>
      <c r="D972" s="497"/>
    </row>
    <row r="973" spans="1:4" x14ac:dyDescent="0.2">
      <c r="A973" s="521">
        <v>43727</v>
      </c>
      <c r="B973" s="497">
        <v>205191.98</v>
      </c>
      <c r="C973" s="521"/>
      <c r="D973" s="497"/>
    </row>
    <row r="974" spans="1:4" x14ac:dyDescent="0.2">
      <c r="A974" s="521">
        <v>43728</v>
      </c>
      <c r="B974" s="497">
        <v>205884.98</v>
      </c>
      <c r="C974" s="521"/>
      <c r="D974" s="497"/>
    </row>
    <row r="975" spans="1:4" x14ac:dyDescent="0.2">
      <c r="A975" s="521">
        <v>43731</v>
      </c>
      <c r="B975" s="497">
        <v>205884.98</v>
      </c>
      <c r="C975" s="521"/>
      <c r="D975" s="497"/>
    </row>
    <row r="976" spans="1:4" x14ac:dyDescent="0.2">
      <c r="A976" s="521">
        <v>43732</v>
      </c>
      <c r="B976" s="497">
        <v>205884.98</v>
      </c>
      <c r="C976" s="521"/>
      <c r="D976" s="497"/>
    </row>
    <row r="977" spans="1:4" x14ac:dyDescent="0.2">
      <c r="A977" s="521">
        <v>43733</v>
      </c>
      <c r="B977" s="497">
        <v>231641.34</v>
      </c>
      <c r="C977" s="521"/>
      <c r="D977" s="497"/>
    </row>
    <row r="978" spans="1:4" x14ac:dyDescent="0.2">
      <c r="A978" s="521">
        <v>43734</v>
      </c>
      <c r="B978" s="497">
        <v>236338.62</v>
      </c>
      <c r="C978" s="521"/>
      <c r="D978" s="497"/>
    </row>
    <row r="979" spans="1:4" x14ac:dyDescent="0.2">
      <c r="A979" s="521">
        <v>43735</v>
      </c>
      <c r="B979" s="497">
        <v>269514.5</v>
      </c>
      <c r="C979" s="521"/>
      <c r="D979" s="497"/>
    </row>
    <row r="980" spans="1:4" x14ac:dyDescent="0.2">
      <c r="A980" s="521">
        <v>43738</v>
      </c>
      <c r="B980" s="497">
        <v>287654.26</v>
      </c>
      <c r="C980" s="521"/>
      <c r="D980" s="497"/>
    </row>
    <row r="981" spans="1:4" x14ac:dyDescent="0.2">
      <c r="A981" s="521">
        <v>43739</v>
      </c>
      <c r="B981" s="497">
        <v>254047.41</v>
      </c>
      <c r="C981" s="521"/>
      <c r="D981" s="497"/>
    </row>
    <row r="982" spans="1:4" x14ac:dyDescent="0.2">
      <c r="A982" s="521">
        <v>43740</v>
      </c>
      <c r="B982" s="497">
        <v>254047</v>
      </c>
      <c r="C982" s="521"/>
      <c r="D982" s="497"/>
    </row>
    <row r="983" spans="1:4" x14ac:dyDescent="0.2">
      <c r="A983" s="521">
        <v>43741</v>
      </c>
      <c r="B983" s="497">
        <v>244596.04</v>
      </c>
      <c r="C983" s="521"/>
      <c r="D983" s="497"/>
    </row>
    <row r="984" spans="1:4" x14ac:dyDescent="0.2">
      <c r="A984" s="521">
        <v>43742</v>
      </c>
      <c r="B984" s="497">
        <v>244881.04</v>
      </c>
      <c r="C984" s="521"/>
      <c r="D984" s="497"/>
    </row>
    <row r="985" spans="1:4" x14ac:dyDescent="0.2">
      <c r="A985" s="521">
        <v>43745</v>
      </c>
      <c r="B985" s="497">
        <v>244881</v>
      </c>
      <c r="C985" s="521"/>
      <c r="D985" s="497"/>
    </row>
    <row r="986" spans="1:4" x14ac:dyDescent="0.2">
      <c r="A986" s="521">
        <v>43746</v>
      </c>
      <c r="B986" s="497">
        <v>244881</v>
      </c>
      <c r="C986" s="521"/>
      <c r="D986" s="497"/>
    </row>
    <row r="987" spans="1:4" x14ac:dyDescent="0.2">
      <c r="A987" s="521">
        <v>43747</v>
      </c>
      <c r="B987" s="497">
        <v>244881</v>
      </c>
      <c r="C987" s="521"/>
      <c r="D987" s="497"/>
    </row>
    <row r="988" spans="1:4" x14ac:dyDescent="0.2">
      <c r="A988" s="521">
        <v>43748</v>
      </c>
      <c r="B988" s="497">
        <v>247845.59</v>
      </c>
      <c r="C988" s="521"/>
      <c r="D988" s="497"/>
    </row>
    <row r="989" spans="1:4" x14ac:dyDescent="0.2">
      <c r="A989" s="521">
        <v>43749</v>
      </c>
      <c r="B989" s="497">
        <v>247846</v>
      </c>
      <c r="C989" s="521"/>
      <c r="D989" s="497"/>
    </row>
    <row r="990" spans="1:4" x14ac:dyDescent="0.2">
      <c r="A990" s="521">
        <v>43752</v>
      </c>
      <c r="B990" s="497">
        <v>247846</v>
      </c>
      <c r="C990" s="521"/>
      <c r="D990" s="497"/>
    </row>
    <row r="991" spans="1:4" x14ac:dyDescent="0.2">
      <c r="A991" s="521">
        <v>43753</v>
      </c>
      <c r="B991" s="497">
        <v>183161.53</v>
      </c>
      <c r="C991" s="521"/>
      <c r="D991" s="497"/>
    </row>
    <row r="992" spans="1:4" x14ac:dyDescent="0.2">
      <c r="A992" s="521">
        <v>43754</v>
      </c>
      <c r="B992" s="497">
        <v>185786.19</v>
      </c>
      <c r="C992" s="521"/>
      <c r="D992" s="497"/>
    </row>
    <row r="993" spans="1:4" x14ac:dyDescent="0.2">
      <c r="A993" s="521">
        <v>43755</v>
      </c>
      <c r="B993" s="497">
        <v>160581.73000000001</v>
      </c>
      <c r="C993" s="521"/>
      <c r="D993" s="497"/>
    </row>
    <row r="994" spans="1:4" x14ac:dyDescent="0.2">
      <c r="A994" s="521">
        <v>43756</v>
      </c>
      <c r="B994" s="497">
        <v>160581.73000000001</v>
      </c>
      <c r="C994" s="521"/>
      <c r="D994" s="497"/>
    </row>
    <row r="995" spans="1:4" x14ac:dyDescent="0.2">
      <c r="A995" s="521">
        <v>43759</v>
      </c>
      <c r="B995" s="497">
        <v>160581.73000000001</v>
      </c>
      <c r="C995" s="521"/>
      <c r="D995" s="497"/>
    </row>
    <row r="996" spans="1:4" x14ac:dyDescent="0.2">
      <c r="A996" s="521">
        <v>43760</v>
      </c>
      <c r="B996" s="497">
        <v>160581.73000000001</v>
      </c>
      <c r="C996" s="521"/>
      <c r="D996" s="497"/>
    </row>
    <row r="997" spans="1:4" x14ac:dyDescent="0.2">
      <c r="A997" s="521">
        <v>43761</v>
      </c>
      <c r="B997" s="497">
        <v>171996.42</v>
      </c>
      <c r="C997" s="521"/>
      <c r="D997" s="497"/>
    </row>
    <row r="998" spans="1:4" x14ac:dyDescent="0.2">
      <c r="A998" s="521">
        <v>43762</v>
      </c>
      <c r="B998" s="497">
        <v>167352.24</v>
      </c>
      <c r="C998" s="521"/>
      <c r="D998" s="497"/>
    </row>
    <row r="999" spans="1:4" x14ac:dyDescent="0.2">
      <c r="A999" s="521">
        <v>43763</v>
      </c>
      <c r="B999" s="497">
        <v>166766.24</v>
      </c>
      <c r="C999" s="521"/>
      <c r="D999" s="497"/>
    </row>
    <row r="1000" spans="1:4" x14ac:dyDescent="0.2">
      <c r="A1000" s="521">
        <v>43766</v>
      </c>
      <c r="B1000" s="557">
        <v>129051.26</v>
      </c>
      <c r="C1000" s="521"/>
      <c r="D1000" s="497"/>
    </row>
    <row r="1001" spans="1:4" x14ac:dyDescent="0.2">
      <c r="A1001" s="521">
        <v>43767</v>
      </c>
      <c r="B1001" s="497">
        <v>132306.64000000001</v>
      </c>
      <c r="C1001" s="521"/>
      <c r="D1001" s="497"/>
    </row>
    <row r="1002" spans="1:4" x14ac:dyDescent="0.2">
      <c r="A1002" s="521">
        <v>43768</v>
      </c>
      <c r="B1002" s="497">
        <v>181475.08</v>
      </c>
      <c r="C1002" s="521"/>
      <c r="D1002" s="497"/>
    </row>
    <row r="1003" spans="1:4" x14ac:dyDescent="0.2">
      <c r="A1003" s="521">
        <v>43769</v>
      </c>
      <c r="B1003" s="497">
        <v>169335.94</v>
      </c>
      <c r="C1003" s="521"/>
      <c r="D1003" s="497"/>
    </row>
    <row r="1004" spans="1:4" x14ac:dyDescent="0.2">
      <c r="A1004" s="521">
        <v>43770</v>
      </c>
      <c r="B1004" s="497">
        <v>171521.13</v>
      </c>
      <c r="C1004" s="521"/>
      <c r="D1004" s="497"/>
    </row>
    <row r="1005" spans="1:4" x14ac:dyDescent="0.2">
      <c r="A1005" s="521">
        <v>43773</v>
      </c>
      <c r="B1005" s="497">
        <v>171521</v>
      </c>
      <c r="C1005" s="521"/>
      <c r="D1005" s="497"/>
    </row>
    <row r="1006" spans="1:4" x14ac:dyDescent="0.2">
      <c r="A1006" s="521">
        <v>43774</v>
      </c>
      <c r="B1006" s="497">
        <v>171521</v>
      </c>
      <c r="C1006" s="521"/>
      <c r="D1006" s="497"/>
    </row>
    <row r="1007" spans="1:4" x14ac:dyDescent="0.2">
      <c r="A1007" s="521">
        <v>43775</v>
      </c>
      <c r="B1007" s="497">
        <v>201934.13</v>
      </c>
      <c r="C1007" s="521"/>
      <c r="D1007" s="497"/>
    </row>
    <row r="1008" spans="1:4" x14ac:dyDescent="0.2">
      <c r="A1008" s="521">
        <v>43776</v>
      </c>
      <c r="B1008" s="497">
        <v>198457.3</v>
      </c>
      <c r="C1008" s="521"/>
      <c r="D1008" s="497"/>
    </row>
    <row r="1009" spans="1:4" x14ac:dyDescent="0.2">
      <c r="A1009" s="521">
        <v>43777</v>
      </c>
      <c r="B1009" s="497">
        <v>198457</v>
      </c>
      <c r="C1009" s="521"/>
      <c r="D1009" s="497"/>
    </row>
    <row r="1010" spans="1:4" x14ac:dyDescent="0.2">
      <c r="A1010" s="521">
        <v>43780</v>
      </c>
      <c r="B1010" s="497">
        <v>164046.53</v>
      </c>
      <c r="C1010" s="521"/>
      <c r="D1010" s="497"/>
    </row>
    <row r="1011" spans="1:4" x14ac:dyDescent="0.2">
      <c r="A1011" s="521">
        <v>43781</v>
      </c>
      <c r="B1011" s="497">
        <v>164047</v>
      </c>
      <c r="C1011" s="521"/>
      <c r="D1011" s="497"/>
    </row>
    <row r="1012" spans="1:4" x14ac:dyDescent="0.2">
      <c r="A1012" s="521">
        <v>43782</v>
      </c>
      <c r="B1012" s="497">
        <v>198779.19</v>
      </c>
      <c r="C1012" s="521"/>
      <c r="D1012" s="497"/>
    </row>
    <row r="1013" spans="1:4" x14ac:dyDescent="0.2">
      <c r="A1013" s="521">
        <v>43783</v>
      </c>
      <c r="B1013" s="497">
        <v>188221.13</v>
      </c>
      <c r="C1013" s="521"/>
      <c r="D1013" s="497"/>
    </row>
    <row r="1014" spans="1:4" x14ac:dyDescent="0.2">
      <c r="A1014" s="521">
        <v>43784</v>
      </c>
      <c r="B1014" s="497">
        <v>190279.89</v>
      </c>
      <c r="C1014" s="521"/>
      <c r="D1014" s="497"/>
    </row>
    <row r="1015" spans="1:4" x14ac:dyDescent="0.2">
      <c r="A1015" s="521">
        <v>43787</v>
      </c>
      <c r="B1015" s="497">
        <v>190179.89</v>
      </c>
      <c r="C1015" s="521"/>
      <c r="D1015" s="497"/>
    </row>
    <row r="1016" spans="1:4" x14ac:dyDescent="0.2">
      <c r="A1016" s="521">
        <v>43788</v>
      </c>
      <c r="B1016" s="497">
        <v>190180</v>
      </c>
      <c r="C1016" s="521"/>
      <c r="D1016" s="497"/>
    </row>
    <row r="1017" spans="1:4" x14ac:dyDescent="0.2">
      <c r="A1017" s="521">
        <v>43789</v>
      </c>
      <c r="B1017" s="497">
        <v>190180</v>
      </c>
      <c r="C1017" s="521"/>
      <c r="D1017" s="497"/>
    </row>
    <row r="1018" spans="1:4" x14ac:dyDescent="0.2">
      <c r="A1018" s="521">
        <v>43790</v>
      </c>
      <c r="B1018" s="497">
        <v>188919.3</v>
      </c>
      <c r="C1018" s="521"/>
      <c r="D1018" s="497"/>
    </row>
    <row r="1019" spans="1:4" x14ac:dyDescent="0.2">
      <c r="A1019" s="521">
        <v>43791</v>
      </c>
      <c r="B1019" s="497">
        <v>188919</v>
      </c>
      <c r="C1019" s="521"/>
      <c r="D1019" s="497"/>
    </row>
    <row r="1020" spans="1:4" x14ac:dyDescent="0.2">
      <c r="A1020" s="521">
        <v>43794</v>
      </c>
      <c r="B1020" s="497">
        <v>153349.64000000001</v>
      </c>
      <c r="C1020" s="521"/>
      <c r="D1020" s="497"/>
    </row>
    <row r="1021" spans="1:4" x14ac:dyDescent="0.2">
      <c r="A1021" s="521">
        <v>43795</v>
      </c>
      <c r="B1021" s="497">
        <v>153226.64000000001</v>
      </c>
      <c r="C1021" s="521"/>
      <c r="D1021" s="497"/>
    </row>
    <row r="1022" spans="1:4" x14ac:dyDescent="0.2">
      <c r="A1022" s="521">
        <v>43796</v>
      </c>
      <c r="B1022" s="497">
        <v>154369.64000000001</v>
      </c>
      <c r="C1022" s="521"/>
      <c r="D1022" s="497"/>
    </row>
    <row r="1023" spans="1:4" x14ac:dyDescent="0.2">
      <c r="A1023" s="521">
        <v>43797</v>
      </c>
      <c r="B1023" s="497">
        <v>154370</v>
      </c>
      <c r="C1023" s="521"/>
      <c r="D1023" s="497"/>
    </row>
    <row r="1024" spans="1:4" x14ac:dyDescent="0.2">
      <c r="A1024" s="521">
        <v>43798</v>
      </c>
      <c r="B1024" s="497">
        <v>237011.17</v>
      </c>
      <c r="C1024" s="521"/>
      <c r="D1024" s="497"/>
    </row>
    <row r="1025" spans="1:4" x14ac:dyDescent="0.2">
      <c r="A1025" s="521">
        <v>43801</v>
      </c>
      <c r="B1025" s="497">
        <v>237011</v>
      </c>
      <c r="C1025" s="521"/>
      <c r="D1025" s="497"/>
    </row>
    <row r="1026" spans="1:4" x14ac:dyDescent="0.2">
      <c r="A1026" s="521">
        <v>43802</v>
      </c>
      <c r="B1026" s="497">
        <v>237011</v>
      </c>
      <c r="C1026" s="521"/>
      <c r="D1026" s="497"/>
    </row>
    <row r="1027" spans="1:4" x14ac:dyDescent="0.2">
      <c r="A1027" s="521">
        <v>43803</v>
      </c>
      <c r="B1027" s="497">
        <v>237011</v>
      </c>
      <c r="C1027" s="521"/>
      <c r="D1027" s="497"/>
    </row>
    <row r="1028" spans="1:4" x14ac:dyDescent="0.2">
      <c r="A1028" s="521">
        <v>43804</v>
      </c>
      <c r="B1028" s="497">
        <v>229967.75</v>
      </c>
      <c r="C1028" s="521"/>
      <c r="D1028" s="497"/>
    </row>
    <row r="1029" spans="1:4" x14ac:dyDescent="0.2">
      <c r="A1029" s="521">
        <v>43805</v>
      </c>
      <c r="B1029" s="497">
        <v>229968</v>
      </c>
      <c r="C1029" s="521"/>
      <c r="D1029" s="497"/>
    </row>
    <row r="1030" spans="1:4" x14ac:dyDescent="0.2">
      <c r="A1030" s="521">
        <v>43808</v>
      </c>
      <c r="B1030" s="497">
        <v>193352.99</v>
      </c>
      <c r="C1030" s="521"/>
      <c r="D1030" s="497"/>
    </row>
    <row r="1031" spans="1:4" x14ac:dyDescent="0.2">
      <c r="A1031" s="521">
        <v>43809</v>
      </c>
      <c r="B1031" s="497">
        <v>193629.99</v>
      </c>
      <c r="C1031" s="521"/>
      <c r="D1031" s="497"/>
    </row>
    <row r="1032" spans="1:4" x14ac:dyDescent="0.2">
      <c r="A1032" s="521">
        <v>43810</v>
      </c>
      <c r="B1032" s="497">
        <v>193630</v>
      </c>
      <c r="C1032" s="521"/>
      <c r="D1032" s="497"/>
    </row>
    <row r="1033" spans="1:4" x14ac:dyDescent="0.2">
      <c r="A1033" s="521">
        <v>43811</v>
      </c>
      <c r="B1033" s="497">
        <v>193945</v>
      </c>
      <c r="C1033" s="521"/>
      <c r="D1033" s="497"/>
    </row>
    <row r="1034" spans="1:4" x14ac:dyDescent="0.2">
      <c r="A1034" s="521">
        <v>43812</v>
      </c>
      <c r="B1034" s="497">
        <v>196370.92</v>
      </c>
      <c r="C1034" s="521"/>
      <c r="D1034" s="497"/>
    </row>
    <row r="1035" spans="1:4" x14ac:dyDescent="0.2">
      <c r="A1035" s="521">
        <v>43815</v>
      </c>
      <c r="B1035" s="497">
        <v>196370.92</v>
      </c>
      <c r="C1035" s="521"/>
      <c r="D1035" s="497"/>
    </row>
    <row r="1036" spans="1:4" x14ac:dyDescent="0.2">
      <c r="A1036" s="521">
        <v>43816</v>
      </c>
      <c r="B1036" s="497">
        <v>196370.92</v>
      </c>
      <c r="C1036" s="521"/>
      <c r="D1036" s="497"/>
    </row>
    <row r="1037" spans="1:4" x14ac:dyDescent="0.2">
      <c r="A1037" s="521">
        <v>43817</v>
      </c>
      <c r="B1037" s="497">
        <v>196370.92</v>
      </c>
      <c r="C1037" s="521"/>
      <c r="D1037" s="497"/>
    </row>
    <row r="1038" spans="1:4" x14ac:dyDescent="0.2">
      <c r="A1038" s="521">
        <v>43818</v>
      </c>
      <c r="B1038" s="497">
        <v>194997.56</v>
      </c>
      <c r="C1038" s="521"/>
      <c r="D1038" s="497"/>
    </row>
    <row r="1039" spans="1:4" x14ac:dyDescent="0.2">
      <c r="A1039" s="521">
        <v>43819</v>
      </c>
      <c r="B1039" s="497">
        <v>194998</v>
      </c>
      <c r="C1039" s="521"/>
      <c r="D1039" s="497"/>
    </row>
    <row r="1040" spans="1:4" x14ac:dyDescent="0.2">
      <c r="A1040" s="521">
        <v>43822</v>
      </c>
      <c r="B1040" s="497">
        <v>158280.26999999999</v>
      </c>
      <c r="C1040" s="521"/>
      <c r="D1040" s="497"/>
    </row>
    <row r="1041" spans="1:4" x14ac:dyDescent="0.2">
      <c r="A1041" s="521">
        <v>43823</v>
      </c>
      <c r="B1041" s="497">
        <v>163840.26999999999</v>
      </c>
      <c r="C1041" s="521"/>
      <c r="D1041" s="497"/>
    </row>
    <row r="1042" spans="1:4" x14ac:dyDescent="0.2">
      <c r="A1042" s="521">
        <v>43824</v>
      </c>
      <c r="B1042" s="497">
        <v>163840</v>
      </c>
      <c r="C1042" s="521"/>
      <c r="D1042" s="497"/>
    </row>
    <row r="1043" spans="1:4" x14ac:dyDescent="0.2">
      <c r="A1043" s="521">
        <v>43825</v>
      </c>
      <c r="B1043" s="497">
        <v>213174.46</v>
      </c>
      <c r="C1043" s="521"/>
      <c r="D1043" s="497"/>
    </row>
    <row r="1044" spans="1:4" x14ac:dyDescent="0.2">
      <c r="A1044" s="521">
        <v>43826</v>
      </c>
      <c r="B1044" s="497">
        <v>212851.46</v>
      </c>
      <c r="C1044" s="521"/>
      <c r="D1044" s="497"/>
    </row>
    <row r="1045" spans="1:4" x14ac:dyDescent="0.2">
      <c r="A1045" s="521">
        <v>43829</v>
      </c>
      <c r="B1045" s="497">
        <v>212221.74</v>
      </c>
      <c r="C1045" s="521"/>
      <c r="D1045" s="497"/>
    </row>
    <row r="1046" spans="1:4" x14ac:dyDescent="0.2">
      <c r="A1046" s="521">
        <v>43830</v>
      </c>
      <c r="B1046" s="497">
        <v>189055.83</v>
      </c>
      <c r="C1046" s="521"/>
      <c r="D1046" s="497"/>
    </row>
    <row r="1047" spans="1:4" ht="15" x14ac:dyDescent="0.25">
      <c r="A1047" s="773">
        <v>43831</v>
      </c>
      <c r="B1047" s="497">
        <v>189056</v>
      </c>
      <c r="C1047" s="521"/>
      <c r="D1047" s="497"/>
    </row>
    <row r="1048" spans="1:4" ht="15" x14ac:dyDescent="0.25">
      <c r="A1048" s="773">
        <v>43832</v>
      </c>
      <c r="B1048" s="497">
        <v>206403.28</v>
      </c>
      <c r="C1048" s="521"/>
      <c r="D1048" s="497"/>
    </row>
    <row r="1049" spans="1:4" ht="15" x14ac:dyDescent="0.25">
      <c r="A1049" s="773">
        <v>43833</v>
      </c>
      <c r="B1049" s="497">
        <v>206217.28</v>
      </c>
      <c r="C1049" s="521"/>
      <c r="D1049" s="497"/>
    </row>
    <row r="1050" spans="1:4" ht="15" x14ac:dyDescent="0.25">
      <c r="A1050" s="773">
        <v>43836</v>
      </c>
      <c r="B1050" s="497">
        <v>206129.28</v>
      </c>
      <c r="C1050" s="521"/>
      <c r="D1050" s="497"/>
    </row>
    <row r="1051" spans="1:4" ht="15" x14ac:dyDescent="0.25">
      <c r="A1051" s="773">
        <v>43837</v>
      </c>
      <c r="B1051" s="497">
        <v>172858.39</v>
      </c>
      <c r="C1051" s="521"/>
      <c r="D1051" s="497"/>
    </row>
    <row r="1052" spans="1:4" ht="15" x14ac:dyDescent="0.25">
      <c r="A1052" s="773">
        <v>43838</v>
      </c>
      <c r="B1052" s="497">
        <v>172585</v>
      </c>
      <c r="C1052" s="521"/>
      <c r="D1052" s="497"/>
    </row>
    <row r="1053" spans="1:4" ht="15" x14ac:dyDescent="0.25">
      <c r="A1053" s="773">
        <v>43839</v>
      </c>
      <c r="B1053" s="497">
        <v>184752.38</v>
      </c>
      <c r="C1053" s="521"/>
      <c r="D1053" s="497"/>
    </row>
    <row r="1054" spans="1:4" ht="15" x14ac:dyDescent="0.25">
      <c r="A1054" s="773">
        <v>43840</v>
      </c>
      <c r="B1054" s="497">
        <v>199849.93</v>
      </c>
      <c r="C1054" s="521"/>
      <c r="D1054" s="497"/>
    </row>
    <row r="1055" spans="1:4" ht="15" x14ac:dyDescent="0.25">
      <c r="A1055" s="773">
        <v>43843</v>
      </c>
      <c r="B1055" s="497">
        <v>199850</v>
      </c>
      <c r="C1055" s="521"/>
      <c r="D1055" s="497"/>
    </row>
    <row r="1056" spans="1:4" ht="15" x14ac:dyDescent="0.25">
      <c r="A1056" s="773">
        <v>43844</v>
      </c>
      <c r="B1056" s="497">
        <v>199850</v>
      </c>
      <c r="C1056" s="521"/>
      <c r="D1056" s="497"/>
    </row>
    <row r="1057" spans="1:4" ht="15" x14ac:dyDescent="0.25">
      <c r="A1057" s="773">
        <v>43845</v>
      </c>
      <c r="B1057" s="497">
        <v>199942.09</v>
      </c>
      <c r="C1057" s="521"/>
      <c r="D1057" s="497"/>
    </row>
    <row r="1058" spans="1:4" ht="15" x14ac:dyDescent="0.25">
      <c r="A1058" s="773">
        <v>43846</v>
      </c>
      <c r="B1058" s="497">
        <v>197586.14</v>
      </c>
      <c r="C1058" s="521"/>
      <c r="D1058" s="497"/>
    </row>
    <row r="1059" spans="1:4" ht="15" x14ac:dyDescent="0.25">
      <c r="A1059" s="773">
        <v>43847</v>
      </c>
      <c r="B1059" s="497">
        <v>197586</v>
      </c>
      <c r="C1059" s="521"/>
      <c r="D1059" s="497"/>
    </row>
    <row r="1060" spans="1:4" ht="15" x14ac:dyDescent="0.25">
      <c r="A1060" s="773">
        <v>43850</v>
      </c>
      <c r="B1060" s="497">
        <v>197586</v>
      </c>
      <c r="C1060" s="521"/>
      <c r="D1060" s="497"/>
    </row>
    <row r="1061" spans="1:4" ht="15" x14ac:dyDescent="0.25">
      <c r="A1061" s="773">
        <v>43851</v>
      </c>
      <c r="B1061" s="497">
        <v>160213.23000000001</v>
      </c>
      <c r="C1061" s="521"/>
      <c r="D1061" s="716"/>
    </row>
    <row r="1062" spans="1:4" ht="15" x14ac:dyDescent="0.25">
      <c r="A1062" s="773">
        <v>43852</v>
      </c>
      <c r="B1062" s="497">
        <v>160213</v>
      </c>
      <c r="C1062" s="521"/>
      <c r="D1062" s="497"/>
    </row>
    <row r="1063" spans="1:4" ht="15" x14ac:dyDescent="0.25">
      <c r="A1063" s="773">
        <v>43853</v>
      </c>
      <c r="B1063" s="497">
        <v>178835.97</v>
      </c>
      <c r="C1063" s="521"/>
      <c r="D1063" s="497"/>
    </row>
    <row r="1064" spans="1:4" ht="15" x14ac:dyDescent="0.25">
      <c r="A1064" s="773">
        <v>43854</v>
      </c>
      <c r="B1064" s="497">
        <v>177774.06</v>
      </c>
      <c r="C1064" s="521"/>
      <c r="D1064" s="497"/>
    </row>
    <row r="1065" spans="1:4" ht="15" x14ac:dyDescent="0.25">
      <c r="A1065" s="773">
        <v>43857</v>
      </c>
      <c r="B1065" s="497">
        <v>177774</v>
      </c>
      <c r="C1065" s="521"/>
      <c r="D1065" s="497"/>
    </row>
    <row r="1066" spans="1:4" ht="15" x14ac:dyDescent="0.25">
      <c r="A1066" s="773">
        <v>43858</v>
      </c>
      <c r="B1066" s="497">
        <v>177774</v>
      </c>
      <c r="C1066" s="521"/>
      <c r="D1066" s="497"/>
    </row>
    <row r="1067" spans="1:4" ht="15" x14ac:dyDescent="0.25">
      <c r="A1067" s="773">
        <v>43859</v>
      </c>
      <c r="B1067" s="497">
        <v>253459.84</v>
      </c>
      <c r="C1067" s="521"/>
      <c r="D1067" s="497"/>
    </row>
    <row r="1068" spans="1:4" ht="15" x14ac:dyDescent="0.25">
      <c r="A1068" s="773">
        <v>43860</v>
      </c>
      <c r="B1068" s="497">
        <v>235320.22</v>
      </c>
      <c r="C1068" s="521"/>
      <c r="D1068" s="497"/>
    </row>
    <row r="1069" spans="1:4" ht="15" x14ac:dyDescent="0.25">
      <c r="A1069" s="773">
        <v>43861</v>
      </c>
      <c r="B1069" s="497">
        <v>235320</v>
      </c>
      <c r="C1069" s="521"/>
      <c r="D1069" s="497"/>
    </row>
    <row r="1070" spans="1:4" ht="15" x14ac:dyDescent="0.25">
      <c r="A1070" s="773">
        <v>43864</v>
      </c>
      <c r="B1070" s="497">
        <v>198483.96</v>
      </c>
      <c r="C1070" s="521"/>
      <c r="D1070" s="497"/>
    </row>
    <row r="1071" spans="1:4" ht="15" x14ac:dyDescent="0.25">
      <c r="A1071" s="773">
        <v>43865</v>
      </c>
      <c r="B1071" s="497">
        <v>212819.68</v>
      </c>
      <c r="C1071" s="521"/>
      <c r="D1071" s="497"/>
    </row>
    <row r="1072" spans="1:4" ht="15" x14ac:dyDescent="0.25">
      <c r="A1072" s="773">
        <v>43866</v>
      </c>
      <c r="B1072" s="497">
        <v>212820</v>
      </c>
      <c r="C1072" s="521"/>
      <c r="D1072" s="497"/>
    </row>
    <row r="1073" spans="1:4" ht="15" x14ac:dyDescent="0.25">
      <c r="A1073" s="773">
        <v>43867</v>
      </c>
      <c r="B1073" s="497">
        <v>212584.24</v>
      </c>
      <c r="C1073" s="521"/>
      <c r="D1073" s="497"/>
    </row>
    <row r="1074" spans="1:4" ht="15" x14ac:dyDescent="0.25">
      <c r="A1074" s="773">
        <v>43868</v>
      </c>
      <c r="B1074" s="497">
        <v>270092.23</v>
      </c>
      <c r="C1074" s="521"/>
      <c r="D1074" s="497"/>
    </row>
    <row r="1075" spans="1:4" ht="15" x14ac:dyDescent="0.25">
      <c r="A1075" s="773">
        <v>43871</v>
      </c>
      <c r="B1075" s="497">
        <v>270092</v>
      </c>
      <c r="C1075" s="521"/>
      <c r="D1075" s="497"/>
    </row>
    <row r="1076" spans="1:4" ht="15" x14ac:dyDescent="0.25">
      <c r="A1076" s="773">
        <v>43872</v>
      </c>
      <c r="B1076" s="497">
        <v>273133.13</v>
      </c>
      <c r="C1076" s="521"/>
      <c r="D1076" s="497"/>
    </row>
    <row r="1077" spans="1:4" ht="15" x14ac:dyDescent="0.25">
      <c r="A1077" s="773">
        <v>43873</v>
      </c>
      <c r="B1077" s="497">
        <v>273133</v>
      </c>
      <c r="C1077" s="521"/>
      <c r="D1077" s="497"/>
    </row>
    <row r="1078" spans="1:4" ht="15" x14ac:dyDescent="0.25">
      <c r="A1078" s="773">
        <v>43874</v>
      </c>
      <c r="B1078" s="497">
        <v>280484.09000000003</v>
      </c>
      <c r="C1078" s="521"/>
      <c r="D1078" s="497"/>
    </row>
    <row r="1079" spans="1:4" ht="15" x14ac:dyDescent="0.25">
      <c r="A1079" s="773">
        <v>43875</v>
      </c>
      <c r="B1079" s="497">
        <v>279225.67</v>
      </c>
      <c r="C1079" s="521"/>
      <c r="D1079" s="497"/>
    </row>
    <row r="1080" spans="1:4" ht="15" x14ac:dyDescent="0.25">
      <c r="A1080" s="773">
        <v>43878</v>
      </c>
      <c r="B1080" s="497">
        <v>279226</v>
      </c>
      <c r="C1080" s="521"/>
      <c r="D1080" s="497"/>
    </row>
    <row r="1081" spans="1:4" ht="15" x14ac:dyDescent="0.25">
      <c r="A1081" s="773">
        <v>43879</v>
      </c>
      <c r="B1081" s="497">
        <v>241740.68</v>
      </c>
      <c r="C1081" s="521"/>
      <c r="D1081" s="497"/>
    </row>
    <row r="1082" spans="1:4" ht="15" x14ac:dyDescent="0.25">
      <c r="A1082" s="773">
        <v>43880</v>
      </c>
      <c r="B1082" s="497">
        <v>268478</v>
      </c>
      <c r="C1082" s="521"/>
      <c r="D1082" s="497"/>
    </row>
    <row r="1083" spans="1:4" ht="15" x14ac:dyDescent="0.25">
      <c r="A1083" s="773">
        <v>43881</v>
      </c>
      <c r="B1083" s="497">
        <v>258524.93</v>
      </c>
      <c r="C1083" s="521"/>
      <c r="D1083" s="497"/>
    </row>
    <row r="1084" spans="1:4" ht="15" x14ac:dyDescent="0.25">
      <c r="A1084" s="773">
        <v>43882</v>
      </c>
      <c r="B1084" s="497">
        <v>277316.53000000003</v>
      </c>
      <c r="C1084" s="521"/>
      <c r="D1084" s="497"/>
    </row>
    <row r="1085" spans="1:4" ht="15" x14ac:dyDescent="0.25">
      <c r="A1085" s="773">
        <v>43885</v>
      </c>
      <c r="B1085" s="497">
        <v>277317</v>
      </c>
      <c r="C1085" s="521"/>
      <c r="D1085" s="497"/>
    </row>
    <row r="1086" spans="1:4" ht="15" x14ac:dyDescent="0.25">
      <c r="A1086" s="773">
        <v>43886</v>
      </c>
      <c r="B1086" s="497">
        <v>279881.78999999998</v>
      </c>
      <c r="C1086" s="521"/>
      <c r="D1086" s="497"/>
    </row>
    <row r="1087" spans="1:4" ht="15" x14ac:dyDescent="0.25">
      <c r="A1087" s="773">
        <v>43887</v>
      </c>
      <c r="B1087" s="497">
        <v>279882</v>
      </c>
      <c r="C1087" s="521"/>
      <c r="D1087" s="497"/>
    </row>
    <row r="1088" spans="1:4" ht="15" x14ac:dyDescent="0.25">
      <c r="A1088" s="773">
        <v>43888</v>
      </c>
      <c r="B1088" s="497">
        <v>270773.33</v>
      </c>
      <c r="C1088" s="521"/>
      <c r="D1088" s="497"/>
    </row>
    <row r="1089" spans="1:4" ht="15" x14ac:dyDescent="0.25">
      <c r="A1089" s="773">
        <v>43889</v>
      </c>
      <c r="B1089" s="497">
        <v>306133.57</v>
      </c>
      <c r="C1089" s="521"/>
      <c r="D1089" s="716"/>
    </row>
    <row r="1090" spans="1:4" ht="15" x14ac:dyDescent="0.25">
      <c r="A1090" s="773">
        <v>43892</v>
      </c>
      <c r="B1090" s="497">
        <v>267343.68</v>
      </c>
      <c r="C1090" s="521"/>
      <c r="D1090" s="716"/>
    </row>
    <row r="1091" spans="1:4" ht="15" x14ac:dyDescent="0.25">
      <c r="A1091" s="773">
        <v>43893</v>
      </c>
      <c r="B1091" s="497">
        <v>267157.68</v>
      </c>
      <c r="C1091" s="521"/>
      <c r="D1091" s="716"/>
    </row>
    <row r="1092" spans="1:4" ht="15" x14ac:dyDescent="0.25">
      <c r="A1092" s="773">
        <v>43894</v>
      </c>
      <c r="B1092" s="497">
        <v>267157.68</v>
      </c>
      <c r="C1092" s="521"/>
      <c r="D1092" s="716"/>
    </row>
    <row r="1093" spans="1:4" ht="15" x14ac:dyDescent="0.25">
      <c r="A1093" s="773">
        <v>43895</v>
      </c>
      <c r="B1093" s="497">
        <v>264690.95</v>
      </c>
      <c r="C1093" s="521"/>
      <c r="D1093" s="716"/>
    </row>
    <row r="1094" spans="1:4" ht="15" x14ac:dyDescent="0.25">
      <c r="A1094" s="773">
        <v>43896</v>
      </c>
      <c r="B1094" s="497">
        <v>264495.03999999998</v>
      </c>
      <c r="C1094" s="521"/>
      <c r="D1094" s="716"/>
    </row>
    <row r="1095" spans="1:4" ht="15" x14ac:dyDescent="0.25">
      <c r="A1095" s="773">
        <v>43899</v>
      </c>
      <c r="B1095" s="497">
        <v>264495.03999999998</v>
      </c>
      <c r="C1095" s="521"/>
      <c r="D1095" s="716"/>
    </row>
    <row r="1096" spans="1:4" ht="15" x14ac:dyDescent="0.25">
      <c r="A1096" s="773">
        <v>43900</v>
      </c>
      <c r="B1096" s="497">
        <v>267283.63</v>
      </c>
      <c r="C1096" s="521"/>
      <c r="D1096" s="716"/>
    </row>
    <row r="1097" spans="1:4" ht="15" x14ac:dyDescent="0.25">
      <c r="A1097" s="773">
        <v>43901</v>
      </c>
      <c r="B1097" s="497">
        <v>267283.63</v>
      </c>
      <c r="C1097" s="521"/>
      <c r="D1097" s="716"/>
    </row>
    <row r="1098" spans="1:4" ht="15" x14ac:dyDescent="0.25">
      <c r="A1098" s="773">
        <v>43902</v>
      </c>
      <c r="B1098" s="497">
        <v>259537.69</v>
      </c>
      <c r="C1098" s="521"/>
      <c r="D1098" s="716"/>
    </row>
    <row r="1099" spans="1:4" ht="15" x14ac:dyDescent="0.25">
      <c r="A1099" s="773">
        <v>43903</v>
      </c>
      <c r="B1099" s="497">
        <v>259645.65</v>
      </c>
      <c r="C1099" s="521"/>
      <c r="D1099" s="716"/>
    </row>
    <row r="1100" spans="1:4" ht="15" x14ac:dyDescent="0.25">
      <c r="A1100" s="773">
        <v>43906</v>
      </c>
      <c r="B1100" s="497">
        <v>279221.03000000003</v>
      </c>
      <c r="C1100" s="521"/>
      <c r="D1100" s="716"/>
    </row>
    <row r="1101" spans="1:4" ht="15" x14ac:dyDescent="0.25">
      <c r="A1101" s="773">
        <v>43907</v>
      </c>
      <c r="B1101" s="497">
        <v>232150.36</v>
      </c>
      <c r="C1101" s="521"/>
      <c r="D1101" s="716"/>
    </row>
    <row r="1102" spans="1:4" ht="15" x14ac:dyDescent="0.25">
      <c r="A1102" s="773">
        <v>43908</v>
      </c>
      <c r="B1102" s="497">
        <v>274274.51</v>
      </c>
      <c r="C1102" s="521"/>
      <c r="D1102" s="716"/>
    </row>
    <row r="1103" spans="1:4" ht="15" x14ac:dyDescent="0.25">
      <c r="A1103" s="773">
        <v>43909</v>
      </c>
      <c r="B1103" s="497">
        <v>276629.48</v>
      </c>
      <c r="C1103" s="521"/>
      <c r="D1103" s="716"/>
    </row>
    <row r="1104" spans="1:4" ht="15" x14ac:dyDescent="0.25">
      <c r="A1104" s="773">
        <v>43910</v>
      </c>
      <c r="B1104" s="497">
        <v>276629.48</v>
      </c>
      <c r="C1104" s="521"/>
      <c r="D1104" s="716"/>
    </row>
    <row r="1105" spans="1:4" ht="15" x14ac:dyDescent="0.25">
      <c r="A1105" s="773">
        <v>43913</v>
      </c>
      <c r="B1105" s="497">
        <v>292626.55</v>
      </c>
      <c r="C1105" s="521"/>
      <c r="D1105" s="716"/>
    </row>
    <row r="1106" spans="1:4" ht="15" x14ac:dyDescent="0.25">
      <c r="A1106" s="773">
        <v>43914</v>
      </c>
      <c r="B1106" s="497">
        <v>292626.55</v>
      </c>
      <c r="C1106" s="521"/>
      <c r="D1106" s="716"/>
    </row>
    <row r="1107" spans="1:4" ht="15" x14ac:dyDescent="0.25">
      <c r="A1107" s="773">
        <v>43915</v>
      </c>
      <c r="B1107" s="497">
        <v>292626.55</v>
      </c>
      <c r="C1107" s="521"/>
      <c r="D1107" s="716"/>
    </row>
    <row r="1108" spans="1:4" ht="15" x14ac:dyDescent="0.25">
      <c r="A1108" s="773">
        <v>43916</v>
      </c>
      <c r="B1108" s="497">
        <v>292626.55</v>
      </c>
      <c r="C1108" s="521"/>
      <c r="D1108" s="716"/>
    </row>
    <row r="1109" spans="1:4" ht="15" x14ac:dyDescent="0.25">
      <c r="A1109" s="773">
        <v>43917</v>
      </c>
      <c r="B1109" s="497">
        <v>292582.55</v>
      </c>
      <c r="C1109" s="521"/>
      <c r="D1109" s="716"/>
    </row>
    <row r="1110" spans="1:4" ht="15" x14ac:dyDescent="0.25">
      <c r="A1110" s="773">
        <v>43920</v>
      </c>
      <c r="B1110" s="497">
        <v>292582.55</v>
      </c>
      <c r="C1110" s="521"/>
      <c r="D1110" s="716"/>
    </row>
    <row r="1111" spans="1:4" ht="15" x14ac:dyDescent="0.25">
      <c r="A1111" s="773">
        <v>43921</v>
      </c>
      <c r="B1111" s="497">
        <v>292582.55</v>
      </c>
      <c r="C1111" s="521"/>
      <c r="D1111" s="716"/>
    </row>
    <row r="1112" spans="1:4" ht="15" x14ac:dyDescent="0.25">
      <c r="A1112" s="773">
        <v>43922</v>
      </c>
      <c r="B1112" s="497">
        <v>256343.91</v>
      </c>
      <c r="C1112" s="521"/>
      <c r="D1112" s="716"/>
    </row>
    <row r="1113" spans="1:4" ht="15" x14ac:dyDescent="0.25">
      <c r="A1113" s="773">
        <v>43923</v>
      </c>
      <c r="B1113" s="497">
        <v>260066.55</v>
      </c>
      <c r="C1113" s="521"/>
      <c r="D1113" s="716"/>
    </row>
    <row r="1114" spans="1:4" ht="15" x14ac:dyDescent="0.25">
      <c r="A1114" s="773">
        <v>43924</v>
      </c>
      <c r="B1114" s="497">
        <v>259418.64</v>
      </c>
      <c r="C1114" s="521"/>
      <c r="D1114" s="716"/>
    </row>
    <row r="1115" spans="1:4" ht="15" x14ac:dyDescent="0.25">
      <c r="A1115" s="773">
        <v>43927</v>
      </c>
      <c r="B1115" s="497">
        <v>259418.64</v>
      </c>
      <c r="C1115" s="521"/>
      <c r="D1115" s="716"/>
    </row>
    <row r="1116" spans="1:4" ht="15" x14ac:dyDescent="0.25">
      <c r="A1116" s="773">
        <v>43928</v>
      </c>
      <c r="B1116" s="497">
        <v>259418.64</v>
      </c>
      <c r="C1116" s="521"/>
      <c r="D1116" s="716"/>
    </row>
    <row r="1117" spans="1:4" ht="15" x14ac:dyDescent="0.25">
      <c r="A1117" s="773">
        <v>43929</v>
      </c>
      <c r="B1117" s="497">
        <v>259418.64</v>
      </c>
      <c r="C1117" s="521"/>
      <c r="D1117" s="716"/>
    </row>
    <row r="1118" spans="1:4" ht="15" x14ac:dyDescent="0.25">
      <c r="A1118" s="773">
        <v>43930</v>
      </c>
      <c r="B1118" s="497">
        <v>256056.32000000001</v>
      </c>
      <c r="C1118" s="521"/>
      <c r="D1118" s="716"/>
    </row>
    <row r="1119" spans="1:4" ht="15" x14ac:dyDescent="0.25">
      <c r="A1119" s="773">
        <v>43931</v>
      </c>
      <c r="B1119" s="497">
        <v>256056.32000000001</v>
      </c>
      <c r="C1119" s="521"/>
      <c r="D1119" s="716"/>
    </row>
    <row r="1120" spans="1:4" ht="15" x14ac:dyDescent="0.25">
      <c r="A1120" s="773">
        <v>43934</v>
      </c>
      <c r="B1120" s="497">
        <v>256056.32000000001</v>
      </c>
      <c r="C1120" s="521"/>
      <c r="D1120" s="716"/>
    </row>
    <row r="1121" spans="1:4" ht="15" x14ac:dyDescent="0.25">
      <c r="A1121" s="773">
        <v>43935</v>
      </c>
      <c r="B1121" s="497">
        <v>256056.32000000001</v>
      </c>
      <c r="C1121" s="521"/>
      <c r="D1121" s="716"/>
    </row>
    <row r="1122" spans="1:4" ht="15" x14ac:dyDescent="0.25">
      <c r="A1122" s="773">
        <v>43936</v>
      </c>
      <c r="B1122" s="497">
        <v>222877.12</v>
      </c>
      <c r="C1122" s="521"/>
      <c r="D1122" s="716"/>
    </row>
    <row r="1123" spans="1:4" ht="15" x14ac:dyDescent="0.25">
      <c r="A1123" s="773">
        <v>43937</v>
      </c>
      <c r="B1123" s="497">
        <v>222877.12</v>
      </c>
      <c r="C1123" s="521"/>
      <c r="D1123" s="716"/>
    </row>
    <row r="1124" spans="1:4" ht="15" x14ac:dyDescent="0.25">
      <c r="A1124" s="773">
        <v>43938</v>
      </c>
      <c r="B1124" s="497">
        <v>222415.21</v>
      </c>
      <c r="C1124" s="521"/>
      <c r="D1124" s="716"/>
    </row>
    <row r="1125" spans="1:4" ht="15" x14ac:dyDescent="0.25">
      <c r="A1125" s="773">
        <v>43941</v>
      </c>
      <c r="B1125" s="497">
        <v>222415.21</v>
      </c>
      <c r="C1125" s="521"/>
      <c r="D1125" s="716"/>
    </row>
    <row r="1126" spans="1:4" ht="15" x14ac:dyDescent="0.25">
      <c r="A1126" s="773">
        <v>43942</v>
      </c>
      <c r="B1126" s="497">
        <v>222415.21</v>
      </c>
      <c r="C1126" s="521"/>
      <c r="D1126" s="716"/>
    </row>
    <row r="1127" spans="1:4" ht="15" x14ac:dyDescent="0.25">
      <c r="A1127" s="773">
        <v>43943</v>
      </c>
      <c r="B1127" s="497">
        <v>222415.21</v>
      </c>
      <c r="C1127" s="521"/>
      <c r="D1127" s="716"/>
    </row>
    <row r="1128" spans="1:4" ht="15" x14ac:dyDescent="0.25">
      <c r="A1128" s="773">
        <v>43944</v>
      </c>
      <c r="B1128" s="497">
        <v>185658.71</v>
      </c>
      <c r="C1128" s="521"/>
      <c r="D1128" s="716"/>
    </row>
    <row r="1129" spans="1:4" ht="15" x14ac:dyDescent="0.25">
      <c r="A1129" s="773">
        <v>43945</v>
      </c>
      <c r="B1129" s="497">
        <v>185658.71</v>
      </c>
      <c r="C1129" s="521"/>
      <c r="D1129" s="716"/>
    </row>
    <row r="1130" spans="1:4" ht="15" x14ac:dyDescent="0.25">
      <c r="A1130" s="773">
        <v>43948</v>
      </c>
      <c r="B1130" s="497">
        <v>185614.71</v>
      </c>
      <c r="C1130" s="521"/>
      <c r="D1130" s="716"/>
    </row>
    <row r="1131" spans="1:4" ht="15" x14ac:dyDescent="0.25">
      <c r="A1131" s="773">
        <v>43949</v>
      </c>
      <c r="B1131" s="557">
        <v>152434.01999999999</v>
      </c>
      <c r="C1131" s="521"/>
      <c r="D1131" s="557"/>
    </row>
    <row r="1132" spans="1:4" ht="15" x14ac:dyDescent="0.25">
      <c r="A1132" s="773">
        <v>43950</v>
      </c>
      <c r="B1132" s="497">
        <v>152434.01999999999</v>
      </c>
      <c r="C1132" s="521"/>
      <c r="D1132" s="716"/>
    </row>
    <row r="1133" spans="1:4" ht="15" x14ac:dyDescent="0.25">
      <c r="A1133" s="773">
        <v>43951</v>
      </c>
      <c r="B1133" s="497">
        <v>173230.55</v>
      </c>
      <c r="C1133" s="521"/>
      <c r="D1133" s="716"/>
    </row>
    <row r="1134" spans="1:4" ht="15" x14ac:dyDescent="0.25">
      <c r="A1134" s="773">
        <v>43952</v>
      </c>
      <c r="B1134" s="497">
        <f>C1134+D1134</f>
        <v>173492.71000000002</v>
      </c>
      <c r="C1134" s="776">
        <v>172768.64000000001</v>
      </c>
      <c r="D1134" s="777">
        <v>724.07</v>
      </c>
    </row>
    <row r="1135" spans="1:4" ht="15" x14ac:dyDescent="0.25">
      <c r="A1135" s="773">
        <v>43955</v>
      </c>
      <c r="B1135" s="497">
        <f t="shared" ref="B1135:B1198" si="4">C1135+D1135</f>
        <v>173306.64</v>
      </c>
      <c r="C1135" s="776">
        <v>172582.64</v>
      </c>
      <c r="D1135" s="777">
        <v>724</v>
      </c>
    </row>
    <row r="1136" spans="1:4" ht="15" x14ac:dyDescent="0.25">
      <c r="A1136" s="773">
        <v>43956</v>
      </c>
      <c r="B1136" s="497">
        <f t="shared" si="4"/>
        <v>173307</v>
      </c>
      <c r="C1136" s="776">
        <v>172583</v>
      </c>
      <c r="D1136" s="777">
        <f>D1135</f>
        <v>724</v>
      </c>
    </row>
    <row r="1137" spans="1:4" ht="15" x14ac:dyDescent="0.25">
      <c r="A1137" s="773">
        <v>43957</v>
      </c>
      <c r="B1137" s="497">
        <f t="shared" si="4"/>
        <v>173307</v>
      </c>
      <c r="C1137" s="776">
        <v>172583</v>
      </c>
      <c r="D1137" s="777">
        <f t="shared" ref="D1137:D1179" si="5">D1136</f>
        <v>724</v>
      </c>
    </row>
    <row r="1138" spans="1:4" ht="15" x14ac:dyDescent="0.25">
      <c r="A1138" s="773">
        <v>43958</v>
      </c>
      <c r="B1138" s="497">
        <f t="shared" si="4"/>
        <v>173307</v>
      </c>
      <c r="C1138" s="776">
        <v>172583</v>
      </c>
      <c r="D1138" s="777">
        <f t="shared" si="5"/>
        <v>724</v>
      </c>
    </row>
    <row r="1139" spans="1:4" ht="15" x14ac:dyDescent="0.25">
      <c r="A1139" s="773">
        <v>43959</v>
      </c>
      <c r="B1139" s="497">
        <f t="shared" si="4"/>
        <v>385709.68000000005</v>
      </c>
      <c r="C1139" s="776">
        <v>187582.64</v>
      </c>
      <c r="D1139" s="777">
        <v>198127.04</v>
      </c>
    </row>
    <row r="1140" spans="1:4" ht="15" x14ac:dyDescent="0.25">
      <c r="A1140" s="773">
        <v>43962</v>
      </c>
      <c r="B1140" s="497">
        <f t="shared" si="4"/>
        <v>385710.04000000004</v>
      </c>
      <c r="C1140" s="776">
        <v>187583</v>
      </c>
      <c r="D1140" s="777">
        <f t="shared" si="5"/>
        <v>198127.04</v>
      </c>
    </row>
    <row r="1141" spans="1:4" ht="15" x14ac:dyDescent="0.25">
      <c r="A1141" s="773">
        <v>43963</v>
      </c>
      <c r="B1141" s="557">
        <f t="shared" si="4"/>
        <v>385904.98</v>
      </c>
      <c r="C1141" s="776">
        <v>187777.94</v>
      </c>
      <c r="D1141" s="777">
        <f t="shared" si="5"/>
        <v>198127.04</v>
      </c>
    </row>
    <row r="1142" spans="1:4" ht="15" x14ac:dyDescent="0.25">
      <c r="A1142" s="773">
        <v>43964</v>
      </c>
      <c r="B1142" s="497">
        <f t="shared" si="4"/>
        <v>362979.35</v>
      </c>
      <c r="C1142" s="776">
        <v>187778</v>
      </c>
      <c r="D1142" s="777">
        <v>175201.35</v>
      </c>
    </row>
    <row r="1143" spans="1:4" ht="15" x14ac:dyDescent="0.25">
      <c r="A1143" s="773">
        <v>43965</v>
      </c>
      <c r="B1143" s="497">
        <f t="shared" si="4"/>
        <v>362979.35</v>
      </c>
      <c r="C1143" s="776">
        <v>187778</v>
      </c>
      <c r="D1143" s="777">
        <f t="shared" si="5"/>
        <v>175201.35</v>
      </c>
    </row>
    <row r="1144" spans="1:4" ht="15" x14ac:dyDescent="0.25">
      <c r="A1144" s="773">
        <v>43966</v>
      </c>
      <c r="B1144" s="497">
        <f t="shared" si="4"/>
        <v>362624.73</v>
      </c>
      <c r="C1144" s="776">
        <v>187400</v>
      </c>
      <c r="D1144" s="777">
        <v>175224.73</v>
      </c>
    </row>
    <row r="1145" spans="1:4" ht="15" x14ac:dyDescent="0.25">
      <c r="A1145" s="773">
        <v>43969</v>
      </c>
      <c r="B1145" s="497">
        <f t="shared" si="4"/>
        <v>362070.03</v>
      </c>
      <c r="C1145" s="776">
        <v>187400</v>
      </c>
      <c r="D1145" s="777">
        <v>174670.03</v>
      </c>
    </row>
    <row r="1146" spans="1:4" ht="15" x14ac:dyDescent="0.25">
      <c r="A1146" s="773">
        <v>43970</v>
      </c>
      <c r="B1146" s="497">
        <f t="shared" si="4"/>
        <v>352214.86</v>
      </c>
      <c r="C1146" s="776">
        <v>187400</v>
      </c>
      <c r="D1146" s="777">
        <v>164814.85999999999</v>
      </c>
    </row>
    <row r="1147" spans="1:4" ht="15" x14ac:dyDescent="0.25">
      <c r="A1147" s="773">
        <v>43971</v>
      </c>
      <c r="B1147" s="497">
        <f t="shared" si="4"/>
        <v>352214.86</v>
      </c>
      <c r="C1147" s="776">
        <v>187400</v>
      </c>
      <c r="D1147" s="777">
        <f t="shared" si="5"/>
        <v>164814.85999999999</v>
      </c>
    </row>
    <row r="1148" spans="1:4" ht="15" x14ac:dyDescent="0.25">
      <c r="A1148" s="773">
        <v>43972</v>
      </c>
      <c r="B1148" s="497">
        <f t="shared" si="4"/>
        <v>337570.28</v>
      </c>
      <c r="C1148" s="776">
        <v>178152.54</v>
      </c>
      <c r="D1148" s="777">
        <v>159417.74</v>
      </c>
    </row>
    <row r="1149" spans="1:4" ht="15" x14ac:dyDescent="0.25">
      <c r="A1149" s="773">
        <v>43973</v>
      </c>
      <c r="B1149" s="497">
        <f t="shared" si="4"/>
        <v>337570.28</v>
      </c>
      <c r="C1149" s="776">
        <v>178152.54</v>
      </c>
      <c r="D1149" s="777">
        <f t="shared" si="5"/>
        <v>159417.74</v>
      </c>
    </row>
    <row r="1150" spans="1:4" x14ac:dyDescent="0.2">
      <c r="A1150" s="521">
        <v>43976</v>
      </c>
      <c r="B1150" s="497">
        <f t="shared" si="4"/>
        <v>337570.28</v>
      </c>
      <c r="C1150" s="776">
        <v>178152.54</v>
      </c>
      <c r="D1150" s="777">
        <f t="shared" si="5"/>
        <v>159417.74</v>
      </c>
    </row>
    <row r="1151" spans="1:4" x14ac:dyDescent="0.2">
      <c r="A1151" s="521">
        <v>43977</v>
      </c>
      <c r="B1151" s="497">
        <f t="shared" si="4"/>
        <v>337570.28</v>
      </c>
      <c r="C1151" s="776">
        <v>178152.54</v>
      </c>
      <c r="D1151" s="777">
        <f t="shared" si="5"/>
        <v>159417.74</v>
      </c>
    </row>
    <row r="1152" spans="1:4" x14ac:dyDescent="0.2">
      <c r="A1152" s="521">
        <v>43978</v>
      </c>
      <c r="B1152" s="497">
        <f t="shared" si="4"/>
        <v>314828.33999999997</v>
      </c>
      <c r="C1152" s="776">
        <v>178108.54</v>
      </c>
      <c r="D1152" s="777">
        <v>136719.79999999999</v>
      </c>
    </row>
    <row r="1153" spans="1:4" x14ac:dyDescent="0.2">
      <c r="A1153" s="521">
        <v>43979</v>
      </c>
      <c r="B1153" s="497">
        <f t="shared" si="4"/>
        <v>314642.31</v>
      </c>
      <c r="C1153" s="776">
        <v>177922.51</v>
      </c>
      <c r="D1153" s="777">
        <f t="shared" si="5"/>
        <v>136719.79999999999</v>
      </c>
    </row>
    <row r="1154" spans="1:4" x14ac:dyDescent="0.2">
      <c r="A1154" s="521">
        <v>43980</v>
      </c>
      <c r="B1154" s="497">
        <f t="shared" si="4"/>
        <v>314180.40000000002</v>
      </c>
      <c r="C1154" s="776">
        <v>177460.6</v>
      </c>
      <c r="D1154" s="777">
        <f t="shared" si="5"/>
        <v>136719.79999999999</v>
      </c>
    </row>
    <row r="1155" spans="1:4" x14ac:dyDescent="0.2">
      <c r="A1155" s="521">
        <v>43983</v>
      </c>
      <c r="B1155" s="497">
        <f t="shared" si="4"/>
        <v>336211.19</v>
      </c>
      <c r="C1155" s="776">
        <v>201698.93</v>
      </c>
      <c r="D1155" s="777">
        <v>134512.26</v>
      </c>
    </row>
    <row r="1156" spans="1:4" x14ac:dyDescent="0.2">
      <c r="A1156" s="521">
        <v>43984</v>
      </c>
      <c r="B1156" s="497">
        <f t="shared" si="4"/>
        <v>327639.93</v>
      </c>
      <c r="C1156" s="776">
        <v>201512.93</v>
      </c>
      <c r="D1156" s="777">
        <v>126127</v>
      </c>
    </row>
    <row r="1157" spans="1:4" x14ac:dyDescent="0.2">
      <c r="A1157" s="521">
        <v>43985</v>
      </c>
      <c r="B1157" s="497">
        <f t="shared" si="4"/>
        <v>327640</v>
      </c>
      <c r="C1157" s="776">
        <v>201513</v>
      </c>
      <c r="D1157" s="777">
        <f t="shared" si="5"/>
        <v>126127</v>
      </c>
    </row>
    <row r="1158" spans="1:4" x14ac:dyDescent="0.2">
      <c r="A1158" s="521">
        <v>43986</v>
      </c>
      <c r="B1158" s="497">
        <f t="shared" si="4"/>
        <v>332166.29000000004</v>
      </c>
      <c r="C1158" s="776">
        <v>206039.29</v>
      </c>
      <c r="D1158" s="777">
        <f t="shared" si="5"/>
        <v>126127</v>
      </c>
    </row>
    <row r="1159" spans="1:4" x14ac:dyDescent="0.2">
      <c r="A1159" s="521">
        <v>43987</v>
      </c>
      <c r="B1159" s="497">
        <f t="shared" si="4"/>
        <v>332166.29000000004</v>
      </c>
      <c r="C1159" s="776">
        <f>C1158</f>
        <v>206039.29</v>
      </c>
      <c r="D1159" s="777">
        <f t="shared" si="5"/>
        <v>126127</v>
      </c>
    </row>
    <row r="1160" spans="1:4" x14ac:dyDescent="0.2">
      <c r="A1160" s="521">
        <v>43990</v>
      </c>
      <c r="B1160" s="497">
        <f t="shared" si="4"/>
        <v>378580.41000000003</v>
      </c>
      <c r="C1160" s="776">
        <v>252453.41</v>
      </c>
      <c r="D1160" s="777">
        <f t="shared" si="5"/>
        <v>126127</v>
      </c>
    </row>
    <row r="1161" spans="1:4" x14ac:dyDescent="0.2">
      <c r="A1161" s="521">
        <v>43991</v>
      </c>
      <c r="B1161" s="497">
        <f t="shared" si="4"/>
        <v>378580.41000000003</v>
      </c>
      <c r="C1161" s="776">
        <f t="shared" ref="C1161:C1175" si="6">C1160</f>
        <v>252453.41</v>
      </c>
      <c r="D1161" s="777">
        <f t="shared" si="5"/>
        <v>126127</v>
      </c>
    </row>
    <row r="1162" spans="1:4" x14ac:dyDescent="0.2">
      <c r="A1162" s="521">
        <v>43992</v>
      </c>
      <c r="B1162" s="497">
        <f t="shared" si="4"/>
        <v>355599.42</v>
      </c>
      <c r="C1162" s="776">
        <f t="shared" si="6"/>
        <v>252453.41</v>
      </c>
      <c r="D1162" s="777">
        <v>103146.01</v>
      </c>
    </row>
    <row r="1163" spans="1:4" x14ac:dyDescent="0.2">
      <c r="A1163" s="521">
        <v>43993</v>
      </c>
      <c r="B1163" s="497">
        <f t="shared" si="4"/>
        <v>348512.49</v>
      </c>
      <c r="C1163" s="776">
        <v>255461.07</v>
      </c>
      <c r="D1163" s="777">
        <v>93051.42</v>
      </c>
    </row>
    <row r="1164" spans="1:4" x14ac:dyDescent="0.2">
      <c r="A1164" s="521">
        <v>43994</v>
      </c>
      <c r="B1164" s="497">
        <f t="shared" si="4"/>
        <v>351663.19</v>
      </c>
      <c r="C1164" s="776">
        <v>258611.77</v>
      </c>
      <c r="D1164" s="777">
        <f t="shared" si="5"/>
        <v>93051.42</v>
      </c>
    </row>
    <row r="1165" spans="1:4" x14ac:dyDescent="0.2">
      <c r="A1165" s="521">
        <v>43997</v>
      </c>
      <c r="B1165" s="497">
        <f t="shared" si="4"/>
        <v>351097.70999999996</v>
      </c>
      <c r="C1165" s="776">
        <f t="shared" si="6"/>
        <v>258611.77</v>
      </c>
      <c r="D1165" s="777">
        <v>92485.94</v>
      </c>
    </row>
    <row r="1166" spans="1:4" x14ac:dyDescent="0.2">
      <c r="A1166" s="521">
        <v>43998</v>
      </c>
      <c r="B1166" s="497">
        <f t="shared" si="4"/>
        <v>351097.70999999996</v>
      </c>
      <c r="C1166" s="776">
        <f t="shared" si="6"/>
        <v>258611.77</v>
      </c>
      <c r="D1166" s="777">
        <f t="shared" si="5"/>
        <v>92485.94</v>
      </c>
    </row>
    <row r="1167" spans="1:4" x14ac:dyDescent="0.2">
      <c r="A1167" s="521">
        <v>43999</v>
      </c>
      <c r="B1167" s="497">
        <f t="shared" si="4"/>
        <v>342735.58</v>
      </c>
      <c r="C1167" s="776">
        <v>250249.64</v>
      </c>
      <c r="D1167" s="777">
        <f t="shared" si="5"/>
        <v>92485.94</v>
      </c>
    </row>
    <row r="1168" spans="1:4" x14ac:dyDescent="0.2">
      <c r="A1168" s="521">
        <v>44000</v>
      </c>
      <c r="B1168" s="497">
        <f t="shared" si="4"/>
        <v>344495.52</v>
      </c>
      <c r="C1168" s="776">
        <v>252009.58</v>
      </c>
      <c r="D1168" s="777">
        <f t="shared" si="5"/>
        <v>92485.94</v>
      </c>
    </row>
    <row r="1169" spans="1:4" x14ac:dyDescent="0.2">
      <c r="A1169" s="521">
        <v>44001</v>
      </c>
      <c r="B1169" s="497">
        <f t="shared" si="4"/>
        <v>344495.52</v>
      </c>
      <c r="C1169" s="776">
        <f t="shared" si="6"/>
        <v>252009.58</v>
      </c>
      <c r="D1169" s="777">
        <f t="shared" si="5"/>
        <v>92485.94</v>
      </c>
    </row>
    <row r="1170" spans="1:4" x14ac:dyDescent="0.2">
      <c r="A1170" s="521">
        <v>44004</v>
      </c>
      <c r="B1170" s="497">
        <f t="shared" si="4"/>
        <v>344495.52</v>
      </c>
      <c r="C1170" s="776">
        <f t="shared" si="6"/>
        <v>252009.58</v>
      </c>
      <c r="D1170" s="777">
        <f t="shared" si="5"/>
        <v>92485.94</v>
      </c>
    </row>
    <row r="1171" spans="1:4" x14ac:dyDescent="0.2">
      <c r="A1171" s="521">
        <v>44005</v>
      </c>
      <c r="B1171" s="497">
        <f t="shared" si="4"/>
        <v>334324.15000000002</v>
      </c>
      <c r="C1171" s="776">
        <v>241838.21</v>
      </c>
      <c r="D1171" s="777">
        <f t="shared" si="5"/>
        <v>92485.94</v>
      </c>
    </row>
    <row r="1172" spans="1:4" x14ac:dyDescent="0.2">
      <c r="A1172" s="521">
        <v>44006</v>
      </c>
      <c r="B1172" s="497">
        <f t="shared" si="4"/>
        <v>342928.85</v>
      </c>
      <c r="C1172" s="776">
        <v>275398.59999999998</v>
      </c>
      <c r="D1172" s="777">
        <v>67530.25</v>
      </c>
    </row>
    <row r="1173" spans="1:4" x14ac:dyDescent="0.2">
      <c r="A1173" s="521">
        <v>44007</v>
      </c>
      <c r="B1173" s="497">
        <f t="shared" si="4"/>
        <v>325375.87</v>
      </c>
      <c r="C1173" s="776">
        <v>268709.96999999997</v>
      </c>
      <c r="D1173" s="777">
        <v>56665.9</v>
      </c>
    </row>
    <row r="1174" spans="1:4" x14ac:dyDescent="0.2">
      <c r="A1174" s="521">
        <v>44008</v>
      </c>
      <c r="B1174" s="497">
        <f t="shared" si="4"/>
        <v>324225.81</v>
      </c>
      <c r="C1174" s="776">
        <v>268257.68</v>
      </c>
      <c r="D1174" s="777">
        <v>55968.13</v>
      </c>
    </row>
    <row r="1175" spans="1:4" x14ac:dyDescent="0.2">
      <c r="A1175" s="521">
        <v>44011</v>
      </c>
      <c r="B1175" s="497">
        <f t="shared" si="4"/>
        <v>324225.81</v>
      </c>
      <c r="C1175" s="776">
        <f t="shared" si="6"/>
        <v>268257.68</v>
      </c>
      <c r="D1175" s="777">
        <f t="shared" si="5"/>
        <v>55968.13</v>
      </c>
    </row>
    <row r="1176" spans="1:4" x14ac:dyDescent="0.2">
      <c r="A1176" s="521">
        <v>44012</v>
      </c>
      <c r="B1176" s="497">
        <f t="shared" si="4"/>
        <v>332737.41000000003</v>
      </c>
      <c r="C1176" s="776">
        <v>276769.28000000003</v>
      </c>
      <c r="D1176" s="777">
        <f t="shared" si="5"/>
        <v>55968.13</v>
      </c>
    </row>
    <row r="1177" spans="1:4" x14ac:dyDescent="0.2">
      <c r="A1177" s="521">
        <v>44013</v>
      </c>
      <c r="B1177" s="497">
        <f t="shared" si="4"/>
        <v>348287.12</v>
      </c>
      <c r="C1177" s="776">
        <v>292318.99</v>
      </c>
      <c r="D1177" s="777">
        <f t="shared" si="5"/>
        <v>55968.13</v>
      </c>
    </row>
    <row r="1178" spans="1:4" x14ac:dyDescent="0.2">
      <c r="A1178" s="521">
        <v>44014</v>
      </c>
      <c r="B1178" s="497">
        <f t="shared" si="4"/>
        <v>351754.67</v>
      </c>
      <c r="C1178" s="776">
        <v>295786.53999999998</v>
      </c>
      <c r="D1178" s="777">
        <f t="shared" si="5"/>
        <v>55968.13</v>
      </c>
    </row>
    <row r="1179" spans="1:4" x14ac:dyDescent="0.2">
      <c r="A1179" s="521">
        <v>44015</v>
      </c>
      <c r="B1179" s="497">
        <f t="shared" si="4"/>
        <v>352041.67</v>
      </c>
      <c r="C1179" s="776">
        <v>296073.53999999998</v>
      </c>
      <c r="D1179" s="777">
        <f t="shared" si="5"/>
        <v>55968.13</v>
      </c>
    </row>
    <row r="1180" spans="1:4" x14ac:dyDescent="0.2">
      <c r="A1180" s="521">
        <v>44018</v>
      </c>
      <c r="B1180" s="497">
        <f t="shared" si="4"/>
        <v>352042</v>
      </c>
      <c r="C1180" s="776">
        <v>296074</v>
      </c>
      <c r="D1180" s="777">
        <v>55968</v>
      </c>
    </row>
    <row r="1181" spans="1:4" x14ac:dyDescent="0.2">
      <c r="A1181" s="521">
        <v>44019</v>
      </c>
      <c r="B1181" s="497">
        <f t="shared" si="4"/>
        <v>352042</v>
      </c>
      <c r="C1181" s="776">
        <v>296074</v>
      </c>
      <c r="D1181" s="777">
        <v>55968</v>
      </c>
    </row>
    <row r="1182" spans="1:4" x14ac:dyDescent="0.2">
      <c r="A1182" s="521">
        <v>44020</v>
      </c>
      <c r="B1182" s="497">
        <f t="shared" si="4"/>
        <v>326415.09999999998</v>
      </c>
      <c r="C1182" s="776">
        <v>296074</v>
      </c>
      <c r="D1182" s="777">
        <v>30341.1</v>
      </c>
    </row>
    <row r="1183" spans="1:4" x14ac:dyDescent="0.2">
      <c r="A1183" s="521">
        <v>44021</v>
      </c>
      <c r="B1183" s="497">
        <f t="shared" si="4"/>
        <v>312231.88999999996</v>
      </c>
      <c r="C1183" s="776">
        <v>293240.15999999997</v>
      </c>
      <c r="D1183" s="777">
        <v>18991.73</v>
      </c>
    </row>
    <row r="1184" spans="1:4" x14ac:dyDescent="0.2">
      <c r="A1184" s="521">
        <v>44022</v>
      </c>
      <c r="B1184" s="497">
        <f t="shared" si="4"/>
        <v>311779.87</v>
      </c>
      <c r="C1184" s="776">
        <v>292787.87</v>
      </c>
      <c r="D1184" s="777">
        <v>18992</v>
      </c>
    </row>
    <row r="1185" spans="1:4" x14ac:dyDescent="0.2">
      <c r="A1185" s="521">
        <v>44025</v>
      </c>
      <c r="B1185" s="497">
        <f t="shared" si="4"/>
        <v>311474.96999999997</v>
      </c>
      <c r="C1185" s="776">
        <v>293190.87</v>
      </c>
      <c r="D1185" s="777">
        <v>18284.099999999999</v>
      </c>
    </row>
    <row r="1186" spans="1:4" x14ac:dyDescent="0.2">
      <c r="A1186" s="521">
        <v>44026</v>
      </c>
      <c r="B1186" s="497">
        <f t="shared" si="4"/>
        <v>315477.69</v>
      </c>
      <c r="C1186" s="776">
        <v>297193.59000000003</v>
      </c>
      <c r="D1186" s="777">
        <v>18284.099999999999</v>
      </c>
    </row>
    <row r="1187" spans="1:4" x14ac:dyDescent="0.2">
      <c r="A1187" s="521">
        <v>44027</v>
      </c>
      <c r="B1187" s="497">
        <f t="shared" si="4"/>
        <v>315594.98</v>
      </c>
      <c r="C1187" s="776">
        <v>297310.88</v>
      </c>
      <c r="D1187" s="777">
        <v>18284.099999999999</v>
      </c>
    </row>
    <row r="1188" spans="1:4" x14ac:dyDescent="0.2">
      <c r="A1188" s="521">
        <v>44028</v>
      </c>
      <c r="B1188" s="497">
        <f t="shared" si="4"/>
        <v>318211.11</v>
      </c>
      <c r="C1188" s="776">
        <v>299927.01</v>
      </c>
      <c r="D1188" s="777">
        <v>18284.099999999999</v>
      </c>
    </row>
    <row r="1189" spans="1:4" x14ac:dyDescent="0.2">
      <c r="A1189" s="521">
        <v>44029</v>
      </c>
      <c r="B1189" s="497">
        <f t="shared" si="4"/>
        <v>318211.09999999998</v>
      </c>
      <c r="C1189" s="776">
        <v>299927</v>
      </c>
      <c r="D1189" s="777">
        <v>18284.099999999999</v>
      </c>
    </row>
    <row r="1190" spans="1:4" x14ac:dyDescent="0.2">
      <c r="A1190" s="521">
        <v>44032</v>
      </c>
      <c r="B1190" s="497">
        <f t="shared" si="4"/>
        <v>339655.69</v>
      </c>
      <c r="C1190" s="776">
        <v>304374.55</v>
      </c>
      <c r="D1190" s="777">
        <v>35281.14</v>
      </c>
    </row>
    <row r="1191" spans="1:4" x14ac:dyDescent="0.2">
      <c r="A1191" s="521">
        <v>44033</v>
      </c>
      <c r="B1191" s="497">
        <f t="shared" si="4"/>
        <v>328838.90999999997</v>
      </c>
      <c r="C1191" s="776">
        <v>293557.90999999997</v>
      </c>
      <c r="D1191" s="777">
        <v>35281</v>
      </c>
    </row>
    <row r="1192" spans="1:4" x14ac:dyDescent="0.2">
      <c r="A1192" s="521">
        <v>44034</v>
      </c>
      <c r="B1192" s="497">
        <f t="shared" si="4"/>
        <v>315049.81</v>
      </c>
      <c r="C1192" s="776">
        <v>305336.09999999998</v>
      </c>
      <c r="D1192" s="777">
        <v>9713.7099999999991</v>
      </c>
    </row>
    <row r="1193" spans="1:4" x14ac:dyDescent="0.2">
      <c r="A1193" s="521">
        <v>44035</v>
      </c>
      <c r="B1193" s="497">
        <f t="shared" si="4"/>
        <v>308750.14999999997</v>
      </c>
      <c r="C1193" s="776">
        <v>307782.98</v>
      </c>
      <c r="D1193" s="777">
        <v>967.17</v>
      </c>
    </row>
    <row r="1194" spans="1:4" x14ac:dyDescent="0.2">
      <c r="A1194" s="521">
        <v>44036</v>
      </c>
      <c r="B1194" s="497">
        <f t="shared" si="4"/>
        <v>309653.73</v>
      </c>
      <c r="C1194" s="776">
        <v>309453.73</v>
      </c>
      <c r="D1194" s="777">
        <v>200</v>
      </c>
    </row>
    <row r="1195" spans="1:4" x14ac:dyDescent="0.2">
      <c r="A1195" s="521">
        <v>44039</v>
      </c>
      <c r="B1195" s="497">
        <f t="shared" si="4"/>
        <v>300292.32</v>
      </c>
      <c r="C1195" s="776">
        <v>300092.32</v>
      </c>
      <c r="D1195" s="777">
        <v>200</v>
      </c>
    </row>
    <row r="1196" spans="1:4" x14ac:dyDescent="0.2">
      <c r="A1196" s="521">
        <v>44040</v>
      </c>
      <c r="B1196" s="497">
        <f t="shared" si="4"/>
        <v>300248.32000000001</v>
      </c>
      <c r="C1196" s="776">
        <v>300048.32</v>
      </c>
      <c r="D1196" s="777">
        <v>200</v>
      </c>
    </row>
    <row r="1197" spans="1:4" x14ac:dyDescent="0.2">
      <c r="A1197" s="521">
        <v>44041</v>
      </c>
      <c r="B1197" s="497">
        <f t="shared" si="4"/>
        <v>298885.23</v>
      </c>
      <c r="C1197" s="776">
        <v>298685.23</v>
      </c>
      <c r="D1197" s="777">
        <v>200</v>
      </c>
    </row>
    <row r="1198" spans="1:4" x14ac:dyDescent="0.2">
      <c r="A1198" s="521">
        <v>44042</v>
      </c>
      <c r="B1198" s="497">
        <f t="shared" si="4"/>
        <v>298918.89</v>
      </c>
      <c r="C1198" s="776">
        <v>298718.89</v>
      </c>
      <c r="D1198" s="777">
        <v>200</v>
      </c>
    </row>
    <row r="1199" spans="1:4" x14ac:dyDescent="0.2">
      <c r="A1199" s="521">
        <v>44043</v>
      </c>
      <c r="B1199" s="497">
        <f t="shared" ref="B1199:B1262" si="7">C1199+D1199</f>
        <v>298919</v>
      </c>
      <c r="C1199" s="776">
        <v>298719</v>
      </c>
      <c r="D1199" s="777">
        <v>200</v>
      </c>
    </row>
    <row r="1200" spans="1:4" x14ac:dyDescent="0.2">
      <c r="A1200" s="521">
        <v>44046</v>
      </c>
      <c r="B1200" s="497">
        <f t="shared" si="7"/>
        <v>262470.13</v>
      </c>
      <c r="C1200" s="776">
        <v>262270.13</v>
      </c>
      <c r="D1200" s="777">
        <v>200</v>
      </c>
    </row>
    <row r="1201" spans="1:4" x14ac:dyDescent="0.2">
      <c r="A1201" s="521">
        <v>44047</v>
      </c>
      <c r="B1201" s="497">
        <f t="shared" si="7"/>
        <v>254560.85</v>
      </c>
      <c r="C1201" s="776">
        <v>254360.85</v>
      </c>
      <c r="D1201" s="777">
        <v>200</v>
      </c>
    </row>
    <row r="1202" spans="1:4" x14ac:dyDescent="0.2">
      <c r="A1202" s="521">
        <v>44048</v>
      </c>
      <c r="B1202" s="497">
        <f t="shared" si="7"/>
        <v>254561</v>
      </c>
      <c r="C1202" s="776">
        <v>254361</v>
      </c>
      <c r="D1202" s="777">
        <v>200</v>
      </c>
    </row>
    <row r="1203" spans="1:4" x14ac:dyDescent="0.2">
      <c r="A1203" s="521">
        <v>44049</v>
      </c>
      <c r="B1203" s="497">
        <f t="shared" si="7"/>
        <v>256783.26</v>
      </c>
      <c r="C1203" s="776">
        <v>256583.26</v>
      </c>
      <c r="D1203" s="777">
        <v>200</v>
      </c>
    </row>
    <row r="1204" spans="1:4" x14ac:dyDescent="0.2">
      <c r="A1204" s="521">
        <v>44050</v>
      </c>
      <c r="B1204" s="497">
        <f t="shared" si="7"/>
        <v>256330.97</v>
      </c>
      <c r="C1204" s="776">
        <v>256130.97</v>
      </c>
      <c r="D1204" s="777">
        <v>200</v>
      </c>
    </row>
    <row r="1205" spans="1:4" x14ac:dyDescent="0.2">
      <c r="A1205" s="521">
        <v>44053</v>
      </c>
      <c r="B1205" s="497">
        <f t="shared" si="7"/>
        <v>256331</v>
      </c>
      <c r="C1205" s="776">
        <v>256131</v>
      </c>
      <c r="D1205" s="777">
        <v>200</v>
      </c>
    </row>
    <row r="1206" spans="1:4" x14ac:dyDescent="0.2">
      <c r="A1206" s="521">
        <v>44054</v>
      </c>
      <c r="B1206" s="497">
        <f t="shared" si="7"/>
        <v>256331</v>
      </c>
      <c r="C1206" s="776">
        <v>256131</v>
      </c>
      <c r="D1206" s="777">
        <v>200</v>
      </c>
    </row>
    <row r="1207" spans="1:4" x14ac:dyDescent="0.2">
      <c r="A1207" s="521">
        <v>44055</v>
      </c>
      <c r="B1207" s="497">
        <f t="shared" si="7"/>
        <v>256420.97</v>
      </c>
      <c r="C1207" s="776">
        <v>256220.97</v>
      </c>
      <c r="D1207" s="777">
        <v>200</v>
      </c>
    </row>
    <row r="1208" spans="1:4" x14ac:dyDescent="0.2">
      <c r="A1208" s="521">
        <v>44056</v>
      </c>
      <c r="B1208" s="497">
        <f t="shared" si="7"/>
        <v>256421</v>
      </c>
      <c r="C1208" s="776">
        <v>256221</v>
      </c>
      <c r="D1208" s="777">
        <v>200</v>
      </c>
    </row>
    <row r="1209" spans="1:4" x14ac:dyDescent="0.2">
      <c r="A1209" s="521">
        <v>44057</v>
      </c>
      <c r="B1209" s="497">
        <f t="shared" si="7"/>
        <v>296838.09999999998</v>
      </c>
      <c r="C1209" s="776">
        <v>296638.09999999998</v>
      </c>
      <c r="D1209" s="777">
        <v>200</v>
      </c>
    </row>
    <row r="1210" spans="1:4" x14ac:dyDescent="0.2">
      <c r="A1210" s="521">
        <v>44060</v>
      </c>
      <c r="B1210" s="497">
        <f t="shared" si="7"/>
        <v>261012.14</v>
      </c>
      <c r="C1210" s="776">
        <v>260812.14</v>
      </c>
      <c r="D1210" s="777">
        <v>200</v>
      </c>
    </row>
    <row r="1211" spans="1:4" x14ac:dyDescent="0.2">
      <c r="A1211" s="521">
        <v>44061</v>
      </c>
      <c r="B1211" s="497">
        <f t="shared" si="7"/>
        <v>345553.24</v>
      </c>
      <c r="C1211" s="776">
        <v>345353.24</v>
      </c>
      <c r="D1211" s="777">
        <v>200</v>
      </c>
    </row>
    <row r="1212" spans="1:4" x14ac:dyDescent="0.2">
      <c r="A1212" s="521">
        <v>44062</v>
      </c>
      <c r="B1212" s="497">
        <f t="shared" si="7"/>
        <v>345720.24</v>
      </c>
      <c r="C1212" s="776">
        <v>345520.24</v>
      </c>
      <c r="D1212" s="777">
        <v>200</v>
      </c>
    </row>
    <row r="1213" spans="1:4" x14ac:dyDescent="0.2">
      <c r="A1213" s="521">
        <v>44063</v>
      </c>
      <c r="B1213" s="497">
        <f t="shared" si="7"/>
        <v>343380.65</v>
      </c>
      <c r="C1213" s="776">
        <v>343180.65</v>
      </c>
      <c r="D1213" s="777">
        <v>200</v>
      </c>
    </row>
    <row r="1214" spans="1:4" x14ac:dyDescent="0.2">
      <c r="A1214" s="521">
        <v>44064</v>
      </c>
      <c r="B1214" s="497">
        <f t="shared" si="7"/>
        <v>342938.36</v>
      </c>
      <c r="C1214" s="776">
        <v>342738.36</v>
      </c>
      <c r="D1214" s="777">
        <v>200</v>
      </c>
    </row>
    <row r="1215" spans="1:4" x14ac:dyDescent="0.2">
      <c r="A1215" s="521">
        <v>44067</v>
      </c>
      <c r="B1215" s="497">
        <f t="shared" si="7"/>
        <v>342938</v>
      </c>
      <c r="C1215" s="776">
        <v>342738</v>
      </c>
      <c r="D1215" s="777">
        <v>200</v>
      </c>
    </row>
    <row r="1216" spans="1:4" x14ac:dyDescent="0.2">
      <c r="A1216" s="521">
        <v>44068</v>
      </c>
      <c r="B1216" s="497">
        <f t="shared" si="7"/>
        <v>340515.33</v>
      </c>
      <c r="C1216" s="776">
        <v>340315.33</v>
      </c>
      <c r="D1216" s="777">
        <v>200</v>
      </c>
    </row>
    <row r="1217" spans="1:4" x14ac:dyDescent="0.2">
      <c r="A1217" s="521">
        <v>44069</v>
      </c>
      <c r="B1217" s="497">
        <f t="shared" si="7"/>
        <v>359946.57</v>
      </c>
      <c r="C1217" s="776">
        <v>359746.57</v>
      </c>
      <c r="D1217" s="777">
        <v>200</v>
      </c>
    </row>
    <row r="1218" spans="1:4" x14ac:dyDescent="0.2">
      <c r="A1218" s="521">
        <v>44070</v>
      </c>
      <c r="B1218" s="497">
        <f t="shared" si="7"/>
        <v>359946.57</v>
      </c>
      <c r="C1218" s="776">
        <v>359746.57</v>
      </c>
      <c r="D1218" s="777">
        <v>200</v>
      </c>
    </row>
    <row r="1219" spans="1:4" x14ac:dyDescent="0.2">
      <c r="A1219" s="521">
        <v>44071</v>
      </c>
      <c r="B1219" s="497">
        <f t="shared" si="7"/>
        <v>359946.57</v>
      </c>
      <c r="C1219" s="776">
        <v>359746.57</v>
      </c>
      <c r="D1219" s="777">
        <v>200</v>
      </c>
    </row>
    <row r="1220" spans="1:4" x14ac:dyDescent="0.2">
      <c r="A1220" s="521">
        <v>44074</v>
      </c>
      <c r="B1220" s="497">
        <f t="shared" si="7"/>
        <v>359946.57</v>
      </c>
      <c r="C1220" s="776">
        <v>359746.57</v>
      </c>
      <c r="D1220" s="777">
        <v>200</v>
      </c>
    </row>
    <row r="1221" spans="1:4" x14ac:dyDescent="0.2">
      <c r="A1221" s="521">
        <v>44075</v>
      </c>
      <c r="B1221" s="497">
        <f t="shared" si="7"/>
        <v>347126.06</v>
      </c>
      <c r="C1221" s="776">
        <v>346926.06</v>
      </c>
      <c r="D1221" s="777">
        <v>200</v>
      </c>
    </row>
    <row r="1222" spans="1:4" x14ac:dyDescent="0.2">
      <c r="A1222" s="521">
        <v>44076</v>
      </c>
      <c r="B1222" s="497">
        <f t="shared" si="7"/>
        <v>347075.06</v>
      </c>
      <c r="C1222" s="776">
        <v>346875.06</v>
      </c>
      <c r="D1222" s="777">
        <v>200</v>
      </c>
    </row>
    <row r="1223" spans="1:4" x14ac:dyDescent="0.2">
      <c r="A1223" s="521">
        <v>44077</v>
      </c>
      <c r="B1223" s="497">
        <f t="shared" si="7"/>
        <v>350416.44</v>
      </c>
      <c r="C1223" s="776">
        <v>350216.44</v>
      </c>
      <c r="D1223" s="777">
        <v>200</v>
      </c>
    </row>
    <row r="1224" spans="1:4" x14ac:dyDescent="0.2">
      <c r="A1224" s="521">
        <v>44078</v>
      </c>
      <c r="B1224" s="497">
        <f t="shared" si="7"/>
        <v>343258.81</v>
      </c>
      <c r="C1224" s="776">
        <v>343058.81</v>
      </c>
      <c r="D1224" s="777">
        <v>200</v>
      </c>
    </row>
    <row r="1225" spans="1:4" x14ac:dyDescent="0.2">
      <c r="A1225" s="521">
        <v>44081</v>
      </c>
      <c r="B1225" s="497">
        <f t="shared" si="7"/>
        <v>343258.81</v>
      </c>
      <c r="C1225" s="776">
        <v>343058.81</v>
      </c>
      <c r="D1225" s="777">
        <v>200</v>
      </c>
    </row>
    <row r="1226" spans="1:4" x14ac:dyDescent="0.2">
      <c r="A1226" s="521">
        <v>44082</v>
      </c>
      <c r="B1226" s="497">
        <f t="shared" si="7"/>
        <v>343258.81</v>
      </c>
      <c r="C1226" s="776">
        <v>343058.81</v>
      </c>
      <c r="D1226" s="777">
        <v>200</v>
      </c>
    </row>
    <row r="1227" spans="1:4" x14ac:dyDescent="0.2">
      <c r="A1227" s="521">
        <v>44083</v>
      </c>
      <c r="B1227" s="497">
        <f t="shared" si="7"/>
        <v>343258.81</v>
      </c>
      <c r="C1227" s="776">
        <v>343058.81</v>
      </c>
      <c r="D1227" s="777">
        <v>200</v>
      </c>
    </row>
    <row r="1228" spans="1:4" x14ac:dyDescent="0.2">
      <c r="A1228" s="521">
        <v>44084</v>
      </c>
      <c r="B1228" s="497">
        <f t="shared" si="7"/>
        <v>351420.85</v>
      </c>
      <c r="C1228" s="776">
        <v>351220.85</v>
      </c>
      <c r="D1228" s="777">
        <v>200</v>
      </c>
    </row>
    <row r="1229" spans="1:4" x14ac:dyDescent="0.2">
      <c r="A1229" s="521">
        <v>44085</v>
      </c>
      <c r="B1229" s="497">
        <f t="shared" si="7"/>
        <v>351420.85</v>
      </c>
      <c r="C1229" s="776">
        <v>351220.85</v>
      </c>
      <c r="D1229" s="777">
        <v>200</v>
      </c>
    </row>
    <row r="1230" spans="1:4" x14ac:dyDescent="0.2">
      <c r="A1230" s="521">
        <v>44088</v>
      </c>
      <c r="B1230" s="497">
        <f t="shared" si="7"/>
        <v>319295.21000000002</v>
      </c>
      <c r="C1230" s="776">
        <v>319095.21000000002</v>
      </c>
      <c r="D1230" s="777">
        <v>200</v>
      </c>
    </row>
    <row r="1231" spans="1:4" x14ac:dyDescent="0.2">
      <c r="A1231" s="521">
        <v>44089</v>
      </c>
      <c r="B1231" s="497">
        <f t="shared" si="7"/>
        <v>319390.87</v>
      </c>
      <c r="C1231" s="776">
        <v>319190.87</v>
      </c>
      <c r="D1231" s="777">
        <v>200</v>
      </c>
    </row>
    <row r="1232" spans="1:4" x14ac:dyDescent="0.2">
      <c r="A1232" s="521">
        <v>44090</v>
      </c>
      <c r="B1232" s="497">
        <f t="shared" si="7"/>
        <v>318221.31</v>
      </c>
      <c r="C1232" s="776">
        <v>318021.31</v>
      </c>
      <c r="D1232" s="777">
        <v>200</v>
      </c>
    </row>
    <row r="1233" spans="1:4" x14ac:dyDescent="0.2">
      <c r="A1233" s="521">
        <v>44091</v>
      </c>
      <c r="B1233" s="497">
        <f t="shared" si="7"/>
        <v>321494.34000000003</v>
      </c>
      <c r="C1233" s="776">
        <v>321294.34000000003</v>
      </c>
      <c r="D1233" s="777">
        <v>200</v>
      </c>
    </row>
    <row r="1234" spans="1:4" x14ac:dyDescent="0.2">
      <c r="A1234" s="521">
        <v>44092</v>
      </c>
      <c r="B1234" s="497">
        <f t="shared" si="7"/>
        <v>321052.05</v>
      </c>
      <c r="C1234" s="776">
        <v>320852.05</v>
      </c>
      <c r="D1234" s="777">
        <v>200</v>
      </c>
    </row>
    <row r="1235" spans="1:4" x14ac:dyDescent="0.2">
      <c r="A1235" s="521">
        <v>44095</v>
      </c>
      <c r="B1235" s="497">
        <f t="shared" si="7"/>
        <v>321052</v>
      </c>
      <c r="C1235" s="776">
        <v>320852</v>
      </c>
      <c r="D1235" s="777">
        <v>200</v>
      </c>
    </row>
    <row r="1236" spans="1:4" x14ac:dyDescent="0.2">
      <c r="A1236" s="521">
        <v>44096</v>
      </c>
      <c r="B1236" s="497">
        <f t="shared" si="7"/>
        <v>347075.9</v>
      </c>
      <c r="C1236" s="776">
        <v>346875.9</v>
      </c>
      <c r="D1236" s="777">
        <v>200</v>
      </c>
    </row>
    <row r="1237" spans="1:4" x14ac:dyDescent="0.2">
      <c r="A1237" s="521">
        <v>44097</v>
      </c>
      <c r="B1237" s="497">
        <f t="shared" si="7"/>
        <v>348950.3</v>
      </c>
      <c r="C1237" s="776">
        <v>348750.3</v>
      </c>
      <c r="D1237" s="777">
        <v>200</v>
      </c>
    </row>
    <row r="1238" spans="1:4" x14ac:dyDescent="0.2">
      <c r="A1238" s="521">
        <v>44098</v>
      </c>
      <c r="B1238" s="497">
        <f t="shared" si="7"/>
        <v>354130.18</v>
      </c>
      <c r="C1238" s="776">
        <v>353930.18</v>
      </c>
      <c r="D1238" s="777">
        <v>200</v>
      </c>
    </row>
    <row r="1239" spans="1:4" x14ac:dyDescent="0.2">
      <c r="A1239" s="521">
        <v>44099</v>
      </c>
      <c r="B1239" s="497">
        <f t="shared" si="7"/>
        <v>354086.18</v>
      </c>
      <c r="C1239" s="776">
        <v>353886.18</v>
      </c>
      <c r="D1239" s="777">
        <v>200</v>
      </c>
    </row>
    <row r="1240" spans="1:4" x14ac:dyDescent="0.2">
      <c r="A1240" s="521">
        <v>44102</v>
      </c>
      <c r="B1240" s="497">
        <f t="shared" si="7"/>
        <v>348608</v>
      </c>
      <c r="C1240" s="776">
        <v>348408</v>
      </c>
      <c r="D1240" s="777">
        <v>200</v>
      </c>
    </row>
    <row r="1241" spans="1:4" x14ac:dyDescent="0.2">
      <c r="A1241" s="521">
        <v>44103</v>
      </c>
      <c r="B1241" s="497">
        <f t="shared" si="7"/>
        <v>313591.89</v>
      </c>
      <c r="C1241" s="776">
        <v>313391.89</v>
      </c>
      <c r="D1241" s="777">
        <v>200</v>
      </c>
    </row>
    <row r="1242" spans="1:4" x14ac:dyDescent="0.2">
      <c r="A1242" s="521">
        <v>44104</v>
      </c>
      <c r="B1242" s="497">
        <f t="shared" si="7"/>
        <v>348489.68</v>
      </c>
      <c r="C1242" s="776">
        <v>348289.68</v>
      </c>
      <c r="D1242" s="777">
        <v>200</v>
      </c>
    </row>
    <row r="1243" spans="1:4" x14ac:dyDescent="0.2">
      <c r="A1243" s="521">
        <v>44105</v>
      </c>
      <c r="B1243" s="497">
        <f t="shared" si="7"/>
        <v>346634.44</v>
      </c>
      <c r="C1243" s="776">
        <v>346434.44</v>
      </c>
      <c r="D1243" s="777">
        <v>200</v>
      </c>
    </row>
    <row r="1244" spans="1:4" x14ac:dyDescent="0.2">
      <c r="A1244" s="521">
        <v>44106</v>
      </c>
      <c r="B1244" s="497">
        <f t="shared" si="7"/>
        <v>346390.75</v>
      </c>
      <c r="C1244" s="776">
        <v>346190.75</v>
      </c>
      <c r="D1244" s="777">
        <v>200</v>
      </c>
    </row>
    <row r="1245" spans="1:4" x14ac:dyDescent="0.2">
      <c r="A1245" s="521">
        <v>44109</v>
      </c>
      <c r="B1245" s="497">
        <f t="shared" si="7"/>
        <v>346313.83</v>
      </c>
      <c r="C1245" s="776">
        <v>346113.83</v>
      </c>
      <c r="D1245" s="777">
        <v>200</v>
      </c>
    </row>
    <row r="1246" spans="1:4" x14ac:dyDescent="0.2">
      <c r="A1246" s="521">
        <v>44110</v>
      </c>
      <c r="B1246" s="497">
        <f t="shared" si="7"/>
        <v>346084.99</v>
      </c>
      <c r="C1246" s="776">
        <v>345884.99</v>
      </c>
      <c r="D1246" s="777">
        <v>200</v>
      </c>
    </row>
    <row r="1247" spans="1:4" x14ac:dyDescent="0.2">
      <c r="A1247" s="521">
        <v>44111</v>
      </c>
      <c r="B1247" s="497">
        <f t="shared" si="7"/>
        <v>346085</v>
      </c>
      <c r="C1247" s="776">
        <v>345885</v>
      </c>
      <c r="D1247" s="777">
        <v>200</v>
      </c>
    </row>
    <row r="1248" spans="1:4" x14ac:dyDescent="0.2">
      <c r="A1248" s="521">
        <v>44112</v>
      </c>
      <c r="B1248" s="497">
        <f t="shared" si="7"/>
        <v>380839.99</v>
      </c>
      <c r="C1248" s="776">
        <v>380639.99</v>
      </c>
      <c r="D1248" s="777">
        <v>200</v>
      </c>
    </row>
    <row r="1249" spans="1:4" x14ac:dyDescent="0.2">
      <c r="A1249" s="521">
        <v>44113</v>
      </c>
      <c r="B1249" s="497">
        <f t="shared" si="7"/>
        <v>380840</v>
      </c>
      <c r="C1249" s="776">
        <v>380640</v>
      </c>
      <c r="D1249" s="777">
        <v>200</v>
      </c>
    </row>
    <row r="1250" spans="1:4" x14ac:dyDescent="0.2">
      <c r="A1250" s="521">
        <v>44116</v>
      </c>
      <c r="B1250" s="497">
        <f t="shared" si="7"/>
        <v>380840</v>
      </c>
      <c r="C1250" s="776">
        <v>380640</v>
      </c>
      <c r="D1250" s="777">
        <v>200</v>
      </c>
    </row>
    <row r="1251" spans="1:4" x14ac:dyDescent="0.2">
      <c r="A1251" s="521">
        <v>44117</v>
      </c>
      <c r="B1251" s="497">
        <f t="shared" si="7"/>
        <v>346182.3</v>
      </c>
      <c r="C1251" s="776">
        <v>345982.3</v>
      </c>
      <c r="D1251" s="777">
        <v>200</v>
      </c>
    </row>
    <row r="1252" spans="1:4" x14ac:dyDescent="0.2">
      <c r="A1252" s="521">
        <v>44118</v>
      </c>
      <c r="B1252" s="497">
        <f t="shared" si="7"/>
        <v>346103.46</v>
      </c>
      <c r="C1252" s="776">
        <v>345903.46</v>
      </c>
      <c r="D1252" s="777">
        <v>200</v>
      </c>
    </row>
    <row r="1253" spans="1:4" x14ac:dyDescent="0.2">
      <c r="A1253" s="521">
        <v>44119</v>
      </c>
      <c r="B1253" s="497">
        <f t="shared" si="7"/>
        <v>339569.88</v>
      </c>
      <c r="C1253" s="776">
        <v>339369.88</v>
      </c>
      <c r="D1253" s="777">
        <v>200</v>
      </c>
    </row>
    <row r="1254" spans="1:4" x14ac:dyDescent="0.2">
      <c r="A1254" s="521">
        <v>44120</v>
      </c>
      <c r="B1254" s="497">
        <f t="shared" si="7"/>
        <v>364967.49</v>
      </c>
      <c r="C1254" s="776">
        <v>364767.49</v>
      </c>
      <c r="D1254" s="777">
        <v>200</v>
      </c>
    </row>
    <row r="1255" spans="1:4" x14ac:dyDescent="0.2">
      <c r="A1255" s="521">
        <v>44123</v>
      </c>
      <c r="B1255" s="497">
        <f t="shared" si="7"/>
        <v>343525.33</v>
      </c>
      <c r="C1255" s="776">
        <v>343325.33</v>
      </c>
      <c r="D1255" s="777">
        <v>200</v>
      </c>
    </row>
    <row r="1256" spans="1:4" x14ac:dyDescent="0.2">
      <c r="A1256" s="521">
        <v>44124</v>
      </c>
      <c r="B1256" s="497">
        <f t="shared" si="7"/>
        <v>343525</v>
      </c>
      <c r="C1256" s="776">
        <v>343325</v>
      </c>
      <c r="D1256" s="777">
        <v>200</v>
      </c>
    </row>
    <row r="1257" spans="1:4" x14ac:dyDescent="0.2">
      <c r="A1257" s="521">
        <v>44125</v>
      </c>
      <c r="B1257" s="497">
        <f t="shared" si="7"/>
        <v>340413.21</v>
      </c>
      <c r="C1257" s="776">
        <v>340213.21</v>
      </c>
      <c r="D1257" s="777">
        <v>200</v>
      </c>
    </row>
    <row r="1258" spans="1:4" x14ac:dyDescent="0.2">
      <c r="A1258" s="521">
        <v>44126</v>
      </c>
      <c r="B1258" s="497">
        <f t="shared" si="7"/>
        <v>354245.2</v>
      </c>
      <c r="C1258" s="776">
        <v>354045.2</v>
      </c>
      <c r="D1258" s="777">
        <v>200</v>
      </c>
    </row>
    <row r="1259" spans="1:4" x14ac:dyDescent="0.2">
      <c r="A1259" s="521">
        <v>44127</v>
      </c>
      <c r="B1259" s="497">
        <f t="shared" si="7"/>
        <v>354086.35</v>
      </c>
      <c r="C1259" s="776">
        <v>353886.35</v>
      </c>
      <c r="D1259" s="777">
        <v>200</v>
      </c>
    </row>
    <row r="1260" spans="1:4" x14ac:dyDescent="0.2">
      <c r="A1260" s="521">
        <v>44130</v>
      </c>
      <c r="B1260" s="497">
        <f t="shared" si="7"/>
        <v>354086</v>
      </c>
      <c r="C1260" s="776">
        <v>353886</v>
      </c>
      <c r="D1260" s="777">
        <v>200</v>
      </c>
    </row>
    <row r="1261" spans="1:4" x14ac:dyDescent="0.2">
      <c r="A1261" s="521">
        <v>44131</v>
      </c>
      <c r="B1261" s="497">
        <f t="shared" si="7"/>
        <v>312941.49</v>
      </c>
      <c r="C1261" s="776">
        <v>312741.49</v>
      </c>
      <c r="D1261" s="777">
        <v>200</v>
      </c>
    </row>
    <row r="1262" spans="1:4" x14ac:dyDescent="0.2">
      <c r="A1262" s="521">
        <v>44132</v>
      </c>
      <c r="B1262" s="497">
        <f t="shared" si="7"/>
        <v>312941</v>
      </c>
      <c r="C1262" s="776">
        <v>312741</v>
      </c>
      <c r="D1262" s="777">
        <v>200</v>
      </c>
    </row>
    <row r="1263" spans="1:4" x14ac:dyDescent="0.2">
      <c r="A1263" s="521">
        <v>44133</v>
      </c>
      <c r="B1263" s="497">
        <f t="shared" ref="B1263:B1326" si="8">C1263+D1263</f>
        <v>312941</v>
      </c>
      <c r="C1263" s="776">
        <v>312741</v>
      </c>
      <c r="D1263" s="777">
        <v>200</v>
      </c>
    </row>
    <row r="1264" spans="1:4" x14ac:dyDescent="0.2">
      <c r="A1264" s="521">
        <v>44134</v>
      </c>
      <c r="B1264" s="497">
        <f t="shared" si="8"/>
        <v>336359.66</v>
      </c>
      <c r="C1264" s="776">
        <v>336159.66</v>
      </c>
      <c r="D1264" s="777">
        <v>200</v>
      </c>
    </row>
    <row r="1265" spans="1:4" x14ac:dyDescent="0.2">
      <c r="A1265" s="521">
        <v>44137</v>
      </c>
      <c r="B1265" s="497">
        <f t="shared" si="8"/>
        <v>336077.1</v>
      </c>
      <c r="C1265" s="776">
        <v>335877.1</v>
      </c>
      <c r="D1265" s="777">
        <v>200</v>
      </c>
    </row>
    <row r="1266" spans="1:4" x14ac:dyDescent="0.2">
      <c r="A1266" s="521">
        <v>44138</v>
      </c>
      <c r="B1266" s="497">
        <f t="shared" si="8"/>
        <v>336077</v>
      </c>
      <c r="C1266" s="776">
        <v>335877</v>
      </c>
      <c r="D1266" s="777">
        <v>200</v>
      </c>
    </row>
    <row r="1267" spans="1:4" x14ac:dyDescent="0.2">
      <c r="A1267" s="521">
        <v>44139</v>
      </c>
      <c r="B1267" s="497">
        <f t="shared" si="8"/>
        <v>328153.34999999998</v>
      </c>
      <c r="C1267" s="776">
        <v>327953.34999999998</v>
      </c>
      <c r="D1267" s="777">
        <v>200</v>
      </c>
    </row>
    <row r="1268" spans="1:4" x14ac:dyDescent="0.2">
      <c r="A1268" s="521">
        <v>44140</v>
      </c>
      <c r="B1268" s="497">
        <f t="shared" si="8"/>
        <v>328497.34999999998</v>
      </c>
      <c r="C1268" s="776">
        <v>328297.34999999998</v>
      </c>
      <c r="D1268" s="777">
        <v>200</v>
      </c>
    </row>
    <row r="1269" spans="1:4" x14ac:dyDescent="0.2">
      <c r="A1269" s="521">
        <v>44141</v>
      </c>
      <c r="B1269" s="497">
        <f t="shared" si="8"/>
        <v>327078.57</v>
      </c>
      <c r="C1269" s="776">
        <v>326878.57</v>
      </c>
      <c r="D1269" s="777">
        <v>200</v>
      </c>
    </row>
    <row r="1270" spans="1:4" x14ac:dyDescent="0.2">
      <c r="A1270" s="521">
        <v>44144</v>
      </c>
      <c r="B1270" s="497">
        <f t="shared" si="8"/>
        <v>293224.96000000002</v>
      </c>
      <c r="C1270" s="776">
        <v>293024.96000000002</v>
      </c>
      <c r="D1270" s="777">
        <v>200</v>
      </c>
    </row>
    <row r="1271" spans="1:4" x14ac:dyDescent="0.2">
      <c r="A1271" s="521">
        <v>44145</v>
      </c>
      <c r="B1271" s="497">
        <f t="shared" si="8"/>
        <v>297955.08</v>
      </c>
      <c r="C1271" s="776">
        <v>297755.08</v>
      </c>
      <c r="D1271" s="777">
        <v>200</v>
      </c>
    </row>
    <row r="1272" spans="1:4" x14ac:dyDescent="0.2">
      <c r="A1272" s="521">
        <v>44146</v>
      </c>
      <c r="B1272" s="497">
        <f t="shared" si="8"/>
        <v>297955</v>
      </c>
      <c r="C1272" s="776">
        <v>297755</v>
      </c>
      <c r="D1272" s="777">
        <v>200</v>
      </c>
    </row>
    <row r="1273" spans="1:4" x14ac:dyDescent="0.2">
      <c r="A1273" s="521">
        <v>44147</v>
      </c>
      <c r="B1273" s="497">
        <f t="shared" si="8"/>
        <v>301097.59000000003</v>
      </c>
      <c r="C1273" s="776">
        <v>300897.59000000003</v>
      </c>
      <c r="D1273" s="777">
        <v>200</v>
      </c>
    </row>
    <row r="1274" spans="1:4" x14ac:dyDescent="0.2">
      <c r="A1274" s="521">
        <v>44148</v>
      </c>
      <c r="B1274" s="497">
        <f t="shared" si="8"/>
        <v>300720.71000000002</v>
      </c>
      <c r="C1274" s="776">
        <v>300520.71000000002</v>
      </c>
      <c r="D1274" s="777">
        <v>200</v>
      </c>
    </row>
    <row r="1275" spans="1:4" x14ac:dyDescent="0.2">
      <c r="A1275" s="521">
        <v>44151</v>
      </c>
      <c r="B1275" s="497">
        <f t="shared" si="8"/>
        <v>300721</v>
      </c>
      <c r="C1275" s="776">
        <v>300521</v>
      </c>
      <c r="D1275" s="777">
        <v>200</v>
      </c>
    </row>
    <row r="1276" spans="1:4" x14ac:dyDescent="0.2">
      <c r="A1276" s="521">
        <v>44152</v>
      </c>
      <c r="B1276" s="497">
        <f t="shared" si="8"/>
        <v>300721</v>
      </c>
      <c r="C1276" s="776">
        <v>300521</v>
      </c>
      <c r="D1276" s="777">
        <v>200</v>
      </c>
    </row>
    <row r="1277" spans="1:4" x14ac:dyDescent="0.2">
      <c r="A1277" s="521">
        <v>44153</v>
      </c>
      <c r="B1277" s="497">
        <f t="shared" si="8"/>
        <v>298371.37</v>
      </c>
      <c r="C1277" s="776">
        <v>298171.37</v>
      </c>
      <c r="D1277" s="777">
        <v>200</v>
      </c>
    </row>
    <row r="1278" spans="1:4" x14ac:dyDescent="0.2">
      <c r="A1278" s="521">
        <v>44154</v>
      </c>
      <c r="B1278" s="497">
        <f t="shared" si="8"/>
        <v>298371</v>
      </c>
      <c r="C1278" s="776">
        <v>298171</v>
      </c>
      <c r="D1278" s="777">
        <v>200</v>
      </c>
    </row>
    <row r="1279" spans="1:4" x14ac:dyDescent="0.2">
      <c r="A1279" s="521">
        <v>44155</v>
      </c>
      <c r="B1279" s="497">
        <f t="shared" si="8"/>
        <v>297912.75</v>
      </c>
      <c r="C1279" s="776">
        <v>297712.75</v>
      </c>
      <c r="D1279" s="777">
        <v>200</v>
      </c>
    </row>
    <row r="1280" spans="1:4" x14ac:dyDescent="0.2">
      <c r="A1280" s="521">
        <v>44158</v>
      </c>
      <c r="B1280" s="497">
        <f t="shared" si="8"/>
        <v>260100.75</v>
      </c>
      <c r="C1280" s="776">
        <v>259900.75</v>
      </c>
      <c r="D1280" s="777">
        <v>200</v>
      </c>
    </row>
    <row r="1281" spans="1:4" x14ac:dyDescent="0.2">
      <c r="A1281" s="521">
        <v>44159</v>
      </c>
      <c r="B1281" s="497">
        <f t="shared" si="8"/>
        <v>260101</v>
      </c>
      <c r="C1281" s="776">
        <v>259901</v>
      </c>
      <c r="D1281" s="777">
        <v>200</v>
      </c>
    </row>
    <row r="1282" spans="1:4" x14ac:dyDescent="0.2">
      <c r="A1282" s="521">
        <v>44160</v>
      </c>
      <c r="B1282" s="497">
        <f t="shared" si="8"/>
        <v>259952.43</v>
      </c>
      <c r="C1282" s="776">
        <v>259752.43</v>
      </c>
      <c r="D1282" s="777">
        <v>200</v>
      </c>
    </row>
    <row r="1283" spans="1:4" x14ac:dyDescent="0.2">
      <c r="A1283" s="521">
        <v>44161</v>
      </c>
      <c r="B1283" s="497">
        <f t="shared" si="8"/>
        <v>259952</v>
      </c>
      <c r="C1283" s="776">
        <v>259752</v>
      </c>
      <c r="D1283" s="777">
        <v>200</v>
      </c>
    </row>
    <row r="1284" spans="1:4" x14ac:dyDescent="0.2">
      <c r="A1284" s="521">
        <v>44162</v>
      </c>
      <c r="B1284" s="497">
        <f t="shared" si="8"/>
        <v>261011.41</v>
      </c>
      <c r="C1284" s="776">
        <v>260811.41</v>
      </c>
      <c r="D1284" s="777">
        <v>200</v>
      </c>
    </row>
    <row r="1285" spans="1:4" x14ac:dyDescent="0.2">
      <c r="A1285" s="521">
        <v>44165</v>
      </c>
      <c r="B1285" s="497">
        <f t="shared" si="8"/>
        <v>256570.76</v>
      </c>
      <c r="C1285" s="776">
        <v>256370.76</v>
      </c>
      <c r="D1285" s="777">
        <v>200</v>
      </c>
    </row>
    <row r="1286" spans="1:4" x14ac:dyDescent="0.2">
      <c r="A1286" s="521">
        <v>44166</v>
      </c>
      <c r="B1286" s="497">
        <f t="shared" si="8"/>
        <v>256571</v>
      </c>
      <c r="C1286" s="776">
        <v>256371</v>
      </c>
      <c r="D1286" s="777">
        <v>200</v>
      </c>
    </row>
    <row r="1287" spans="1:4" x14ac:dyDescent="0.2">
      <c r="A1287" s="521">
        <v>44167</v>
      </c>
      <c r="B1287" s="497">
        <f t="shared" si="8"/>
        <v>343824.57</v>
      </c>
      <c r="C1287" s="776">
        <v>343624.57</v>
      </c>
      <c r="D1287" s="777">
        <v>200</v>
      </c>
    </row>
    <row r="1288" spans="1:4" x14ac:dyDescent="0.2">
      <c r="A1288" s="521">
        <v>44168</v>
      </c>
      <c r="B1288" s="497">
        <f t="shared" si="8"/>
        <v>348428.77</v>
      </c>
      <c r="C1288" s="776">
        <v>348228.77</v>
      </c>
      <c r="D1288" s="777">
        <v>200</v>
      </c>
    </row>
    <row r="1289" spans="1:4" x14ac:dyDescent="0.2">
      <c r="A1289" s="521">
        <v>44169</v>
      </c>
      <c r="B1289" s="497">
        <f t="shared" si="8"/>
        <v>348429</v>
      </c>
      <c r="C1289" s="776">
        <v>348229</v>
      </c>
      <c r="D1289" s="777">
        <v>200</v>
      </c>
    </row>
    <row r="1290" spans="1:4" x14ac:dyDescent="0.2">
      <c r="A1290" s="521">
        <v>44172</v>
      </c>
      <c r="B1290" s="497">
        <f t="shared" si="8"/>
        <v>313593.81</v>
      </c>
      <c r="C1290" s="776">
        <v>313393.81</v>
      </c>
      <c r="D1290" s="777">
        <v>200</v>
      </c>
    </row>
    <row r="1291" spans="1:4" x14ac:dyDescent="0.2">
      <c r="A1291" s="521">
        <v>44173</v>
      </c>
      <c r="B1291" s="497">
        <f t="shared" si="8"/>
        <v>320775.28999999998</v>
      </c>
      <c r="C1291" s="776">
        <v>320575.28999999998</v>
      </c>
      <c r="D1291" s="777">
        <v>200</v>
      </c>
    </row>
    <row r="1292" spans="1:4" x14ac:dyDescent="0.2">
      <c r="A1292" s="521">
        <v>44174</v>
      </c>
      <c r="B1292" s="497">
        <f t="shared" si="8"/>
        <v>321115.28999999998</v>
      </c>
      <c r="C1292" s="776">
        <v>320915.28999999998</v>
      </c>
      <c r="D1292" s="777">
        <v>200</v>
      </c>
    </row>
    <row r="1293" spans="1:4" x14ac:dyDescent="0.2">
      <c r="A1293" s="521">
        <v>44175</v>
      </c>
      <c r="B1293" s="497">
        <f t="shared" si="8"/>
        <v>314719.49</v>
      </c>
      <c r="C1293" s="776">
        <v>314519.49</v>
      </c>
      <c r="D1293" s="777">
        <v>200</v>
      </c>
    </row>
    <row r="1294" spans="1:4" x14ac:dyDescent="0.2">
      <c r="A1294" s="521">
        <v>44176</v>
      </c>
      <c r="B1294" s="497">
        <f t="shared" si="8"/>
        <v>317009.81</v>
      </c>
      <c r="C1294" s="776">
        <v>316809.81</v>
      </c>
      <c r="D1294" s="777">
        <v>200</v>
      </c>
    </row>
    <row r="1295" spans="1:4" x14ac:dyDescent="0.2">
      <c r="A1295" s="521">
        <v>44179</v>
      </c>
      <c r="B1295" s="497">
        <f t="shared" si="8"/>
        <v>316409.81</v>
      </c>
      <c r="C1295" s="776">
        <v>316209.81</v>
      </c>
      <c r="D1295" s="777">
        <v>200</v>
      </c>
    </row>
    <row r="1296" spans="1:4" x14ac:dyDescent="0.2">
      <c r="A1296" s="521">
        <v>44180</v>
      </c>
      <c r="B1296" s="497">
        <f t="shared" si="8"/>
        <v>316462.65000000002</v>
      </c>
      <c r="C1296" s="776">
        <v>316262.65000000002</v>
      </c>
      <c r="D1296" s="777">
        <v>200</v>
      </c>
    </row>
    <row r="1297" spans="1:4" x14ac:dyDescent="0.2">
      <c r="A1297" s="521">
        <v>44181</v>
      </c>
      <c r="B1297" s="497">
        <f t="shared" si="8"/>
        <v>337790.61</v>
      </c>
      <c r="C1297" s="776">
        <v>337590.61</v>
      </c>
      <c r="D1297" s="777">
        <v>200</v>
      </c>
    </row>
    <row r="1298" spans="1:4" x14ac:dyDescent="0.2">
      <c r="A1298" s="521">
        <v>44182</v>
      </c>
      <c r="B1298" s="497">
        <f t="shared" si="8"/>
        <v>337791</v>
      </c>
      <c r="C1298" s="776">
        <v>337591</v>
      </c>
      <c r="D1298" s="777">
        <v>200</v>
      </c>
    </row>
    <row r="1299" spans="1:4" x14ac:dyDescent="0.2">
      <c r="A1299" s="521">
        <v>44183</v>
      </c>
      <c r="B1299" s="497">
        <f t="shared" si="8"/>
        <v>337791</v>
      </c>
      <c r="C1299" s="776">
        <v>337591</v>
      </c>
      <c r="D1299" s="777">
        <v>200</v>
      </c>
    </row>
    <row r="1300" spans="1:4" x14ac:dyDescent="0.2">
      <c r="A1300" s="521">
        <v>44186</v>
      </c>
      <c r="B1300" s="497">
        <f t="shared" si="8"/>
        <v>304627.44</v>
      </c>
      <c r="C1300" s="776">
        <v>304427.44</v>
      </c>
      <c r="D1300" s="777">
        <v>200</v>
      </c>
    </row>
    <row r="1301" spans="1:4" x14ac:dyDescent="0.2">
      <c r="A1301" s="521">
        <v>44187</v>
      </c>
      <c r="B1301" s="497">
        <f t="shared" si="8"/>
        <v>304802.88</v>
      </c>
      <c r="C1301" s="776">
        <v>304602.88</v>
      </c>
      <c r="D1301" s="777">
        <v>200</v>
      </c>
    </row>
    <row r="1302" spans="1:4" x14ac:dyDescent="0.2">
      <c r="A1302" s="521">
        <v>44188</v>
      </c>
      <c r="B1302" s="497">
        <f t="shared" si="8"/>
        <v>304803</v>
      </c>
      <c r="C1302" s="776">
        <v>304603</v>
      </c>
      <c r="D1302" s="777">
        <v>200</v>
      </c>
    </row>
    <row r="1303" spans="1:4" x14ac:dyDescent="0.2">
      <c r="A1303" s="521">
        <v>44189</v>
      </c>
      <c r="B1303" s="497">
        <f t="shared" si="8"/>
        <v>338461.96</v>
      </c>
      <c r="C1303" s="776">
        <v>338261.96</v>
      </c>
      <c r="D1303" s="777">
        <v>200</v>
      </c>
    </row>
    <row r="1304" spans="1:4" x14ac:dyDescent="0.2">
      <c r="A1304" s="521">
        <v>44190</v>
      </c>
      <c r="B1304" s="497">
        <f t="shared" si="8"/>
        <v>338462</v>
      </c>
      <c r="C1304" s="776">
        <v>338262</v>
      </c>
      <c r="D1304" s="777">
        <v>200</v>
      </c>
    </row>
    <row r="1305" spans="1:4" x14ac:dyDescent="0.2">
      <c r="A1305" s="521">
        <v>44193</v>
      </c>
      <c r="B1305" s="497">
        <f t="shared" si="8"/>
        <v>373533.96</v>
      </c>
      <c r="C1305" s="776">
        <v>373333.96</v>
      </c>
      <c r="D1305" s="777">
        <v>200</v>
      </c>
    </row>
    <row r="1306" spans="1:4" x14ac:dyDescent="0.2">
      <c r="A1306" s="521">
        <v>44194</v>
      </c>
      <c r="B1306" s="497">
        <f t="shared" si="8"/>
        <v>373168.21</v>
      </c>
      <c r="C1306" s="776">
        <v>372968.21</v>
      </c>
      <c r="D1306" s="777">
        <v>200</v>
      </c>
    </row>
    <row r="1307" spans="1:4" x14ac:dyDescent="0.2">
      <c r="A1307" s="521">
        <v>44195</v>
      </c>
      <c r="B1307" s="497">
        <f t="shared" si="8"/>
        <v>375552.7</v>
      </c>
      <c r="C1307" s="776">
        <v>375352.7</v>
      </c>
      <c r="D1307" s="777">
        <v>200</v>
      </c>
    </row>
    <row r="1308" spans="1:4" x14ac:dyDescent="0.2">
      <c r="A1308" s="521">
        <v>44196</v>
      </c>
      <c r="B1308" s="497">
        <f t="shared" si="8"/>
        <v>397543.49</v>
      </c>
      <c r="C1308" s="776">
        <v>397343.49</v>
      </c>
      <c r="D1308" s="777">
        <v>200</v>
      </c>
    </row>
    <row r="1309" spans="1:4" x14ac:dyDescent="0.2">
      <c r="A1309" s="521">
        <v>44197</v>
      </c>
      <c r="B1309" s="497">
        <f t="shared" si="8"/>
        <v>397543</v>
      </c>
      <c r="C1309" s="776">
        <v>397343</v>
      </c>
      <c r="D1309" s="777">
        <v>200</v>
      </c>
    </row>
    <row r="1310" spans="1:4" x14ac:dyDescent="0.2">
      <c r="A1310" s="521">
        <v>44200</v>
      </c>
      <c r="B1310" s="497">
        <f t="shared" si="8"/>
        <v>380539.51</v>
      </c>
      <c r="C1310" s="776">
        <v>380339.51</v>
      </c>
      <c r="D1310" s="777">
        <v>200</v>
      </c>
    </row>
    <row r="1311" spans="1:4" x14ac:dyDescent="0.2">
      <c r="A1311" s="521">
        <v>44201</v>
      </c>
      <c r="B1311" s="497">
        <f t="shared" si="8"/>
        <v>349091.91</v>
      </c>
      <c r="C1311" s="776">
        <v>348891.91</v>
      </c>
      <c r="D1311" s="777">
        <v>200</v>
      </c>
    </row>
    <row r="1312" spans="1:4" x14ac:dyDescent="0.2">
      <c r="A1312" s="521">
        <v>44202</v>
      </c>
      <c r="B1312" s="497">
        <f t="shared" si="8"/>
        <v>349092</v>
      </c>
      <c r="C1312" s="776">
        <v>348892</v>
      </c>
      <c r="D1312" s="777">
        <v>200</v>
      </c>
    </row>
    <row r="1313" spans="1:4" x14ac:dyDescent="0.2">
      <c r="A1313" s="521">
        <v>44203</v>
      </c>
      <c r="B1313" s="497">
        <f t="shared" si="8"/>
        <v>409281.75</v>
      </c>
      <c r="C1313" s="776">
        <v>409081.75</v>
      </c>
      <c r="D1313" s="777">
        <v>200</v>
      </c>
    </row>
    <row r="1314" spans="1:4" x14ac:dyDescent="0.2">
      <c r="A1314" s="521">
        <v>44204</v>
      </c>
      <c r="B1314" s="497">
        <f t="shared" si="8"/>
        <v>408971.69</v>
      </c>
      <c r="C1314" s="776">
        <v>408771.69</v>
      </c>
      <c r="D1314" s="777">
        <v>200</v>
      </c>
    </row>
    <row r="1315" spans="1:4" x14ac:dyDescent="0.2">
      <c r="A1315" s="521">
        <v>44207</v>
      </c>
      <c r="B1315" s="497">
        <f t="shared" si="8"/>
        <v>408739.83</v>
      </c>
      <c r="C1315" s="776">
        <v>408539.83</v>
      </c>
      <c r="D1315" s="777">
        <v>200</v>
      </c>
    </row>
    <row r="1316" spans="1:4" x14ac:dyDescent="0.2">
      <c r="A1316" s="521">
        <v>44208</v>
      </c>
      <c r="B1316" s="497">
        <f t="shared" si="8"/>
        <v>401650.97</v>
      </c>
      <c r="C1316" s="776">
        <v>401450.97</v>
      </c>
      <c r="D1316" s="777">
        <v>200</v>
      </c>
    </row>
    <row r="1317" spans="1:4" x14ac:dyDescent="0.2">
      <c r="A1317" s="521">
        <v>44209</v>
      </c>
      <c r="B1317" s="497">
        <f t="shared" si="8"/>
        <v>413709.67</v>
      </c>
      <c r="C1317" s="776">
        <v>413509.67</v>
      </c>
      <c r="D1317" s="777">
        <v>200</v>
      </c>
    </row>
    <row r="1318" spans="1:4" x14ac:dyDescent="0.2">
      <c r="A1318" s="521">
        <v>44210</v>
      </c>
      <c r="B1318" s="497">
        <f t="shared" si="8"/>
        <v>412321.56</v>
      </c>
      <c r="C1318" s="776">
        <v>412121.56</v>
      </c>
      <c r="D1318" s="777">
        <v>200</v>
      </c>
    </row>
    <row r="1319" spans="1:4" x14ac:dyDescent="0.2">
      <c r="A1319" s="521">
        <v>44211</v>
      </c>
      <c r="B1319" s="497">
        <f t="shared" si="8"/>
        <v>412384.91</v>
      </c>
      <c r="C1319" s="776">
        <v>412184.91</v>
      </c>
      <c r="D1319" s="777">
        <v>200</v>
      </c>
    </row>
    <row r="1320" spans="1:4" x14ac:dyDescent="0.2">
      <c r="A1320" s="521">
        <v>44214</v>
      </c>
      <c r="B1320" s="497">
        <f t="shared" si="8"/>
        <v>412385</v>
      </c>
      <c r="C1320" s="776">
        <v>412185</v>
      </c>
      <c r="D1320" s="777">
        <v>200</v>
      </c>
    </row>
    <row r="1321" spans="1:4" x14ac:dyDescent="0.2">
      <c r="A1321" s="521">
        <v>44215</v>
      </c>
      <c r="B1321" s="497">
        <f t="shared" si="8"/>
        <v>417699.08</v>
      </c>
      <c r="C1321" s="776">
        <v>417499.08</v>
      </c>
      <c r="D1321" s="777">
        <v>200</v>
      </c>
    </row>
    <row r="1322" spans="1:4" x14ac:dyDescent="0.2">
      <c r="A1322" s="521">
        <v>44216</v>
      </c>
      <c r="B1322" s="557">
        <f t="shared" si="8"/>
        <v>417952.08</v>
      </c>
      <c r="C1322" s="776">
        <v>417752.08</v>
      </c>
      <c r="D1322" s="777">
        <v>200</v>
      </c>
    </row>
    <row r="1323" spans="1:4" x14ac:dyDescent="0.2">
      <c r="A1323" s="521">
        <v>44217</v>
      </c>
      <c r="B1323" s="497">
        <f t="shared" si="8"/>
        <v>402996.41</v>
      </c>
      <c r="C1323" s="776">
        <v>402796.41</v>
      </c>
      <c r="D1323" s="777">
        <v>200</v>
      </c>
    </row>
    <row r="1324" spans="1:4" x14ac:dyDescent="0.2">
      <c r="A1324" s="521">
        <v>44218</v>
      </c>
      <c r="B1324" s="497">
        <f t="shared" si="8"/>
        <v>402527.5</v>
      </c>
      <c r="C1324" s="776">
        <v>402327.5</v>
      </c>
      <c r="D1324" s="777">
        <v>200</v>
      </c>
    </row>
    <row r="1325" spans="1:4" x14ac:dyDescent="0.2">
      <c r="A1325" s="521">
        <v>44221</v>
      </c>
      <c r="B1325" s="497">
        <f t="shared" si="8"/>
        <v>402528</v>
      </c>
      <c r="C1325" s="776">
        <v>402328</v>
      </c>
      <c r="D1325" s="777">
        <v>200</v>
      </c>
    </row>
    <row r="1326" spans="1:4" x14ac:dyDescent="0.2">
      <c r="A1326" s="521">
        <v>44222</v>
      </c>
      <c r="B1326" s="497">
        <f t="shared" si="8"/>
        <v>399742.18</v>
      </c>
      <c r="C1326" s="776">
        <v>399542.18</v>
      </c>
      <c r="D1326" s="777">
        <v>200</v>
      </c>
    </row>
    <row r="1327" spans="1:4" x14ac:dyDescent="0.2">
      <c r="A1327" s="521">
        <v>44223</v>
      </c>
      <c r="B1327" s="497">
        <f t="shared" ref="B1327:B1390" si="9">C1327+D1327</f>
        <v>399886.18</v>
      </c>
      <c r="C1327" s="776">
        <v>399686.18</v>
      </c>
      <c r="D1327" s="777">
        <v>200</v>
      </c>
    </row>
    <row r="1328" spans="1:4" x14ac:dyDescent="0.2">
      <c r="A1328" s="521">
        <v>44224</v>
      </c>
      <c r="B1328" s="497">
        <f t="shared" si="9"/>
        <v>393628.47</v>
      </c>
      <c r="C1328" s="776">
        <v>393428.47</v>
      </c>
      <c r="D1328" s="777">
        <v>200</v>
      </c>
    </row>
    <row r="1329" spans="1:4" x14ac:dyDescent="0.2">
      <c r="A1329" s="521">
        <v>44225</v>
      </c>
      <c r="B1329" s="497">
        <f t="shared" si="9"/>
        <v>393628</v>
      </c>
      <c r="C1329" s="776">
        <v>393428</v>
      </c>
      <c r="D1329" s="777">
        <v>200</v>
      </c>
    </row>
    <row r="1330" spans="1:4" x14ac:dyDescent="0.2">
      <c r="A1330" s="521">
        <v>44228</v>
      </c>
      <c r="B1330" s="497">
        <f t="shared" si="9"/>
        <v>393628</v>
      </c>
      <c r="C1330" s="776">
        <v>393428</v>
      </c>
      <c r="D1330" s="777">
        <v>200</v>
      </c>
    </row>
    <row r="1331" spans="1:4" x14ac:dyDescent="0.2">
      <c r="A1331" s="521">
        <v>44229</v>
      </c>
      <c r="B1331" s="497">
        <f t="shared" si="9"/>
        <v>359326.4</v>
      </c>
      <c r="C1331" s="776">
        <v>359126.4</v>
      </c>
      <c r="D1331" s="777">
        <v>200</v>
      </c>
    </row>
    <row r="1332" spans="1:4" x14ac:dyDescent="0.2">
      <c r="A1332" s="521">
        <v>44230</v>
      </c>
      <c r="B1332" s="497">
        <f t="shared" si="9"/>
        <v>359521.7</v>
      </c>
      <c r="C1332" s="776">
        <v>359321.7</v>
      </c>
      <c r="D1332" s="777">
        <v>200</v>
      </c>
    </row>
    <row r="1333" spans="1:4" x14ac:dyDescent="0.2">
      <c r="A1333" s="521">
        <v>44231</v>
      </c>
      <c r="B1333" s="497">
        <f t="shared" si="9"/>
        <v>359522</v>
      </c>
      <c r="C1333" s="776">
        <v>359322</v>
      </c>
      <c r="D1333" s="777">
        <v>200</v>
      </c>
    </row>
    <row r="1334" spans="1:4" x14ac:dyDescent="0.2">
      <c r="A1334" s="521">
        <v>44232</v>
      </c>
      <c r="B1334" s="497">
        <f t="shared" si="9"/>
        <v>347055.28</v>
      </c>
      <c r="C1334" s="776">
        <v>346855.28</v>
      </c>
      <c r="D1334" s="777">
        <v>200</v>
      </c>
    </row>
    <row r="1335" spans="1:4" x14ac:dyDescent="0.2">
      <c r="A1335" s="521">
        <v>44235</v>
      </c>
      <c r="B1335" s="497">
        <f t="shared" si="9"/>
        <v>369629.13</v>
      </c>
      <c r="C1335" s="776">
        <v>369429.13</v>
      </c>
      <c r="D1335" s="777">
        <v>200</v>
      </c>
    </row>
    <row r="1336" spans="1:4" x14ac:dyDescent="0.2">
      <c r="A1336" s="521">
        <v>44236</v>
      </c>
      <c r="B1336" s="497">
        <f t="shared" si="9"/>
        <v>382278.77</v>
      </c>
      <c r="C1336" s="776">
        <v>382078.77</v>
      </c>
      <c r="D1336" s="777">
        <v>200</v>
      </c>
    </row>
    <row r="1337" spans="1:4" x14ac:dyDescent="0.2">
      <c r="A1337" s="521">
        <v>44237</v>
      </c>
      <c r="B1337" s="497">
        <f t="shared" si="9"/>
        <v>382279</v>
      </c>
      <c r="C1337" s="776">
        <v>382079</v>
      </c>
      <c r="D1337" s="777">
        <v>200</v>
      </c>
    </row>
    <row r="1338" spans="1:4" x14ac:dyDescent="0.2">
      <c r="A1338" s="521">
        <v>44238</v>
      </c>
      <c r="B1338" s="497">
        <f t="shared" si="9"/>
        <v>378310.6</v>
      </c>
      <c r="C1338" s="776">
        <v>378110.6</v>
      </c>
      <c r="D1338" s="777">
        <v>200</v>
      </c>
    </row>
    <row r="1339" spans="1:4" x14ac:dyDescent="0.2">
      <c r="A1339" s="521">
        <v>44239</v>
      </c>
      <c r="B1339" s="497">
        <f t="shared" si="9"/>
        <v>378369.91</v>
      </c>
      <c r="C1339" s="776">
        <v>378169.91</v>
      </c>
      <c r="D1339" s="777">
        <v>200</v>
      </c>
    </row>
    <row r="1340" spans="1:4" x14ac:dyDescent="0.2">
      <c r="A1340" s="521">
        <v>44242</v>
      </c>
      <c r="B1340" s="497">
        <f t="shared" si="9"/>
        <v>378370</v>
      </c>
      <c r="C1340" s="776">
        <v>378170</v>
      </c>
      <c r="D1340" s="777">
        <v>200</v>
      </c>
    </row>
    <row r="1341" spans="1:4" x14ac:dyDescent="0.2">
      <c r="A1341" s="521">
        <v>44243</v>
      </c>
      <c r="B1341" s="557">
        <f t="shared" si="9"/>
        <v>345442.81</v>
      </c>
      <c r="C1341" s="776">
        <v>345242.81</v>
      </c>
      <c r="D1341" s="777">
        <v>200</v>
      </c>
    </row>
    <row r="1342" spans="1:4" x14ac:dyDescent="0.2">
      <c r="A1342" s="521">
        <v>44244</v>
      </c>
      <c r="B1342" s="497">
        <f t="shared" si="9"/>
        <v>345443</v>
      </c>
      <c r="C1342" s="776">
        <v>345243</v>
      </c>
      <c r="D1342" s="777">
        <v>200</v>
      </c>
    </row>
    <row r="1343" spans="1:4" x14ac:dyDescent="0.2">
      <c r="A1343" s="521">
        <v>44245</v>
      </c>
      <c r="B1343" s="497">
        <f t="shared" si="9"/>
        <v>345443</v>
      </c>
      <c r="C1343" s="776">
        <v>345243</v>
      </c>
      <c r="D1343" s="777">
        <v>200</v>
      </c>
    </row>
    <row r="1344" spans="1:4" x14ac:dyDescent="0.2">
      <c r="A1344" s="521">
        <v>44246</v>
      </c>
      <c r="B1344" s="497">
        <f t="shared" si="9"/>
        <v>364859.97</v>
      </c>
      <c r="C1344" s="776">
        <v>364659.97</v>
      </c>
      <c r="D1344" s="777">
        <v>200</v>
      </c>
    </row>
    <row r="1345" spans="1:4" x14ac:dyDescent="0.2">
      <c r="A1345" s="521">
        <v>44249</v>
      </c>
      <c r="B1345" s="497">
        <f t="shared" si="9"/>
        <v>368452.97</v>
      </c>
      <c r="C1345" s="776">
        <v>368252.97</v>
      </c>
      <c r="D1345" s="777">
        <v>200</v>
      </c>
    </row>
    <row r="1346" spans="1:4" x14ac:dyDescent="0.2">
      <c r="A1346" s="521">
        <v>44250</v>
      </c>
      <c r="B1346" s="497">
        <f t="shared" si="9"/>
        <v>368407.65</v>
      </c>
      <c r="C1346" s="776">
        <v>368207.65</v>
      </c>
      <c r="D1346" s="777">
        <v>200</v>
      </c>
    </row>
    <row r="1347" spans="1:4" x14ac:dyDescent="0.2">
      <c r="A1347" s="521">
        <v>44251</v>
      </c>
      <c r="B1347" s="497">
        <f t="shared" si="9"/>
        <v>373249.01</v>
      </c>
      <c r="C1347" s="776">
        <v>373049.01</v>
      </c>
      <c r="D1347" s="777">
        <v>200</v>
      </c>
    </row>
    <row r="1348" spans="1:4" x14ac:dyDescent="0.2">
      <c r="A1348" s="521">
        <v>44252</v>
      </c>
      <c r="B1348" s="497">
        <f t="shared" si="9"/>
        <v>373249.01</v>
      </c>
      <c r="C1348" s="776">
        <v>373049.01</v>
      </c>
      <c r="D1348" s="777">
        <v>200</v>
      </c>
    </row>
    <row r="1349" spans="1:4" x14ac:dyDescent="0.2">
      <c r="A1349" s="521">
        <v>44253</v>
      </c>
      <c r="B1349" s="497">
        <f t="shared" si="9"/>
        <v>404359.4</v>
      </c>
      <c r="C1349" s="776">
        <v>404159.4</v>
      </c>
      <c r="D1349" s="777">
        <v>200</v>
      </c>
    </row>
    <row r="1350" spans="1:4" x14ac:dyDescent="0.2">
      <c r="A1350" s="521">
        <v>44256</v>
      </c>
      <c r="B1350" s="497">
        <f t="shared" si="9"/>
        <v>398860.85</v>
      </c>
      <c r="C1350" s="776">
        <v>398660.85</v>
      </c>
      <c r="D1350" s="777">
        <v>200</v>
      </c>
    </row>
    <row r="1351" spans="1:4" x14ac:dyDescent="0.2">
      <c r="A1351" s="521">
        <v>44257</v>
      </c>
      <c r="B1351" s="497">
        <f t="shared" si="9"/>
        <v>365079.52</v>
      </c>
      <c r="C1351" s="776">
        <v>364879.52</v>
      </c>
      <c r="D1351" s="777">
        <v>200</v>
      </c>
    </row>
    <row r="1352" spans="1:4" x14ac:dyDescent="0.2">
      <c r="A1352" s="521">
        <v>44258</v>
      </c>
      <c r="B1352" s="497">
        <f t="shared" si="9"/>
        <v>406124.9</v>
      </c>
      <c r="C1352" s="776">
        <v>405924.9</v>
      </c>
      <c r="D1352" s="777">
        <v>200</v>
      </c>
    </row>
    <row r="1353" spans="1:4" x14ac:dyDescent="0.2">
      <c r="A1353" s="521">
        <v>44259</v>
      </c>
      <c r="B1353" s="497">
        <f t="shared" si="9"/>
        <v>409953.76</v>
      </c>
      <c r="C1353" s="776">
        <v>409753.76</v>
      </c>
      <c r="D1353" s="777">
        <v>200</v>
      </c>
    </row>
    <row r="1354" spans="1:4" x14ac:dyDescent="0.2">
      <c r="A1354" s="521">
        <v>44260</v>
      </c>
      <c r="B1354" s="497">
        <f t="shared" si="9"/>
        <v>400983.29</v>
      </c>
      <c r="C1354" s="776">
        <v>400783.29</v>
      </c>
      <c r="D1354" s="777">
        <v>200</v>
      </c>
    </row>
    <row r="1355" spans="1:4" x14ac:dyDescent="0.2">
      <c r="A1355" s="521">
        <v>44263</v>
      </c>
      <c r="B1355" s="497">
        <f t="shared" si="9"/>
        <v>400983</v>
      </c>
      <c r="C1355" s="776">
        <v>400783</v>
      </c>
      <c r="D1355" s="777">
        <v>200</v>
      </c>
    </row>
    <row r="1356" spans="1:4" x14ac:dyDescent="0.2">
      <c r="A1356" s="521">
        <v>44264</v>
      </c>
      <c r="B1356" s="497">
        <f t="shared" si="9"/>
        <v>399908.16</v>
      </c>
      <c r="C1356" s="776">
        <v>399708.15999999997</v>
      </c>
      <c r="D1356" s="777">
        <v>200</v>
      </c>
    </row>
    <row r="1357" spans="1:4" x14ac:dyDescent="0.2">
      <c r="A1357" s="521">
        <v>44265</v>
      </c>
      <c r="B1357" s="497">
        <f t="shared" si="9"/>
        <v>399908</v>
      </c>
      <c r="C1357" s="776">
        <v>399708</v>
      </c>
      <c r="D1357" s="777">
        <v>200</v>
      </c>
    </row>
    <row r="1358" spans="1:4" x14ac:dyDescent="0.2">
      <c r="A1358" s="521">
        <v>44266</v>
      </c>
      <c r="B1358" s="497">
        <f t="shared" si="9"/>
        <v>399908</v>
      </c>
      <c r="C1358" s="776">
        <v>399708</v>
      </c>
      <c r="D1358" s="777">
        <v>200</v>
      </c>
    </row>
    <row r="1359" spans="1:4" x14ac:dyDescent="0.2">
      <c r="A1359" s="521">
        <v>44267</v>
      </c>
      <c r="B1359" s="497">
        <f t="shared" si="9"/>
        <v>399766.22</v>
      </c>
      <c r="C1359" s="776">
        <v>399566.22</v>
      </c>
      <c r="D1359" s="777">
        <v>200</v>
      </c>
    </row>
    <row r="1360" spans="1:4" x14ac:dyDescent="0.2">
      <c r="A1360" s="521">
        <v>44270</v>
      </c>
      <c r="B1360" s="497">
        <f t="shared" si="9"/>
        <v>366689.23</v>
      </c>
      <c r="C1360" s="776">
        <v>366489.23</v>
      </c>
      <c r="D1360" s="777">
        <v>200</v>
      </c>
    </row>
    <row r="1361" spans="1:4" x14ac:dyDescent="0.2">
      <c r="A1361" s="521">
        <v>44271</v>
      </c>
      <c r="B1361" s="497">
        <f t="shared" si="9"/>
        <v>392136.38</v>
      </c>
      <c r="C1361" s="776">
        <v>391936.38</v>
      </c>
      <c r="D1361" s="777">
        <v>200</v>
      </c>
    </row>
    <row r="1362" spans="1:4" x14ac:dyDescent="0.2">
      <c r="A1362" s="521">
        <v>44272</v>
      </c>
      <c r="B1362" s="497">
        <f t="shared" si="9"/>
        <v>414771.89</v>
      </c>
      <c r="C1362" s="776">
        <v>414571.89</v>
      </c>
      <c r="D1362" s="777">
        <v>200</v>
      </c>
    </row>
    <row r="1363" spans="1:4" x14ac:dyDescent="0.2">
      <c r="A1363" s="521">
        <v>44273</v>
      </c>
      <c r="B1363" s="497">
        <f t="shared" si="9"/>
        <v>442093.39</v>
      </c>
      <c r="C1363" s="776">
        <v>441893.39</v>
      </c>
      <c r="D1363" s="777">
        <v>200</v>
      </c>
    </row>
    <row r="1364" spans="1:4" x14ac:dyDescent="0.2">
      <c r="A1364" s="521">
        <v>44274</v>
      </c>
      <c r="B1364" s="497">
        <f t="shared" si="9"/>
        <v>439966.74</v>
      </c>
      <c r="C1364" s="776">
        <v>439766.74</v>
      </c>
      <c r="D1364" s="777">
        <v>200</v>
      </c>
    </row>
    <row r="1365" spans="1:4" x14ac:dyDescent="0.2">
      <c r="A1365" s="521">
        <v>44277</v>
      </c>
      <c r="B1365" s="497">
        <f t="shared" si="9"/>
        <v>439966.74</v>
      </c>
      <c r="C1365" s="776">
        <v>439766.74</v>
      </c>
      <c r="D1365" s="777">
        <v>200</v>
      </c>
    </row>
    <row r="1366" spans="1:4" x14ac:dyDescent="0.2">
      <c r="A1366" s="521">
        <v>44278</v>
      </c>
      <c r="B1366" s="497">
        <f t="shared" si="9"/>
        <v>439966.74</v>
      </c>
      <c r="C1366" s="776">
        <v>439766.74</v>
      </c>
      <c r="D1366" s="777">
        <v>200</v>
      </c>
    </row>
    <row r="1367" spans="1:4" x14ac:dyDescent="0.2">
      <c r="A1367" s="521">
        <v>44279</v>
      </c>
      <c r="B1367" s="497">
        <f t="shared" si="9"/>
        <v>440251.74</v>
      </c>
      <c r="C1367" s="776">
        <v>440051.74</v>
      </c>
      <c r="D1367" s="777">
        <v>200</v>
      </c>
    </row>
    <row r="1368" spans="1:4" x14ac:dyDescent="0.2">
      <c r="A1368" s="521">
        <v>44280</v>
      </c>
      <c r="B1368" s="497">
        <f t="shared" si="9"/>
        <v>440252</v>
      </c>
      <c r="C1368" s="776">
        <v>440052</v>
      </c>
      <c r="D1368" s="777">
        <v>200</v>
      </c>
    </row>
    <row r="1369" spans="1:4" x14ac:dyDescent="0.2">
      <c r="A1369" s="521">
        <v>44281</v>
      </c>
      <c r="B1369" s="497">
        <f t="shared" si="9"/>
        <v>424641.64</v>
      </c>
      <c r="C1369" s="776">
        <v>424441.64</v>
      </c>
      <c r="D1369" s="777">
        <v>200</v>
      </c>
    </row>
    <row r="1370" spans="1:4" x14ac:dyDescent="0.2">
      <c r="A1370" s="521">
        <v>44284</v>
      </c>
      <c r="B1370" s="497">
        <f t="shared" si="9"/>
        <v>527059.86</v>
      </c>
      <c r="C1370" s="776">
        <v>526859.86</v>
      </c>
      <c r="D1370" s="777">
        <v>200</v>
      </c>
    </row>
    <row r="1371" spans="1:4" x14ac:dyDescent="0.2">
      <c r="A1371" s="521">
        <v>44285</v>
      </c>
      <c r="B1371" s="497">
        <f t="shared" si="9"/>
        <v>552226.89</v>
      </c>
      <c r="C1371" s="776">
        <v>552026.89</v>
      </c>
      <c r="D1371" s="777">
        <v>200</v>
      </c>
    </row>
    <row r="1372" spans="1:4" x14ac:dyDescent="0.2">
      <c r="A1372" s="521">
        <v>44286</v>
      </c>
      <c r="B1372" s="497">
        <f t="shared" si="9"/>
        <v>552439.89</v>
      </c>
      <c r="C1372" s="776">
        <v>552239.89</v>
      </c>
      <c r="D1372" s="777">
        <v>200</v>
      </c>
    </row>
    <row r="1373" spans="1:4" x14ac:dyDescent="0.2">
      <c r="A1373" s="521">
        <v>44287</v>
      </c>
      <c r="B1373" s="497">
        <f t="shared" si="9"/>
        <v>552439.89</v>
      </c>
      <c r="C1373" s="776">
        <v>552239.89</v>
      </c>
      <c r="D1373" s="777">
        <v>200</v>
      </c>
    </row>
    <row r="1374" spans="1:4" x14ac:dyDescent="0.2">
      <c r="A1374" s="521">
        <v>44288</v>
      </c>
      <c r="B1374" s="497">
        <f t="shared" si="9"/>
        <v>552129.82999999996</v>
      </c>
      <c r="C1374" s="776">
        <v>551929.82999999996</v>
      </c>
      <c r="D1374" s="777">
        <v>200</v>
      </c>
    </row>
    <row r="1375" spans="1:4" x14ac:dyDescent="0.2">
      <c r="A1375" s="521">
        <v>44291</v>
      </c>
      <c r="B1375" s="497">
        <f t="shared" si="9"/>
        <v>552130</v>
      </c>
      <c r="C1375" s="776">
        <v>551930</v>
      </c>
      <c r="D1375" s="777">
        <v>200</v>
      </c>
    </row>
    <row r="1376" spans="1:4" x14ac:dyDescent="0.2">
      <c r="A1376" s="521">
        <v>44292</v>
      </c>
      <c r="B1376" s="497">
        <f t="shared" si="9"/>
        <v>552377.82999999996</v>
      </c>
      <c r="C1376" s="776">
        <v>552177.82999999996</v>
      </c>
      <c r="D1376" s="777">
        <v>200</v>
      </c>
    </row>
    <row r="1377" spans="1:4" x14ac:dyDescent="0.2">
      <c r="A1377" s="521">
        <v>44293</v>
      </c>
      <c r="B1377" s="497">
        <f t="shared" si="9"/>
        <v>552378</v>
      </c>
      <c r="C1377" s="776">
        <v>552178</v>
      </c>
      <c r="D1377" s="777">
        <v>200</v>
      </c>
    </row>
    <row r="1378" spans="1:4" x14ac:dyDescent="0.2">
      <c r="A1378" s="521">
        <v>44294</v>
      </c>
      <c r="B1378" s="557">
        <f t="shared" si="9"/>
        <v>553005.37</v>
      </c>
      <c r="C1378" s="776">
        <v>552805.37</v>
      </c>
      <c r="D1378" s="777">
        <v>200</v>
      </c>
    </row>
    <row r="1379" spans="1:4" x14ac:dyDescent="0.2">
      <c r="A1379" s="521">
        <v>44295</v>
      </c>
      <c r="B1379" s="497">
        <f t="shared" si="9"/>
        <v>553005</v>
      </c>
      <c r="C1379" s="776">
        <v>552805</v>
      </c>
      <c r="D1379" s="777">
        <v>200</v>
      </c>
    </row>
    <row r="1380" spans="1:4" x14ac:dyDescent="0.2">
      <c r="A1380" s="521">
        <v>44298</v>
      </c>
      <c r="B1380" s="497">
        <f t="shared" si="9"/>
        <v>536104.62</v>
      </c>
      <c r="C1380" s="776">
        <v>535904.62</v>
      </c>
      <c r="D1380" s="777">
        <v>200</v>
      </c>
    </row>
    <row r="1381" spans="1:4" x14ac:dyDescent="0.2">
      <c r="A1381" s="521">
        <v>44299</v>
      </c>
      <c r="B1381" s="497">
        <f t="shared" si="9"/>
        <v>503475.62</v>
      </c>
      <c r="C1381" s="776">
        <v>503275.62</v>
      </c>
      <c r="D1381" s="777">
        <v>200</v>
      </c>
    </row>
    <row r="1382" spans="1:4" x14ac:dyDescent="0.2">
      <c r="A1382" s="521">
        <v>44300</v>
      </c>
      <c r="B1382" s="497">
        <f t="shared" si="9"/>
        <v>515272.72</v>
      </c>
      <c r="C1382" s="776">
        <v>515072.72</v>
      </c>
      <c r="D1382" s="777">
        <v>200</v>
      </c>
    </row>
    <row r="1383" spans="1:4" x14ac:dyDescent="0.2">
      <c r="A1383" s="521">
        <v>44301</v>
      </c>
      <c r="B1383" s="497">
        <f t="shared" si="9"/>
        <v>519939.48</v>
      </c>
      <c r="C1383" s="776">
        <v>519739.48</v>
      </c>
      <c r="D1383" s="777">
        <v>200</v>
      </c>
    </row>
    <row r="1384" spans="1:4" x14ac:dyDescent="0.2">
      <c r="A1384" s="521">
        <v>44302</v>
      </c>
      <c r="B1384" s="497">
        <f t="shared" si="9"/>
        <v>518569.61</v>
      </c>
      <c r="C1384" s="776">
        <v>518369.61</v>
      </c>
      <c r="D1384" s="777">
        <v>200</v>
      </c>
    </row>
    <row r="1385" spans="1:4" x14ac:dyDescent="0.2">
      <c r="A1385" s="521">
        <v>44305</v>
      </c>
      <c r="B1385" s="497">
        <f t="shared" si="9"/>
        <v>518755.61</v>
      </c>
      <c r="C1385" s="776">
        <v>518555.61</v>
      </c>
      <c r="D1385" s="777">
        <v>200</v>
      </c>
    </row>
    <row r="1386" spans="1:4" x14ac:dyDescent="0.2">
      <c r="A1386" s="521">
        <v>44306</v>
      </c>
      <c r="B1386" s="497">
        <f t="shared" si="9"/>
        <v>518755.61</v>
      </c>
      <c r="C1386" s="776">
        <v>518555.61</v>
      </c>
      <c r="D1386" s="777">
        <v>200</v>
      </c>
    </row>
    <row r="1387" spans="1:4" x14ac:dyDescent="0.2">
      <c r="A1387" s="521">
        <v>44307</v>
      </c>
      <c r="B1387" s="497">
        <f t="shared" si="9"/>
        <v>518755.61</v>
      </c>
      <c r="C1387" s="776">
        <v>518555.61</v>
      </c>
      <c r="D1387" s="777">
        <v>200</v>
      </c>
    </row>
    <row r="1388" spans="1:4" x14ac:dyDescent="0.2">
      <c r="A1388" s="521">
        <v>44308</v>
      </c>
      <c r="B1388" s="497">
        <f t="shared" si="9"/>
        <v>507528.36</v>
      </c>
      <c r="C1388" s="776">
        <v>507328.36</v>
      </c>
      <c r="D1388" s="777">
        <v>200</v>
      </c>
    </row>
    <row r="1389" spans="1:4" x14ac:dyDescent="0.2">
      <c r="A1389" s="521">
        <v>44309</v>
      </c>
      <c r="B1389" s="497">
        <f t="shared" si="9"/>
        <v>506769.51</v>
      </c>
      <c r="C1389" s="776">
        <v>506569.51</v>
      </c>
      <c r="D1389" s="777">
        <v>200</v>
      </c>
    </row>
    <row r="1390" spans="1:4" x14ac:dyDescent="0.2">
      <c r="A1390" s="521">
        <v>44312</v>
      </c>
      <c r="B1390" s="497">
        <f t="shared" si="9"/>
        <v>506770</v>
      </c>
      <c r="C1390" s="776">
        <v>506570</v>
      </c>
      <c r="D1390" s="777">
        <v>200</v>
      </c>
    </row>
    <row r="1391" spans="1:4" x14ac:dyDescent="0.2">
      <c r="A1391" s="521">
        <v>44313</v>
      </c>
      <c r="B1391" s="497">
        <f t="shared" ref="B1391:B1454" si="10">C1391+D1391</f>
        <v>473061.43</v>
      </c>
      <c r="C1391" s="776">
        <v>472861.43</v>
      </c>
      <c r="D1391" s="777">
        <v>200</v>
      </c>
    </row>
    <row r="1392" spans="1:4" x14ac:dyDescent="0.2">
      <c r="A1392" s="521">
        <v>44314</v>
      </c>
      <c r="B1392" s="497">
        <f t="shared" si="10"/>
        <v>479261.62</v>
      </c>
      <c r="C1392" s="776">
        <v>479061.62</v>
      </c>
      <c r="D1392" s="777">
        <v>200</v>
      </c>
    </row>
    <row r="1393" spans="1:4" x14ac:dyDescent="0.2">
      <c r="A1393" s="521">
        <v>44315</v>
      </c>
      <c r="B1393" s="497">
        <f t="shared" si="10"/>
        <v>478222.46</v>
      </c>
      <c r="C1393" s="776">
        <v>478022.46</v>
      </c>
      <c r="D1393" s="777">
        <v>200</v>
      </c>
    </row>
    <row r="1394" spans="1:4" x14ac:dyDescent="0.2">
      <c r="A1394" s="521">
        <v>44316</v>
      </c>
      <c r="B1394" s="497">
        <f t="shared" si="10"/>
        <v>477922.01</v>
      </c>
      <c r="C1394" s="776">
        <v>477722.01</v>
      </c>
      <c r="D1394" s="777">
        <v>200</v>
      </c>
    </row>
    <row r="1395" spans="1:4" x14ac:dyDescent="0.2">
      <c r="A1395" s="521">
        <v>44319</v>
      </c>
      <c r="B1395" s="497">
        <f t="shared" si="10"/>
        <v>477922.01</v>
      </c>
      <c r="C1395" s="776">
        <v>477722.01</v>
      </c>
      <c r="D1395" s="777">
        <v>200</v>
      </c>
    </row>
    <row r="1396" spans="1:4" x14ac:dyDescent="0.2">
      <c r="A1396" s="521">
        <v>44320</v>
      </c>
      <c r="B1396" s="497">
        <f t="shared" si="10"/>
        <v>477922.01</v>
      </c>
      <c r="C1396" s="776">
        <v>477722.01</v>
      </c>
      <c r="D1396" s="777">
        <v>200</v>
      </c>
    </row>
    <row r="1397" spans="1:4" x14ac:dyDescent="0.2">
      <c r="A1397" s="521">
        <v>44321</v>
      </c>
      <c r="B1397" s="497">
        <f t="shared" si="10"/>
        <v>477922.01</v>
      </c>
      <c r="C1397" s="776">
        <v>477722.01</v>
      </c>
      <c r="D1397" s="777">
        <v>200</v>
      </c>
    </row>
    <row r="1398" spans="1:4" x14ac:dyDescent="0.2">
      <c r="A1398" s="521">
        <v>44322</v>
      </c>
      <c r="B1398" s="497">
        <f t="shared" si="10"/>
        <v>477922.01</v>
      </c>
      <c r="C1398" s="776">
        <v>477722.01</v>
      </c>
      <c r="D1398" s="777">
        <v>200</v>
      </c>
    </row>
    <row r="1399" spans="1:4" x14ac:dyDescent="0.2">
      <c r="A1399" s="521">
        <v>44323</v>
      </c>
      <c r="B1399" s="497">
        <f t="shared" si="10"/>
        <v>463576.89</v>
      </c>
      <c r="C1399" s="776">
        <v>463376.89</v>
      </c>
      <c r="D1399" s="777">
        <v>200</v>
      </c>
    </row>
    <row r="1400" spans="1:4" x14ac:dyDescent="0.2">
      <c r="A1400" s="521">
        <v>44326</v>
      </c>
      <c r="B1400" s="497">
        <f t="shared" si="10"/>
        <v>473954.09</v>
      </c>
      <c r="C1400" s="776">
        <v>473754.09</v>
      </c>
      <c r="D1400" s="777">
        <v>200</v>
      </c>
    </row>
    <row r="1401" spans="1:4" x14ac:dyDescent="0.2">
      <c r="A1401" s="521">
        <v>44327</v>
      </c>
      <c r="B1401" s="497">
        <f t="shared" si="10"/>
        <v>520561.7</v>
      </c>
      <c r="C1401" s="776">
        <v>520361.7</v>
      </c>
      <c r="D1401" s="777">
        <v>200</v>
      </c>
    </row>
    <row r="1402" spans="1:4" x14ac:dyDescent="0.2">
      <c r="A1402" s="521">
        <v>44328</v>
      </c>
      <c r="B1402" s="497">
        <f t="shared" si="10"/>
        <v>520562</v>
      </c>
      <c r="C1402" s="776">
        <v>520362</v>
      </c>
      <c r="D1402" s="777">
        <v>200</v>
      </c>
    </row>
    <row r="1403" spans="1:4" x14ac:dyDescent="0.2">
      <c r="A1403" s="521">
        <v>44329</v>
      </c>
      <c r="B1403" s="497">
        <f t="shared" si="10"/>
        <v>525995.02</v>
      </c>
      <c r="C1403" s="776">
        <v>525795.02</v>
      </c>
      <c r="D1403" s="777">
        <v>200</v>
      </c>
    </row>
    <row r="1404" spans="1:4" x14ac:dyDescent="0.2">
      <c r="A1404" s="521">
        <v>44330</v>
      </c>
      <c r="B1404" s="497">
        <f t="shared" si="10"/>
        <v>521947.98</v>
      </c>
      <c r="C1404" s="776">
        <v>521747.98</v>
      </c>
      <c r="D1404" s="777">
        <v>200</v>
      </c>
    </row>
    <row r="1405" spans="1:4" x14ac:dyDescent="0.2">
      <c r="A1405" s="521">
        <v>44333</v>
      </c>
      <c r="B1405" s="497">
        <f t="shared" si="10"/>
        <v>521948</v>
      </c>
      <c r="C1405" s="776">
        <v>521748</v>
      </c>
      <c r="D1405" s="777">
        <v>200</v>
      </c>
    </row>
    <row r="1406" spans="1:4" x14ac:dyDescent="0.2">
      <c r="A1406" s="521">
        <v>44334</v>
      </c>
      <c r="B1406" s="497">
        <f t="shared" si="10"/>
        <v>521948</v>
      </c>
      <c r="C1406" s="776">
        <v>521748</v>
      </c>
      <c r="D1406" s="777">
        <v>200</v>
      </c>
    </row>
    <row r="1407" spans="1:4" x14ac:dyDescent="0.2">
      <c r="A1407" s="521">
        <v>44335</v>
      </c>
      <c r="B1407" s="497">
        <f t="shared" si="10"/>
        <v>522186.98</v>
      </c>
      <c r="C1407" s="776">
        <v>521986.98</v>
      </c>
      <c r="D1407" s="777">
        <v>200</v>
      </c>
    </row>
    <row r="1408" spans="1:4" x14ac:dyDescent="0.2">
      <c r="A1408" s="521">
        <v>44336</v>
      </c>
      <c r="B1408" s="497">
        <f t="shared" si="10"/>
        <v>518466.54</v>
      </c>
      <c r="C1408" s="776">
        <v>518266.54</v>
      </c>
      <c r="D1408" s="777">
        <v>200</v>
      </c>
    </row>
    <row r="1409" spans="1:4" x14ac:dyDescent="0.2">
      <c r="A1409" s="521">
        <v>44337</v>
      </c>
      <c r="B1409" s="497">
        <f t="shared" si="10"/>
        <v>518467</v>
      </c>
      <c r="C1409" s="776">
        <v>518267</v>
      </c>
      <c r="D1409" s="777">
        <v>200</v>
      </c>
    </row>
    <row r="1410" spans="1:4" x14ac:dyDescent="0.2">
      <c r="A1410" s="521">
        <v>44340</v>
      </c>
      <c r="B1410" s="497">
        <f t="shared" si="10"/>
        <v>486541.35</v>
      </c>
      <c r="C1410" s="776">
        <v>486341.35</v>
      </c>
      <c r="D1410" s="777">
        <v>200</v>
      </c>
    </row>
    <row r="1411" spans="1:4" x14ac:dyDescent="0.2">
      <c r="A1411" s="521">
        <v>44341</v>
      </c>
      <c r="B1411" s="497">
        <f t="shared" si="10"/>
        <v>486541</v>
      </c>
      <c r="C1411" s="776">
        <v>486341</v>
      </c>
      <c r="D1411" s="777">
        <v>200</v>
      </c>
    </row>
    <row r="1412" spans="1:4" x14ac:dyDescent="0.2">
      <c r="A1412" s="521">
        <v>44342</v>
      </c>
      <c r="B1412" s="497">
        <f t="shared" si="10"/>
        <v>512462.15</v>
      </c>
      <c r="C1412" s="776">
        <v>512262.15</v>
      </c>
      <c r="D1412" s="777">
        <v>200</v>
      </c>
    </row>
    <row r="1413" spans="1:4" x14ac:dyDescent="0.2">
      <c r="A1413" s="521">
        <v>44343</v>
      </c>
      <c r="B1413" s="497">
        <f t="shared" si="10"/>
        <v>512462</v>
      </c>
      <c r="C1413" s="776">
        <v>512262</v>
      </c>
      <c r="D1413" s="777">
        <v>200</v>
      </c>
    </row>
    <row r="1414" spans="1:4" x14ac:dyDescent="0.2">
      <c r="A1414" s="521">
        <v>44344</v>
      </c>
      <c r="B1414" s="497">
        <f t="shared" si="10"/>
        <v>513609.04</v>
      </c>
      <c r="C1414" s="776">
        <v>513409.04</v>
      </c>
      <c r="D1414" s="777">
        <v>200</v>
      </c>
    </row>
    <row r="1415" spans="1:4" x14ac:dyDescent="0.2">
      <c r="A1415" s="521">
        <v>44347</v>
      </c>
      <c r="B1415" s="497">
        <f t="shared" si="10"/>
        <v>513609</v>
      </c>
      <c r="C1415" s="776">
        <v>513409</v>
      </c>
      <c r="D1415" s="777">
        <v>200</v>
      </c>
    </row>
    <row r="1416" spans="1:4" x14ac:dyDescent="0.2">
      <c r="A1416" s="521">
        <v>44348</v>
      </c>
      <c r="B1416" s="497">
        <f t="shared" si="10"/>
        <v>513579.05</v>
      </c>
      <c r="C1416" s="776">
        <v>513379.05</v>
      </c>
      <c r="D1416" s="777">
        <v>200</v>
      </c>
    </row>
    <row r="1417" spans="1:4" x14ac:dyDescent="0.2">
      <c r="A1417" s="521">
        <v>44349</v>
      </c>
      <c r="B1417" s="497">
        <f t="shared" si="10"/>
        <v>514399.44</v>
      </c>
      <c r="C1417" s="776">
        <v>514199.44</v>
      </c>
      <c r="D1417" s="777">
        <v>200</v>
      </c>
    </row>
    <row r="1418" spans="1:4" x14ac:dyDescent="0.2">
      <c r="A1418" s="521">
        <v>44350</v>
      </c>
      <c r="B1418" s="497">
        <f t="shared" si="10"/>
        <v>501741.57</v>
      </c>
      <c r="C1418" s="776">
        <v>501541.57</v>
      </c>
      <c r="D1418" s="777">
        <v>200</v>
      </c>
    </row>
    <row r="1419" spans="1:4" x14ac:dyDescent="0.2">
      <c r="A1419" s="521">
        <v>44351</v>
      </c>
      <c r="B1419" s="497">
        <f t="shared" si="10"/>
        <v>501742</v>
      </c>
      <c r="C1419" s="776">
        <v>501542</v>
      </c>
      <c r="D1419" s="777">
        <v>200</v>
      </c>
    </row>
    <row r="1420" spans="1:4" x14ac:dyDescent="0.2">
      <c r="A1420" s="521">
        <v>44354</v>
      </c>
      <c r="B1420" s="497">
        <f t="shared" si="10"/>
        <v>502500.51</v>
      </c>
      <c r="C1420" s="776">
        <v>502300.51</v>
      </c>
      <c r="D1420" s="777">
        <v>200</v>
      </c>
    </row>
    <row r="1421" spans="1:4" x14ac:dyDescent="0.2">
      <c r="A1421" s="521">
        <v>44355</v>
      </c>
      <c r="B1421" s="497">
        <f t="shared" si="10"/>
        <v>502953.51</v>
      </c>
      <c r="C1421" s="776">
        <v>502753.51</v>
      </c>
      <c r="D1421" s="777">
        <v>200</v>
      </c>
    </row>
    <row r="1422" spans="1:4" x14ac:dyDescent="0.2">
      <c r="A1422" s="521">
        <v>44356</v>
      </c>
      <c r="B1422" s="497">
        <f t="shared" si="10"/>
        <v>502954</v>
      </c>
      <c r="C1422" s="776">
        <v>502754</v>
      </c>
      <c r="D1422" s="777">
        <v>200</v>
      </c>
    </row>
    <row r="1423" spans="1:4" x14ac:dyDescent="0.2">
      <c r="A1423" s="521">
        <v>44357</v>
      </c>
      <c r="B1423" s="497">
        <f t="shared" si="10"/>
        <v>483592.4</v>
      </c>
      <c r="C1423" s="776">
        <v>483392.4</v>
      </c>
      <c r="D1423" s="777">
        <v>200</v>
      </c>
    </row>
    <row r="1424" spans="1:4" x14ac:dyDescent="0.2">
      <c r="A1424" s="521">
        <v>44358</v>
      </c>
      <c r="B1424" s="497">
        <f t="shared" si="10"/>
        <v>483291.95</v>
      </c>
      <c r="C1424" s="776">
        <v>483091.95</v>
      </c>
      <c r="D1424" s="777">
        <v>200</v>
      </c>
    </row>
    <row r="1425" spans="1:4" x14ac:dyDescent="0.2">
      <c r="A1425" s="521">
        <v>44361</v>
      </c>
      <c r="B1425" s="497">
        <f t="shared" si="10"/>
        <v>495768.59</v>
      </c>
      <c r="C1425" s="776">
        <v>495568.59</v>
      </c>
      <c r="D1425" s="777">
        <v>200</v>
      </c>
    </row>
    <row r="1426" spans="1:4" x14ac:dyDescent="0.2">
      <c r="A1426" s="521">
        <v>44362</v>
      </c>
      <c r="B1426" s="497">
        <f t="shared" si="10"/>
        <v>495822.72</v>
      </c>
      <c r="C1426" s="776">
        <v>495622.72</v>
      </c>
      <c r="D1426" s="777">
        <v>200</v>
      </c>
    </row>
    <row r="1427" spans="1:4" x14ac:dyDescent="0.2">
      <c r="A1427" s="521">
        <v>44363</v>
      </c>
      <c r="B1427" s="497">
        <f t="shared" si="10"/>
        <v>520028.1</v>
      </c>
      <c r="C1427" s="776">
        <v>519828.1</v>
      </c>
      <c r="D1427" s="777">
        <v>200</v>
      </c>
    </row>
    <row r="1428" spans="1:4" x14ac:dyDescent="0.2">
      <c r="A1428" s="521">
        <v>44364</v>
      </c>
      <c r="B1428" s="497">
        <f t="shared" si="10"/>
        <v>517161.8</v>
      </c>
      <c r="C1428" s="776">
        <v>516961.8</v>
      </c>
      <c r="D1428" s="777">
        <v>200</v>
      </c>
    </row>
    <row r="1429" spans="1:4" x14ac:dyDescent="0.2">
      <c r="A1429" s="521">
        <v>44365</v>
      </c>
      <c r="B1429" s="497">
        <f t="shared" si="10"/>
        <v>518094.91</v>
      </c>
      <c r="C1429" s="776">
        <v>517894.91</v>
      </c>
      <c r="D1429" s="777">
        <v>200</v>
      </c>
    </row>
    <row r="1430" spans="1:4" x14ac:dyDescent="0.2">
      <c r="A1430" s="521">
        <v>44368</v>
      </c>
      <c r="B1430" s="497">
        <f t="shared" si="10"/>
        <v>484042.38</v>
      </c>
      <c r="C1430" s="776">
        <v>483842.38</v>
      </c>
      <c r="D1430" s="777">
        <v>200</v>
      </c>
    </row>
    <row r="1431" spans="1:4" x14ac:dyDescent="0.2">
      <c r="A1431" s="521">
        <v>44369</v>
      </c>
      <c r="B1431" s="497">
        <f t="shared" si="10"/>
        <v>497746.99</v>
      </c>
      <c r="C1431" s="776">
        <v>497546.99</v>
      </c>
      <c r="D1431" s="777">
        <v>200</v>
      </c>
    </row>
    <row r="1432" spans="1:4" x14ac:dyDescent="0.2">
      <c r="A1432" s="521">
        <v>44370</v>
      </c>
      <c r="B1432" s="497">
        <f t="shared" si="10"/>
        <v>497747</v>
      </c>
      <c r="C1432" s="776">
        <v>497547</v>
      </c>
      <c r="D1432" s="777">
        <v>200</v>
      </c>
    </row>
    <row r="1433" spans="1:4" x14ac:dyDescent="0.2">
      <c r="A1433" s="521">
        <v>44371</v>
      </c>
      <c r="B1433" s="497">
        <f t="shared" si="10"/>
        <v>495381.8</v>
      </c>
      <c r="C1433" s="776">
        <v>495181.8</v>
      </c>
      <c r="D1433" s="777">
        <v>200</v>
      </c>
    </row>
    <row r="1434" spans="1:4" x14ac:dyDescent="0.2">
      <c r="A1434" s="521">
        <v>44372</v>
      </c>
      <c r="B1434" s="497">
        <f t="shared" si="10"/>
        <v>495081.35</v>
      </c>
      <c r="C1434" s="776">
        <v>494881.35</v>
      </c>
      <c r="D1434" s="777">
        <v>200</v>
      </c>
    </row>
    <row r="1435" spans="1:4" x14ac:dyDescent="0.2">
      <c r="A1435" s="521">
        <v>44375</v>
      </c>
      <c r="B1435" s="497">
        <f t="shared" si="10"/>
        <v>495055.65</v>
      </c>
      <c r="C1435" s="776">
        <v>494855.65</v>
      </c>
      <c r="D1435" s="777">
        <v>200</v>
      </c>
    </row>
    <row r="1436" spans="1:4" x14ac:dyDescent="0.2">
      <c r="A1436" s="521">
        <v>44376</v>
      </c>
      <c r="B1436" s="497">
        <f t="shared" si="10"/>
        <v>495056</v>
      </c>
      <c r="C1436" s="776">
        <v>494856</v>
      </c>
      <c r="D1436" s="777">
        <v>200</v>
      </c>
    </row>
    <row r="1437" spans="1:4" x14ac:dyDescent="0.2">
      <c r="A1437" s="521">
        <v>44377</v>
      </c>
      <c r="B1437" s="497">
        <f t="shared" si="10"/>
        <v>497588.94</v>
      </c>
      <c r="C1437" s="776">
        <v>497388.94</v>
      </c>
      <c r="D1437" s="777">
        <v>200</v>
      </c>
    </row>
    <row r="1438" spans="1:4" x14ac:dyDescent="0.2">
      <c r="A1438" s="521">
        <v>44378</v>
      </c>
      <c r="B1438" s="497">
        <f t="shared" si="10"/>
        <v>488300.76</v>
      </c>
      <c r="C1438" s="776">
        <v>488100.76</v>
      </c>
      <c r="D1438" s="777">
        <v>200</v>
      </c>
    </row>
    <row r="1439" spans="1:4" x14ac:dyDescent="0.2">
      <c r="A1439" s="521">
        <v>44379</v>
      </c>
      <c r="B1439" s="497">
        <f t="shared" si="10"/>
        <v>488301</v>
      </c>
      <c r="C1439" s="776">
        <v>488101</v>
      </c>
      <c r="D1439" s="777">
        <v>200</v>
      </c>
    </row>
    <row r="1440" spans="1:4" x14ac:dyDescent="0.2">
      <c r="A1440" s="521">
        <v>44382</v>
      </c>
      <c r="B1440" s="497">
        <f t="shared" si="10"/>
        <v>488301</v>
      </c>
      <c r="C1440" s="776">
        <v>488101</v>
      </c>
      <c r="D1440" s="777">
        <v>200</v>
      </c>
    </row>
    <row r="1441" spans="1:4" x14ac:dyDescent="0.2">
      <c r="A1441" s="521">
        <v>44383</v>
      </c>
      <c r="B1441" s="497">
        <f t="shared" si="10"/>
        <v>453460.75</v>
      </c>
      <c r="C1441" s="776">
        <v>453260.75</v>
      </c>
      <c r="D1441" s="777">
        <v>200</v>
      </c>
    </row>
    <row r="1442" spans="1:4" x14ac:dyDescent="0.2">
      <c r="A1442" s="521">
        <v>44384</v>
      </c>
      <c r="B1442" s="497">
        <f t="shared" si="10"/>
        <v>453461</v>
      </c>
      <c r="C1442" s="776">
        <v>453261</v>
      </c>
      <c r="D1442" s="777">
        <v>200</v>
      </c>
    </row>
    <row r="1443" spans="1:4" x14ac:dyDescent="0.2">
      <c r="A1443" s="521">
        <v>44385</v>
      </c>
      <c r="B1443" s="497">
        <f t="shared" si="10"/>
        <v>453914.75</v>
      </c>
      <c r="C1443" s="776">
        <v>453714.75</v>
      </c>
      <c r="D1443" s="777">
        <v>200</v>
      </c>
    </row>
    <row r="1444" spans="1:4" x14ac:dyDescent="0.2">
      <c r="A1444" s="521">
        <v>44386</v>
      </c>
      <c r="B1444" s="497">
        <f t="shared" si="10"/>
        <v>451808.36</v>
      </c>
      <c r="C1444" s="776">
        <v>451608.36</v>
      </c>
      <c r="D1444" s="777">
        <v>200</v>
      </c>
    </row>
    <row r="1445" spans="1:4" x14ac:dyDescent="0.2">
      <c r="A1445" s="521">
        <v>44389</v>
      </c>
      <c r="B1445" s="497">
        <f t="shared" si="10"/>
        <v>451808</v>
      </c>
      <c r="C1445" s="776">
        <v>451608</v>
      </c>
      <c r="D1445" s="777">
        <v>200</v>
      </c>
    </row>
    <row r="1446" spans="1:4" x14ac:dyDescent="0.2">
      <c r="A1446" s="521">
        <v>44390</v>
      </c>
      <c r="B1446" s="497">
        <f t="shared" si="10"/>
        <v>452941.65</v>
      </c>
      <c r="C1446" s="776">
        <v>452741.65</v>
      </c>
      <c r="D1446" s="777">
        <v>200</v>
      </c>
    </row>
    <row r="1447" spans="1:4" x14ac:dyDescent="0.2">
      <c r="A1447" s="521">
        <v>44391</v>
      </c>
      <c r="B1447" s="497">
        <f t="shared" si="10"/>
        <v>453131.97</v>
      </c>
      <c r="C1447" s="776">
        <v>452931.97</v>
      </c>
      <c r="D1447" s="777">
        <v>200</v>
      </c>
    </row>
    <row r="1448" spans="1:4" x14ac:dyDescent="0.2">
      <c r="A1448" s="521">
        <v>44392</v>
      </c>
      <c r="B1448" s="497">
        <f t="shared" si="10"/>
        <v>453180.49</v>
      </c>
      <c r="C1448" s="776">
        <v>452980.49</v>
      </c>
      <c r="D1448" s="777">
        <v>200</v>
      </c>
    </row>
    <row r="1449" spans="1:4" x14ac:dyDescent="0.2">
      <c r="A1449" s="521">
        <v>44393</v>
      </c>
      <c r="B1449" s="497">
        <f t="shared" si="10"/>
        <v>453180</v>
      </c>
      <c r="C1449" s="776">
        <v>452980</v>
      </c>
      <c r="D1449" s="777">
        <v>200</v>
      </c>
    </row>
    <row r="1450" spans="1:4" x14ac:dyDescent="0.2">
      <c r="A1450" s="521">
        <v>44396</v>
      </c>
      <c r="B1450" s="497">
        <f t="shared" si="10"/>
        <v>436299.85</v>
      </c>
      <c r="C1450" s="776">
        <v>436099.85</v>
      </c>
      <c r="D1450" s="777">
        <v>200</v>
      </c>
    </row>
    <row r="1451" spans="1:4" x14ac:dyDescent="0.2">
      <c r="A1451" s="521">
        <v>44397</v>
      </c>
      <c r="B1451" s="497">
        <f t="shared" si="10"/>
        <v>400936.9</v>
      </c>
      <c r="C1451" s="776">
        <v>400736.9</v>
      </c>
      <c r="D1451" s="777">
        <v>200</v>
      </c>
    </row>
    <row r="1452" spans="1:4" x14ac:dyDescent="0.2">
      <c r="A1452" s="521">
        <v>44398</v>
      </c>
      <c r="B1452" s="497">
        <f t="shared" si="10"/>
        <v>400937</v>
      </c>
      <c r="C1452" s="776">
        <v>400737</v>
      </c>
      <c r="D1452" s="777">
        <v>200</v>
      </c>
    </row>
    <row r="1453" spans="1:4" x14ac:dyDescent="0.2">
      <c r="A1453" s="521">
        <v>44399</v>
      </c>
      <c r="B1453" s="497">
        <f t="shared" si="10"/>
        <v>298716.2</v>
      </c>
      <c r="C1453" s="776">
        <v>298516.2</v>
      </c>
      <c r="D1453" s="777">
        <v>200</v>
      </c>
    </row>
    <row r="1454" spans="1:4" x14ac:dyDescent="0.2">
      <c r="A1454" s="521">
        <v>44400</v>
      </c>
      <c r="B1454" s="497">
        <f t="shared" si="10"/>
        <v>298557.34999999998</v>
      </c>
      <c r="C1454" s="776">
        <v>298357.34999999998</v>
      </c>
      <c r="D1454" s="777">
        <v>200</v>
      </c>
    </row>
    <row r="1455" spans="1:4" x14ac:dyDescent="0.2">
      <c r="A1455" s="521">
        <v>44403</v>
      </c>
      <c r="B1455" s="497">
        <f t="shared" ref="B1455:B1456" si="11">C1455+D1455</f>
        <v>298557</v>
      </c>
      <c r="C1455" s="776">
        <v>298357</v>
      </c>
      <c r="D1455" s="777">
        <v>200</v>
      </c>
    </row>
    <row r="1456" spans="1:4" x14ac:dyDescent="0.2">
      <c r="A1456" s="521">
        <v>44404</v>
      </c>
      <c r="B1456" s="497">
        <f t="shared" si="11"/>
        <v>298557</v>
      </c>
      <c r="C1456" s="776">
        <v>298357</v>
      </c>
      <c r="D1456" s="777">
        <v>200</v>
      </c>
    </row>
    <row r="1457" spans="1:2" x14ac:dyDescent="0.2">
      <c r="A1457" s="521"/>
    </row>
    <row r="1458" spans="1:2" x14ac:dyDescent="0.2">
      <c r="A1458" s="526" t="s">
        <v>274</v>
      </c>
      <c r="B1458" s="497">
        <f>MAX(B$1309:B1457)</f>
        <v>553005.37</v>
      </c>
    </row>
    <row r="1459" spans="1:2" x14ac:dyDescent="0.2">
      <c r="A1459" s="526" t="s">
        <v>275</v>
      </c>
      <c r="B1459" s="497">
        <f>MIN(B$1309:B1457)</f>
        <v>298557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440</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441</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3" t="s">
        <v>53</v>
      </c>
      <c r="H5" s="883"/>
      <c r="I5" s="883"/>
      <c r="J5" s="883"/>
      <c r="K5" s="883"/>
      <c r="L5" s="418" t="s">
        <v>185</v>
      </c>
      <c r="M5" s="415" t="s">
        <v>197</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774" t="s">
        <v>436</v>
      </c>
      <c r="H7" s="775" t="s">
        <v>437</v>
      </c>
      <c r="I7" s="775" t="s">
        <v>442</v>
      </c>
      <c r="J7" s="775"/>
      <c r="K7" s="774" t="s">
        <v>443</v>
      </c>
      <c r="L7" s="884" t="s">
        <v>444</v>
      </c>
      <c r="M7" s="884"/>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3" t="s">
        <v>105</v>
      </c>
      <c r="D8" s="423"/>
      <c r="E8" s="423"/>
      <c r="F8" s="73"/>
      <c r="G8" s="327">
        <v>360098</v>
      </c>
      <c r="H8" s="327">
        <v>315760.04333000001</v>
      </c>
      <c r="I8" s="327">
        <v>675858.04333000001</v>
      </c>
      <c r="J8" s="327"/>
      <c r="K8" s="264">
        <v>811777</v>
      </c>
      <c r="L8" s="381">
        <v>-135918.95666999999</v>
      </c>
      <c r="M8" s="416">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3" t="s">
        <v>154</v>
      </c>
      <c r="D9" s="423"/>
      <c r="E9" s="423"/>
      <c r="F9" s="73"/>
      <c r="G9" s="323">
        <v>41504</v>
      </c>
      <c r="H9" s="323">
        <v>25300</v>
      </c>
      <c r="I9" s="323">
        <v>66804</v>
      </c>
      <c r="J9" s="323"/>
      <c r="K9" s="265">
        <v>175000</v>
      </c>
      <c r="L9" s="513">
        <v>-108196</v>
      </c>
      <c r="M9" s="416">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3" t="s">
        <v>183</v>
      </c>
      <c r="D10" s="423"/>
      <c r="E10" s="423"/>
      <c r="F10" s="73"/>
      <c r="G10" s="323">
        <v>14147</v>
      </c>
      <c r="H10" s="323">
        <v>24011.0864</v>
      </c>
      <c r="I10" s="323">
        <v>38158.0864</v>
      </c>
      <c r="J10" s="323"/>
      <c r="K10" s="265">
        <v>49619</v>
      </c>
      <c r="L10" s="513">
        <v>-11460.9136</v>
      </c>
      <c r="M10" s="416">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3" t="s">
        <v>106</v>
      </c>
      <c r="D11" s="423"/>
      <c r="E11" s="423"/>
      <c r="F11" s="73"/>
      <c r="G11" s="323"/>
      <c r="H11" s="323"/>
      <c r="I11" s="323">
        <v>0</v>
      </c>
      <c r="J11" s="323"/>
      <c r="K11" s="265"/>
      <c r="L11" s="513"/>
      <c r="M11" s="416"/>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3" t="s">
        <v>143</v>
      </c>
      <c r="E12" s="423"/>
      <c r="F12" s="73"/>
      <c r="G12" s="323">
        <v>103487</v>
      </c>
      <c r="H12" s="323">
        <v>87197.56</v>
      </c>
      <c r="I12" s="323">
        <v>190684.56</v>
      </c>
      <c r="J12" s="323"/>
      <c r="K12" s="265">
        <v>196175</v>
      </c>
      <c r="L12" s="513">
        <v>-5490.4400000000023</v>
      </c>
      <c r="M12" s="416">
        <v>-2.7987460175863399E-2</v>
      </c>
      <c r="N12" s="68"/>
      <c r="O12" s="473"/>
      <c r="P12" s="472"/>
      <c r="Q12" s="472"/>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3" t="s">
        <v>163</v>
      </c>
      <c r="E13" s="423"/>
      <c r="F13" s="73"/>
      <c r="G13" s="323">
        <v>9000</v>
      </c>
      <c r="H13" s="323">
        <v>9000</v>
      </c>
      <c r="I13" s="323">
        <v>18000</v>
      </c>
      <c r="J13" s="323"/>
      <c r="K13" s="265">
        <v>18000</v>
      </c>
      <c r="L13" s="513">
        <v>0</v>
      </c>
      <c r="M13" s="416">
        <v>0</v>
      </c>
      <c r="N13" s="68"/>
      <c r="O13" s="390"/>
      <c r="P13" s="474"/>
      <c r="Q13" s="363"/>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3"/>
      <c r="D14" s="423" t="s">
        <v>432</v>
      </c>
      <c r="E14" s="423"/>
      <c r="F14" s="73"/>
      <c r="G14" s="323">
        <v>48393</v>
      </c>
      <c r="H14" s="323">
        <v>58479.097600000001</v>
      </c>
      <c r="I14" s="323">
        <v>106872.09760000001</v>
      </c>
      <c r="J14" s="323"/>
      <c r="K14" s="265">
        <v>169400</v>
      </c>
      <c r="L14" s="513">
        <v>-62527.902399999992</v>
      </c>
      <c r="M14" s="416">
        <v>-0.36911394569067291</v>
      </c>
      <c r="N14" s="68"/>
      <c r="O14" s="390"/>
      <c r="P14" s="474"/>
      <c r="Q14" s="363"/>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3" t="s">
        <v>387</v>
      </c>
      <c r="D15" s="423"/>
      <c r="E15" s="423"/>
      <c r="F15" s="73"/>
      <c r="G15" s="323">
        <v>5140</v>
      </c>
      <c r="H15" s="323">
        <v>5045</v>
      </c>
      <c r="I15" s="323">
        <v>10185</v>
      </c>
      <c r="J15" s="323"/>
      <c r="K15" s="265">
        <v>17000</v>
      </c>
      <c r="L15" s="513">
        <v>-6815</v>
      </c>
      <c r="M15" s="416">
        <v>-0.40088235294117647</v>
      </c>
      <c r="N15" s="68"/>
      <c r="O15" s="390"/>
      <c r="P15" s="474"/>
      <c r="Q15" s="363"/>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3" t="s">
        <v>114</v>
      </c>
      <c r="D16" s="423"/>
      <c r="E16" s="423"/>
      <c r="F16" s="73"/>
      <c r="G16" s="323">
        <v>701</v>
      </c>
      <c r="H16" s="323">
        <v>592.29</v>
      </c>
      <c r="I16" s="323">
        <v>1293.29</v>
      </c>
      <c r="J16" s="323"/>
      <c r="K16" s="265">
        <v>1200</v>
      </c>
      <c r="L16" s="513">
        <v>93.289999999999964</v>
      </c>
      <c r="M16" s="416">
        <v>7.7741666666666639E-2</v>
      </c>
      <c r="N16" s="68"/>
      <c r="O16" s="390"/>
      <c r="P16" s="474"/>
      <c r="Q16" s="363"/>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3" t="s">
        <v>242</v>
      </c>
      <c r="D17" s="423"/>
      <c r="E17" s="423"/>
      <c r="F17" s="73"/>
      <c r="G17" s="323">
        <v>2152</v>
      </c>
      <c r="H17" s="323">
        <v>1900</v>
      </c>
      <c r="I17" s="323">
        <v>4052</v>
      </c>
      <c r="J17" s="323"/>
      <c r="K17" s="265">
        <v>4200</v>
      </c>
      <c r="L17" s="513">
        <v>-148</v>
      </c>
      <c r="M17" s="416">
        <v>-3.5238095238095235E-2</v>
      </c>
      <c r="N17" s="68"/>
      <c r="O17" s="390"/>
      <c r="P17" s="474"/>
      <c r="Q17" s="3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3" t="s">
        <v>327</v>
      </c>
      <c r="D18" s="423"/>
      <c r="E18" s="423"/>
      <c r="F18" s="73"/>
      <c r="G18" s="323">
        <v>-2942</v>
      </c>
      <c r="H18" s="323">
        <v>0</v>
      </c>
      <c r="I18" s="323">
        <v>-2942</v>
      </c>
      <c r="J18" s="323"/>
      <c r="K18" s="265">
        <v>1500</v>
      </c>
      <c r="L18" s="513">
        <v>-4442</v>
      </c>
      <c r="M18" s="416">
        <v>-2.9613333333333332</v>
      </c>
      <c r="N18" s="68"/>
      <c r="O18" s="390"/>
      <c r="P18" s="474"/>
      <c r="Q18" s="363"/>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3" t="s">
        <v>445</v>
      </c>
      <c r="D19" s="423"/>
      <c r="E19" s="423"/>
      <c r="F19" s="73"/>
      <c r="G19" s="323"/>
      <c r="H19" s="323"/>
      <c r="I19" s="323">
        <v>0</v>
      </c>
      <c r="J19" s="323"/>
      <c r="K19" s="265"/>
      <c r="L19" s="513">
        <v>0</v>
      </c>
      <c r="M19" s="416"/>
      <c r="N19" s="68"/>
      <c r="O19" s="390"/>
      <c r="P19" s="474"/>
      <c r="Q19" s="363"/>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3"/>
      <c r="D20" s="423" t="s">
        <v>11</v>
      </c>
      <c r="E20" s="423"/>
      <c r="F20" s="73"/>
      <c r="G20" s="323">
        <v>15479.72</v>
      </c>
      <c r="H20" s="323">
        <v>16194.880000000001</v>
      </c>
      <c r="I20" s="323">
        <v>31674.6</v>
      </c>
      <c r="J20" s="323"/>
      <c r="K20" s="265">
        <v>29543</v>
      </c>
      <c r="L20" s="513">
        <v>2131.5999999999985</v>
      </c>
      <c r="M20" s="416">
        <v>7.2152455742477015E-2</v>
      </c>
      <c r="N20" s="68"/>
      <c r="O20" s="390"/>
      <c r="P20" s="474"/>
      <c r="Q20" s="3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3"/>
      <c r="D21" s="423" t="s">
        <v>412</v>
      </c>
      <c r="E21" s="423"/>
      <c r="F21" s="423"/>
      <c r="G21" s="323">
        <v>4073</v>
      </c>
      <c r="H21" s="323">
        <v>1960.0200000000002</v>
      </c>
      <c r="I21" s="323">
        <v>6033.02</v>
      </c>
      <c r="J21" s="323"/>
      <c r="K21" s="265">
        <v>5000</v>
      </c>
      <c r="L21" s="513">
        <v>1033.0200000000004</v>
      </c>
      <c r="M21" s="416">
        <v>0.20660400000000009</v>
      </c>
      <c r="N21" s="68"/>
      <c r="O21" s="390"/>
      <c r="P21" s="474"/>
      <c r="Q21" s="363"/>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70"/>
      <c r="D22" s="423" t="s">
        <v>17</v>
      </c>
      <c r="E22" s="770"/>
      <c r="F22" s="770"/>
      <c r="G22" s="323">
        <v>25000</v>
      </c>
      <c r="H22" s="323">
        <v>25000</v>
      </c>
      <c r="I22" s="323">
        <v>50000</v>
      </c>
      <c r="J22" s="323"/>
      <c r="K22" s="265">
        <v>50000</v>
      </c>
      <c r="L22" s="513">
        <v>0</v>
      </c>
      <c r="M22" s="416">
        <v>0</v>
      </c>
      <c r="N22" s="68"/>
      <c r="O22" s="390"/>
      <c r="P22" s="474"/>
      <c r="Q22" s="3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70"/>
      <c r="D23" s="423" t="s">
        <v>446</v>
      </c>
      <c r="E23" s="770"/>
      <c r="F23" s="770"/>
      <c r="G23" s="323">
        <v>15000</v>
      </c>
      <c r="H23" s="323">
        <v>0</v>
      </c>
      <c r="I23" s="323">
        <v>15000</v>
      </c>
      <c r="J23" s="323"/>
      <c r="K23" s="265">
        <v>0</v>
      </c>
      <c r="L23" s="513">
        <v>15000</v>
      </c>
      <c r="M23" s="416"/>
      <c r="N23" s="68"/>
      <c r="O23" s="390"/>
      <c r="P23" s="474"/>
      <c r="Q23" s="3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70"/>
      <c r="D24" s="423" t="s">
        <v>447</v>
      </c>
      <c r="E24" s="770"/>
      <c r="F24" s="770"/>
      <c r="G24" s="323">
        <v>5488</v>
      </c>
      <c r="H24" s="323">
        <v>0</v>
      </c>
      <c r="I24" s="323">
        <v>5488</v>
      </c>
      <c r="J24" s="323"/>
      <c r="K24" s="265">
        <v>0</v>
      </c>
      <c r="L24" s="513">
        <v>5488</v>
      </c>
      <c r="M24" s="416"/>
      <c r="N24" s="68"/>
      <c r="O24" s="390"/>
      <c r="P24" s="474"/>
      <c r="Q24" s="3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3" t="s">
        <v>329</v>
      </c>
      <c r="D25" s="770"/>
      <c r="E25" s="770"/>
      <c r="F25" s="770"/>
      <c r="G25" s="323">
        <v>0</v>
      </c>
      <c r="H25" s="323">
        <v>0</v>
      </c>
      <c r="I25" s="323">
        <v>0</v>
      </c>
      <c r="J25" s="323"/>
      <c r="K25" s="265">
        <v>2000</v>
      </c>
      <c r="L25" s="513">
        <v>-2000</v>
      </c>
      <c r="M25" s="416">
        <v>-1</v>
      </c>
      <c r="N25" s="68"/>
      <c r="O25" s="390"/>
      <c r="P25" s="474"/>
      <c r="Q25" s="3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3" t="s">
        <v>113</v>
      </c>
      <c r="D26" s="770"/>
      <c r="E26" s="770"/>
      <c r="F26" s="770"/>
      <c r="G26" s="323">
        <v>23288</v>
      </c>
      <c r="H26" s="323">
        <v>23288</v>
      </c>
      <c r="I26" s="323">
        <v>46576</v>
      </c>
      <c r="J26" s="323"/>
      <c r="K26" s="323">
        <v>46576</v>
      </c>
      <c r="L26" s="513">
        <v>0</v>
      </c>
      <c r="M26" s="416">
        <v>0</v>
      </c>
      <c r="N26" s="68"/>
      <c r="O26" s="390"/>
      <c r="P26" s="474"/>
      <c r="Q26" s="3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3" t="s">
        <v>448</v>
      </c>
      <c r="D27" s="770"/>
      <c r="E27" s="770"/>
      <c r="F27" s="770"/>
      <c r="G27" s="323">
        <v>11328.2</v>
      </c>
      <c r="H27" s="323">
        <v>10450</v>
      </c>
      <c r="I27" s="323">
        <v>21778.2</v>
      </c>
      <c r="J27" s="323"/>
      <c r="K27" s="323">
        <v>3500</v>
      </c>
      <c r="L27" s="513">
        <v>18278.2</v>
      </c>
      <c r="M27" s="416">
        <v>5.2223428571428574</v>
      </c>
      <c r="N27" s="68"/>
      <c r="O27" s="390"/>
      <c r="P27" s="474"/>
      <c r="Q27" s="3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3" t="s">
        <v>106</v>
      </c>
      <c r="D28" s="770"/>
      <c r="E28" s="770"/>
      <c r="F28" s="770"/>
      <c r="G28" s="323">
        <v>9500</v>
      </c>
      <c r="H28" s="323">
        <v>9499.7799999999988</v>
      </c>
      <c r="I28" s="323">
        <v>18999.78</v>
      </c>
      <c r="J28" s="323"/>
      <c r="K28" s="323">
        <v>19000</v>
      </c>
      <c r="L28" s="513">
        <v>-0.22000000000116415</v>
      </c>
      <c r="M28" s="416">
        <v>-1.1578947368482324E-5</v>
      </c>
      <c r="N28" s="68"/>
      <c r="O28" s="390"/>
      <c r="P28" s="474"/>
      <c r="Q28" s="363"/>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3" t="s">
        <v>326</v>
      </c>
      <c r="D29" s="770"/>
      <c r="E29" s="770"/>
      <c r="F29" s="770"/>
      <c r="G29" s="323">
        <v>26000</v>
      </c>
      <c r="H29" s="323">
        <v>20800.019999999997</v>
      </c>
      <c r="I29" s="323">
        <v>46800.02</v>
      </c>
      <c r="J29" s="323"/>
      <c r="K29" s="323">
        <v>53000</v>
      </c>
      <c r="L29" s="513">
        <v>-6199.9800000000032</v>
      </c>
      <c r="M29" s="416">
        <v>-0.11698075471698119</v>
      </c>
      <c r="N29" s="68"/>
      <c r="O29" s="390"/>
      <c r="P29" s="474"/>
      <c r="Q29" s="36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3" t="s">
        <v>328</v>
      </c>
      <c r="D30" s="770"/>
      <c r="E30" s="770"/>
      <c r="F30" s="770"/>
      <c r="G30" s="323">
        <v>5764.37</v>
      </c>
      <c r="H30" s="323">
        <v>5781</v>
      </c>
      <c r="I30" s="323">
        <v>11545.369999999999</v>
      </c>
      <c r="J30" s="323"/>
      <c r="K30" s="323">
        <v>16835</v>
      </c>
      <c r="L30" s="513">
        <v>-5289.630000000001</v>
      </c>
      <c r="M30" s="416">
        <v>-0.31420433620433624</v>
      </c>
      <c r="N30" s="68"/>
      <c r="O30" s="390"/>
      <c r="P30" s="474"/>
      <c r="Q30" s="363"/>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3"/>
      <c r="D31" s="73" t="s">
        <v>109</v>
      </c>
      <c r="E31" s="423"/>
      <c r="F31" s="73"/>
      <c r="G31" s="779">
        <v>722601.28999999992</v>
      </c>
      <c r="H31" s="779">
        <v>640258.77733000007</v>
      </c>
      <c r="I31" s="779">
        <v>1362860.0673300002</v>
      </c>
      <c r="J31" s="779"/>
      <c r="K31" s="779">
        <v>1669325</v>
      </c>
      <c r="L31" s="780">
        <v>-306464.93267000001</v>
      </c>
      <c r="M31" s="781">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3"/>
      <c r="D32" s="73"/>
      <c r="E32" s="423"/>
      <c r="F32" s="73"/>
      <c r="G32" s="323"/>
      <c r="H32" s="323"/>
      <c r="I32" s="323"/>
      <c r="J32" s="323"/>
      <c r="K32" s="600"/>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115</v>
      </c>
      <c r="C33" s="87"/>
      <c r="D33" s="87"/>
      <c r="E33" s="87"/>
      <c r="F33" s="87"/>
      <c r="G33" s="323"/>
      <c r="H33" s="323"/>
      <c r="I33" s="323"/>
      <c r="J33" s="323"/>
      <c r="K33" s="370"/>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116</v>
      </c>
      <c r="D34" s="79"/>
      <c r="E34" s="79"/>
      <c r="F34" s="79"/>
      <c r="G34" s="233">
        <v>447013.99</v>
      </c>
      <c r="H34" s="323">
        <v>440623.07</v>
      </c>
      <c r="I34" s="323">
        <v>887637.06</v>
      </c>
      <c r="J34" s="323"/>
      <c r="K34" s="782">
        <v>1102996</v>
      </c>
      <c r="L34" s="513">
        <v>-215358.93999999994</v>
      </c>
      <c r="M34" s="439">
        <v>-0.19524906708637196</v>
      </c>
    </row>
    <row r="35" spans="1:57" s="68" customFormat="1" ht="20.25" x14ac:dyDescent="0.2">
      <c r="A35" s="67"/>
      <c r="B35" s="67"/>
      <c r="C35" s="79" t="s">
        <v>117</v>
      </c>
      <c r="D35" s="79"/>
      <c r="E35" s="79"/>
      <c r="F35" s="79"/>
      <c r="G35" s="233">
        <v>102132.08</v>
      </c>
      <c r="H35" s="323">
        <v>85992.050000000017</v>
      </c>
      <c r="I35" s="323">
        <v>188124.13</v>
      </c>
      <c r="J35" s="323"/>
      <c r="K35" s="783">
        <v>224967</v>
      </c>
      <c r="L35" s="513">
        <v>-36842.869999999995</v>
      </c>
      <c r="M35" s="439">
        <v>-0.16377010850480292</v>
      </c>
    </row>
    <row r="36" spans="1:57" s="68" customFormat="1" ht="20.25" x14ac:dyDescent="0.2">
      <c r="A36" s="67"/>
      <c r="B36" s="67"/>
      <c r="C36" s="79" t="s">
        <v>118</v>
      </c>
      <c r="D36" s="79"/>
      <c r="E36" s="79"/>
      <c r="F36" s="79"/>
      <c r="G36" s="233">
        <v>900</v>
      </c>
      <c r="H36" s="323">
        <v>900</v>
      </c>
      <c r="I36" s="323">
        <v>1800</v>
      </c>
      <c r="J36" s="323"/>
      <c r="K36" s="783">
        <v>1800</v>
      </c>
      <c r="L36" s="513">
        <v>0</v>
      </c>
      <c r="M36" s="439">
        <v>0</v>
      </c>
    </row>
    <row r="37" spans="1:57" s="68" customFormat="1" ht="20.25" x14ac:dyDescent="0.2">
      <c r="A37" s="67"/>
      <c r="B37" s="67"/>
      <c r="C37" s="79" t="s">
        <v>108</v>
      </c>
      <c r="D37" s="79"/>
      <c r="E37" s="79"/>
      <c r="F37" s="79"/>
      <c r="G37" s="233">
        <v>23288</v>
      </c>
      <c r="H37" s="323">
        <v>23288</v>
      </c>
      <c r="I37" s="323">
        <v>46576</v>
      </c>
      <c r="J37" s="323"/>
      <c r="K37" s="783">
        <v>46576</v>
      </c>
      <c r="L37" s="513">
        <v>0</v>
      </c>
      <c r="M37" s="439">
        <v>0</v>
      </c>
    </row>
    <row r="38" spans="1:57" s="68" customFormat="1" ht="20.25" x14ac:dyDescent="0.2">
      <c r="A38" s="67"/>
      <c r="B38" s="67"/>
      <c r="C38" s="79" t="s">
        <v>119</v>
      </c>
      <c r="D38" s="79"/>
      <c r="E38" s="79"/>
      <c r="F38" s="79"/>
      <c r="G38" s="233">
        <v>10831.87</v>
      </c>
      <c r="H38" s="323">
        <v>10418.370000000001</v>
      </c>
      <c r="I38" s="323">
        <v>21250.240000000002</v>
      </c>
      <c r="J38" s="323"/>
      <c r="K38" s="783">
        <v>19050</v>
      </c>
      <c r="L38" s="513">
        <v>2200.2400000000016</v>
      </c>
      <c r="M38" s="439">
        <v>0.11549816272965888</v>
      </c>
    </row>
    <row r="39" spans="1:57" s="68" customFormat="1" ht="20.25" x14ac:dyDescent="0.2">
      <c r="A39" s="67"/>
      <c r="B39" s="67"/>
      <c r="C39" s="79" t="s">
        <v>120</v>
      </c>
      <c r="D39" s="79"/>
      <c r="E39" s="79"/>
      <c r="F39" s="79"/>
      <c r="G39" s="233">
        <v>1224.3499999999999</v>
      </c>
      <c r="H39" s="323">
        <v>1207.24</v>
      </c>
      <c r="I39" s="323">
        <v>2431.59</v>
      </c>
      <c r="J39" s="323"/>
      <c r="K39" s="783">
        <v>3377</v>
      </c>
      <c r="L39" s="513">
        <v>-945.40999999999985</v>
      </c>
      <c r="M39" s="439">
        <v>-0.27995558187740593</v>
      </c>
    </row>
    <row r="40" spans="1:57" s="68" customFormat="1" ht="20.25" x14ac:dyDescent="0.2">
      <c r="A40" s="67"/>
      <c r="B40" s="67"/>
      <c r="C40" s="79" t="s">
        <v>121</v>
      </c>
      <c r="D40" s="79"/>
      <c r="E40" s="79"/>
      <c r="F40" s="79"/>
      <c r="G40" s="233">
        <v>1941.95</v>
      </c>
      <c r="H40" s="323">
        <v>1791.4500000000003</v>
      </c>
      <c r="I40" s="323">
        <v>3733.4000000000005</v>
      </c>
      <c r="J40" s="323"/>
      <c r="K40" s="783">
        <v>4254</v>
      </c>
      <c r="L40" s="513">
        <v>-520.59999999999945</v>
      </c>
      <c r="M40" s="439">
        <v>-0.12237893747061576</v>
      </c>
    </row>
    <row r="41" spans="1:57" s="68" customFormat="1" ht="20.25" x14ac:dyDescent="0.2">
      <c r="A41" s="67"/>
      <c r="B41" s="67"/>
      <c r="C41" s="79" t="s">
        <v>122</v>
      </c>
      <c r="D41" s="79"/>
      <c r="E41" s="79"/>
      <c r="F41" s="79"/>
      <c r="G41" s="233">
        <v>525.84</v>
      </c>
      <c r="H41" s="323">
        <v>1029.27</v>
      </c>
      <c r="I41" s="323">
        <v>1555.1100000000001</v>
      </c>
      <c r="J41" s="323"/>
      <c r="K41" s="783">
        <v>12334</v>
      </c>
      <c r="L41" s="513">
        <v>-10778.89</v>
      </c>
      <c r="M41" s="439">
        <v>-0.8739168153072806</v>
      </c>
    </row>
    <row r="42" spans="1:57" s="68" customFormat="1" ht="20.25" x14ac:dyDescent="0.2">
      <c r="A42" s="67"/>
      <c r="B42" s="67"/>
      <c r="C42" s="79" t="s">
        <v>123</v>
      </c>
      <c r="D42" s="79"/>
      <c r="E42" s="79"/>
      <c r="F42" s="79"/>
      <c r="G42" s="233">
        <v>18906.52</v>
      </c>
      <c r="H42" s="323">
        <v>15450</v>
      </c>
      <c r="I42" s="323">
        <v>34356.520000000004</v>
      </c>
      <c r="J42" s="323"/>
      <c r="K42" s="783">
        <v>38115</v>
      </c>
      <c r="L42" s="513">
        <v>-3758.4799999999959</v>
      </c>
      <c r="M42" s="439">
        <v>-9.8608946608946507E-2</v>
      </c>
    </row>
    <row r="43" spans="1:57" s="68" customFormat="1" ht="20.25" x14ac:dyDescent="0.2">
      <c r="A43" s="67"/>
      <c r="B43" s="67"/>
      <c r="C43" s="79" t="s">
        <v>124</v>
      </c>
      <c r="D43" s="79"/>
      <c r="E43" s="79"/>
      <c r="F43" s="79"/>
      <c r="G43" s="233">
        <v>672.76</v>
      </c>
      <c r="H43" s="323">
        <v>828.07</v>
      </c>
      <c r="I43" s="323">
        <v>1500.83</v>
      </c>
      <c r="J43" s="323"/>
      <c r="K43" s="783">
        <v>5448</v>
      </c>
      <c r="L43" s="513">
        <v>-3947.17</v>
      </c>
      <c r="M43" s="439">
        <v>-0.72451725403817913</v>
      </c>
    </row>
    <row r="44" spans="1:57" s="68" customFormat="1" ht="20.25" x14ac:dyDescent="0.2">
      <c r="A44" s="67"/>
      <c r="B44" s="67"/>
      <c r="C44" s="79" t="s">
        <v>125</v>
      </c>
      <c r="D44" s="79"/>
      <c r="E44" s="79"/>
      <c r="F44" s="79"/>
      <c r="G44" s="233">
        <v>419</v>
      </c>
      <c r="H44" s="323">
        <v>588.96333333333337</v>
      </c>
      <c r="I44" s="323">
        <v>1007.9633333333334</v>
      </c>
      <c r="J44" s="323"/>
      <c r="K44" s="783">
        <v>1262</v>
      </c>
      <c r="L44" s="513">
        <v>-254.03666666666663</v>
      </c>
      <c r="M44" s="439">
        <v>-0.20129688325409401</v>
      </c>
    </row>
    <row r="45" spans="1:57" s="68" customFormat="1" ht="20.25" x14ac:dyDescent="0.2">
      <c r="A45" s="67"/>
      <c r="B45" s="67"/>
      <c r="C45" s="79" t="s">
        <v>170</v>
      </c>
      <c r="D45" s="79"/>
      <c r="E45" s="79"/>
      <c r="F45" s="79"/>
      <c r="G45" s="233">
        <v>7425</v>
      </c>
      <c r="H45" s="323">
        <v>2735</v>
      </c>
      <c r="I45" s="323">
        <v>10160</v>
      </c>
      <c r="J45" s="323"/>
      <c r="K45" s="783">
        <v>12600</v>
      </c>
      <c r="L45" s="513">
        <v>-2440</v>
      </c>
      <c r="M45" s="439">
        <v>-0.19365079365079366</v>
      </c>
    </row>
    <row r="46" spans="1:57" s="68" customFormat="1" ht="20.25" x14ac:dyDescent="0.2">
      <c r="A46" s="67"/>
      <c r="B46" s="67"/>
      <c r="C46" s="885" t="s">
        <v>331</v>
      </c>
      <c r="D46" s="885"/>
      <c r="E46" s="885"/>
      <c r="F46" s="885"/>
      <c r="G46" s="233">
        <v>67</v>
      </c>
      <c r="H46" s="323">
        <v>0</v>
      </c>
      <c r="I46" s="323">
        <v>67</v>
      </c>
      <c r="J46" s="323"/>
      <c r="K46" s="783">
        <v>0</v>
      </c>
      <c r="L46" s="513">
        <v>67</v>
      </c>
      <c r="M46" s="439"/>
      <c r="O46" s="761"/>
    </row>
    <row r="47" spans="1:57" s="68" customFormat="1" ht="20.25" x14ac:dyDescent="0.2">
      <c r="A47" s="67"/>
      <c r="B47" s="67"/>
      <c r="C47" s="79" t="s">
        <v>126</v>
      </c>
      <c r="D47" s="79"/>
      <c r="E47" s="79"/>
      <c r="F47" s="79"/>
      <c r="G47" s="323">
        <v>9698.2999999999993</v>
      </c>
      <c r="H47" s="323">
        <v>6282.170000000001</v>
      </c>
      <c r="I47" s="323">
        <v>15980.470000000001</v>
      </c>
      <c r="J47" s="323"/>
      <c r="K47" s="783">
        <v>12425</v>
      </c>
      <c r="L47" s="513">
        <v>3555.4700000000012</v>
      </c>
      <c r="M47" s="439">
        <v>0.28615452716297796</v>
      </c>
    </row>
    <row r="48" spans="1:57" s="68" customFormat="1" ht="20.25" x14ac:dyDescent="0.2">
      <c r="A48" s="67"/>
      <c r="B48" s="67"/>
      <c r="C48" s="79" t="s">
        <v>127</v>
      </c>
      <c r="D48" s="79"/>
      <c r="E48" s="79"/>
      <c r="F48" s="79"/>
      <c r="G48" s="323">
        <v>5409.5</v>
      </c>
      <c r="H48" s="323">
        <v>6493.7800000000007</v>
      </c>
      <c r="I48" s="323">
        <v>11903.28</v>
      </c>
      <c r="J48" s="323"/>
      <c r="K48" s="783">
        <v>11716</v>
      </c>
      <c r="L48" s="513">
        <v>187.28000000000065</v>
      </c>
      <c r="M48" s="439">
        <v>1.5984977808125696E-2</v>
      </c>
      <c r="O48" s="761"/>
    </row>
    <row r="49" spans="1:17" s="68" customFormat="1" ht="20.25" x14ac:dyDescent="0.2">
      <c r="A49" s="67"/>
      <c r="B49" s="67"/>
      <c r="C49" s="79" t="s">
        <v>134</v>
      </c>
      <c r="D49" s="79"/>
      <c r="E49" s="79"/>
      <c r="F49" s="79"/>
      <c r="G49" s="233">
        <v>733.4</v>
      </c>
      <c r="H49" s="323">
        <v>410</v>
      </c>
      <c r="I49" s="323">
        <v>1143.4000000000001</v>
      </c>
      <c r="J49" s="323"/>
      <c r="K49" s="783">
        <v>1280</v>
      </c>
      <c r="L49" s="513">
        <v>-136.59999999999991</v>
      </c>
      <c r="M49" s="439">
        <v>-0.10671874999999993</v>
      </c>
    </row>
    <row r="50" spans="1:17" s="68" customFormat="1" ht="20.25" x14ac:dyDescent="0.2">
      <c r="A50" s="67"/>
      <c r="B50" s="67"/>
      <c r="C50" s="79" t="s">
        <v>128</v>
      </c>
      <c r="D50" s="79"/>
      <c r="E50" s="79"/>
      <c r="F50" s="79"/>
      <c r="G50" s="323">
        <v>540.31999999999994</v>
      </c>
      <c r="H50" s="323">
        <v>0</v>
      </c>
      <c r="I50" s="323">
        <v>540.31999999999994</v>
      </c>
      <c r="J50" s="323"/>
      <c r="K50" s="783">
        <v>10470</v>
      </c>
      <c r="L50" s="513">
        <v>-9929.68</v>
      </c>
      <c r="M50" s="439">
        <v>-0.94839350525310417</v>
      </c>
      <c r="O50" s="761"/>
    </row>
    <row r="51" spans="1:17" s="68" customFormat="1" ht="20.25" customHeight="1" x14ac:dyDescent="0.2">
      <c r="A51" s="67"/>
      <c r="B51" s="67"/>
      <c r="C51" s="79" t="s">
        <v>204</v>
      </c>
      <c r="D51" s="79"/>
      <c r="E51" s="79"/>
      <c r="F51" s="79"/>
      <c r="G51" s="233">
        <v>2381.4</v>
      </c>
      <c r="H51" s="323">
        <v>300</v>
      </c>
      <c r="I51" s="323">
        <v>2681.4</v>
      </c>
      <c r="J51" s="323"/>
      <c r="K51" s="783">
        <v>20850</v>
      </c>
      <c r="L51" s="513">
        <v>-18168.599999999999</v>
      </c>
      <c r="M51" s="439">
        <v>-0.87139568345323737</v>
      </c>
    </row>
    <row r="52" spans="1:17" s="76" customFormat="1" ht="20.25" x14ac:dyDescent="0.2">
      <c r="A52" s="79"/>
      <c r="B52" s="79"/>
      <c r="C52" s="79" t="s">
        <v>130</v>
      </c>
      <c r="D52" s="79"/>
      <c r="E52" s="79"/>
      <c r="F52" s="79"/>
      <c r="G52" s="323">
        <v>23932</v>
      </c>
      <c r="H52" s="323">
        <v>4454</v>
      </c>
      <c r="I52" s="323">
        <v>28386</v>
      </c>
      <c r="J52" s="323"/>
      <c r="K52" s="783">
        <v>12937</v>
      </c>
      <c r="L52" s="513">
        <v>15449</v>
      </c>
      <c r="M52" s="439">
        <v>1.1941717554301616</v>
      </c>
    </row>
    <row r="53" spans="1:17" s="68" customFormat="1" ht="20.25" x14ac:dyDescent="0.2">
      <c r="A53" s="67"/>
      <c r="B53" s="67"/>
      <c r="C53" s="79" t="s">
        <v>169</v>
      </c>
      <c r="D53" s="79"/>
      <c r="E53" s="79"/>
      <c r="F53" s="79"/>
      <c r="G53" s="233">
        <v>31384.95</v>
      </c>
      <c r="H53" s="323">
        <v>23455</v>
      </c>
      <c r="I53" s="323">
        <v>54839.95</v>
      </c>
      <c r="J53" s="323"/>
      <c r="K53" s="783">
        <v>60011</v>
      </c>
      <c r="L53" s="513">
        <v>-5171.0500000000029</v>
      </c>
      <c r="M53" s="439">
        <v>-8.6168369132325784E-2</v>
      </c>
      <c r="Q53" s="342"/>
    </row>
    <row r="54" spans="1:17" s="68" customFormat="1" ht="20.25" x14ac:dyDescent="0.2">
      <c r="A54" s="67"/>
      <c r="B54" s="67"/>
      <c r="C54" s="79" t="s">
        <v>131</v>
      </c>
      <c r="D54" s="79"/>
      <c r="E54" s="79"/>
      <c r="F54" s="79"/>
      <c r="G54" s="233">
        <v>31753.16</v>
      </c>
      <c r="H54" s="323">
        <v>14675</v>
      </c>
      <c r="I54" s="323">
        <v>46428.160000000003</v>
      </c>
      <c r="J54" s="323"/>
      <c r="K54" s="783">
        <v>61119</v>
      </c>
      <c r="L54" s="513">
        <v>-14690.839999999997</v>
      </c>
      <c r="M54" s="439">
        <v>-0.2403645347600582</v>
      </c>
    </row>
    <row r="55" spans="1:17" s="68" customFormat="1" ht="21" thickBot="1" x14ac:dyDescent="0.25">
      <c r="A55" s="67"/>
      <c r="B55" s="67"/>
      <c r="C55" s="79" t="s">
        <v>434</v>
      </c>
      <c r="D55" s="79"/>
      <c r="E55" s="79"/>
      <c r="F55" s="79"/>
      <c r="G55" s="242">
        <v>297</v>
      </c>
      <c r="H55" s="401">
        <v>990</v>
      </c>
      <c r="I55" s="401">
        <v>1287</v>
      </c>
      <c r="J55" s="401"/>
      <c r="K55" s="784">
        <v>0</v>
      </c>
      <c r="L55" s="516">
        <v>1287</v>
      </c>
      <c r="M55" s="515"/>
    </row>
    <row r="56" spans="1:17" s="76" customFormat="1" ht="20.25" x14ac:dyDescent="0.2">
      <c r="A56" s="79"/>
      <c r="B56" s="79"/>
      <c r="C56" s="67"/>
      <c r="D56" s="67"/>
      <c r="G56" s="323">
        <v>721478.3899999999</v>
      </c>
      <c r="H56" s="323">
        <v>641911.43333333335</v>
      </c>
      <c r="I56" s="323">
        <v>1363389.8233333332</v>
      </c>
      <c r="J56" s="323"/>
      <c r="K56" s="323">
        <v>1663587</v>
      </c>
      <c r="L56" s="323">
        <v>-300197.17666666652</v>
      </c>
      <c r="M56" s="781">
        <v>-0.18045174473391926</v>
      </c>
    </row>
    <row r="57" spans="1:17" s="76" customFormat="1" ht="8.25" customHeight="1" x14ac:dyDescent="0.2">
      <c r="A57" s="79"/>
      <c r="B57" s="79"/>
      <c r="C57" s="67"/>
      <c r="D57" s="67"/>
      <c r="G57" s="323"/>
      <c r="H57" s="323"/>
      <c r="I57" s="323"/>
      <c r="J57" s="323"/>
      <c r="K57" s="323"/>
    </row>
    <row r="58" spans="1:17" s="76" customFormat="1" ht="20.25" x14ac:dyDescent="0.2">
      <c r="A58" s="79"/>
      <c r="B58" s="79"/>
      <c r="C58" s="785" t="s">
        <v>449</v>
      </c>
      <c r="D58"/>
      <c r="E58" s="67"/>
      <c r="F58" s="67"/>
      <c r="G58" s="243">
        <v>1122.9000000000233</v>
      </c>
      <c r="H58" s="243">
        <v>-1652.6560033332789</v>
      </c>
      <c r="I58" s="243">
        <v>-529.75600333325565</v>
      </c>
      <c r="J58" s="233"/>
      <c r="K58" s="243">
        <v>5738</v>
      </c>
      <c r="L58" s="786">
        <v>-6267.7560033332556</v>
      </c>
      <c r="M58" s="781">
        <v>-1.0923241553386642</v>
      </c>
    </row>
    <row r="59" spans="1:17" s="76" customFormat="1" ht="9" customHeight="1" x14ac:dyDescent="0.2">
      <c r="A59" s="79"/>
      <c r="B59" s="79"/>
      <c r="C59" s="79"/>
      <c r="D59" s="79"/>
      <c r="E59" s="79"/>
      <c r="F59" s="79"/>
      <c r="G59" s="233"/>
      <c r="H59" s="233"/>
      <c r="I59" s="233"/>
      <c r="J59" s="233"/>
      <c r="K59" s="233"/>
    </row>
    <row r="60" spans="1:17" s="76" customFormat="1" ht="20.25" x14ac:dyDescent="0.2">
      <c r="A60" s="79"/>
      <c r="B60" s="79"/>
      <c r="C60" s="79" t="s">
        <v>129</v>
      </c>
      <c r="D60" s="79"/>
      <c r="F60" s="79"/>
      <c r="G60" s="233">
        <v>19500</v>
      </c>
      <c r="H60" s="233">
        <v>19720</v>
      </c>
      <c r="I60" s="233">
        <v>39220</v>
      </c>
      <c r="J60" s="233"/>
      <c r="K60" s="233">
        <v>39797</v>
      </c>
    </row>
    <row r="61" spans="1:17" s="76" customFormat="1" ht="9" customHeight="1" x14ac:dyDescent="0.2">
      <c r="A61" s="79"/>
      <c r="B61" s="79"/>
      <c r="C61" s="79"/>
      <c r="D61" s="79"/>
      <c r="E61" s="79"/>
      <c r="F61" s="79"/>
      <c r="G61" s="233"/>
      <c r="H61" s="233"/>
      <c r="I61" s="233"/>
      <c r="J61" s="233"/>
      <c r="K61" s="233"/>
    </row>
    <row r="62" spans="1:17" s="68" customFormat="1" ht="21" thickBot="1" x14ac:dyDescent="0.25">
      <c r="A62" s="67"/>
      <c r="B62" s="67"/>
      <c r="C62" s="785" t="s">
        <v>450</v>
      </c>
      <c r="D62"/>
      <c r="E62"/>
      <c r="F62"/>
      <c r="G62" s="787">
        <v>-18377.099999999977</v>
      </c>
      <c r="H62" s="787">
        <v>-21372.656003333279</v>
      </c>
      <c r="I62" s="787">
        <v>-39749.756003333256</v>
      </c>
      <c r="J62" s="238"/>
      <c r="K62" s="787">
        <v>-34059</v>
      </c>
    </row>
    <row r="63" spans="1:17" s="68" customFormat="1" ht="21" thickTop="1" x14ac:dyDescent="0.2">
      <c r="A63" s="67"/>
      <c r="B63" s="67"/>
      <c r="C63" s="67"/>
      <c r="D63" s="67"/>
      <c r="E63" s="67"/>
      <c r="F63" s="67"/>
      <c r="G63" s="238"/>
      <c r="H63" s="238"/>
      <c r="I63" s="238"/>
      <c r="J63" s="238"/>
      <c r="K63" s="238"/>
    </row>
    <row r="64" spans="1:17" s="68" customFormat="1" ht="23.25" x14ac:dyDescent="0.2">
      <c r="A64" s="67"/>
      <c r="B64" s="272"/>
      <c r="C64" s="67"/>
      <c r="D64" s="67"/>
      <c r="E64" s="67"/>
      <c r="F64" s="67" t="s">
        <v>451</v>
      </c>
      <c r="G64" s="233"/>
      <c r="H64" s="233"/>
      <c r="I64" s="233"/>
      <c r="J64" s="233"/>
      <c r="K64" s="233"/>
    </row>
    <row r="65" spans="1:11" s="76" customFormat="1" ht="20.25" x14ac:dyDescent="0.2">
      <c r="A65" s="79"/>
      <c r="B65" s="79"/>
      <c r="D65" s="79"/>
      <c r="E65" s="79"/>
      <c r="F65" s="789" t="s">
        <v>452</v>
      </c>
      <c r="G65" s="233"/>
      <c r="H65" s="233"/>
      <c r="I65" s="233"/>
      <c r="J65" s="233"/>
      <c r="K65" s="233"/>
    </row>
    <row r="66" spans="1:11" s="76" customFormat="1" ht="20.25" x14ac:dyDescent="0.2">
      <c r="A66" s="79"/>
      <c r="B66" s="79"/>
      <c r="D66" s="79"/>
      <c r="E66" s="79"/>
      <c r="F66" s="789" t="s">
        <v>457</v>
      </c>
      <c r="G66" s="233"/>
      <c r="H66" s="233"/>
      <c r="I66" s="233"/>
      <c r="J66" s="233"/>
      <c r="K66" s="233"/>
    </row>
    <row r="67" spans="1:11" s="68" customFormat="1" ht="20.25" x14ac:dyDescent="0.2">
      <c r="A67" s="67"/>
      <c r="B67" s="67"/>
      <c r="D67" s="79"/>
      <c r="E67" s="67"/>
      <c r="F67" s="789" t="s">
        <v>453</v>
      </c>
      <c r="G67" s="233"/>
      <c r="H67" s="233"/>
      <c r="I67" s="233"/>
      <c r="J67" s="233"/>
      <c r="K67" s="233"/>
    </row>
    <row r="68" spans="1:11" s="68" customFormat="1" ht="23.25" x14ac:dyDescent="0.2">
      <c r="A68" s="67"/>
      <c r="B68" s="272"/>
      <c r="C68" s="67"/>
      <c r="D68" s="67"/>
      <c r="E68" s="67"/>
      <c r="F68" s="789" t="s">
        <v>454</v>
      </c>
      <c r="G68" s="238"/>
      <c r="H68" s="238"/>
      <c r="I68" s="238"/>
      <c r="J68" s="238"/>
      <c r="K68" s="238"/>
    </row>
    <row r="69" spans="1:11" s="68" customFormat="1" ht="20.25" x14ac:dyDescent="0.2">
      <c r="A69" s="67"/>
      <c r="B69" s="67"/>
      <c r="C69" s="67"/>
      <c r="D69" s="67"/>
      <c r="E69" s="67"/>
      <c r="F69" s="789" t="s">
        <v>455</v>
      </c>
      <c r="G69" s="233"/>
      <c r="H69" s="233"/>
      <c r="I69" s="233"/>
      <c r="J69" s="233"/>
      <c r="K69" s="233"/>
    </row>
    <row r="70" spans="1:11" s="82" customFormat="1" ht="26.25" x14ac:dyDescent="0.2">
      <c r="A70" s="269"/>
      <c r="B70" s="269"/>
      <c r="C70" s="269"/>
      <c r="D70" s="269"/>
      <c r="E70" s="269"/>
      <c r="F70" s="789" t="s">
        <v>456</v>
      </c>
      <c r="G70" s="238"/>
      <c r="H70" s="238"/>
      <c r="I70" s="238"/>
      <c r="J70" s="238"/>
      <c r="K70" s="238"/>
    </row>
    <row r="71" spans="1:11" s="18" customFormat="1" ht="20.25" x14ac:dyDescent="0.3">
      <c r="A71" s="122"/>
      <c r="B71" s="122"/>
      <c r="C71" s="122"/>
      <c r="D71" s="122"/>
      <c r="E71" s="122"/>
      <c r="F71" s="790"/>
      <c r="G71" s="278"/>
      <c r="H71" s="278"/>
      <c r="I71" s="278"/>
      <c r="J71" s="278"/>
      <c r="K71" s="278"/>
    </row>
    <row r="72" spans="1:11" ht="20.25" x14ac:dyDescent="0.3">
      <c r="F72" s="791"/>
      <c r="G72" s="278"/>
      <c r="H72" s="278"/>
      <c r="I72" s="278"/>
      <c r="J72" s="278"/>
      <c r="K72" s="278"/>
    </row>
    <row r="73" spans="1:11" ht="20.25" x14ac:dyDescent="0.3">
      <c r="F73" s="791"/>
      <c r="G73" s="788"/>
      <c r="H73" s="278"/>
      <c r="I73" s="278"/>
      <c r="J73" s="278"/>
      <c r="K73" s="278"/>
    </row>
    <row r="74" spans="1:11" ht="20.25" x14ac:dyDescent="0.3">
      <c r="F74" s="791"/>
      <c r="G74" s="275"/>
      <c r="H74" s="275"/>
      <c r="I74" s="275"/>
      <c r="J74" s="275"/>
      <c r="K74" s="275"/>
    </row>
    <row r="75" spans="1:11" ht="18" x14ac:dyDescent="0.25">
      <c r="F75" s="791"/>
    </row>
    <row r="76" spans="1:11" ht="18" x14ac:dyDescent="0.25">
      <c r="F76" s="791"/>
    </row>
    <row r="77" spans="1:11" ht="18" x14ac:dyDescent="0.25">
      <c r="F77" s="791"/>
    </row>
    <row r="78" spans="1:11" ht="18" x14ac:dyDescent="0.25">
      <c r="F78" s="791"/>
    </row>
    <row r="79" spans="1:11" ht="18" x14ac:dyDescent="0.25">
      <c r="F79" s="791"/>
    </row>
    <row r="80" spans="1:11" ht="18" x14ac:dyDescent="0.25">
      <c r="F80" s="791"/>
    </row>
    <row r="81" spans="6:6" ht="18" x14ac:dyDescent="0.25">
      <c r="F81" s="791"/>
    </row>
    <row r="82" spans="6:6" ht="18" x14ac:dyDescent="0.25">
      <c r="F82" s="791"/>
    </row>
    <row r="83" spans="6:6" ht="18" x14ac:dyDescent="0.25">
      <c r="F83" s="792"/>
    </row>
    <row r="84" spans="6:6" ht="18" x14ac:dyDescent="0.25">
      <c r="F84" s="792"/>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9"/>
  <sheetViews>
    <sheetView tabSelected="1" topLeftCell="A6" zoomScale="85" zoomScaleNormal="85" workbookViewId="0">
      <selection activeCell="L41" sqref="L41"/>
    </sheetView>
  </sheetViews>
  <sheetFormatPr defaultRowHeight="14.25" x14ac:dyDescent="0.2"/>
  <cols>
    <col min="1" max="1" width="50" style="4" customWidth="1"/>
    <col min="2" max="2" width="26" style="4" customWidth="1"/>
    <col min="3" max="3" width="17.25" style="808" customWidth="1"/>
    <col min="4" max="4" width="13.625" style="808" customWidth="1"/>
    <col min="5" max="5" width="12.75" style="808"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544</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4" t="s">
        <v>162</v>
      </c>
      <c r="B5" s="255"/>
      <c r="C5" s="255"/>
      <c r="D5" s="255"/>
      <c r="E5" s="255"/>
      <c r="F5" s="255"/>
      <c r="G5" s="255"/>
      <c r="H5" s="255"/>
      <c r="I5" s="255"/>
      <c r="J5" s="255"/>
      <c r="K5" s="256"/>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5" t="s">
        <v>22</v>
      </c>
      <c r="B6" s="315" t="s">
        <v>12</v>
      </c>
      <c r="C6" s="315" t="s">
        <v>1</v>
      </c>
      <c r="D6" s="315" t="s">
        <v>2</v>
      </c>
      <c r="E6" s="315" t="s">
        <v>3</v>
      </c>
      <c r="F6" s="320" t="s">
        <v>9</v>
      </c>
      <c r="G6" s="320" t="s">
        <v>27</v>
      </c>
      <c r="H6" s="795" t="s">
        <v>201</v>
      </c>
      <c r="I6" s="320" t="s">
        <v>26</v>
      </c>
      <c r="J6" s="795" t="s">
        <v>19</v>
      </c>
      <c r="K6" s="320"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35" t="s">
        <v>334</v>
      </c>
      <c r="B7" s="627" t="s">
        <v>14</v>
      </c>
      <c r="C7" s="292" t="s">
        <v>348</v>
      </c>
      <c r="D7" s="291">
        <v>43466</v>
      </c>
      <c r="E7" s="291">
        <v>43830</v>
      </c>
      <c r="F7" s="308"/>
      <c r="G7" s="294"/>
      <c r="H7" s="309"/>
      <c r="I7" s="294"/>
      <c r="J7" s="794"/>
      <c r="K7" s="303"/>
      <c r="L7" s="46"/>
      <c r="M7" s="29"/>
      <c r="N7" s="29"/>
    </row>
    <row r="8" spans="1:48" ht="15" hidden="1" thickBot="1" x14ac:dyDescent="0.25">
      <c r="A8" s="735" t="s">
        <v>425</v>
      </c>
      <c r="B8" s="763" t="s">
        <v>14</v>
      </c>
      <c r="C8" s="292"/>
      <c r="D8" s="291"/>
      <c r="E8" s="291"/>
      <c r="F8" s="308"/>
      <c r="G8" s="294"/>
      <c r="H8" s="309"/>
      <c r="I8" s="765"/>
      <c r="J8" s="800">
        <f>F8-I8</f>
        <v>0</v>
      </c>
      <c r="K8" s="303"/>
      <c r="L8" s="46"/>
      <c r="M8" s="29"/>
      <c r="N8" s="29"/>
    </row>
    <row r="9" spans="1:48" hidden="1" x14ac:dyDescent="0.2">
      <c r="A9" s="802" t="s">
        <v>472</v>
      </c>
      <c r="B9" s="763" t="s">
        <v>14</v>
      </c>
      <c r="C9" s="814" t="s">
        <v>348</v>
      </c>
      <c r="D9" s="7">
        <v>43831</v>
      </c>
      <c r="E9" s="803">
        <v>44196</v>
      </c>
      <c r="F9" s="794"/>
      <c r="G9" s="765"/>
      <c r="H9" s="309"/>
      <c r="I9" s="765"/>
      <c r="J9" s="807"/>
      <c r="K9" s="820"/>
      <c r="L9" s="249"/>
      <c r="M9" s="283"/>
      <c r="N9" s="29"/>
    </row>
    <row r="10" spans="1:48" x14ac:dyDescent="0.2">
      <c r="A10" s="872" t="s">
        <v>504</v>
      </c>
      <c r="B10" s="873" t="s">
        <v>13</v>
      </c>
      <c r="C10" s="874" t="s">
        <v>348</v>
      </c>
      <c r="D10" s="875">
        <v>44197</v>
      </c>
      <c r="E10" s="876">
        <v>44561</v>
      </c>
      <c r="F10" s="877">
        <v>141001</v>
      </c>
      <c r="G10" s="878">
        <f>I10-H10</f>
        <v>32190.030000000002</v>
      </c>
      <c r="H10" s="879">
        <f>'June''21 AR Aging '!G7</f>
        <v>32262.13</v>
      </c>
      <c r="I10" s="878">
        <v>64452.160000000003</v>
      </c>
      <c r="J10" s="880">
        <f>F10-I10</f>
        <v>76548.84</v>
      </c>
      <c r="K10" s="878"/>
      <c r="L10" s="821"/>
      <c r="M10" s="283"/>
      <c r="N10" s="29"/>
    </row>
    <row r="11" spans="1:48" x14ac:dyDescent="0.2">
      <c r="A11" s="287" t="s">
        <v>505</v>
      </c>
      <c r="B11" s="627" t="s">
        <v>13</v>
      </c>
      <c r="C11" s="292" t="s">
        <v>347</v>
      </c>
      <c r="D11" s="7">
        <v>44013</v>
      </c>
      <c r="E11" s="291">
        <v>44377</v>
      </c>
      <c r="F11" s="844">
        <v>300000</v>
      </c>
      <c r="G11" s="294">
        <f>I11-H11</f>
        <v>99565.8</v>
      </c>
      <c r="H11" s="309">
        <f>'June''21 AR Aging '!G13</f>
        <v>82555.539999999994</v>
      </c>
      <c r="I11" s="294">
        <v>182121.34</v>
      </c>
      <c r="J11" s="308">
        <f>F11-I11</f>
        <v>117878.66</v>
      </c>
      <c r="K11" s="303"/>
      <c r="L11" s="821"/>
      <c r="M11" s="283"/>
      <c r="N11" s="29"/>
    </row>
    <row r="12" spans="1:48" ht="15" x14ac:dyDescent="0.25">
      <c r="A12" s="736" t="s">
        <v>548</v>
      </c>
      <c r="B12" s="628" t="s">
        <v>13</v>
      </c>
      <c r="C12" s="744" t="s">
        <v>347</v>
      </c>
      <c r="D12" s="815">
        <v>44378</v>
      </c>
      <c r="E12" s="748">
        <v>44742</v>
      </c>
      <c r="F12" s="845">
        <v>300000</v>
      </c>
      <c r="G12" s="307">
        <v>0</v>
      </c>
      <c r="H12" s="796">
        <v>0</v>
      </c>
      <c r="I12" s="307"/>
      <c r="J12" s="832"/>
      <c r="K12" s="359"/>
      <c r="L12" s="821"/>
      <c r="M12" s="283"/>
      <c r="N12" s="29"/>
    </row>
    <row r="13" spans="1:48" hidden="1" x14ac:dyDescent="0.2">
      <c r="A13" s="287" t="s">
        <v>349</v>
      </c>
      <c r="B13" s="627" t="s">
        <v>13</v>
      </c>
      <c r="C13" s="292" t="s">
        <v>159</v>
      </c>
      <c r="D13" s="7">
        <v>43374</v>
      </c>
      <c r="E13" s="291">
        <v>43585</v>
      </c>
      <c r="F13" s="794"/>
      <c r="G13" s="294"/>
      <c r="H13" s="309"/>
      <c r="I13" s="294"/>
      <c r="J13" s="308"/>
      <c r="K13" s="303"/>
      <c r="L13" s="821"/>
      <c r="M13" s="283"/>
      <c r="N13" s="29"/>
    </row>
    <row r="14" spans="1:48" x14ac:dyDescent="0.2">
      <c r="A14" s="287" t="s">
        <v>477</v>
      </c>
      <c r="B14" s="627" t="s">
        <v>13</v>
      </c>
      <c r="C14" s="292" t="s">
        <v>373</v>
      </c>
      <c r="D14" s="7">
        <v>44044</v>
      </c>
      <c r="E14" s="291">
        <v>44408</v>
      </c>
      <c r="F14" s="794">
        <v>330000</v>
      </c>
      <c r="G14" s="294">
        <f>I14-H14</f>
        <v>205806.59999999998</v>
      </c>
      <c r="H14" s="309">
        <f>'June''21 AR Aging '!G31</f>
        <v>36006.92</v>
      </c>
      <c r="I14" s="294">
        <v>241813.52</v>
      </c>
      <c r="J14" s="308">
        <f>F14-I14</f>
        <v>88186.48000000001</v>
      </c>
      <c r="K14" s="294"/>
      <c r="L14" s="821"/>
      <c r="M14" s="283"/>
      <c r="N14" s="29"/>
    </row>
    <row r="15" spans="1:48" ht="15" x14ac:dyDescent="0.25">
      <c r="A15" s="736" t="s">
        <v>549</v>
      </c>
      <c r="B15" s="628" t="s">
        <v>13</v>
      </c>
      <c r="C15" s="744" t="s">
        <v>373</v>
      </c>
      <c r="D15" s="815">
        <v>44409</v>
      </c>
      <c r="E15" s="748">
        <v>44772</v>
      </c>
      <c r="F15" s="797">
        <v>330000</v>
      </c>
      <c r="G15" s="307">
        <f>I15-H15</f>
        <v>0</v>
      </c>
      <c r="H15" s="796"/>
      <c r="I15" s="307"/>
      <c r="J15" s="832"/>
      <c r="K15" s="307"/>
      <c r="L15" s="822"/>
      <c r="M15" s="283"/>
      <c r="N15" s="29"/>
    </row>
    <row r="16" spans="1:48" s="3" customFormat="1" hidden="1" x14ac:dyDescent="0.2">
      <c r="A16" s="737" t="s">
        <v>426</v>
      </c>
      <c r="B16" s="733" t="s">
        <v>16</v>
      </c>
      <c r="C16" s="745" t="s">
        <v>5</v>
      </c>
      <c r="D16" s="816">
        <v>43831</v>
      </c>
      <c r="E16" s="749">
        <v>44196</v>
      </c>
      <c r="F16" s="798"/>
      <c r="G16" s="734"/>
      <c r="H16" s="309"/>
      <c r="I16" s="734"/>
      <c r="J16" s="833"/>
      <c r="K16" s="734"/>
      <c r="L16" s="821"/>
      <c r="M16" s="283"/>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7" t="s">
        <v>482</v>
      </c>
      <c r="B17" s="627" t="s">
        <v>16</v>
      </c>
      <c r="C17" s="292" t="s">
        <v>5</v>
      </c>
      <c r="D17" s="7">
        <v>44197</v>
      </c>
      <c r="E17" s="291">
        <v>44561</v>
      </c>
      <c r="F17" s="794">
        <v>45500</v>
      </c>
      <c r="G17" s="294">
        <f>I17-H17</f>
        <v>15166.79</v>
      </c>
      <c r="H17" s="309">
        <f>'June''21 AR Aging '!D39+'June''21 AR Aging '!C39</f>
        <v>7583.23</v>
      </c>
      <c r="I17" s="294">
        <f>3791.67*6</f>
        <v>22750.02</v>
      </c>
      <c r="J17" s="308">
        <f>F17-I17</f>
        <v>22749.98</v>
      </c>
      <c r="K17" s="294"/>
      <c r="L17" s="249"/>
      <c r="M17" s="283"/>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738" t="s">
        <v>483</v>
      </c>
      <c r="B18" s="627" t="s">
        <v>16</v>
      </c>
      <c r="C18" s="292" t="s">
        <v>21</v>
      </c>
      <c r="D18" s="7">
        <v>44287</v>
      </c>
      <c r="E18" s="291">
        <v>44468</v>
      </c>
      <c r="F18" s="794"/>
      <c r="G18" s="294"/>
      <c r="H18" s="309"/>
      <c r="I18" s="294"/>
      <c r="J18" s="308"/>
      <c r="K18" s="294"/>
      <c r="L18" s="249"/>
      <c r="M18" s="283"/>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7"/>
      <c r="B19" s="627" t="s">
        <v>16</v>
      </c>
      <c r="C19" s="292" t="s">
        <v>21</v>
      </c>
      <c r="D19" s="7">
        <v>42644</v>
      </c>
      <c r="E19" s="291">
        <v>43008</v>
      </c>
      <c r="F19" s="794"/>
      <c r="G19" s="294"/>
      <c r="H19" s="794"/>
      <c r="I19" s="294"/>
      <c r="J19" s="308"/>
      <c r="K19" s="465"/>
      <c r="L19" s="249"/>
      <c r="M19" s="283"/>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7" t="s">
        <v>199</v>
      </c>
      <c r="B20" s="627" t="s">
        <v>16</v>
      </c>
      <c r="C20" s="292" t="s">
        <v>21</v>
      </c>
      <c r="D20" s="7">
        <v>43556</v>
      </c>
      <c r="E20" s="291">
        <v>43921</v>
      </c>
      <c r="F20" s="794"/>
      <c r="G20" s="294"/>
      <c r="H20" s="794"/>
      <c r="I20" s="294"/>
      <c r="J20" s="308"/>
      <c r="K20" s="465"/>
      <c r="L20" s="249"/>
      <c r="M20" s="283"/>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hidden="1" customHeight="1" x14ac:dyDescent="0.2">
      <c r="A21" s="287" t="s">
        <v>199</v>
      </c>
      <c r="B21" s="627" t="s">
        <v>16</v>
      </c>
      <c r="C21" s="292" t="s">
        <v>21</v>
      </c>
      <c r="D21" s="7">
        <v>43922</v>
      </c>
      <c r="E21" s="291">
        <v>44286</v>
      </c>
      <c r="F21" s="813"/>
      <c r="G21" s="294"/>
      <c r="H21" s="794"/>
      <c r="I21" s="294"/>
      <c r="J21" s="308"/>
      <c r="K21" s="294"/>
      <c r="L21" s="249"/>
      <c r="M21" s="283"/>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5">
      <c r="A22" s="287" t="s">
        <v>567</v>
      </c>
      <c r="B22" s="627" t="s">
        <v>16</v>
      </c>
      <c r="C22" s="292" t="s">
        <v>21</v>
      </c>
      <c r="D22" s="7">
        <v>44287</v>
      </c>
      <c r="E22" s="291">
        <v>44651</v>
      </c>
      <c r="F22" s="813">
        <v>147911</v>
      </c>
      <c r="G22" s="294">
        <f>I22-H22</f>
        <v>0</v>
      </c>
      <c r="H22" s="794">
        <f>'June''21 AR Aging '!G50</f>
        <v>27371.66</v>
      </c>
      <c r="I22" s="294">
        <f>H22</f>
        <v>27371.66</v>
      </c>
      <c r="J22" s="308">
        <f>F22-I22</f>
        <v>120539.34</v>
      </c>
      <c r="K22" s="294"/>
      <c r="L22" s="249"/>
      <c r="M22" s="283"/>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8" customHeight="1" x14ac:dyDescent="0.25">
      <c r="A23" s="736" t="s">
        <v>478</v>
      </c>
      <c r="B23" s="628" t="s">
        <v>16</v>
      </c>
      <c r="C23" s="744" t="s">
        <v>21</v>
      </c>
      <c r="D23" s="815">
        <v>44105</v>
      </c>
      <c r="E23" s="748">
        <v>44469</v>
      </c>
      <c r="F23" s="817">
        <v>14828</v>
      </c>
      <c r="G23" s="307">
        <f>I23-H23</f>
        <v>2259.9899999999998</v>
      </c>
      <c r="H23" s="797">
        <f>'June''21 AR Aging '!G48</f>
        <v>0</v>
      </c>
      <c r="I23" s="307">
        <v>2259.9899999999998</v>
      </c>
      <c r="J23" s="832">
        <f t="shared" ref="J23:J27" si="0">F23-I23</f>
        <v>12568.01</v>
      </c>
      <c r="K23" s="307"/>
      <c r="L23" s="249"/>
      <c r="M23" s="283"/>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2.75" customHeight="1" x14ac:dyDescent="0.2">
      <c r="A24" s="835" t="s">
        <v>507</v>
      </c>
      <c r="B24" s="836" t="s">
        <v>405</v>
      </c>
      <c r="C24" s="837" t="s">
        <v>21</v>
      </c>
      <c r="D24" s="831">
        <v>44256</v>
      </c>
      <c r="E24" s="838">
        <v>44621</v>
      </c>
      <c r="F24" s="813">
        <v>231526</v>
      </c>
      <c r="G24" s="294">
        <f>I24-H24</f>
        <v>0</v>
      </c>
      <c r="H24" s="794">
        <f>'June''21 AR Aging '!G68</f>
        <v>11450</v>
      </c>
      <c r="I24" s="294">
        <f>H24</f>
        <v>11450</v>
      </c>
      <c r="J24" s="308">
        <f>F24-I24</f>
        <v>220076</v>
      </c>
      <c r="K24" s="294"/>
      <c r="L24" s="249"/>
      <c r="M24" s="283"/>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743" customFormat="1" ht="15.75" customHeight="1" x14ac:dyDescent="0.2">
      <c r="A25" s="823" t="s">
        <v>570</v>
      </c>
      <c r="B25" s="824" t="s">
        <v>405</v>
      </c>
      <c r="C25" s="825" t="s">
        <v>21</v>
      </c>
      <c r="D25" s="826">
        <v>44197</v>
      </c>
      <c r="E25" s="827">
        <v>44561</v>
      </c>
      <c r="F25" s="828">
        <v>119886</v>
      </c>
      <c r="G25" s="829">
        <f>I25-H25</f>
        <v>39087.51</v>
      </c>
      <c r="H25" s="830">
        <f>'June''21 AR Aging '!G69</f>
        <v>18680.949999999997</v>
      </c>
      <c r="I25" s="829">
        <v>57768.46</v>
      </c>
      <c r="J25" s="834">
        <f t="shared" si="0"/>
        <v>62117.54</v>
      </c>
      <c r="K25" s="829"/>
      <c r="L25" s="739"/>
      <c r="M25" s="740"/>
      <c r="N25" s="741"/>
      <c r="O25" s="741"/>
      <c r="P25" s="741"/>
      <c r="Q25" s="741"/>
      <c r="R25" s="741"/>
      <c r="S25" s="741"/>
      <c r="T25" s="741"/>
      <c r="U25" s="741"/>
      <c r="V25" s="741"/>
      <c r="W25" s="741"/>
      <c r="X25" s="741"/>
      <c r="Y25" s="741"/>
      <c r="Z25" s="741"/>
      <c r="AA25" s="741"/>
      <c r="AB25" s="742"/>
      <c r="AC25" s="742"/>
      <c r="AD25" s="742"/>
      <c r="AE25" s="742"/>
      <c r="AF25" s="742"/>
      <c r="AG25" s="742"/>
      <c r="AH25" s="742"/>
      <c r="AI25" s="742"/>
      <c r="AJ25" s="742"/>
      <c r="AK25" s="742"/>
      <c r="AL25" s="742"/>
      <c r="AM25" s="370"/>
      <c r="AN25" s="370"/>
      <c r="AO25" s="370"/>
      <c r="AP25" s="370"/>
      <c r="AQ25" s="370"/>
      <c r="AR25" s="370"/>
      <c r="AS25" s="370"/>
      <c r="AT25" s="370"/>
      <c r="AU25" s="370"/>
      <c r="AV25" s="370"/>
    </row>
    <row r="26" spans="1:48" s="3" customFormat="1" hidden="1" x14ac:dyDescent="0.2">
      <c r="A26" s="287" t="s">
        <v>285</v>
      </c>
      <c r="B26" s="627" t="s">
        <v>312</v>
      </c>
      <c r="C26" s="292" t="s">
        <v>21</v>
      </c>
      <c r="D26" s="7">
        <v>43831</v>
      </c>
      <c r="E26" s="291">
        <v>44196</v>
      </c>
      <c r="F26" s="794"/>
      <c r="G26" s="294"/>
      <c r="H26" s="794"/>
      <c r="I26" s="294"/>
      <c r="J26" s="308"/>
      <c r="K26" s="294"/>
      <c r="L26" s="249"/>
      <c r="M26" s="283"/>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t="15" x14ac:dyDescent="0.25">
      <c r="A27" s="736" t="s">
        <v>484</v>
      </c>
      <c r="B27" s="628" t="s">
        <v>312</v>
      </c>
      <c r="C27" s="744" t="s">
        <v>21</v>
      </c>
      <c r="D27" s="815">
        <v>44197</v>
      </c>
      <c r="E27" s="748">
        <v>44561</v>
      </c>
      <c r="F27" s="797">
        <v>18000</v>
      </c>
      <c r="G27" s="307">
        <f>I27-H27</f>
        <v>4500</v>
      </c>
      <c r="H27" s="797">
        <f>'June''21 AR Aging '!D40+'June''21 AR Aging '!C40</f>
        <v>4500</v>
      </c>
      <c r="I27" s="307">
        <f>1500*6</f>
        <v>9000</v>
      </c>
      <c r="J27" s="832">
        <f t="shared" si="0"/>
        <v>9000</v>
      </c>
      <c r="K27" s="307"/>
      <c r="L27" s="726"/>
      <c r="M27" s="283"/>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x14ac:dyDescent="0.25">
      <c r="A28" s="881" t="s">
        <v>551</v>
      </c>
      <c r="B28" s="865" t="s">
        <v>546</v>
      </c>
      <c r="C28" s="866" t="s">
        <v>547</v>
      </c>
      <c r="D28" s="867">
        <v>44317</v>
      </c>
      <c r="E28" s="868">
        <v>44742</v>
      </c>
      <c r="F28" s="869">
        <v>14000</v>
      </c>
      <c r="G28" s="870">
        <f>I28-H28</f>
        <v>0</v>
      </c>
      <c r="H28" s="869">
        <f>'June''21 AR Aging '!G62</f>
        <v>2000</v>
      </c>
      <c r="I28" s="870">
        <v>2000</v>
      </c>
      <c r="J28" s="871">
        <f>F28-I28</f>
        <v>12000</v>
      </c>
      <c r="K28" s="870"/>
      <c r="L28" s="249"/>
      <c r="M28" s="283"/>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idden="1" x14ac:dyDescent="0.2">
      <c r="A29" s="736"/>
      <c r="B29" s="628"/>
      <c r="C29" s="744"/>
      <c r="D29" s="815"/>
      <c r="E29" s="748"/>
      <c r="F29" s="797"/>
      <c r="G29" s="307"/>
      <c r="H29" s="797"/>
      <c r="I29" s="307"/>
      <c r="J29" s="832"/>
      <c r="K29" s="307"/>
      <c r="L29" s="249"/>
      <c r="M29" s="283"/>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615" t="s">
        <v>467</v>
      </c>
      <c r="B30" s="615" t="s">
        <v>183</v>
      </c>
      <c r="C30" s="292" t="s">
        <v>547</v>
      </c>
      <c r="D30" s="7">
        <v>44083</v>
      </c>
      <c r="E30" s="291" t="s">
        <v>545</v>
      </c>
      <c r="F30" s="818">
        <v>41764</v>
      </c>
      <c r="G30" s="294">
        <f>I30-H30</f>
        <v>36939.479999999996</v>
      </c>
      <c r="H30" s="794">
        <f>'June''21 AR Aging '!C60</f>
        <v>770.47</v>
      </c>
      <c r="I30" s="294">
        <v>37709.949999999997</v>
      </c>
      <c r="J30" s="308">
        <f>F30-I30</f>
        <v>4054.0500000000029</v>
      </c>
      <c r="K30" s="294"/>
      <c r="L30" s="249"/>
      <c r="M30" s="283"/>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t="15" thickBot="1" x14ac:dyDescent="0.25">
      <c r="A31" s="384" t="s">
        <v>550</v>
      </c>
      <c r="B31" s="384" t="s">
        <v>183</v>
      </c>
      <c r="C31" s="746" t="s">
        <v>547</v>
      </c>
      <c r="D31" s="804">
        <v>44438</v>
      </c>
      <c r="E31" s="385">
        <v>44680</v>
      </c>
      <c r="F31" s="819">
        <v>44853</v>
      </c>
      <c r="G31" s="295">
        <f>I31-H31</f>
        <v>0</v>
      </c>
      <c r="H31" s="799"/>
      <c r="I31" s="295"/>
      <c r="J31" s="304"/>
      <c r="K31" s="295"/>
      <c r="L31" s="249"/>
      <c r="M31" s="283"/>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7" customFormat="1" ht="16.5" thickBot="1" x14ac:dyDescent="0.3">
      <c r="A32" s="258" t="s">
        <v>37</v>
      </c>
      <c r="B32" s="259"/>
      <c r="C32" s="260"/>
      <c r="D32" s="261"/>
      <c r="E32" s="261"/>
      <c r="F32" s="285"/>
      <c r="G32" s="285">
        <f>SUM(G9:G31)</f>
        <v>435516.19999999995</v>
      </c>
      <c r="H32" s="285">
        <f>SUM(H7:H31)</f>
        <v>223180.9</v>
      </c>
      <c r="I32" s="285">
        <f>SUM(I9:I31)</f>
        <v>658697.1</v>
      </c>
      <c r="J32" s="285">
        <f>SUM(J9:J31)</f>
        <v>745718.9</v>
      </c>
      <c r="K32" s="285">
        <f>SUM(K9:K31)</f>
        <v>0</v>
      </c>
      <c r="L32" s="47"/>
      <c r="M32" s="37"/>
      <c r="N32" s="37"/>
      <c r="O32" s="37"/>
      <c r="P32" s="37"/>
      <c r="Q32" s="37"/>
      <c r="R32" s="37"/>
      <c r="S32" s="37"/>
      <c r="T32" s="37"/>
      <c r="U32" s="37"/>
      <c r="V32" s="37"/>
      <c r="W32" s="37"/>
      <c r="X32" s="37"/>
      <c r="Y32" s="37"/>
      <c r="Z32" s="37"/>
      <c r="AA32" s="37"/>
      <c r="AB32" s="38"/>
      <c r="AC32" s="38"/>
      <c r="AD32" s="38"/>
      <c r="AE32" s="38"/>
      <c r="AF32" s="38"/>
      <c r="AG32" s="38"/>
      <c r="AH32" s="38"/>
      <c r="AI32" s="38"/>
      <c r="AJ32" s="38"/>
      <c r="AK32" s="38"/>
      <c r="AL32" s="38"/>
      <c r="AM32" s="39"/>
      <c r="AN32" s="39"/>
      <c r="AO32" s="39"/>
      <c r="AP32" s="39"/>
      <c r="AQ32" s="39"/>
      <c r="AR32" s="39"/>
      <c r="AS32" s="39"/>
      <c r="AT32" s="39"/>
      <c r="AU32" s="39"/>
      <c r="AV32" s="39"/>
    </row>
    <row r="33" spans="1:48" s="18" customFormat="1" x14ac:dyDescent="0.2">
      <c r="A33" s="811"/>
      <c r="B33" s="811"/>
      <c r="C33" s="19"/>
      <c r="D33" s="811"/>
      <c r="E33" s="284"/>
      <c r="F33" s="29"/>
      <c r="G33" s="29"/>
      <c r="I33" s="29"/>
      <c r="J33" s="29"/>
      <c r="K33" s="29"/>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8" customFormat="1" ht="10.5" customHeight="1" thickBot="1" x14ac:dyDescent="0.25">
      <c r="A34" s="1"/>
      <c r="B34" s="44"/>
      <c r="C34" s="6"/>
      <c r="D34" s="6"/>
      <c r="E34" s="6"/>
      <c r="F34" s="29"/>
      <c r="G34" s="29"/>
      <c r="H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22" customFormat="1" ht="16.5" thickBot="1" x14ac:dyDescent="0.3">
      <c r="A35" s="299" t="s">
        <v>39</v>
      </c>
      <c r="B35" s="156"/>
      <c r="C35" s="157"/>
      <c r="D35" s="157"/>
      <c r="E35" s="157"/>
      <c r="F35" s="158"/>
      <c r="G35" s="158"/>
      <c r="H35" s="158"/>
      <c r="I35" s="158"/>
      <c r="J35" s="158"/>
      <c r="K35" s="15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0" customFormat="1" ht="45.75" thickBot="1" x14ac:dyDescent="0.25">
      <c r="A36" s="315" t="s">
        <v>22</v>
      </c>
      <c r="B36" s="918" t="s">
        <v>12</v>
      </c>
      <c r="C36" s="919"/>
      <c r="D36" s="315" t="s">
        <v>2</v>
      </c>
      <c r="E36" s="315" t="s">
        <v>3</v>
      </c>
      <c r="F36" s="320" t="s">
        <v>23</v>
      </c>
      <c r="G36" s="320" t="s">
        <v>486</v>
      </c>
      <c r="H36" s="320" t="s">
        <v>167</v>
      </c>
      <c r="I36" s="320" t="s">
        <v>19</v>
      </c>
      <c r="J36" s="320" t="s">
        <v>338</v>
      </c>
      <c r="K36" s="320" t="s">
        <v>4</v>
      </c>
      <c r="L36" s="35"/>
      <c r="M36" s="35"/>
      <c r="N36" s="35"/>
      <c r="O36" s="35"/>
      <c r="P36" s="35"/>
      <c r="Q36" s="35"/>
      <c r="R36" s="35"/>
      <c r="S36" s="35"/>
      <c r="T36" s="35"/>
      <c r="U36" s="6"/>
      <c r="V36" s="35"/>
      <c r="W36" s="35"/>
      <c r="X36" s="35"/>
      <c r="Y36" s="35"/>
      <c r="Z36" s="35"/>
      <c r="AA36" s="35"/>
      <c r="AB36" s="36"/>
      <c r="AC36" s="36"/>
      <c r="AD36" s="36"/>
      <c r="AE36" s="36"/>
      <c r="AF36" s="36"/>
      <c r="AG36" s="36"/>
      <c r="AH36" s="36"/>
      <c r="AI36" s="36"/>
      <c r="AJ36" s="36"/>
      <c r="AK36" s="36"/>
      <c r="AL36" s="36"/>
      <c r="AM36" s="6"/>
      <c r="AN36" s="6"/>
      <c r="AO36" s="6"/>
      <c r="AP36" s="6"/>
      <c r="AQ36" s="6"/>
      <c r="AR36" s="6"/>
      <c r="AS36" s="6"/>
      <c r="AT36" s="6"/>
      <c r="AU36" s="6"/>
      <c r="AV36" s="6"/>
    </row>
    <row r="37" spans="1:48" ht="15" hidden="1" thickBot="1" x14ac:dyDescent="0.25">
      <c r="A37" s="287" t="s">
        <v>15</v>
      </c>
      <c r="B37" s="924" t="s">
        <v>11</v>
      </c>
      <c r="C37" s="925"/>
      <c r="D37" s="291">
        <v>41275</v>
      </c>
      <c r="E37" s="291">
        <v>41639</v>
      </c>
      <c r="F37" s="294"/>
      <c r="G37" s="294">
        <v>0</v>
      </c>
      <c r="H37" s="294"/>
      <c r="I37" s="294">
        <f>F37-H37</f>
        <v>0</v>
      </c>
      <c r="J37" s="294">
        <v>0</v>
      </c>
      <c r="K37" s="294">
        <f t="shared" ref="K37:K43" si="1">I37</f>
        <v>0</v>
      </c>
      <c r="L37" s="29"/>
      <c r="M37" s="29"/>
      <c r="N37" s="29"/>
    </row>
    <row r="38" spans="1:48" ht="15" hidden="1" thickBot="1" x14ac:dyDescent="0.25">
      <c r="A38" s="287" t="s">
        <v>267</v>
      </c>
      <c r="B38" s="924" t="s">
        <v>11</v>
      </c>
      <c r="C38" s="925"/>
      <c r="D38" s="291">
        <v>42736</v>
      </c>
      <c r="E38" s="291">
        <v>43100</v>
      </c>
      <c r="F38" s="294"/>
      <c r="G38" s="294">
        <v>0</v>
      </c>
      <c r="H38" s="294">
        <v>25000</v>
      </c>
      <c r="I38" s="294">
        <f>25000-H38</f>
        <v>0</v>
      </c>
      <c r="J38" s="294"/>
      <c r="K38" s="383">
        <f t="shared" si="1"/>
        <v>0</v>
      </c>
      <c r="L38" s="29"/>
      <c r="M38" s="29"/>
      <c r="N38" s="29"/>
    </row>
    <row r="39" spans="1:48" ht="15" hidden="1" thickBot="1" x14ac:dyDescent="0.25">
      <c r="A39" s="287" t="s">
        <v>323</v>
      </c>
      <c r="B39" s="924" t="s">
        <v>11</v>
      </c>
      <c r="C39" s="925"/>
      <c r="D39" s="291">
        <v>43466</v>
      </c>
      <c r="E39" s="291">
        <v>43830</v>
      </c>
      <c r="F39" s="294"/>
      <c r="G39" s="294"/>
      <c r="H39" s="294"/>
      <c r="I39" s="294"/>
      <c r="J39" s="294"/>
      <c r="K39" s="732"/>
      <c r="L39" s="29"/>
      <c r="M39" s="29"/>
      <c r="N39" s="29"/>
    </row>
    <row r="40" spans="1:48" ht="15" hidden="1" x14ac:dyDescent="0.25">
      <c r="A40" s="802" t="s">
        <v>427</v>
      </c>
      <c r="B40" s="930" t="s">
        <v>11</v>
      </c>
      <c r="C40" s="925"/>
      <c r="D40" s="803">
        <v>43831</v>
      </c>
      <c r="E40" s="7">
        <v>44196</v>
      </c>
      <c r="F40" s="765"/>
      <c r="G40" s="309"/>
      <c r="H40" s="765"/>
      <c r="I40" s="309">
        <f>F40-H40</f>
        <v>0</v>
      </c>
      <c r="J40" s="765"/>
      <c r="K40" s="807">
        <f>I40</f>
        <v>0</v>
      </c>
      <c r="L40" s="29"/>
      <c r="M40" s="29"/>
      <c r="N40" s="29"/>
    </row>
    <row r="41" spans="1:48" ht="15" x14ac:dyDescent="0.25">
      <c r="A41" s="287" t="s">
        <v>485</v>
      </c>
      <c r="B41" s="930" t="s">
        <v>11</v>
      </c>
      <c r="C41" s="925"/>
      <c r="D41" s="291">
        <v>44197</v>
      </c>
      <c r="E41" s="7">
        <v>44561</v>
      </c>
      <c r="F41" s="294">
        <v>25000</v>
      </c>
      <c r="G41" s="309">
        <v>25000</v>
      </c>
      <c r="H41" s="294">
        <v>12560.77</v>
      </c>
      <c r="I41" s="309">
        <f>G41-H41</f>
        <v>12439.23</v>
      </c>
      <c r="J41" s="294"/>
      <c r="K41" s="308">
        <f>I41</f>
        <v>12439.23</v>
      </c>
      <c r="L41" s="29"/>
      <c r="M41" s="29"/>
      <c r="N41" s="29"/>
    </row>
    <row r="42" spans="1:48" x14ac:dyDescent="0.2">
      <c r="A42" s="287" t="s">
        <v>487</v>
      </c>
      <c r="B42" s="930" t="s">
        <v>11</v>
      </c>
      <c r="C42" s="925"/>
      <c r="D42" s="291">
        <v>44105</v>
      </c>
      <c r="E42" s="7" t="s">
        <v>431</v>
      </c>
      <c r="F42" s="294">
        <v>3500</v>
      </c>
      <c r="G42" s="309">
        <v>1568.86</v>
      </c>
      <c r="H42" s="294">
        <f>G42</f>
        <v>1568.86</v>
      </c>
      <c r="I42" s="309">
        <f>G42-H42</f>
        <v>0</v>
      </c>
      <c r="J42" s="294"/>
      <c r="K42" s="308">
        <f t="shared" si="1"/>
        <v>0</v>
      </c>
      <c r="L42" s="29"/>
      <c r="M42" s="29"/>
      <c r="N42" s="29"/>
    </row>
    <row r="43" spans="1:48" x14ac:dyDescent="0.2">
      <c r="A43" s="287" t="s">
        <v>490</v>
      </c>
      <c r="B43" s="930" t="s">
        <v>11</v>
      </c>
      <c r="C43" s="925"/>
      <c r="D43" s="291">
        <v>44228</v>
      </c>
      <c r="E43" s="7">
        <v>44592</v>
      </c>
      <c r="F43" s="294">
        <v>3000</v>
      </c>
      <c r="G43" s="309">
        <v>0</v>
      </c>
      <c r="H43" s="294">
        <v>1102.8900000000001</v>
      </c>
      <c r="I43" s="309">
        <f>F43-1102.89</f>
        <v>1897.11</v>
      </c>
      <c r="J43" s="294"/>
      <c r="K43" s="308">
        <f t="shared" si="1"/>
        <v>1897.11</v>
      </c>
      <c r="L43" s="29"/>
      <c r="M43" s="29"/>
      <c r="N43" s="29"/>
    </row>
    <row r="44" spans="1:48" s="4" customFormat="1" x14ac:dyDescent="0.2">
      <c r="A44" s="287" t="s">
        <v>394</v>
      </c>
      <c r="B44" s="928" t="s">
        <v>17</v>
      </c>
      <c r="C44" s="929"/>
      <c r="D44" s="291">
        <v>44197</v>
      </c>
      <c r="E44" s="7">
        <v>44561</v>
      </c>
      <c r="F44" s="294">
        <v>48000</v>
      </c>
      <c r="G44" s="309">
        <v>0</v>
      </c>
      <c r="H44" s="294">
        <f>4000*6</f>
        <v>24000</v>
      </c>
      <c r="I44" s="309">
        <f>48000-H44</f>
        <v>24000</v>
      </c>
      <c r="J44" s="294"/>
      <c r="K44" s="308">
        <f>I44</f>
        <v>24000</v>
      </c>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4" customFormat="1" ht="15" hidden="1" x14ac:dyDescent="0.25">
      <c r="A45" s="287" t="s">
        <v>420</v>
      </c>
      <c r="B45" s="921" t="s">
        <v>419</v>
      </c>
      <c r="C45" s="921"/>
      <c r="D45" s="627"/>
      <c r="E45" s="811"/>
      <c r="F45" s="294"/>
      <c r="G45" s="309"/>
      <c r="H45" s="294"/>
      <c r="I45" s="309"/>
      <c r="J45" s="308"/>
      <c r="K45" s="383"/>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 thickBot="1" x14ac:dyDescent="0.25">
      <c r="A46" s="287" t="s">
        <v>18</v>
      </c>
      <c r="B46" s="921" t="s">
        <v>43</v>
      </c>
      <c r="C46" s="921"/>
      <c r="D46" s="291">
        <v>40226</v>
      </c>
      <c r="E46" s="6" t="s">
        <v>25</v>
      </c>
      <c r="F46" s="294">
        <f>8007.78+5000+50</f>
        <v>13057.779999999999</v>
      </c>
      <c r="G46" s="309">
        <v>1898.7</v>
      </c>
      <c r="H46" s="294">
        <v>0</v>
      </c>
      <c r="I46" s="309">
        <f>+G46-H46</f>
        <v>1898.7</v>
      </c>
      <c r="J46" s="294">
        <f>I46</f>
        <v>1898.7</v>
      </c>
      <c r="K46" s="308">
        <v>0</v>
      </c>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 hidden="1" thickBot="1" x14ac:dyDescent="0.25">
      <c r="A47" s="287" t="s">
        <v>395</v>
      </c>
      <c r="B47" s="921" t="s">
        <v>428</v>
      </c>
      <c r="C47" s="921"/>
      <c r="D47" s="291">
        <v>43770</v>
      </c>
      <c r="E47" s="7">
        <v>44196</v>
      </c>
      <c r="F47" s="294"/>
      <c r="G47" s="309"/>
      <c r="H47" s="294"/>
      <c r="I47" s="309"/>
      <c r="J47" s="294"/>
      <c r="K47" s="308"/>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75" thickBot="1" x14ac:dyDescent="0.3">
      <c r="A48" s="288" t="s">
        <v>506</v>
      </c>
      <c r="B48" s="926" t="s">
        <v>491</v>
      </c>
      <c r="C48" s="927"/>
      <c r="D48" s="385">
        <v>44197</v>
      </c>
      <c r="E48" s="804">
        <v>44561</v>
      </c>
      <c r="F48" s="764">
        <v>15000</v>
      </c>
      <c r="G48" s="805"/>
      <c r="H48" s="295">
        <v>6000</v>
      </c>
      <c r="I48" s="309">
        <f>15000+G48-H48</f>
        <v>9000</v>
      </c>
      <c r="J48" s="295">
        <f>I48</f>
        <v>9000</v>
      </c>
      <c r="K48" s="304">
        <v>0</v>
      </c>
      <c r="L48" s="806" t="s">
        <v>102</v>
      </c>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53" customFormat="1" ht="15.75" thickBot="1" x14ac:dyDescent="0.3">
      <c r="A49" s="286" t="s">
        <v>28</v>
      </c>
      <c r="B49" s="289"/>
      <c r="C49" s="289"/>
      <c r="D49" s="290"/>
      <c r="E49" s="290"/>
      <c r="F49" s="293">
        <f t="shared" ref="F49:K49" si="2">SUM(F37:F48)</f>
        <v>107557.78</v>
      </c>
      <c r="G49" s="296">
        <f t="shared" si="2"/>
        <v>28467.56</v>
      </c>
      <c r="H49" s="839">
        <f t="shared" si="2"/>
        <v>70232.52</v>
      </c>
      <c r="I49" s="840">
        <f t="shared" si="2"/>
        <v>49235.039999999994</v>
      </c>
      <c r="J49" s="297">
        <f t="shared" si="2"/>
        <v>10898.7</v>
      </c>
      <c r="K49" s="298">
        <f t="shared" si="2"/>
        <v>38336.339999999997</v>
      </c>
      <c r="L49" s="437">
        <f>K32+K49</f>
        <v>38336.339999999997</v>
      </c>
      <c r="M49" s="251"/>
      <c r="N49" s="251"/>
      <c r="O49" s="251"/>
      <c r="P49" s="251"/>
      <c r="Q49" s="251"/>
      <c r="R49" s="251"/>
      <c r="S49" s="251"/>
      <c r="T49" s="251"/>
      <c r="U49" s="252"/>
      <c r="V49" s="251"/>
      <c r="W49" s="251"/>
      <c r="X49" s="251"/>
      <c r="Y49" s="251"/>
      <c r="Z49" s="251"/>
      <c r="AA49" s="251"/>
      <c r="AB49" s="251"/>
      <c r="AC49" s="251"/>
      <c r="AD49" s="251"/>
      <c r="AE49" s="251"/>
      <c r="AF49" s="251"/>
      <c r="AG49" s="251"/>
      <c r="AH49" s="251"/>
      <c r="AI49" s="251"/>
      <c r="AJ49" s="251"/>
      <c r="AK49" s="251"/>
      <c r="AL49" s="251"/>
      <c r="AM49" s="252"/>
      <c r="AN49" s="252"/>
      <c r="AO49" s="252"/>
      <c r="AP49" s="252"/>
      <c r="AQ49" s="252"/>
      <c r="AR49" s="252"/>
      <c r="AS49" s="252"/>
      <c r="AT49" s="252"/>
      <c r="AU49" s="252"/>
      <c r="AV49" s="252"/>
    </row>
    <row r="50" spans="1:48" s="18" customFormat="1" ht="15" thickBot="1" x14ac:dyDescent="0.25">
      <c r="B50" s="1"/>
      <c r="C50" s="6"/>
      <c r="D50" s="6"/>
      <c r="E50" s="6"/>
      <c r="F50" s="29"/>
      <c r="G50" s="29"/>
      <c r="H50" s="29"/>
      <c r="I50" s="29"/>
      <c r="J50" s="29"/>
      <c r="K50" s="29"/>
      <c r="L50" s="29"/>
      <c r="M50" s="29"/>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s="21" customFormat="1" ht="18.75" thickBot="1" x14ac:dyDescent="0.3">
      <c r="A51" s="299" t="s">
        <v>142</v>
      </c>
      <c r="B51" s="300"/>
      <c r="C51" s="301"/>
      <c r="D51" s="301"/>
      <c r="E51" s="301"/>
      <c r="F51" s="302"/>
      <c r="G51" s="302"/>
      <c r="H51" s="302"/>
      <c r="I51" s="302"/>
      <c r="J51" s="302"/>
      <c r="K51" s="305"/>
      <c r="L51" s="302"/>
      <c r="M51" s="306"/>
      <c r="N51" s="40"/>
      <c r="O51" s="40"/>
      <c r="P51" s="40"/>
      <c r="Q51" s="40"/>
      <c r="R51" s="40"/>
      <c r="S51" s="40"/>
      <c r="T51" s="40"/>
      <c r="U51" s="41"/>
      <c r="V51" s="40"/>
      <c r="W51" s="40"/>
      <c r="X51" s="40"/>
      <c r="Y51" s="40"/>
      <c r="Z51" s="40"/>
      <c r="AA51" s="40"/>
      <c r="AB51" s="42"/>
      <c r="AC51" s="42"/>
      <c r="AD51" s="42"/>
      <c r="AE51" s="42"/>
      <c r="AF51" s="42"/>
      <c r="AG51" s="42"/>
      <c r="AH51" s="42"/>
      <c r="AI51" s="42"/>
      <c r="AJ51" s="42"/>
      <c r="AK51" s="42"/>
      <c r="AL51" s="42"/>
      <c r="AM51" s="41"/>
      <c r="AN51" s="41"/>
      <c r="AO51" s="41"/>
      <c r="AP51" s="41"/>
      <c r="AQ51" s="41"/>
      <c r="AR51" s="41"/>
      <c r="AS51" s="41"/>
      <c r="AT51" s="41"/>
      <c r="AU51" s="41"/>
      <c r="AV51" s="41"/>
    </row>
    <row r="52" spans="1:48" s="23" customFormat="1" ht="33" customHeight="1" thickBot="1" x14ac:dyDescent="0.25">
      <c r="A52" s="315" t="s">
        <v>31</v>
      </c>
      <c r="B52" s="918" t="s">
        <v>24</v>
      </c>
      <c r="C52" s="919"/>
      <c r="D52" s="919"/>
      <c r="E52" s="923"/>
      <c r="F52" s="319" t="s">
        <v>40</v>
      </c>
      <c r="G52" s="257" t="s">
        <v>430</v>
      </c>
      <c r="H52" s="257" t="s">
        <v>166</v>
      </c>
      <c r="I52" s="257" t="s">
        <v>200</v>
      </c>
      <c r="J52" s="257" t="s">
        <v>167</v>
      </c>
      <c r="K52" s="257" t="s">
        <v>10</v>
      </c>
      <c r="L52" s="257" t="s">
        <v>337</v>
      </c>
      <c r="M52" s="257" t="s">
        <v>4</v>
      </c>
      <c r="N52" s="35"/>
      <c r="O52" s="35"/>
      <c r="P52" s="35"/>
      <c r="Q52" s="35"/>
      <c r="R52" s="35"/>
      <c r="S52" s="35"/>
      <c r="T52" s="35"/>
      <c r="U52" s="6"/>
      <c r="V52" s="35"/>
      <c r="W52" s="35"/>
      <c r="X52" s="35"/>
      <c r="Y52" s="35"/>
      <c r="Z52" s="35"/>
      <c r="AA52" s="35"/>
      <c r="AB52" s="36"/>
      <c r="AC52" s="36"/>
      <c r="AD52" s="36"/>
      <c r="AE52" s="36"/>
      <c r="AF52" s="36"/>
      <c r="AG52" s="36"/>
      <c r="AH52" s="36"/>
      <c r="AI52" s="36"/>
      <c r="AJ52" s="36"/>
      <c r="AK52" s="36"/>
      <c r="AL52" s="36"/>
      <c r="AM52" s="6"/>
      <c r="AN52" s="6"/>
      <c r="AO52" s="6"/>
      <c r="AP52" s="6"/>
      <c r="AQ52" s="6"/>
      <c r="AR52" s="6"/>
      <c r="AS52" s="6"/>
      <c r="AT52" s="6"/>
      <c r="AU52" s="6"/>
      <c r="AV52" s="6"/>
    </row>
    <row r="53" spans="1:48" s="18" customFormat="1" hidden="1" x14ac:dyDescent="0.2">
      <c r="A53" s="287" t="s">
        <v>32</v>
      </c>
      <c r="B53" s="920" t="s">
        <v>35</v>
      </c>
      <c r="C53" s="921"/>
      <c r="D53" s="921"/>
      <c r="E53" s="922"/>
      <c r="F53" s="294"/>
      <c r="G53" s="294"/>
      <c r="H53" s="294">
        <v>0</v>
      </c>
      <c r="I53" s="294"/>
      <c r="J53" s="294"/>
      <c r="K53" s="294"/>
      <c r="L53" s="294"/>
      <c r="M53" s="294">
        <v>0</v>
      </c>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hidden="1" x14ac:dyDescent="0.2">
      <c r="A54" s="287" t="s">
        <v>33</v>
      </c>
      <c r="B54" s="920" t="s">
        <v>36</v>
      </c>
      <c r="C54" s="921"/>
      <c r="D54" s="921"/>
      <c r="E54" s="922"/>
      <c r="F54" s="294"/>
      <c r="G54" s="294"/>
      <c r="H54" s="294"/>
      <c r="I54" s="303"/>
      <c r="J54" s="294"/>
      <c r="K54" s="294"/>
      <c r="L54" s="294"/>
      <c r="M54" s="294">
        <v>0</v>
      </c>
      <c r="N54" s="29"/>
    </row>
    <row r="55" spans="1:48" ht="15" hidden="1" customHeight="1" x14ac:dyDescent="0.2">
      <c r="A55" s="287"/>
      <c r="B55" s="920"/>
      <c r="C55" s="921"/>
      <c r="D55" s="921"/>
      <c r="E55" s="922"/>
      <c r="F55" s="294"/>
      <c r="G55" s="294"/>
      <c r="H55" s="294"/>
      <c r="I55" s="511"/>
      <c r="J55" s="294"/>
      <c r="K55" s="383"/>
      <c r="L55" s="294"/>
      <c r="M55" s="294"/>
      <c r="N55" s="29"/>
    </row>
    <row r="56" spans="1:48" s="18" customFormat="1" hidden="1" x14ac:dyDescent="0.2">
      <c r="A56" s="287"/>
      <c r="B56" s="920"/>
      <c r="C56" s="921"/>
      <c r="D56" s="921"/>
      <c r="E56" s="922"/>
      <c r="F56" s="294"/>
      <c r="G56" s="294"/>
      <c r="H56" s="294"/>
      <c r="I56" s="294"/>
      <c r="J56" s="294"/>
      <c r="K56" s="383"/>
      <c r="L56" s="294"/>
      <c r="M56" s="294"/>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hidden="1" x14ac:dyDescent="0.2">
      <c r="A57" s="287" t="s">
        <v>468</v>
      </c>
      <c r="B57" s="810" t="s">
        <v>402</v>
      </c>
      <c r="C57" s="811"/>
      <c r="D57" s="811"/>
      <c r="E57" s="812"/>
      <c r="F57" s="294"/>
      <c r="G57" s="294"/>
      <c r="H57" s="294"/>
      <c r="I57" s="598"/>
      <c r="J57" s="308"/>
      <c r="K57" s="383">
        <f t="shared" ref="K57:K58" si="3">H57-J57</f>
        <v>0</v>
      </c>
      <c r="L57" s="294"/>
      <c r="M57" s="294"/>
      <c r="N57" s="29"/>
    </row>
    <row r="58" spans="1:48" s="18" customFormat="1" hidden="1" x14ac:dyDescent="0.2">
      <c r="A58" s="287" t="s">
        <v>429</v>
      </c>
      <c r="B58" s="920" t="s">
        <v>403</v>
      </c>
      <c r="C58" s="921"/>
      <c r="D58" s="921"/>
      <c r="E58" s="922"/>
      <c r="F58" s="294"/>
      <c r="G58" s="294"/>
      <c r="H58" s="294"/>
      <c r="I58" s="294"/>
      <c r="J58" s="308"/>
      <c r="K58" s="383">
        <f t="shared" si="3"/>
        <v>0</v>
      </c>
      <c r="L58" s="294"/>
      <c r="M58" s="294"/>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x14ac:dyDescent="0.2">
      <c r="A59" s="287" t="s">
        <v>488</v>
      </c>
      <c r="B59" s="810" t="s">
        <v>479</v>
      </c>
      <c r="C59" s="811"/>
      <c r="D59" s="811"/>
      <c r="E59" s="812"/>
      <c r="F59" s="294">
        <v>41600</v>
      </c>
      <c r="G59" s="294"/>
      <c r="H59" s="294">
        <f>F59</f>
        <v>41600</v>
      </c>
      <c r="I59" s="294"/>
      <c r="J59" s="308">
        <f>41600/12*6</f>
        <v>20800</v>
      </c>
      <c r="K59" s="383">
        <f>H59-J59</f>
        <v>20800</v>
      </c>
      <c r="L59" s="294">
        <f>K59</f>
        <v>20800</v>
      </c>
      <c r="M59" s="294"/>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7" t="s">
        <v>489</v>
      </c>
      <c r="B60" s="920" t="s">
        <v>480</v>
      </c>
      <c r="C60" s="921"/>
      <c r="D60" s="921"/>
      <c r="E60" s="922"/>
      <c r="F60" s="294">
        <v>18500</v>
      </c>
      <c r="G60" s="294"/>
      <c r="H60" s="294">
        <f>F60</f>
        <v>18500</v>
      </c>
      <c r="I60" s="294"/>
      <c r="J60" s="308">
        <f>18500/12*6</f>
        <v>9250</v>
      </c>
      <c r="K60" s="383">
        <f>H60-J60</f>
        <v>9250</v>
      </c>
      <c r="L60" s="294">
        <f>K60</f>
        <v>9250</v>
      </c>
      <c r="M60" s="294"/>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7" t="s">
        <v>342</v>
      </c>
      <c r="B61" s="810" t="s">
        <v>481</v>
      </c>
      <c r="C61" s="811"/>
      <c r="D61" s="811"/>
      <c r="E61" s="812"/>
      <c r="F61" s="294">
        <v>40000</v>
      </c>
      <c r="G61" s="294"/>
      <c r="H61" s="294">
        <f>J61-I61</f>
        <v>25000</v>
      </c>
      <c r="I61" s="294">
        <f>'June''21 AR Aging '!G64</f>
        <v>5000</v>
      </c>
      <c r="J61" s="308">
        <f>20000+5000+5000</f>
        <v>30000</v>
      </c>
      <c r="K61" s="383">
        <f>F61-J61</f>
        <v>10000</v>
      </c>
      <c r="L61" s="294"/>
      <c r="M61" s="294"/>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x14ac:dyDescent="0.2">
      <c r="A62" s="287" t="s">
        <v>20</v>
      </c>
      <c r="B62" s="920" t="s">
        <v>469</v>
      </c>
      <c r="C62" s="921"/>
      <c r="D62" s="921"/>
      <c r="E62" s="922"/>
      <c r="F62" s="294"/>
      <c r="G62" s="294">
        <v>0</v>
      </c>
      <c r="H62" s="294">
        <f>J62</f>
        <v>8228.7000000000007</v>
      </c>
      <c r="I62" s="294"/>
      <c r="J62" s="308">
        <v>8228.7000000000007</v>
      </c>
      <c r="K62" s="383">
        <f>H62-J62</f>
        <v>0</v>
      </c>
      <c r="L62" s="294">
        <v>0</v>
      </c>
      <c r="M62" s="294">
        <v>0</v>
      </c>
      <c r="N62" s="29"/>
    </row>
    <row r="63" spans="1:48" x14ac:dyDescent="0.2">
      <c r="A63" s="287" t="s">
        <v>20</v>
      </c>
      <c r="B63" s="920" t="s">
        <v>6</v>
      </c>
      <c r="C63" s="921"/>
      <c r="D63" s="921"/>
      <c r="E63" s="922"/>
      <c r="F63" s="294"/>
      <c r="G63" s="294">
        <v>807.18</v>
      </c>
      <c r="H63" s="294"/>
      <c r="I63" s="294"/>
      <c r="J63" s="308"/>
      <c r="K63" s="383">
        <f>G63+H63-J63</f>
        <v>807.18</v>
      </c>
      <c r="L63" s="294">
        <f>K63</f>
        <v>807.18</v>
      </c>
      <c r="M63" s="294">
        <v>0</v>
      </c>
      <c r="N63" s="29"/>
    </row>
    <row r="64" spans="1:48" x14ac:dyDescent="0.2">
      <c r="A64" s="287" t="s">
        <v>20</v>
      </c>
      <c r="B64" s="920" t="s">
        <v>7</v>
      </c>
      <c r="C64" s="921"/>
      <c r="D64" s="921"/>
      <c r="E64" s="922"/>
      <c r="F64" s="294"/>
      <c r="G64" s="294">
        <v>20127.96</v>
      </c>
      <c r="H64" s="294">
        <v>0</v>
      </c>
      <c r="I64" s="294">
        <v>0</v>
      </c>
      <c r="J64" s="308">
        <v>7170.48</v>
      </c>
      <c r="K64" s="383">
        <f>G64+H64-J64</f>
        <v>12957.48</v>
      </c>
      <c r="L64" s="294">
        <f>K64</f>
        <v>12957.48</v>
      </c>
      <c r="M64" s="294">
        <v>0</v>
      </c>
      <c r="N64" s="29"/>
    </row>
    <row r="65" spans="1:48" ht="15" thickBot="1" x14ac:dyDescent="0.25">
      <c r="A65" s="287" t="s">
        <v>20</v>
      </c>
      <c r="B65" s="920" t="s">
        <v>8</v>
      </c>
      <c r="C65" s="921"/>
      <c r="D65" s="921"/>
      <c r="E65" s="922"/>
      <c r="F65" s="294"/>
      <c r="G65" s="294">
        <v>5467.94</v>
      </c>
      <c r="H65" s="294">
        <v>0</v>
      </c>
      <c r="I65" s="294">
        <v>0</v>
      </c>
      <c r="J65" s="308">
        <v>1843.37</v>
      </c>
      <c r="K65" s="383">
        <f>G65+H65-J65</f>
        <v>3624.5699999999997</v>
      </c>
      <c r="L65" s="294">
        <f>K65</f>
        <v>3624.5699999999997</v>
      </c>
      <c r="M65" s="294">
        <v>0</v>
      </c>
      <c r="N65" s="29"/>
    </row>
    <row r="66" spans="1:48" s="25" customFormat="1" ht="15" hidden="1" thickBot="1" x14ac:dyDescent="0.25">
      <c r="A66" s="287" t="s">
        <v>387</v>
      </c>
      <c r="B66" s="920" t="s">
        <v>372</v>
      </c>
      <c r="C66" s="921"/>
      <c r="D66" s="921"/>
      <c r="E66" s="922"/>
      <c r="F66" s="294"/>
      <c r="G66" s="294"/>
      <c r="H66" s="294"/>
      <c r="I66" s="294"/>
      <c r="J66" s="294"/>
      <c r="K66" s="294"/>
      <c r="L66" s="294"/>
      <c r="M66" s="294"/>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25" customFormat="1" ht="15" hidden="1" thickBot="1" x14ac:dyDescent="0.25">
      <c r="A67" s="287" t="s">
        <v>20</v>
      </c>
      <c r="B67" s="810" t="s">
        <v>79</v>
      </c>
      <c r="C67" s="811"/>
      <c r="D67" s="811"/>
      <c r="E67" s="812"/>
      <c r="F67" s="294"/>
      <c r="G67" s="294"/>
      <c r="H67" s="294"/>
      <c r="I67" s="294"/>
      <c r="J67" s="294"/>
      <c r="K67" s="294"/>
      <c r="L67" s="294"/>
      <c r="M67" s="294"/>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18" customFormat="1" ht="15" hidden="1" customHeight="1" thickBot="1" x14ac:dyDescent="0.25">
      <c r="A68" s="288"/>
      <c r="B68" s="920"/>
      <c r="C68" s="921"/>
      <c r="D68" s="921"/>
      <c r="E68" s="922"/>
      <c r="F68" s="295"/>
      <c r="G68" s="295">
        <v>0</v>
      </c>
      <c r="H68" s="295"/>
      <c r="I68" s="304"/>
      <c r="J68" s="295"/>
      <c r="K68" s="295"/>
      <c r="L68" s="295"/>
      <c r="M68" s="295">
        <v>0</v>
      </c>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253" customFormat="1" ht="15.75" thickBot="1" x14ac:dyDescent="0.3">
      <c r="A69" s="316" t="s">
        <v>38</v>
      </c>
      <c r="B69" s="317"/>
      <c r="C69" s="317"/>
      <c r="D69" s="317"/>
      <c r="E69" s="318"/>
      <c r="F69" s="376">
        <f t="shared" ref="F69:M69" si="4">SUM(F53:F68)</f>
        <v>100100</v>
      </c>
      <c r="G69" s="377">
        <f t="shared" si="4"/>
        <v>26403.079999999998</v>
      </c>
      <c r="H69" s="377">
        <f>SUM(H53:H68)</f>
        <v>93328.7</v>
      </c>
      <c r="I69" s="377">
        <f t="shared" si="4"/>
        <v>5000</v>
      </c>
      <c r="J69" s="377">
        <f t="shared" si="4"/>
        <v>77292.549999999988</v>
      </c>
      <c r="K69" s="378">
        <f>SUM(K53:K68)</f>
        <v>57439.23</v>
      </c>
      <c r="L69" s="379">
        <f>SUM(L53:L68)</f>
        <v>47439.23</v>
      </c>
      <c r="M69" s="378">
        <f t="shared" si="4"/>
        <v>0</v>
      </c>
      <c r="N69" s="251"/>
      <c r="O69" s="251"/>
      <c r="P69" s="251"/>
      <c r="Q69" s="251"/>
      <c r="R69" s="251"/>
      <c r="S69" s="251"/>
      <c r="T69" s="251"/>
      <c r="U69" s="252"/>
      <c r="V69" s="251"/>
      <c r="W69" s="251"/>
      <c r="X69" s="251"/>
      <c r="Y69" s="251"/>
      <c r="Z69" s="251"/>
      <c r="AA69" s="251"/>
      <c r="AB69" s="251"/>
      <c r="AC69" s="251"/>
      <c r="AD69" s="251"/>
      <c r="AE69" s="251"/>
      <c r="AF69" s="251"/>
      <c r="AG69" s="251"/>
      <c r="AH69" s="251"/>
      <c r="AI69" s="251"/>
      <c r="AJ69" s="251"/>
      <c r="AK69" s="251"/>
      <c r="AL69" s="251"/>
      <c r="AM69" s="252"/>
      <c r="AN69" s="252"/>
      <c r="AO69" s="252"/>
      <c r="AP69" s="252"/>
      <c r="AQ69" s="252"/>
      <c r="AR69" s="252"/>
      <c r="AS69" s="252"/>
      <c r="AT69" s="252"/>
      <c r="AU69" s="252"/>
      <c r="AV69" s="252"/>
    </row>
    <row r="70" spans="1:48" ht="15" thickBot="1" x14ac:dyDescent="0.25">
      <c r="H70" s="28"/>
      <c r="L70" s="686" t="s">
        <v>350</v>
      </c>
      <c r="N70" s="29"/>
    </row>
    <row r="71" spans="1:48" s="48" customFormat="1" ht="16.5" thickBot="1" x14ac:dyDescent="0.3">
      <c r="A71" s="52"/>
      <c r="B71" s="53"/>
      <c r="C71" s="53"/>
      <c r="D71" s="53"/>
      <c r="E71" s="53"/>
      <c r="F71" s="53"/>
      <c r="G71" s="53"/>
      <c r="H71" s="53"/>
      <c r="I71" s="53"/>
      <c r="J71" s="53"/>
      <c r="K71" s="53"/>
      <c r="L71" s="491">
        <f>L69+J49</f>
        <v>58337.930000000008</v>
      </c>
      <c r="M71" s="680"/>
      <c r="N71" s="29"/>
      <c r="O71" s="29"/>
      <c r="P71" s="29"/>
      <c r="Q71" s="29"/>
      <c r="R71" s="29"/>
      <c r="S71" s="29"/>
      <c r="T71" s="29"/>
      <c r="U71" s="29"/>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51" customFormat="1" ht="32.25" hidden="1" thickBot="1" x14ac:dyDescent="0.3">
      <c r="A72" s="54"/>
      <c r="B72" s="50"/>
      <c r="C72" s="50"/>
      <c r="D72" s="50"/>
      <c r="E72" s="50"/>
      <c r="F72" s="50"/>
      <c r="G72" s="149" t="s">
        <v>174</v>
      </c>
      <c r="H72" s="150" t="s">
        <v>166</v>
      </c>
      <c r="I72" s="150" t="s">
        <v>101</v>
      </c>
      <c r="J72" s="150" t="s">
        <v>57</v>
      </c>
      <c r="K72" s="151" t="s">
        <v>45</v>
      </c>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row>
    <row r="73" spans="1:48" s="43" customFormat="1" ht="20.25" hidden="1" customHeight="1" x14ac:dyDescent="0.2">
      <c r="A73" s="334" t="s">
        <v>74</v>
      </c>
      <c r="B73" s="933" t="s">
        <v>44</v>
      </c>
      <c r="C73" s="933"/>
      <c r="D73" s="933"/>
      <c r="E73" s="933"/>
      <c r="F73" s="335"/>
      <c r="G73" s="335">
        <f>104647.76-J56-1250-1250</f>
        <v>102147.76</v>
      </c>
      <c r="H73" s="335">
        <f>90450.47-J73-H76</f>
        <v>74659.31</v>
      </c>
      <c r="I73" s="335">
        <f>H62</f>
        <v>8228.7000000000007</v>
      </c>
      <c r="J73" s="335">
        <f>'June''21 AR Aging '!G43</f>
        <v>15791.16</v>
      </c>
      <c r="K73" s="336">
        <f>+I73+J73+H73-G73</f>
        <v>-3468.5899999999965</v>
      </c>
      <c r="L73" s="46"/>
      <c r="M73" s="46"/>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25" customFormat="1" hidden="1" x14ac:dyDescent="0.2">
      <c r="A74" s="337" t="s">
        <v>34</v>
      </c>
      <c r="B74" s="932" t="s">
        <v>29</v>
      </c>
      <c r="C74" s="932"/>
      <c r="D74" s="932"/>
      <c r="E74" s="932"/>
      <c r="F74" s="332"/>
      <c r="G74" s="332"/>
      <c r="H74" s="332">
        <v>0</v>
      </c>
      <c r="I74" s="333"/>
      <c r="J74" s="332">
        <v>0</v>
      </c>
      <c r="K74" s="338"/>
      <c r="L74" s="309"/>
      <c r="M74" s="309">
        <v>0</v>
      </c>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18" customFormat="1" hidden="1" x14ac:dyDescent="0.2">
      <c r="A75" s="337" t="s">
        <v>20</v>
      </c>
      <c r="B75" s="934" t="s">
        <v>151</v>
      </c>
      <c r="C75" s="935"/>
      <c r="D75" s="935"/>
      <c r="E75" s="936"/>
      <c r="F75" s="332"/>
      <c r="G75" s="332"/>
      <c r="H75" s="332"/>
      <c r="I75" s="333"/>
      <c r="J75" s="332"/>
      <c r="K75" s="338"/>
      <c r="L75" s="309"/>
      <c r="M75" s="309"/>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18" customFormat="1" ht="15" hidden="1" thickBot="1" x14ac:dyDescent="0.25">
      <c r="A76" s="339" t="s">
        <v>150</v>
      </c>
      <c r="B76" s="931" t="s">
        <v>44</v>
      </c>
      <c r="C76" s="931"/>
      <c r="D76" s="931"/>
      <c r="E76" s="931"/>
      <c r="F76" s="340"/>
      <c r="G76" s="340"/>
      <c r="H76" s="340">
        <v>0</v>
      </c>
      <c r="I76" s="340"/>
      <c r="J76" s="340"/>
      <c r="K76" s="341"/>
      <c r="L76" s="46"/>
      <c r="M76" s="46"/>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hidden="1" x14ac:dyDescent="0.2">
      <c r="F77" s="229"/>
      <c r="G77" s="230"/>
      <c r="H77" s="229"/>
      <c r="I77" s="229"/>
      <c r="J77" s="229">
        <f>J73+I69+H32+J76</f>
        <v>243972.06</v>
      </c>
      <c r="K77" s="229" t="s">
        <v>50</v>
      </c>
      <c r="N77" s="29"/>
    </row>
    <row r="78" spans="1:48" hidden="1" x14ac:dyDescent="0.2">
      <c r="F78" s="229"/>
      <c r="G78" s="230"/>
      <c r="H78" s="229"/>
      <c r="I78" s="229"/>
      <c r="J78" s="709">
        <f>'June''21 AR Aging '!G72</f>
        <v>249012.68</v>
      </c>
      <c r="K78" s="229" t="s">
        <v>508</v>
      </c>
      <c r="N78" s="29"/>
    </row>
    <row r="79" spans="1:48" ht="15" hidden="1" customHeight="1" thickBot="1" x14ac:dyDescent="0.25">
      <c r="F79" s="229"/>
      <c r="G79" s="230"/>
      <c r="H79" s="229"/>
      <c r="I79" s="229"/>
      <c r="J79" s="710">
        <f>J78-J77</f>
        <v>5040.6199999999953</v>
      </c>
      <c r="K79" s="229" t="s">
        <v>404</v>
      </c>
      <c r="N79" s="29"/>
    </row>
    <row r="80" spans="1:48" ht="15" customHeight="1" x14ac:dyDescent="0.2">
      <c r="C80" s="8"/>
      <c r="E80" s="9"/>
    </row>
    <row r="89" spans="1:12" x14ac:dyDescent="0.2">
      <c r="A89" s="10"/>
      <c r="B89" s="1"/>
      <c r="C89" s="6"/>
      <c r="D89" s="6"/>
      <c r="E89" s="7"/>
      <c r="F89" s="29"/>
      <c r="G89" s="29"/>
      <c r="I89" s="29"/>
      <c r="J89" s="29"/>
      <c r="K89" s="29"/>
      <c r="L89" s="29"/>
    </row>
  </sheetData>
  <mergeCells count="30">
    <mergeCell ref="B65:E65"/>
    <mergeCell ref="B40:C40"/>
    <mergeCell ref="B42:C42"/>
    <mergeCell ref="B58:E58"/>
    <mergeCell ref="B43:C43"/>
    <mergeCell ref="B60:E60"/>
    <mergeCell ref="B45:C45"/>
    <mergeCell ref="B47:C47"/>
    <mergeCell ref="B76:E76"/>
    <mergeCell ref="B66:E66"/>
    <mergeCell ref="B74:E74"/>
    <mergeCell ref="B68:E68"/>
    <mergeCell ref="B73:E73"/>
    <mergeCell ref="B75:E75"/>
    <mergeCell ref="B36:C36"/>
    <mergeCell ref="B64:E64"/>
    <mergeCell ref="B52:E52"/>
    <mergeCell ref="B38:C38"/>
    <mergeCell ref="B46:C46"/>
    <mergeCell ref="B48:C48"/>
    <mergeCell ref="B53:E53"/>
    <mergeCell ref="B54:E54"/>
    <mergeCell ref="B62:E62"/>
    <mergeCell ref="B63:E63"/>
    <mergeCell ref="B37:C37"/>
    <mergeCell ref="B55:E55"/>
    <mergeCell ref="B56:E56"/>
    <mergeCell ref="B39:C39"/>
    <mergeCell ref="B44:C44"/>
    <mergeCell ref="B41:C41"/>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4"/>
  <sheetViews>
    <sheetView topLeftCell="A44" zoomScale="70" zoomScaleNormal="70" workbookViewId="0"/>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5" customWidth="1"/>
    <col min="8" max="8" width="11.75" style="1" customWidth="1"/>
    <col min="9" max="9" width="17.625" style="750"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4"/>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519</v>
      </c>
      <c r="B2" s="16"/>
      <c r="C2" s="13"/>
      <c r="D2" s="13"/>
      <c r="E2" s="26"/>
      <c r="F2" s="26"/>
      <c r="G2" s="634"/>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33"/>
      <c r="F3" s="92"/>
    </row>
    <row r="4" spans="1:2009" s="56" customFormat="1" ht="16.5" thickBot="1" x14ac:dyDescent="0.3">
      <c r="A4" s="55"/>
      <c r="B4" s="55"/>
      <c r="C4" s="92" t="s">
        <v>520</v>
      </c>
      <c r="D4" s="92" t="s">
        <v>524</v>
      </c>
      <c r="E4" s="92" t="s">
        <v>502</v>
      </c>
      <c r="F4" s="92" t="s">
        <v>532</v>
      </c>
      <c r="G4" s="636" t="s">
        <v>433</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37" t="s">
        <v>69</v>
      </c>
      <c r="B5" s="938"/>
      <c r="C5" s="147"/>
      <c r="D5" s="147"/>
      <c r="E5" s="155"/>
      <c r="F5" s="155"/>
      <c r="G5" s="637"/>
      <c r="H5" s="93"/>
      <c r="I5" s="55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1" customFormat="1" ht="24.95" hidden="1" customHeight="1" x14ac:dyDescent="0.25">
      <c r="A6" s="328"/>
      <c r="B6" s="124" t="s">
        <v>421</v>
      </c>
      <c r="C6" s="519"/>
      <c r="D6" s="162"/>
      <c r="E6" s="519"/>
      <c r="F6" s="162"/>
      <c r="G6" s="638">
        <f>SUM(C6:F6)</f>
        <v>0</v>
      </c>
      <c r="H6" s="329"/>
      <c r="I6" s="552"/>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330"/>
      <c r="GL6" s="330"/>
      <c r="GM6" s="330"/>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330"/>
      <c r="HM6" s="330"/>
      <c r="HN6" s="330"/>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330"/>
      <c r="IN6" s="330"/>
      <c r="IO6" s="330"/>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330"/>
      <c r="JO6" s="330"/>
      <c r="JP6" s="330"/>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30"/>
      <c r="KP6" s="330"/>
      <c r="KQ6" s="330"/>
      <c r="KR6" s="330"/>
      <c r="KS6" s="330"/>
      <c r="KT6" s="330"/>
      <c r="KU6" s="330"/>
      <c r="KV6" s="330"/>
      <c r="KW6" s="330"/>
      <c r="KX6" s="330"/>
      <c r="KY6" s="330"/>
      <c r="KZ6" s="330"/>
      <c r="LA6" s="330"/>
      <c r="LB6" s="330"/>
      <c r="LC6" s="330"/>
      <c r="LD6" s="330"/>
      <c r="LE6" s="330"/>
      <c r="LF6" s="330"/>
      <c r="LG6" s="330"/>
      <c r="LH6" s="330"/>
      <c r="LI6" s="330"/>
      <c r="LJ6" s="330"/>
      <c r="LK6" s="330"/>
      <c r="LL6" s="330"/>
      <c r="LM6" s="330"/>
      <c r="LN6" s="330"/>
      <c r="LO6" s="330"/>
      <c r="LP6" s="330"/>
      <c r="LQ6" s="330"/>
      <c r="LR6" s="330"/>
      <c r="LS6" s="330"/>
      <c r="LT6" s="330"/>
      <c r="LU6" s="330"/>
      <c r="LV6" s="330"/>
      <c r="LW6" s="330"/>
      <c r="LX6" s="330"/>
      <c r="LY6" s="330"/>
      <c r="LZ6" s="330"/>
      <c r="MA6" s="330"/>
      <c r="MB6" s="330"/>
      <c r="MC6" s="330"/>
      <c r="MD6" s="330"/>
      <c r="ME6" s="330"/>
      <c r="MF6" s="330"/>
      <c r="MG6" s="330"/>
      <c r="MH6" s="330"/>
      <c r="MI6" s="330"/>
      <c r="MJ6" s="330"/>
      <c r="MK6" s="330"/>
      <c r="ML6" s="330"/>
      <c r="MM6" s="330"/>
      <c r="MN6" s="330"/>
      <c r="MO6" s="330"/>
      <c r="MP6" s="330"/>
      <c r="MQ6" s="330"/>
      <c r="MR6" s="330"/>
      <c r="MS6" s="330"/>
      <c r="MT6" s="330"/>
      <c r="MU6" s="330"/>
      <c r="MV6" s="330"/>
      <c r="MW6" s="330"/>
      <c r="MX6" s="330"/>
      <c r="MY6" s="330"/>
      <c r="MZ6" s="330"/>
      <c r="NA6" s="330"/>
      <c r="NB6" s="330"/>
      <c r="NC6" s="330"/>
      <c r="ND6" s="330"/>
      <c r="NE6" s="330"/>
      <c r="NF6" s="330"/>
      <c r="NG6" s="330"/>
      <c r="NH6" s="330"/>
      <c r="NI6" s="330"/>
      <c r="NJ6" s="330"/>
      <c r="NK6" s="330"/>
      <c r="NL6" s="330"/>
      <c r="NM6" s="330"/>
      <c r="NN6" s="330"/>
      <c r="NO6" s="330"/>
      <c r="NP6" s="330"/>
      <c r="NQ6" s="330"/>
      <c r="NR6" s="330"/>
      <c r="NS6" s="330"/>
      <c r="NT6" s="330"/>
      <c r="NU6" s="330"/>
      <c r="NV6" s="330"/>
      <c r="NW6" s="330"/>
      <c r="NX6" s="330"/>
      <c r="NY6" s="330"/>
      <c r="NZ6" s="330"/>
      <c r="OA6" s="330"/>
      <c r="OB6" s="330"/>
      <c r="OC6" s="330"/>
      <c r="OD6" s="330"/>
      <c r="OE6" s="330"/>
      <c r="OF6" s="330"/>
      <c r="OG6" s="330"/>
      <c r="OH6" s="330"/>
      <c r="OI6" s="330"/>
      <c r="OJ6" s="330"/>
      <c r="OK6" s="330"/>
      <c r="OL6" s="330"/>
      <c r="OM6" s="330"/>
      <c r="ON6" s="330"/>
      <c r="OO6" s="330"/>
      <c r="OP6" s="330"/>
      <c r="OQ6" s="330"/>
      <c r="OR6" s="330"/>
      <c r="OS6" s="330"/>
      <c r="OT6" s="330"/>
      <c r="OU6" s="330"/>
      <c r="OV6" s="330"/>
      <c r="OW6" s="330"/>
      <c r="OX6" s="330"/>
      <c r="OY6" s="330"/>
      <c r="OZ6" s="330"/>
      <c r="PA6" s="330"/>
      <c r="PB6" s="330"/>
      <c r="PC6" s="330"/>
      <c r="PD6" s="330"/>
      <c r="PE6" s="330"/>
      <c r="PF6" s="330"/>
      <c r="PG6" s="330"/>
      <c r="PH6" s="330"/>
      <c r="PI6" s="330"/>
      <c r="PJ6" s="330"/>
      <c r="PK6" s="330"/>
      <c r="PL6" s="330"/>
      <c r="PM6" s="330"/>
      <c r="PN6" s="330"/>
      <c r="PO6" s="330"/>
      <c r="PP6" s="330"/>
      <c r="PQ6" s="330"/>
      <c r="PR6" s="330"/>
      <c r="PS6" s="330"/>
      <c r="PT6" s="330"/>
      <c r="PU6" s="330"/>
      <c r="PV6" s="330"/>
      <c r="PW6" s="330"/>
      <c r="PX6" s="330"/>
      <c r="PY6" s="330"/>
      <c r="PZ6" s="330"/>
      <c r="QA6" s="330"/>
      <c r="QB6" s="330"/>
      <c r="QC6" s="330"/>
      <c r="QD6" s="330"/>
      <c r="QE6" s="330"/>
      <c r="QF6" s="330"/>
      <c r="QG6" s="330"/>
      <c r="QH6" s="330"/>
      <c r="QI6" s="330"/>
      <c r="QJ6" s="330"/>
      <c r="QK6" s="330"/>
      <c r="QL6" s="330"/>
      <c r="QM6" s="330"/>
      <c r="QN6" s="330"/>
      <c r="QO6" s="330"/>
      <c r="QP6" s="330"/>
      <c r="QQ6" s="330"/>
      <c r="QR6" s="330"/>
      <c r="QS6" s="330"/>
      <c r="QT6" s="330"/>
      <c r="QU6" s="330"/>
      <c r="QV6" s="330"/>
      <c r="QW6" s="330"/>
      <c r="QX6" s="330"/>
      <c r="QY6" s="330"/>
      <c r="QZ6" s="330"/>
      <c r="RA6" s="330"/>
      <c r="RB6" s="330"/>
      <c r="RC6" s="330"/>
      <c r="RD6" s="330"/>
      <c r="RE6" s="330"/>
      <c r="RF6" s="330"/>
      <c r="RG6" s="330"/>
      <c r="RH6" s="330"/>
      <c r="RI6" s="330"/>
      <c r="RJ6" s="330"/>
      <c r="RK6" s="330"/>
      <c r="RL6" s="330"/>
      <c r="RM6" s="330"/>
      <c r="RN6" s="330"/>
      <c r="RO6" s="330"/>
      <c r="RP6" s="330"/>
      <c r="RQ6" s="330"/>
      <c r="RR6" s="330"/>
      <c r="RS6" s="330"/>
      <c r="RT6" s="330"/>
      <c r="RU6" s="330"/>
      <c r="RV6" s="330"/>
      <c r="RW6" s="330"/>
      <c r="RX6" s="330"/>
      <c r="RY6" s="330"/>
      <c r="RZ6" s="330"/>
      <c r="SA6" s="330"/>
      <c r="SB6" s="330"/>
      <c r="SC6" s="330"/>
      <c r="SD6" s="330"/>
      <c r="SE6" s="330"/>
      <c r="SF6" s="330"/>
      <c r="SG6" s="330"/>
      <c r="SH6" s="330"/>
      <c r="SI6" s="330"/>
      <c r="SJ6" s="330"/>
      <c r="SK6" s="330"/>
      <c r="SL6" s="330"/>
      <c r="SM6" s="330"/>
      <c r="SN6" s="330"/>
      <c r="SO6" s="330"/>
      <c r="SP6" s="330"/>
      <c r="SQ6" s="330"/>
      <c r="SR6" s="330"/>
      <c r="SS6" s="330"/>
      <c r="ST6" s="330"/>
      <c r="SU6" s="330"/>
      <c r="SV6" s="330"/>
      <c r="SW6" s="330"/>
      <c r="SX6" s="330"/>
      <c r="SY6" s="330"/>
      <c r="SZ6" s="330"/>
      <c r="TA6" s="330"/>
      <c r="TB6" s="330"/>
      <c r="TC6" s="330"/>
      <c r="TD6" s="330"/>
      <c r="TE6" s="330"/>
      <c r="TF6" s="330"/>
      <c r="TG6" s="330"/>
      <c r="TH6" s="330"/>
      <c r="TI6" s="330"/>
      <c r="TJ6" s="330"/>
      <c r="TK6" s="330"/>
      <c r="TL6" s="330"/>
      <c r="TM6" s="330"/>
      <c r="TN6" s="330"/>
      <c r="TO6" s="330"/>
      <c r="TP6" s="330"/>
      <c r="TQ6" s="330"/>
      <c r="TR6" s="330"/>
      <c r="TS6" s="330"/>
      <c r="TT6" s="330"/>
      <c r="TU6" s="330"/>
      <c r="TV6" s="330"/>
      <c r="TW6" s="330"/>
      <c r="TX6" s="330"/>
      <c r="TY6" s="330"/>
      <c r="TZ6" s="330"/>
      <c r="UA6" s="330"/>
      <c r="UB6" s="330"/>
      <c r="UC6" s="330"/>
      <c r="UD6" s="330"/>
      <c r="UE6" s="330"/>
      <c r="UF6" s="330"/>
      <c r="UG6" s="330"/>
      <c r="UH6" s="330"/>
      <c r="UI6" s="330"/>
      <c r="UJ6" s="330"/>
      <c r="UK6" s="330"/>
      <c r="UL6" s="330"/>
      <c r="UM6" s="330"/>
      <c r="UN6" s="330"/>
      <c r="UO6" s="330"/>
      <c r="UP6" s="330"/>
      <c r="UQ6" s="330"/>
      <c r="UR6" s="330"/>
      <c r="US6" s="330"/>
      <c r="UT6" s="330"/>
      <c r="UU6" s="330"/>
      <c r="UV6" s="330"/>
      <c r="UW6" s="330"/>
      <c r="UX6" s="330"/>
      <c r="UY6" s="330"/>
      <c r="UZ6" s="330"/>
      <c r="VA6" s="330"/>
      <c r="VB6" s="330"/>
      <c r="VC6" s="330"/>
      <c r="VD6" s="330"/>
      <c r="VE6" s="330"/>
      <c r="VF6" s="330"/>
      <c r="VG6" s="330"/>
      <c r="VH6" s="330"/>
      <c r="VI6" s="330"/>
      <c r="VJ6" s="330"/>
      <c r="VK6" s="330"/>
      <c r="VL6" s="330"/>
      <c r="VM6" s="330"/>
      <c r="VN6" s="330"/>
      <c r="VO6" s="330"/>
      <c r="VP6" s="330"/>
      <c r="VQ6" s="330"/>
      <c r="VR6" s="330"/>
      <c r="VS6" s="330"/>
      <c r="VT6" s="330"/>
      <c r="VU6" s="330"/>
      <c r="VV6" s="330"/>
      <c r="VW6" s="330"/>
      <c r="VX6" s="330"/>
      <c r="VY6" s="330"/>
      <c r="VZ6" s="330"/>
      <c r="WA6" s="330"/>
      <c r="WB6" s="330"/>
      <c r="WC6" s="330"/>
      <c r="WD6" s="330"/>
      <c r="WE6" s="330"/>
      <c r="WF6" s="330"/>
      <c r="WG6" s="330"/>
      <c r="WH6" s="330"/>
      <c r="WI6" s="330"/>
      <c r="WJ6" s="330"/>
      <c r="WK6" s="330"/>
      <c r="WL6" s="330"/>
      <c r="WM6" s="330"/>
      <c r="WN6" s="330"/>
      <c r="WO6" s="330"/>
      <c r="WP6" s="330"/>
      <c r="WQ6" s="330"/>
      <c r="WR6" s="330"/>
      <c r="WS6" s="330"/>
      <c r="WT6" s="330"/>
      <c r="WU6" s="330"/>
      <c r="WV6" s="330"/>
      <c r="WW6" s="330"/>
      <c r="WX6" s="330"/>
      <c r="WY6" s="330"/>
      <c r="WZ6" s="330"/>
      <c r="XA6" s="330"/>
      <c r="XB6" s="330"/>
      <c r="XC6" s="330"/>
      <c r="XD6" s="330"/>
      <c r="XE6" s="330"/>
      <c r="XF6" s="330"/>
      <c r="XG6" s="330"/>
      <c r="XH6" s="330"/>
      <c r="XI6" s="330"/>
      <c r="XJ6" s="330"/>
      <c r="XK6" s="330"/>
      <c r="XL6" s="330"/>
      <c r="XM6" s="330"/>
      <c r="XN6" s="330"/>
      <c r="XO6" s="330"/>
      <c r="XP6" s="330"/>
      <c r="XQ6" s="330"/>
      <c r="XR6" s="330"/>
      <c r="XS6" s="330"/>
      <c r="XT6" s="330"/>
      <c r="XU6" s="330"/>
      <c r="XV6" s="330"/>
      <c r="XW6" s="330"/>
      <c r="XX6" s="330"/>
      <c r="XY6" s="330"/>
      <c r="XZ6" s="330"/>
      <c r="YA6" s="330"/>
      <c r="YB6" s="330"/>
      <c r="YC6" s="330"/>
      <c r="YD6" s="330"/>
      <c r="YE6" s="330"/>
      <c r="YF6" s="330"/>
      <c r="YG6" s="330"/>
      <c r="YH6" s="330"/>
      <c r="YI6" s="330"/>
      <c r="YJ6" s="330"/>
      <c r="YK6" s="330"/>
      <c r="YL6" s="330"/>
      <c r="YM6" s="330"/>
      <c r="YN6" s="330"/>
      <c r="YO6" s="330"/>
      <c r="YP6" s="330"/>
      <c r="YQ6" s="330"/>
      <c r="YR6" s="330"/>
      <c r="YS6" s="330"/>
      <c r="YT6" s="330"/>
      <c r="YU6" s="330"/>
      <c r="YV6" s="330"/>
      <c r="YW6" s="330"/>
      <c r="YX6" s="330"/>
      <c r="YY6" s="330"/>
      <c r="YZ6" s="330"/>
      <c r="ZA6" s="330"/>
      <c r="ZB6" s="330"/>
      <c r="ZC6" s="330"/>
      <c r="ZD6" s="330"/>
      <c r="ZE6" s="330"/>
      <c r="ZF6" s="330"/>
      <c r="ZG6" s="330"/>
      <c r="ZH6" s="330"/>
      <c r="ZI6" s="330"/>
      <c r="ZJ6" s="330"/>
      <c r="ZK6" s="330"/>
      <c r="ZL6" s="330"/>
      <c r="ZM6" s="330"/>
      <c r="ZN6" s="330"/>
      <c r="ZO6" s="330"/>
      <c r="ZP6" s="330"/>
      <c r="ZQ6" s="330"/>
      <c r="ZR6" s="330"/>
      <c r="ZS6" s="330"/>
      <c r="ZT6" s="330"/>
      <c r="ZU6" s="330"/>
      <c r="ZV6" s="330"/>
      <c r="ZW6" s="330"/>
      <c r="ZX6" s="330"/>
      <c r="ZY6" s="330"/>
      <c r="ZZ6" s="330"/>
      <c r="AAA6" s="330"/>
      <c r="AAB6" s="330"/>
      <c r="AAC6" s="330"/>
      <c r="AAD6" s="330"/>
      <c r="AAE6" s="330"/>
      <c r="AAF6" s="330"/>
      <c r="AAG6" s="330"/>
      <c r="AAH6" s="330"/>
      <c r="AAI6" s="330"/>
      <c r="AAJ6" s="330"/>
      <c r="AAK6" s="330"/>
      <c r="AAL6" s="330"/>
      <c r="AAM6" s="330"/>
      <c r="AAN6" s="330"/>
      <c r="AAO6" s="330"/>
      <c r="AAP6" s="330"/>
      <c r="AAQ6" s="330"/>
      <c r="AAR6" s="330"/>
      <c r="AAS6" s="330"/>
      <c r="AAT6" s="330"/>
      <c r="AAU6" s="330"/>
      <c r="AAV6" s="330"/>
      <c r="AAW6" s="330"/>
      <c r="AAX6" s="330"/>
      <c r="AAY6" s="330"/>
      <c r="AAZ6" s="330"/>
      <c r="ABA6" s="330"/>
      <c r="ABB6" s="330"/>
      <c r="ABC6" s="330"/>
      <c r="ABD6" s="330"/>
      <c r="ABE6" s="330"/>
      <c r="ABF6" s="330"/>
      <c r="ABG6" s="330"/>
      <c r="ABH6" s="330"/>
      <c r="ABI6" s="330"/>
      <c r="ABJ6" s="330"/>
      <c r="ABK6" s="330"/>
      <c r="ABL6" s="330"/>
      <c r="ABM6" s="330"/>
      <c r="ABN6" s="330"/>
      <c r="ABO6" s="330"/>
      <c r="ABP6" s="330"/>
      <c r="ABQ6" s="330"/>
      <c r="ABR6" s="330"/>
      <c r="ABS6" s="330"/>
      <c r="ABT6" s="330"/>
      <c r="ABU6" s="330"/>
      <c r="ABV6" s="330"/>
      <c r="ABW6" s="330"/>
      <c r="ABX6" s="330"/>
      <c r="ABY6" s="330"/>
      <c r="ABZ6" s="330"/>
      <c r="ACA6" s="330"/>
      <c r="ACB6" s="330"/>
      <c r="ACC6" s="330"/>
      <c r="ACD6" s="330"/>
      <c r="ACE6" s="330"/>
      <c r="ACF6" s="330"/>
      <c r="ACG6" s="330"/>
      <c r="ACH6" s="330"/>
      <c r="ACI6" s="330"/>
      <c r="ACJ6" s="330"/>
      <c r="ACK6" s="330"/>
      <c r="ACL6" s="330"/>
      <c r="ACM6" s="330"/>
      <c r="ACN6" s="330"/>
      <c r="ACO6" s="330"/>
      <c r="ACP6" s="330"/>
      <c r="ACQ6" s="330"/>
      <c r="ACR6" s="330"/>
      <c r="ACS6" s="330"/>
      <c r="ACT6" s="330"/>
      <c r="ACU6" s="330"/>
      <c r="ACV6" s="330"/>
      <c r="ACW6" s="330"/>
      <c r="ACX6" s="330"/>
      <c r="ACY6" s="330"/>
      <c r="ACZ6" s="330"/>
      <c r="ADA6" s="330"/>
      <c r="ADB6" s="330"/>
      <c r="ADC6" s="330"/>
      <c r="ADD6" s="330"/>
      <c r="ADE6" s="330"/>
      <c r="ADF6" s="330"/>
      <c r="ADG6" s="330"/>
      <c r="ADH6" s="330"/>
      <c r="ADI6" s="330"/>
      <c r="ADJ6" s="330"/>
      <c r="ADK6" s="330"/>
      <c r="ADL6" s="330"/>
      <c r="ADM6" s="330"/>
      <c r="ADN6" s="330"/>
      <c r="ADO6" s="330"/>
      <c r="ADP6" s="330"/>
      <c r="ADQ6" s="330"/>
      <c r="ADR6" s="330"/>
      <c r="ADS6" s="330"/>
      <c r="ADT6" s="330"/>
      <c r="ADU6" s="330"/>
      <c r="ADV6" s="330"/>
      <c r="ADW6" s="330"/>
      <c r="ADX6" s="330"/>
      <c r="ADY6" s="330"/>
      <c r="ADZ6" s="330"/>
      <c r="AEA6" s="330"/>
      <c r="AEB6" s="330"/>
      <c r="AEC6" s="330"/>
      <c r="AED6" s="330"/>
      <c r="AEE6" s="330"/>
      <c r="AEF6" s="330"/>
      <c r="AEG6" s="330"/>
      <c r="AEH6" s="330"/>
      <c r="AEI6" s="330"/>
      <c r="AEJ6" s="330"/>
      <c r="AEK6" s="330"/>
      <c r="AEL6" s="330"/>
      <c r="AEM6" s="330"/>
      <c r="AEN6" s="330"/>
      <c r="AEO6" s="330"/>
      <c r="AEP6" s="330"/>
      <c r="AEQ6" s="330"/>
      <c r="AER6" s="330"/>
      <c r="AES6" s="330"/>
      <c r="AET6" s="330"/>
      <c r="AEU6" s="330"/>
      <c r="AEV6" s="330"/>
      <c r="AEW6" s="330"/>
      <c r="AEX6" s="330"/>
      <c r="AEY6" s="330"/>
      <c r="AEZ6" s="330"/>
      <c r="AFA6" s="330"/>
      <c r="AFB6" s="330"/>
      <c r="AFC6" s="330"/>
      <c r="AFD6" s="330"/>
      <c r="AFE6" s="330"/>
      <c r="AFF6" s="330"/>
      <c r="AFG6" s="330"/>
      <c r="AFH6" s="330"/>
      <c r="AFI6" s="330"/>
      <c r="AFJ6" s="330"/>
      <c r="AFK6" s="330"/>
      <c r="AFL6" s="330"/>
      <c r="AFM6" s="330"/>
      <c r="AFN6" s="330"/>
      <c r="AFO6" s="330"/>
      <c r="AFP6" s="330"/>
      <c r="AFQ6" s="330"/>
      <c r="AFR6" s="330"/>
      <c r="AFS6" s="330"/>
      <c r="AFT6" s="330"/>
      <c r="AFU6" s="330"/>
      <c r="AFV6" s="330"/>
      <c r="AFW6" s="330"/>
      <c r="AFX6" s="330"/>
      <c r="AFY6" s="330"/>
      <c r="AFZ6" s="330"/>
      <c r="AGA6" s="330"/>
      <c r="AGB6" s="330"/>
      <c r="AGC6" s="330"/>
      <c r="AGD6" s="330"/>
      <c r="AGE6" s="330"/>
      <c r="AGF6" s="330"/>
      <c r="AGG6" s="330"/>
      <c r="AGH6" s="330"/>
      <c r="AGI6" s="330"/>
      <c r="AGJ6" s="330"/>
      <c r="AGK6" s="330"/>
      <c r="AGL6" s="330"/>
      <c r="AGM6" s="330"/>
      <c r="AGN6" s="330"/>
      <c r="AGO6" s="330"/>
      <c r="AGP6" s="330"/>
      <c r="AGQ6" s="330"/>
      <c r="AGR6" s="330"/>
      <c r="AGS6" s="330"/>
      <c r="AGT6" s="330"/>
      <c r="AGU6" s="330"/>
      <c r="AGV6" s="330"/>
      <c r="AGW6" s="330"/>
      <c r="AGX6" s="330"/>
      <c r="AGY6" s="330"/>
      <c r="AGZ6" s="330"/>
      <c r="AHA6" s="330"/>
      <c r="AHB6" s="330"/>
      <c r="AHC6" s="330"/>
      <c r="AHD6" s="330"/>
      <c r="AHE6" s="330"/>
      <c r="AHF6" s="330"/>
      <c r="AHG6" s="330"/>
      <c r="AHH6" s="330"/>
      <c r="AHI6" s="330"/>
      <c r="AHJ6" s="330"/>
      <c r="AHK6" s="330"/>
      <c r="AHL6" s="330"/>
      <c r="AHM6" s="330"/>
      <c r="AHN6" s="330"/>
      <c r="AHO6" s="330"/>
      <c r="AHP6" s="330"/>
      <c r="AHQ6" s="330"/>
      <c r="AHR6" s="330"/>
      <c r="AHS6" s="330"/>
      <c r="AHT6" s="330"/>
      <c r="AHU6" s="330"/>
      <c r="AHV6" s="330"/>
      <c r="AHW6" s="330"/>
      <c r="AHX6" s="330"/>
      <c r="AHY6" s="330"/>
      <c r="AHZ6" s="330"/>
      <c r="AIA6" s="330"/>
      <c r="AIB6" s="330"/>
      <c r="AIC6" s="330"/>
      <c r="AID6" s="330"/>
      <c r="AIE6" s="330"/>
      <c r="AIF6" s="330"/>
      <c r="AIG6" s="330"/>
      <c r="AIH6" s="330"/>
      <c r="AII6" s="330"/>
      <c r="AIJ6" s="330"/>
      <c r="AIK6" s="330"/>
      <c r="AIL6" s="330"/>
      <c r="AIM6" s="330"/>
      <c r="AIN6" s="330"/>
      <c r="AIO6" s="330"/>
      <c r="AIP6" s="330"/>
      <c r="AIQ6" s="330"/>
      <c r="AIR6" s="330"/>
      <c r="AIS6" s="330"/>
      <c r="AIT6" s="330"/>
      <c r="AIU6" s="330"/>
      <c r="AIV6" s="330"/>
      <c r="AIW6" s="330"/>
      <c r="AIX6" s="330"/>
      <c r="AIY6" s="330"/>
      <c r="AIZ6" s="330"/>
      <c r="AJA6" s="330"/>
      <c r="AJB6" s="330"/>
      <c r="AJC6" s="330"/>
      <c r="AJD6" s="330"/>
      <c r="AJE6" s="330"/>
      <c r="AJF6" s="330"/>
      <c r="AJG6" s="330"/>
      <c r="AJH6" s="330"/>
      <c r="AJI6" s="330"/>
      <c r="AJJ6" s="330"/>
      <c r="AJK6" s="330"/>
      <c r="AJL6" s="330"/>
      <c r="AJM6" s="330"/>
      <c r="AJN6" s="330"/>
      <c r="AJO6" s="330"/>
      <c r="AJP6" s="330"/>
      <c r="AJQ6" s="330"/>
      <c r="AJR6" s="330"/>
      <c r="AJS6" s="330"/>
      <c r="AJT6" s="330"/>
      <c r="AJU6" s="330"/>
      <c r="AJV6" s="330"/>
      <c r="AJW6" s="330"/>
      <c r="AJX6" s="330"/>
      <c r="AJY6" s="330"/>
      <c r="AJZ6" s="330"/>
      <c r="AKA6" s="330"/>
      <c r="AKB6" s="330"/>
      <c r="AKC6" s="330"/>
      <c r="AKD6" s="330"/>
      <c r="AKE6" s="330"/>
      <c r="AKF6" s="330"/>
      <c r="AKG6" s="330"/>
      <c r="AKH6" s="330"/>
      <c r="AKI6" s="330"/>
      <c r="AKJ6" s="330"/>
      <c r="AKK6" s="330"/>
      <c r="AKL6" s="330"/>
      <c r="AKM6" s="330"/>
      <c r="AKN6" s="330"/>
      <c r="AKO6" s="330"/>
      <c r="AKP6" s="330"/>
      <c r="AKQ6" s="330"/>
      <c r="AKR6" s="330"/>
      <c r="AKS6" s="330"/>
      <c r="AKT6" s="330"/>
      <c r="AKU6" s="330"/>
      <c r="AKV6" s="330"/>
      <c r="AKW6" s="330"/>
      <c r="AKX6" s="330"/>
      <c r="AKY6" s="330"/>
      <c r="AKZ6" s="330"/>
      <c r="ALA6" s="330"/>
      <c r="ALB6" s="330"/>
      <c r="ALC6" s="330"/>
      <c r="ALD6" s="330"/>
      <c r="ALE6" s="330"/>
      <c r="ALF6" s="330"/>
      <c r="ALG6" s="330"/>
      <c r="ALH6" s="330"/>
      <c r="ALI6" s="330"/>
      <c r="ALJ6" s="330"/>
      <c r="ALK6" s="330"/>
      <c r="ALL6" s="330"/>
      <c r="ALM6" s="330"/>
      <c r="ALN6" s="330"/>
      <c r="ALO6" s="330"/>
      <c r="ALP6" s="330"/>
      <c r="ALQ6" s="330"/>
      <c r="ALR6" s="330"/>
      <c r="ALS6" s="330"/>
      <c r="ALT6" s="330"/>
      <c r="ALU6" s="330"/>
      <c r="ALV6" s="330"/>
      <c r="ALW6" s="330"/>
      <c r="ALX6" s="330"/>
      <c r="ALY6" s="330"/>
      <c r="ALZ6" s="330"/>
      <c r="AMA6" s="330"/>
      <c r="AMB6" s="330"/>
      <c r="AMC6" s="330"/>
      <c r="AMD6" s="330"/>
      <c r="AME6" s="330"/>
      <c r="AMF6" s="330"/>
      <c r="AMG6" s="330"/>
      <c r="AMH6" s="330"/>
      <c r="AMI6" s="330"/>
      <c r="AMJ6" s="330"/>
      <c r="AMK6" s="330"/>
      <c r="AML6" s="330"/>
      <c r="AMM6" s="330"/>
      <c r="AMN6" s="330"/>
      <c r="AMO6" s="330"/>
      <c r="AMP6" s="330"/>
      <c r="AMQ6" s="330"/>
      <c r="AMR6" s="330"/>
      <c r="AMS6" s="330"/>
      <c r="AMT6" s="330"/>
      <c r="AMU6" s="330"/>
      <c r="AMV6" s="330"/>
      <c r="AMW6" s="330"/>
      <c r="AMX6" s="330"/>
      <c r="AMY6" s="330"/>
      <c r="AMZ6" s="330"/>
      <c r="ANA6" s="330"/>
      <c r="ANB6" s="330"/>
      <c r="ANC6" s="330"/>
      <c r="AND6" s="330"/>
      <c r="ANE6" s="330"/>
      <c r="ANF6" s="330"/>
      <c r="ANG6" s="330"/>
      <c r="ANH6" s="330"/>
      <c r="ANI6" s="330"/>
      <c r="ANJ6" s="330"/>
      <c r="ANK6" s="330"/>
      <c r="ANL6" s="330"/>
      <c r="ANM6" s="330"/>
      <c r="ANN6" s="330"/>
      <c r="ANO6" s="330"/>
      <c r="ANP6" s="330"/>
      <c r="ANQ6" s="330"/>
      <c r="ANR6" s="330"/>
      <c r="ANS6" s="330"/>
      <c r="ANT6" s="330"/>
      <c r="ANU6" s="330"/>
      <c r="ANV6" s="330"/>
      <c r="ANW6" s="330"/>
      <c r="ANX6" s="330"/>
      <c r="ANY6" s="330"/>
      <c r="ANZ6" s="330"/>
      <c r="AOA6" s="330"/>
      <c r="AOB6" s="330"/>
      <c r="AOC6" s="330"/>
      <c r="AOD6" s="330"/>
      <c r="AOE6" s="330"/>
      <c r="AOF6" s="330"/>
      <c r="AOG6" s="330"/>
      <c r="AOH6" s="330"/>
      <c r="AOI6" s="330"/>
      <c r="AOJ6" s="330"/>
      <c r="AOK6" s="330"/>
      <c r="AOL6" s="330"/>
      <c r="AOM6" s="330"/>
      <c r="AON6" s="330"/>
      <c r="AOO6" s="330"/>
      <c r="AOP6" s="330"/>
      <c r="AOQ6" s="330"/>
      <c r="AOR6" s="330"/>
      <c r="AOS6" s="330"/>
      <c r="AOT6" s="330"/>
      <c r="AOU6" s="330"/>
      <c r="AOV6" s="330"/>
      <c r="AOW6" s="330"/>
      <c r="AOX6" s="330"/>
      <c r="AOY6" s="330"/>
      <c r="AOZ6" s="330"/>
      <c r="APA6" s="330"/>
      <c r="APB6" s="330"/>
      <c r="APC6" s="330"/>
      <c r="APD6" s="330"/>
      <c r="APE6" s="330"/>
      <c r="APF6" s="330"/>
      <c r="APG6" s="330"/>
      <c r="APH6" s="330"/>
      <c r="API6" s="330"/>
      <c r="APJ6" s="330"/>
      <c r="APK6" s="330"/>
      <c r="APL6" s="330"/>
      <c r="APM6" s="330"/>
      <c r="APN6" s="330"/>
      <c r="APO6" s="330"/>
      <c r="APP6" s="330"/>
      <c r="APQ6" s="330"/>
      <c r="APR6" s="330"/>
      <c r="APS6" s="330"/>
      <c r="APT6" s="330"/>
      <c r="APU6" s="330"/>
      <c r="APV6" s="330"/>
      <c r="APW6" s="330"/>
      <c r="APX6" s="330"/>
      <c r="APY6" s="330"/>
      <c r="APZ6" s="330"/>
      <c r="AQA6" s="330"/>
      <c r="AQB6" s="330"/>
      <c r="AQC6" s="330"/>
      <c r="AQD6" s="330"/>
      <c r="AQE6" s="330"/>
      <c r="AQF6" s="330"/>
      <c r="AQG6" s="330"/>
      <c r="AQH6" s="330"/>
      <c r="AQI6" s="330"/>
      <c r="AQJ6" s="330"/>
      <c r="AQK6" s="330"/>
      <c r="AQL6" s="330"/>
      <c r="AQM6" s="330"/>
      <c r="AQN6" s="330"/>
      <c r="AQO6" s="330"/>
      <c r="AQP6" s="330"/>
      <c r="AQQ6" s="330"/>
      <c r="AQR6" s="330"/>
      <c r="AQS6" s="330"/>
      <c r="AQT6" s="330"/>
      <c r="AQU6" s="330"/>
      <c r="AQV6" s="330"/>
      <c r="AQW6" s="330"/>
      <c r="AQX6" s="330"/>
      <c r="AQY6" s="330"/>
      <c r="AQZ6" s="330"/>
      <c r="ARA6" s="330"/>
      <c r="ARB6" s="330"/>
      <c r="ARC6" s="330"/>
      <c r="ARD6" s="330"/>
      <c r="ARE6" s="330"/>
      <c r="ARF6" s="330"/>
      <c r="ARG6" s="330"/>
      <c r="ARH6" s="330"/>
      <c r="ARI6" s="330"/>
      <c r="ARJ6" s="330"/>
      <c r="ARK6" s="330"/>
      <c r="ARL6" s="330"/>
      <c r="ARM6" s="330"/>
      <c r="ARN6" s="330"/>
      <c r="ARO6" s="330"/>
      <c r="ARP6" s="330"/>
      <c r="ARQ6" s="330"/>
      <c r="ARR6" s="330"/>
      <c r="ARS6" s="330"/>
      <c r="ART6" s="330"/>
      <c r="ARU6" s="330"/>
      <c r="ARV6" s="330"/>
      <c r="ARW6" s="330"/>
      <c r="ARX6" s="330"/>
      <c r="ARY6" s="330"/>
      <c r="ARZ6" s="330"/>
      <c r="ASA6" s="330"/>
      <c r="ASB6" s="330"/>
      <c r="ASC6" s="330"/>
      <c r="ASD6" s="330"/>
      <c r="ASE6" s="330"/>
      <c r="ASF6" s="330"/>
      <c r="ASG6" s="330"/>
      <c r="ASH6" s="330"/>
      <c r="ASI6" s="330"/>
      <c r="ASJ6" s="330"/>
      <c r="ASK6" s="330"/>
      <c r="ASL6" s="330"/>
      <c r="ASM6" s="330"/>
      <c r="ASN6" s="330"/>
      <c r="ASO6" s="330"/>
      <c r="ASP6" s="330"/>
      <c r="ASQ6" s="330"/>
      <c r="ASR6" s="330"/>
      <c r="ASS6" s="330"/>
      <c r="AST6" s="330"/>
      <c r="ASU6" s="330"/>
      <c r="ASV6" s="330"/>
      <c r="ASW6" s="330"/>
      <c r="ASX6" s="330"/>
      <c r="ASY6" s="330"/>
      <c r="ASZ6" s="330"/>
      <c r="ATA6" s="330"/>
      <c r="ATB6" s="330"/>
      <c r="ATC6" s="330"/>
      <c r="ATD6" s="330"/>
      <c r="ATE6" s="330"/>
      <c r="ATF6" s="330"/>
      <c r="ATG6" s="330"/>
      <c r="ATH6" s="330"/>
      <c r="ATI6" s="330"/>
      <c r="ATJ6" s="330"/>
      <c r="ATK6" s="330"/>
      <c r="ATL6" s="330"/>
      <c r="ATM6" s="330"/>
      <c r="ATN6" s="330"/>
      <c r="ATO6" s="330"/>
      <c r="ATP6" s="330"/>
      <c r="ATQ6" s="330"/>
      <c r="ATR6" s="330"/>
      <c r="ATS6" s="330"/>
      <c r="ATT6" s="330"/>
      <c r="ATU6" s="330"/>
      <c r="ATV6" s="330"/>
      <c r="ATW6" s="330"/>
      <c r="ATX6" s="330"/>
      <c r="ATY6" s="330"/>
      <c r="ATZ6" s="330"/>
      <c r="AUA6" s="330"/>
      <c r="AUB6" s="330"/>
      <c r="AUC6" s="330"/>
      <c r="AUD6" s="330"/>
      <c r="AUE6" s="330"/>
      <c r="AUF6" s="330"/>
      <c r="AUG6" s="330"/>
      <c r="AUH6" s="330"/>
      <c r="AUI6" s="330"/>
      <c r="AUJ6" s="330"/>
      <c r="AUK6" s="330"/>
      <c r="AUL6" s="330"/>
      <c r="AUM6" s="330"/>
      <c r="AUN6" s="330"/>
      <c r="AUO6" s="330"/>
      <c r="AUP6" s="330"/>
      <c r="AUQ6" s="330"/>
      <c r="AUR6" s="330"/>
      <c r="AUS6" s="330"/>
      <c r="AUT6" s="330"/>
      <c r="AUU6" s="330"/>
      <c r="AUV6" s="330"/>
      <c r="AUW6" s="330"/>
      <c r="AUX6" s="330"/>
      <c r="AUY6" s="330"/>
      <c r="AUZ6" s="330"/>
      <c r="AVA6" s="330"/>
      <c r="AVB6" s="330"/>
      <c r="AVC6" s="330"/>
      <c r="AVD6" s="330"/>
      <c r="AVE6" s="330"/>
      <c r="AVF6" s="330"/>
      <c r="AVG6" s="330"/>
      <c r="AVH6" s="330"/>
      <c r="AVI6" s="330"/>
      <c r="AVJ6" s="330"/>
      <c r="AVK6" s="330"/>
      <c r="AVL6" s="330"/>
      <c r="AVM6" s="330"/>
      <c r="AVN6" s="330"/>
      <c r="AVO6" s="330"/>
      <c r="AVP6" s="330"/>
      <c r="AVQ6" s="330"/>
      <c r="AVR6" s="330"/>
      <c r="AVS6" s="330"/>
      <c r="AVT6" s="330"/>
      <c r="AVU6" s="330"/>
      <c r="AVV6" s="330"/>
      <c r="AVW6" s="330"/>
      <c r="AVX6" s="330"/>
      <c r="AVY6" s="330"/>
      <c r="AVZ6" s="330"/>
      <c r="AWA6" s="330"/>
      <c r="AWB6" s="330"/>
      <c r="AWC6" s="330"/>
      <c r="AWD6" s="330"/>
      <c r="AWE6" s="330"/>
      <c r="AWF6" s="330"/>
      <c r="AWG6" s="330"/>
      <c r="AWH6" s="330"/>
      <c r="AWI6" s="330"/>
      <c r="AWJ6" s="330"/>
      <c r="AWK6" s="330"/>
      <c r="AWL6" s="330"/>
      <c r="AWM6" s="330"/>
      <c r="AWN6" s="330"/>
      <c r="AWO6" s="330"/>
      <c r="AWP6" s="330"/>
      <c r="AWQ6" s="330"/>
      <c r="AWR6" s="330"/>
      <c r="AWS6" s="330"/>
      <c r="AWT6" s="330"/>
      <c r="AWU6" s="330"/>
      <c r="AWV6" s="330"/>
      <c r="AWW6" s="330"/>
      <c r="AWX6" s="330"/>
      <c r="AWY6" s="330"/>
      <c r="AWZ6" s="330"/>
      <c r="AXA6" s="330"/>
      <c r="AXB6" s="330"/>
      <c r="AXC6" s="330"/>
      <c r="AXD6" s="330"/>
      <c r="AXE6" s="330"/>
      <c r="AXF6" s="330"/>
      <c r="AXG6" s="330"/>
      <c r="AXH6" s="330"/>
      <c r="AXI6" s="330"/>
      <c r="AXJ6" s="330"/>
      <c r="AXK6" s="330"/>
      <c r="AXL6" s="330"/>
      <c r="AXM6" s="330"/>
      <c r="AXN6" s="330"/>
      <c r="AXO6" s="330"/>
      <c r="AXP6" s="330"/>
      <c r="AXQ6" s="330"/>
      <c r="AXR6" s="330"/>
      <c r="AXS6" s="330"/>
      <c r="AXT6" s="330"/>
      <c r="AXU6" s="330"/>
      <c r="AXV6" s="330"/>
      <c r="AXW6" s="330"/>
      <c r="AXX6" s="330"/>
      <c r="AXY6" s="330"/>
      <c r="AXZ6" s="330"/>
      <c r="AYA6" s="330"/>
      <c r="AYB6" s="330"/>
      <c r="AYC6" s="330"/>
      <c r="AYD6" s="330"/>
      <c r="AYE6" s="330"/>
      <c r="AYF6" s="330"/>
      <c r="AYG6" s="330"/>
      <c r="AYH6" s="330"/>
      <c r="AYI6" s="330"/>
      <c r="AYJ6" s="330"/>
      <c r="AYK6" s="330"/>
      <c r="AYL6" s="330"/>
      <c r="AYM6" s="330"/>
      <c r="AYN6" s="330"/>
      <c r="AYO6" s="330"/>
      <c r="AYP6" s="330"/>
      <c r="AYQ6" s="330"/>
      <c r="AYR6" s="330"/>
      <c r="AYS6" s="330"/>
      <c r="AYT6" s="330"/>
      <c r="AYU6" s="330"/>
      <c r="AYV6" s="330"/>
      <c r="AYW6" s="330"/>
      <c r="AYX6" s="330"/>
      <c r="AYY6" s="330"/>
      <c r="AYZ6" s="330"/>
      <c r="AZA6" s="330"/>
      <c r="AZB6" s="330"/>
      <c r="AZC6" s="330"/>
      <c r="AZD6" s="330"/>
      <c r="AZE6" s="330"/>
      <c r="AZF6" s="330"/>
      <c r="AZG6" s="330"/>
      <c r="AZH6" s="330"/>
      <c r="AZI6" s="330"/>
      <c r="AZJ6" s="330"/>
      <c r="AZK6" s="330"/>
      <c r="AZL6" s="330"/>
      <c r="AZM6" s="330"/>
      <c r="AZN6" s="330"/>
      <c r="AZO6" s="330"/>
      <c r="AZP6" s="330"/>
      <c r="AZQ6" s="330"/>
      <c r="AZR6" s="330"/>
      <c r="AZS6" s="330"/>
      <c r="AZT6" s="330"/>
      <c r="AZU6" s="330"/>
      <c r="AZV6" s="330"/>
      <c r="AZW6" s="330"/>
      <c r="AZX6" s="330"/>
      <c r="AZY6" s="330"/>
      <c r="AZZ6" s="330"/>
      <c r="BAA6" s="330"/>
      <c r="BAB6" s="330"/>
      <c r="BAC6" s="330"/>
      <c r="BAD6" s="330"/>
      <c r="BAE6" s="330"/>
      <c r="BAF6" s="330"/>
      <c r="BAG6" s="330"/>
      <c r="BAH6" s="330"/>
      <c r="BAI6" s="330"/>
      <c r="BAJ6" s="330"/>
      <c r="BAK6" s="330"/>
      <c r="BAL6" s="330"/>
      <c r="BAM6" s="330"/>
      <c r="BAN6" s="330"/>
      <c r="BAO6" s="330"/>
      <c r="BAP6" s="330"/>
      <c r="BAQ6" s="330"/>
      <c r="BAR6" s="330"/>
      <c r="BAS6" s="330"/>
      <c r="BAT6" s="330"/>
      <c r="BAU6" s="330"/>
      <c r="BAV6" s="330"/>
      <c r="BAW6" s="330"/>
      <c r="BAX6" s="330"/>
      <c r="BAY6" s="330"/>
      <c r="BAZ6" s="330"/>
      <c r="BBA6" s="330"/>
      <c r="BBB6" s="330"/>
      <c r="BBC6" s="330"/>
      <c r="BBD6" s="330"/>
      <c r="BBE6" s="330"/>
      <c r="BBF6" s="330"/>
      <c r="BBG6" s="330"/>
      <c r="BBH6" s="330"/>
      <c r="BBI6" s="330"/>
      <c r="BBJ6" s="330"/>
      <c r="BBK6" s="330"/>
      <c r="BBL6" s="330"/>
      <c r="BBM6" s="330"/>
      <c r="BBN6" s="330"/>
      <c r="BBO6" s="330"/>
      <c r="BBP6" s="330"/>
      <c r="BBQ6" s="330"/>
      <c r="BBR6" s="330"/>
      <c r="BBS6" s="330"/>
      <c r="BBT6" s="330"/>
      <c r="BBU6" s="330"/>
      <c r="BBV6" s="330"/>
      <c r="BBW6" s="330"/>
      <c r="BBX6" s="330"/>
      <c r="BBY6" s="330"/>
      <c r="BBZ6" s="330"/>
      <c r="BCA6" s="330"/>
      <c r="BCB6" s="330"/>
      <c r="BCC6" s="330"/>
      <c r="BCD6" s="330"/>
      <c r="BCE6" s="330"/>
      <c r="BCF6" s="330"/>
      <c r="BCG6" s="330"/>
      <c r="BCH6" s="330"/>
      <c r="BCI6" s="330"/>
      <c r="BCJ6" s="330"/>
      <c r="BCK6" s="330"/>
      <c r="BCL6" s="330"/>
      <c r="BCM6" s="330"/>
      <c r="BCN6" s="330"/>
      <c r="BCO6" s="330"/>
      <c r="BCP6" s="330"/>
      <c r="BCQ6" s="330"/>
      <c r="BCR6" s="330"/>
      <c r="BCS6" s="330"/>
      <c r="BCT6" s="330"/>
      <c r="BCU6" s="330"/>
      <c r="BCV6" s="330"/>
      <c r="BCW6" s="330"/>
      <c r="BCX6" s="330"/>
      <c r="BCY6" s="330"/>
      <c r="BCZ6" s="330"/>
      <c r="BDA6" s="330"/>
      <c r="BDB6" s="330"/>
      <c r="BDC6" s="330"/>
      <c r="BDD6" s="330"/>
      <c r="BDE6" s="330"/>
      <c r="BDF6" s="330"/>
      <c r="BDG6" s="330"/>
      <c r="BDH6" s="330"/>
      <c r="BDI6" s="330"/>
      <c r="BDJ6" s="330"/>
      <c r="BDK6" s="330"/>
      <c r="BDL6" s="330"/>
      <c r="BDM6" s="330"/>
      <c r="BDN6" s="330"/>
      <c r="BDO6" s="330"/>
      <c r="BDP6" s="330"/>
      <c r="BDQ6" s="330"/>
      <c r="BDR6" s="330"/>
      <c r="BDS6" s="330"/>
      <c r="BDT6" s="330"/>
      <c r="BDU6" s="330"/>
      <c r="BDV6" s="330"/>
      <c r="BDW6" s="330"/>
      <c r="BDX6" s="330"/>
      <c r="BDY6" s="330"/>
      <c r="BDZ6" s="330"/>
      <c r="BEA6" s="330"/>
      <c r="BEB6" s="330"/>
      <c r="BEC6" s="330"/>
      <c r="BED6" s="330"/>
      <c r="BEE6" s="330"/>
      <c r="BEF6" s="330"/>
      <c r="BEG6" s="330"/>
      <c r="BEH6" s="330"/>
      <c r="BEI6" s="330"/>
      <c r="BEJ6" s="330"/>
      <c r="BEK6" s="330"/>
      <c r="BEL6" s="330"/>
      <c r="BEM6" s="330"/>
      <c r="BEN6" s="330"/>
      <c r="BEO6" s="330"/>
      <c r="BEP6" s="330"/>
      <c r="BEQ6" s="330"/>
      <c r="BER6" s="330"/>
      <c r="BES6" s="330"/>
      <c r="BET6" s="330"/>
      <c r="BEU6" s="330"/>
      <c r="BEV6" s="330"/>
      <c r="BEW6" s="330"/>
      <c r="BEX6" s="330"/>
      <c r="BEY6" s="330"/>
      <c r="BEZ6" s="330"/>
      <c r="BFA6" s="330"/>
      <c r="BFB6" s="330"/>
      <c r="BFC6" s="330"/>
      <c r="BFD6" s="330"/>
      <c r="BFE6" s="330"/>
      <c r="BFF6" s="330"/>
      <c r="BFG6" s="330"/>
      <c r="BFH6" s="330"/>
      <c r="BFI6" s="330"/>
      <c r="BFJ6" s="330"/>
      <c r="BFK6" s="330"/>
      <c r="BFL6" s="330"/>
      <c r="BFM6" s="330"/>
      <c r="BFN6" s="330"/>
      <c r="BFO6" s="330"/>
      <c r="BFP6" s="330"/>
      <c r="BFQ6" s="330"/>
      <c r="BFR6" s="330"/>
      <c r="BFS6" s="330"/>
      <c r="BFT6" s="330"/>
      <c r="BFU6" s="330"/>
      <c r="BFV6" s="330"/>
      <c r="BFW6" s="330"/>
      <c r="BFX6" s="330"/>
      <c r="BFY6" s="330"/>
      <c r="BFZ6" s="330"/>
      <c r="BGA6" s="330"/>
      <c r="BGB6" s="330"/>
      <c r="BGC6" s="330"/>
      <c r="BGD6" s="330"/>
      <c r="BGE6" s="330"/>
      <c r="BGF6" s="330"/>
      <c r="BGG6" s="330"/>
      <c r="BGH6" s="330"/>
      <c r="BGI6" s="330"/>
      <c r="BGJ6" s="330"/>
      <c r="BGK6" s="330"/>
      <c r="BGL6" s="330"/>
      <c r="BGM6" s="330"/>
      <c r="BGN6" s="330"/>
      <c r="BGO6" s="330"/>
      <c r="BGP6" s="330"/>
      <c r="BGQ6" s="330"/>
      <c r="BGR6" s="330"/>
      <c r="BGS6" s="330"/>
      <c r="BGT6" s="330"/>
      <c r="BGU6" s="330"/>
      <c r="BGV6" s="330"/>
      <c r="BGW6" s="330"/>
      <c r="BGX6" s="330"/>
      <c r="BGY6" s="330"/>
      <c r="BGZ6" s="330"/>
      <c r="BHA6" s="330"/>
      <c r="BHB6" s="330"/>
      <c r="BHC6" s="330"/>
      <c r="BHD6" s="330"/>
      <c r="BHE6" s="330"/>
      <c r="BHF6" s="330"/>
      <c r="BHG6" s="330"/>
      <c r="BHH6" s="330"/>
      <c r="BHI6" s="330"/>
      <c r="BHJ6" s="330"/>
      <c r="BHK6" s="330"/>
      <c r="BHL6" s="330"/>
      <c r="BHM6" s="330"/>
      <c r="BHN6" s="330"/>
      <c r="BHO6" s="330"/>
      <c r="BHP6" s="330"/>
      <c r="BHQ6" s="330"/>
      <c r="BHR6" s="330"/>
      <c r="BHS6" s="330"/>
      <c r="BHT6" s="330"/>
      <c r="BHU6" s="330"/>
      <c r="BHV6" s="330"/>
      <c r="BHW6" s="330"/>
      <c r="BHX6" s="330"/>
      <c r="BHY6" s="330"/>
      <c r="BHZ6" s="330"/>
      <c r="BIA6" s="330"/>
      <c r="BIB6" s="330"/>
      <c r="BIC6" s="330"/>
      <c r="BID6" s="330"/>
      <c r="BIE6" s="330"/>
      <c r="BIF6" s="330"/>
      <c r="BIG6" s="330"/>
      <c r="BIH6" s="330"/>
      <c r="BII6" s="330"/>
      <c r="BIJ6" s="330"/>
      <c r="BIK6" s="330"/>
      <c r="BIL6" s="330"/>
      <c r="BIM6" s="330"/>
      <c r="BIN6" s="330"/>
      <c r="BIO6" s="330"/>
      <c r="BIP6" s="330"/>
      <c r="BIQ6" s="330"/>
      <c r="BIR6" s="330"/>
      <c r="BIS6" s="330"/>
      <c r="BIT6" s="330"/>
      <c r="BIU6" s="330"/>
      <c r="BIV6" s="330"/>
      <c r="BIW6" s="330"/>
      <c r="BIX6" s="330"/>
      <c r="BIY6" s="330"/>
      <c r="BIZ6" s="330"/>
      <c r="BJA6" s="330"/>
      <c r="BJB6" s="330"/>
      <c r="BJC6" s="330"/>
      <c r="BJD6" s="330"/>
      <c r="BJE6" s="330"/>
      <c r="BJF6" s="330"/>
      <c r="BJG6" s="330"/>
      <c r="BJH6" s="330"/>
      <c r="BJI6" s="330"/>
      <c r="BJJ6" s="330"/>
      <c r="BJK6" s="330"/>
      <c r="BJL6" s="330"/>
      <c r="BJM6" s="330"/>
      <c r="BJN6" s="330"/>
      <c r="BJO6" s="330"/>
      <c r="BJP6" s="330"/>
      <c r="BJQ6" s="330"/>
      <c r="BJR6" s="330"/>
      <c r="BJS6" s="330"/>
      <c r="BJT6" s="330"/>
      <c r="BJU6" s="330"/>
      <c r="BJV6" s="330"/>
      <c r="BJW6" s="330"/>
      <c r="BJX6" s="330"/>
      <c r="BJY6" s="330"/>
      <c r="BJZ6" s="330"/>
      <c r="BKA6" s="330"/>
      <c r="BKB6" s="330"/>
      <c r="BKC6" s="330"/>
      <c r="BKD6" s="330"/>
      <c r="BKE6" s="330"/>
      <c r="BKF6" s="330"/>
      <c r="BKG6" s="330"/>
      <c r="BKH6" s="330"/>
      <c r="BKI6" s="330"/>
      <c r="BKJ6" s="330"/>
      <c r="BKK6" s="330"/>
      <c r="BKL6" s="330"/>
      <c r="BKM6" s="330"/>
      <c r="BKN6" s="330"/>
      <c r="BKO6" s="330"/>
      <c r="BKP6" s="330"/>
      <c r="BKQ6" s="330"/>
      <c r="BKR6" s="330"/>
      <c r="BKS6" s="330"/>
      <c r="BKT6" s="330"/>
      <c r="BKU6" s="330"/>
      <c r="BKV6" s="330"/>
      <c r="BKW6" s="330"/>
      <c r="BKX6" s="330"/>
      <c r="BKY6" s="330"/>
      <c r="BKZ6" s="330"/>
      <c r="BLA6" s="330"/>
      <c r="BLB6" s="330"/>
      <c r="BLC6" s="330"/>
      <c r="BLD6" s="330"/>
      <c r="BLE6" s="330"/>
      <c r="BLF6" s="330"/>
      <c r="BLG6" s="330"/>
      <c r="BLH6" s="330"/>
      <c r="BLI6" s="330"/>
      <c r="BLJ6" s="330"/>
      <c r="BLK6" s="330"/>
      <c r="BLL6" s="330"/>
      <c r="BLM6" s="330"/>
      <c r="BLN6" s="330"/>
      <c r="BLO6" s="330"/>
      <c r="BLP6" s="330"/>
      <c r="BLQ6" s="330"/>
      <c r="BLR6" s="330"/>
      <c r="BLS6" s="330"/>
      <c r="BLT6" s="330"/>
      <c r="BLU6" s="330"/>
      <c r="BLV6" s="330"/>
      <c r="BLW6" s="330"/>
      <c r="BLX6" s="330"/>
      <c r="BLY6" s="330"/>
      <c r="BLZ6" s="330"/>
      <c r="BMA6" s="330"/>
      <c r="BMB6" s="330"/>
      <c r="BMC6" s="330"/>
      <c r="BMD6" s="330"/>
      <c r="BME6" s="330"/>
      <c r="BMF6" s="330"/>
      <c r="BMG6" s="330"/>
      <c r="BMH6" s="330"/>
      <c r="BMI6" s="330"/>
      <c r="BMJ6" s="330"/>
      <c r="BMK6" s="330"/>
      <c r="BML6" s="330"/>
      <c r="BMM6" s="330"/>
      <c r="BMN6" s="330"/>
      <c r="BMO6" s="330"/>
      <c r="BMP6" s="330"/>
      <c r="BMQ6" s="330"/>
      <c r="BMR6" s="330"/>
      <c r="BMS6" s="330"/>
      <c r="BMT6" s="330"/>
      <c r="BMU6" s="330"/>
      <c r="BMV6" s="330"/>
      <c r="BMW6" s="330"/>
      <c r="BMX6" s="330"/>
      <c r="BMY6" s="330"/>
      <c r="BMZ6" s="330"/>
      <c r="BNA6" s="330"/>
      <c r="BNB6" s="330"/>
      <c r="BNC6" s="330"/>
      <c r="BND6" s="330"/>
      <c r="BNE6" s="330"/>
      <c r="BNF6" s="330"/>
      <c r="BNG6" s="330"/>
      <c r="BNH6" s="330"/>
      <c r="BNI6" s="330"/>
      <c r="BNJ6" s="330"/>
      <c r="BNK6" s="330"/>
      <c r="BNL6" s="330"/>
      <c r="BNM6" s="330"/>
      <c r="BNN6" s="330"/>
      <c r="BNO6" s="330"/>
      <c r="BNP6" s="330"/>
      <c r="BNQ6" s="330"/>
      <c r="BNR6" s="330"/>
      <c r="BNS6" s="330"/>
      <c r="BNT6" s="330"/>
      <c r="BNU6" s="330"/>
      <c r="BNV6" s="330"/>
      <c r="BNW6" s="330"/>
      <c r="BNX6" s="330"/>
      <c r="BNY6" s="330"/>
      <c r="BNZ6" s="330"/>
      <c r="BOA6" s="330"/>
      <c r="BOB6" s="330"/>
      <c r="BOC6" s="330"/>
      <c r="BOD6" s="330"/>
      <c r="BOE6" s="330"/>
      <c r="BOF6" s="330"/>
      <c r="BOG6" s="330"/>
      <c r="BOH6" s="330"/>
      <c r="BOI6" s="330"/>
      <c r="BOJ6" s="330"/>
      <c r="BOK6" s="330"/>
      <c r="BOL6" s="330"/>
      <c r="BOM6" s="330"/>
      <c r="BON6" s="330"/>
      <c r="BOO6" s="330"/>
      <c r="BOP6" s="330"/>
      <c r="BOQ6" s="330"/>
      <c r="BOR6" s="330"/>
      <c r="BOS6" s="330"/>
      <c r="BOT6" s="330"/>
      <c r="BOU6" s="330"/>
      <c r="BOV6" s="330"/>
      <c r="BOW6" s="330"/>
      <c r="BOX6" s="330"/>
      <c r="BOY6" s="330"/>
      <c r="BOZ6" s="330"/>
      <c r="BPA6" s="330"/>
      <c r="BPB6" s="330"/>
      <c r="BPC6" s="330"/>
      <c r="BPD6" s="330"/>
      <c r="BPE6" s="330"/>
      <c r="BPF6" s="330"/>
      <c r="BPG6" s="330"/>
      <c r="BPH6" s="330"/>
      <c r="BPI6" s="330"/>
      <c r="BPJ6" s="330"/>
      <c r="BPK6" s="330"/>
      <c r="BPL6" s="330"/>
      <c r="BPM6" s="330"/>
      <c r="BPN6" s="330"/>
      <c r="BPO6" s="330"/>
      <c r="BPP6" s="330"/>
      <c r="BPQ6" s="330"/>
      <c r="BPR6" s="330"/>
      <c r="BPS6" s="330"/>
      <c r="BPT6" s="330"/>
      <c r="BPU6" s="330"/>
      <c r="BPV6" s="330"/>
      <c r="BPW6" s="330"/>
      <c r="BPX6" s="330"/>
      <c r="BPY6" s="330"/>
      <c r="BPZ6" s="330"/>
      <c r="BQA6" s="330"/>
      <c r="BQB6" s="330"/>
      <c r="BQC6" s="330"/>
      <c r="BQD6" s="330"/>
      <c r="BQE6" s="330"/>
      <c r="BQF6" s="330"/>
      <c r="BQG6" s="330"/>
      <c r="BQH6" s="330"/>
      <c r="BQI6" s="330"/>
      <c r="BQJ6" s="330"/>
      <c r="BQK6" s="330"/>
      <c r="BQL6" s="330"/>
      <c r="BQM6" s="330"/>
      <c r="BQN6" s="330"/>
      <c r="BQO6" s="330"/>
      <c r="BQP6" s="330"/>
      <c r="BQQ6" s="330"/>
      <c r="BQR6" s="330"/>
      <c r="BQS6" s="330"/>
      <c r="BQT6" s="330"/>
      <c r="BQU6" s="330"/>
      <c r="BQV6" s="330"/>
      <c r="BQW6" s="330"/>
      <c r="BQX6" s="330"/>
      <c r="BQY6" s="330"/>
      <c r="BQZ6" s="330"/>
      <c r="BRA6" s="330"/>
      <c r="BRB6" s="330"/>
      <c r="BRC6" s="330"/>
      <c r="BRD6" s="330"/>
      <c r="BRE6" s="330"/>
      <c r="BRF6" s="330"/>
      <c r="BRG6" s="330"/>
      <c r="BRH6" s="330"/>
      <c r="BRI6" s="330"/>
      <c r="BRJ6" s="330"/>
      <c r="BRK6" s="330"/>
      <c r="BRL6" s="330"/>
      <c r="BRM6" s="330"/>
      <c r="BRN6" s="330"/>
      <c r="BRO6" s="330"/>
      <c r="BRP6" s="330"/>
      <c r="BRQ6" s="330"/>
      <c r="BRR6" s="330"/>
      <c r="BRS6" s="330"/>
      <c r="BRT6" s="330"/>
      <c r="BRU6" s="330"/>
      <c r="BRV6" s="330"/>
      <c r="BRW6" s="330"/>
      <c r="BRX6" s="330"/>
      <c r="BRY6" s="330"/>
      <c r="BRZ6" s="330"/>
      <c r="BSA6" s="330"/>
      <c r="BSB6" s="330"/>
      <c r="BSC6" s="330"/>
      <c r="BSD6" s="330"/>
      <c r="BSE6" s="330"/>
      <c r="BSF6" s="330"/>
      <c r="BSG6" s="330"/>
      <c r="BSH6" s="330"/>
      <c r="BSI6" s="330"/>
      <c r="BSJ6" s="330"/>
      <c r="BSK6" s="330"/>
      <c r="BSL6" s="330"/>
      <c r="BSM6" s="330"/>
      <c r="BSN6" s="330"/>
      <c r="BSO6" s="330"/>
      <c r="BSP6" s="330"/>
      <c r="BSQ6" s="330"/>
      <c r="BSR6" s="330"/>
      <c r="BSS6" s="330"/>
      <c r="BST6" s="330"/>
      <c r="BSU6" s="330"/>
      <c r="BSV6" s="330"/>
      <c r="BSW6" s="330"/>
      <c r="BSX6" s="330"/>
      <c r="BSY6" s="330"/>
      <c r="BSZ6" s="330"/>
      <c r="BTA6" s="330"/>
      <c r="BTB6" s="330"/>
      <c r="BTC6" s="330"/>
      <c r="BTD6" s="330"/>
      <c r="BTE6" s="330"/>
      <c r="BTF6" s="330"/>
      <c r="BTG6" s="330"/>
      <c r="BTH6" s="330"/>
      <c r="BTI6" s="330"/>
      <c r="BTJ6" s="330"/>
      <c r="BTK6" s="330"/>
      <c r="BTL6" s="330"/>
      <c r="BTM6" s="330"/>
      <c r="BTN6" s="330"/>
      <c r="BTO6" s="330"/>
      <c r="BTP6" s="330"/>
      <c r="BTQ6" s="330"/>
      <c r="BTR6" s="330"/>
      <c r="BTS6" s="330"/>
      <c r="BTT6" s="330"/>
      <c r="BTU6" s="330"/>
      <c r="BTV6" s="330"/>
      <c r="BTW6" s="330"/>
      <c r="BTX6" s="330"/>
      <c r="BTY6" s="330"/>
      <c r="BTZ6" s="330"/>
      <c r="BUA6" s="330"/>
      <c r="BUB6" s="330"/>
      <c r="BUC6" s="330"/>
      <c r="BUD6" s="330"/>
      <c r="BUE6" s="330"/>
      <c r="BUF6" s="330"/>
      <c r="BUG6" s="330"/>
      <c r="BUH6" s="330"/>
      <c r="BUI6" s="330"/>
      <c r="BUJ6" s="330"/>
      <c r="BUK6" s="330"/>
      <c r="BUL6" s="330"/>
      <c r="BUM6" s="330"/>
      <c r="BUN6" s="330"/>
      <c r="BUO6" s="330"/>
      <c r="BUP6" s="330"/>
      <c r="BUQ6" s="330"/>
      <c r="BUR6" s="330"/>
      <c r="BUS6" s="330"/>
      <c r="BUT6" s="330"/>
      <c r="BUU6" s="330"/>
      <c r="BUV6" s="330"/>
      <c r="BUW6" s="330"/>
      <c r="BUX6" s="330"/>
      <c r="BUY6" s="330"/>
      <c r="BUZ6" s="330"/>
      <c r="BVA6" s="330"/>
      <c r="BVB6" s="330"/>
      <c r="BVC6" s="330"/>
      <c r="BVD6" s="330"/>
      <c r="BVE6" s="330"/>
      <c r="BVF6" s="330"/>
      <c r="BVG6" s="330"/>
      <c r="BVH6" s="330"/>
      <c r="BVI6" s="330"/>
      <c r="BVJ6" s="330"/>
      <c r="BVK6" s="330"/>
      <c r="BVL6" s="330"/>
      <c r="BVM6" s="330"/>
      <c r="BVN6" s="330"/>
      <c r="BVO6" s="330"/>
      <c r="BVP6" s="330"/>
      <c r="BVQ6" s="330"/>
      <c r="BVR6" s="330"/>
      <c r="BVS6" s="330"/>
      <c r="BVT6" s="330"/>
      <c r="BVU6" s="330"/>
      <c r="BVV6" s="330"/>
      <c r="BVW6" s="330"/>
      <c r="BVX6" s="330"/>
      <c r="BVY6" s="330"/>
      <c r="BVZ6" s="330"/>
      <c r="BWA6" s="330"/>
      <c r="BWB6" s="330"/>
      <c r="BWC6" s="330"/>
      <c r="BWD6" s="330"/>
      <c r="BWE6" s="330"/>
      <c r="BWF6" s="330"/>
      <c r="BWG6" s="330"/>
      <c r="BWH6" s="330"/>
      <c r="BWI6" s="330"/>
      <c r="BWJ6" s="330"/>
      <c r="BWK6" s="330"/>
      <c r="BWL6" s="330"/>
      <c r="BWM6" s="330"/>
      <c r="BWN6" s="330"/>
      <c r="BWO6" s="330"/>
      <c r="BWP6" s="330"/>
      <c r="BWQ6" s="330"/>
      <c r="BWR6" s="330"/>
      <c r="BWS6" s="330"/>
      <c r="BWT6" s="330"/>
      <c r="BWU6" s="330"/>
      <c r="BWV6" s="330"/>
      <c r="BWW6" s="330"/>
      <c r="BWX6" s="330"/>
      <c r="BWY6" s="330"/>
      <c r="BWZ6" s="330"/>
      <c r="BXA6" s="330"/>
      <c r="BXB6" s="330"/>
      <c r="BXC6" s="330"/>
      <c r="BXD6" s="330"/>
      <c r="BXE6" s="330"/>
      <c r="BXF6" s="330"/>
      <c r="BXG6" s="330"/>
      <c r="BXH6" s="330"/>
      <c r="BXI6" s="330"/>
      <c r="BXJ6" s="330"/>
      <c r="BXK6" s="330"/>
      <c r="BXL6" s="330"/>
      <c r="BXM6" s="330"/>
      <c r="BXN6" s="330"/>
      <c r="BXO6" s="330"/>
      <c r="BXP6" s="330"/>
      <c r="BXQ6" s="330"/>
      <c r="BXR6" s="330"/>
      <c r="BXS6" s="330"/>
      <c r="BXT6" s="330"/>
      <c r="BXU6" s="330"/>
      <c r="BXV6" s="330"/>
      <c r="BXW6" s="330"/>
      <c r="BXX6" s="330"/>
      <c r="BXY6" s="330"/>
      <c r="BXZ6" s="330"/>
      <c r="BYA6" s="330"/>
      <c r="BYB6" s="330"/>
      <c r="BYC6" s="330"/>
      <c r="BYD6" s="330"/>
      <c r="BYE6" s="330"/>
      <c r="BYF6" s="330"/>
      <c r="BYG6" s="330"/>
    </row>
    <row r="7" spans="1:2009" s="96" customFormat="1" ht="24.95" customHeight="1" x14ac:dyDescent="0.25">
      <c r="A7" s="129"/>
      <c r="B7" s="124" t="s">
        <v>473</v>
      </c>
      <c r="C7" s="162">
        <v>32262.13</v>
      </c>
      <c r="D7" s="162"/>
      <c r="E7" s="162"/>
      <c r="F7" s="163"/>
      <c r="G7" s="638">
        <f>ROUND(SUM(C7:F7),5)</f>
        <v>32262.13</v>
      </c>
      <c r="H7" s="93"/>
      <c r="I7" s="552"/>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8" customFormat="1" ht="24.95" customHeight="1" thickBot="1" x14ac:dyDescent="0.3">
      <c r="A8" s="193"/>
      <c r="B8" s="194" t="s">
        <v>158</v>
      </c>
      <c r="C8" s="195">
        <f>SUM(C5:C7)</f>
        <v>32262.13</v>
      </c>
      <c r="D8" s="195"/>
      <c r="E8" s="195"/>
      <c r="F8" s="195"/>
      <c r="G8" s="639">
        <f>ROUND(SUM(G3:G7),5)</f>
        <v>32262.13</v>
      </c>
      <c r="H8" s="196"/>
      <c r="I8" s="552"/>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c r="XU8" s="197"/>
      <c r="XV8" s="197"/>
      <c r="XW8" s="197"/>
      <c r="XX8" s="197"/>
      <c r="XY8" s="197"/>
      <c r="XZ8" s="197"/>
      <c r="YA8" s="197"/>
      <c r="YB8" s="197"/>
      <c r="YC8" s="197"/>
      <c r="YD8" s="197"/>
      <c r="YE8" s="197"/>
      <c r="YF8" s="197"/>
      <c r="YG8" s="197"/>
      <c r="YH8" s="197"/>
      <c r="YI8" s="197"/>
      <c r="YJ8" s="197"/>
      <c r="YK8" s="197"/>
      <c r="YL8" s="197"/>
      <c r="YM8" s="197"/>
      <c r="YN8" s="197"/>
      <c r="YO8" s="197"/>
      <c r="YP8" s="197"/>
      <c r="YQ8" s="197"/>
      <c r="YR8" s="197"/>
      <c r="YS8" s="197"/>
      <c r="YT8" s="197"/>
      <c r="YU8" s="197"/>
      <c r="YV8" s="197"/>
      <c r="YW8" s="197"/>
      <c r="YX8" s="197"/>
      <c r="YY8" s="197"/>
      <c r="YZ8" s="197"/>
      <c r="ZA8" s="197"/>
      <c r="ZB8" s="197"/>
      <c r="ZC8" s="197"/>
      <c r="ZD8" s="197"/>
      <c r="ZE8" s="197"/>
      <c r="ZF8" s="197"/>
      <c r="ZG8" s="197"/>
      <c r="ZH8" s="197"/>
      <c r="ZI8" s="197"/>
      <c r="ZJ8" s="197"/>
      <c r="ZK8" s="197"/>
      <c r="ZL8" s="197"/>
      <c r="ZM8" s="197"/>
      <c r="ZN8" s="197"/>
      <c r="ZO8" s="197"/>
      <c r="ZP8" s="197"/>
      <c r="ZQ8" s="197"/>
      <c r="ZR8" s="197"/>
      <c r="ZS8" s="197"/>
      <c r="ZT8" s="197"/>
      <c r="ZU8" s="197"/>
      <c r="ZV8" s="197"/>
      <c r="ZW8" s="197"/>
      <c r="ZX8" s="197"/>
      <c r="ZY8" s="197"/>
      <c r="ZZ8" s="197"/>
      <c r="AAA8" s="197"/>
      <c r="AAB8" s="197"/>
      <c r="AAC8" s="197"/>
      <c r="AAD8" s="197"/>
      <c r="AAE8" s="197"/>
      <c r="AAF8" s="197"/>
      <c r="AAG8" s="197"/>
      <c r="AAH8" s="197"/>
      <c r="AAI8" s="197"/>
      <c r="AAJ8" s="197"/>
      <c r="AAK8" s="197"/>
      <c r="AAL8" s="197"/>
      <c r="AAM8" s="197"/>
      <c r="AAN8" s="197"/>
      <c r="AAO8" s="197"/>
      <c r="AAP8" s="197"/>
      <c r="AAQ8" s="197"/>
      <c r="AAR8" s="197"/>
      <c r="AAS8" s="197"/>
      <c r="AAT8" s="197"/>
      <c r="AAU8" s="197"/>
      <c r="AAV8" s="197"/>
      <c r="AAW8" s="197"/>
      <c r="AAX8" s="197"/>
      <c r="AAY8" s="197"/>
      <c r="AAZ8" s="197"/>
      <c r="ABA8" s="197"/>
      <c r="ABB8" s="197"/>
      <c r="ABC8" s="197"/>
      <c r="ABD8" s="197"/>
      <c r="ABE8" s="197"/>
      <c r="ABF8" s="197"/>
      <c r="ABG8" s="197"/>
      <c r="ABH8" s="197"/>
      <c r="ABI8" s="197"/>
      <c r="ABJ8" s="197"/>
      <c r="ABK8" s="197"/>
      <c r="ABL8" s="197"/>
      <c r="ABM8" s="197"/>
      <c r="ABN8" s="197"/>
      <c r="ABO8" s="197"/>
      <c r="ABP8" s="197"/>
      <c r="ABQ8" s="197"/>
      <c r="ABR8" s="197"/>
      <c r="ABS8" s="197"/>
      <c r="ABT8" s="197"/>
      <c r="ABU8" s="197"/>
      <c r="ABV8" s="197"/>
      <c r="ABW8" s="197"/>
      <c r="ABX8" s="197"/>
      <c r="ABY8" s="197"/>
      <c r="ABZ8" s="197"/>
      <c r="ACA8" s="197"/>
      <c r="ACB8" s="197"/>
      <c r="ACC8" s="197"/>
      <c r="ACD8" s="197"/>
      <c r="ACE8" s="197"/>
      <c r="ACF8" s="197"/>
      <c r="ACG8" s="197"/>
      <c r="ACH8" s="197"/>
      <c r="ACI8" s="197"/>
      <c r="ACJ8" s="197"/>
      <c r="ACK8" s="197"/>
      <c r="ACL8" s="197"/>
      <c r="ACM8" s="197"/>
      <c r="ACN8" s="197"/>
      <c r="ACO8" s="197"/>
      <c r="ACP8" s="197"/>
      <c r="ACQ8" s="197"/>
      <c r="ACR8" s="197"/>
      <c r="ACS8" s="197"/>
      <c r="ACT8" s="197"/>
      <c r="ACU8" s="197"/>
      <c r="ACV8" s="197"/>
      <c r="ACW8" s="197"/>
      <c r="ACX8" s="197"/>
      <c r="ACY8" s="197"/>
      <c r="ACZ8" s="197"/>
      <c r="ADA8" s="197"/>
      <c r="ADB8" s="197"/>
      <c r="ADC8" s="197"/>
      <c r="ADD8" s="197"/>
      <c r="ADE8" s="197"/>
      <c r="ADF8" s="197"/>
      <c r="ADG8" s="197"/>
      <c r="ADH8" s="197"/>
      <c r="ADI8" s="197"/>
      <c r="ADJ8" s="197"/>
      <c r="ADK8" s="197"/>
      <c r="ADL8" s="197"/>
      <c r="ADM8" s="197"/>
      <c r="ADN8" s="197"/>
      <c r="ADO8" s="197"/>
      <c r="ADP8" s="197"/>
      <c r="ADQ8" s="197"/>
      <c r="ADR8" s="197"/>
      <c r="ADS8" s="197"/>
      <c r="ADT8" s="197"/>
      <c r="ADU8" s="197"/>
      <c r="ADV8" s="197"/>
      <c r="ADW8" s="197"/>
      <c r="ADX8" s="197"/>
      <c r="ADY8" s="197"/>
      <c r="ADZ8" s="197"/>
      <c r="AEA8" s="197"/>
      <c r="AEB8" s="197"/>
      <c r="AEC8" s="197"/>
      <c r="AED8" s="197"/>
      <c r="AEE8" s="197"/>
      <c r="AEF8" s="197"/>
      <c r="AEG8" s="197"/>
      <c r="AEH8" s="197"/>
      <c r="AEI8" s="197"/>
      <c r="AEJ8" s="197"/>
      <c r="AEK8" s="197"/>
      <c r="AEL8" s="197"/>
      <c r="AEM8" s="197"/>
      <c r="AEN8" s="197"/>
      <c r="AEO8" s="197"/>
      <c r="AEP8" s="197"/>
      <c r="AEQ8" s="197"/>
      <c r="AER8" s="197"/>
      <c r="AES8" s="197"/>
      <c r="AET8" s="197"/>
      <c r="AEU8" s="197"/>
      <c r="AEV8" s="197"/>
      <c r="AEW8" s="197"/>
      <c r="AEX8" s="197"/>
      <c r="AEY8" s="197"/>
      <c r="AEZ8" s="197"/>
      <c r="AFA8" s="197"/>
      <c r="AFB8" s="197"/>
      <c r="AFC8" s="197"/>
      <c r="AFD8" s="197"/>
      <c r="AFE8" s="197"/>
      <c r="AFF8" s="197"/>
      <c r="AFG8" s="197"/>
      <c r="AFH8" s="197"/>
      <c r="AFI8" s="197"/>
      <c r="AFJ8" s="197"/>
      <c r="AFK8" s="197"/>
      <c r="AFL8" s="197"/>
      <c r="AFM8" s="197"/>
      <c r="AFN8" s="197"/>
      <c r="AFO8" s="197"/>
      <c r="AFP8" s="197"/>
      <c r="AFQ8" s="197"/>
      <c r="AFR8" s="197"/>
      <c r="AFS8" s="197"/>
      <c r="AFT8" s="197"/>
      <c r="AFU8" s="197"/>
      <c r="AFV8" s="197"/>
      <c r="AFW8" s="197"/>
      <c r="AFX8" s="197"/>
      <c r="AFY8" s="197"/>
      <c r="AFZ8" s="197"/>
      <c r="AGA8" s="197"/>
      <c r="AGB8" s="197"/>
      <c r="AGC8" s="197"/>
      <c r="AGD8" s="197"/>
      <c r="AGE8" s="197"/>
      <c r="AGF8" s="197"/>
      <c r="AGG8" s="197"/>
      <c r="AGH8" s="197"/>
      <c r="AGI8" s="197"/>
      <c r="AGJ8" s="197"/>
      <c r="AGK8" s="197"/>
      <c r="AGL8" s="197"/>
      <c r="AGM8" s="197"/>
      <c r="AGN8" s="197"/>
      <c r="AGO8" s="197"/>
      <c r="AGP8" s="197"/>
      <c r="AGQ8" s="197"/>
      <c r="AGR8" s="197"/>
      <c r="AGS8" s="197"/>
      <c r="AGT8" s="197"/>
      <c r="AGU8" s="197"/>
      <c r="AGV8" s="197"/>
      <c r="AGW8" s="197"/>
      <c r="AGX8" s="197"/>
      <c r="AGY8" s="197"/>
      <c r="AGZ8" s="197"/>
      <c r="AHA8" s="197"/>
      <c r="AHB8" s="197"/>
      <c r="AHC8" s="197"/>
      <c r="AHD8" s="197"/>
      <c r="AHE8" s="197"/>
      <c r="AHF8" s="197"/>
      <c r="AHG8" s="197"/>
      <c r="AHH8" s="197"/>
      <c r="AHI8" s="197"/>
      <c r="AHJ8" s="197"/>
      <c r="AHK8" s="197"/>
      <c r="AHL8" s="197"/>
      <c r="AHM8" s="197"/>
      <c r="AHN8" s="197"/>
      <c r="AHO8" s="197"/>
      <c r="AHP8" s="197"/>
      <c r="AHQ8" s="197"/>
      <c r="AHR8" s="197"/>
      <c r="AHS8" s="197"/>
      <c r="AHT8" s="197"/>
      <c r="AHU8" s="197"/>
      <c r="AHV8" s="197"/>
      <c r="AHW8" s="197"/>
      <c r="AHX8" s="197"/>
      <c r="AHY8" s="197"/>
      <c r="AHZ8" s="197"/>
      <c r="AIA8" s="197"/>
      <c r="AIB8" s="197"/>
      <c r="AIC8" s="197"/>
      <c r="AID8" s="197"/>
      <c r="AIE8" s="197"/>
      <c r="AIF8" s="197"/>
      <c r="AIG8" s="197"/>
      <c r="AIH8" s="197"/>
      <c r="AII8" s="197"/>
      <c r="AIJ8" s="197"/>
      <c r="AIK8" s="197"/>
      <c r="AIL8" s="197"/>
      <c r="AIM8" s="197"/>
      <c r="AIN8" s="197"/>
      <c r="AIO8" s="197"/>
      <c r="AIP8" s="197"/>
      <c r="AIQ8" s="197"/>
      <c r="AIR8" s="197"/>
      <c r="AIS8" s="197"/>
      <c r="AIT8" s="197"/>
      <c r="AIU8" s="197"/>
      <c r="AIV8" s="197"/>
      <c r="AIW8" s="197"/>
      <c r="AIX8" s="197"/>
      <c r="AIY8" s="197"/>
      <c r="AIZ8" s="197"/>
      <c r="AJA8" s="197"/>
      <c r="AJB8" s="197"/>
      <c r="AJC8" s="197"/>
      <c r="AJD8" s="197"/>
      <c r="AJE8" s="197"/>
      <c r="AJF8" s="197"/>
      <c r="AJG8" s="197"/>
      <c r="AJH8" s="197"/>
      <c r="AJI8" s="197"/>
      <c r="AJJ8" s="197"/>
      <c r="AJK8" s="197"/>
      <c r="AJL8" s="197"/>
      <c r="AJM8" s="197"/>
      <c r="AJN8" s="197"/>
      <c r="AJO8" s="197"/>
      <c r="AJP8" s="197"/>
      <c r="AJQ8" s="197"/>
      <c r="AJR8" s="197"/>
      <c r="AJS8" s="197"/>
      <c r="AJT8" s="197"/>
      <c r="AJU8" s="197"/>
      <c r="AJV8" s="197"/>
      <c r="AJW8" s="197"/>
      <c r="AJX8" s="197"/>
      <c r="AJY8" s="197"/>
      <c r="AJZ8" s="197"/>
      <c r="AKA8" s="197"/>
      <c r="AKB8" s="197"/>
      <c r="AKC8" s="197"/>
      <c r="AKD8" s="197"/>
      <c r="AKE8" s="197"/>
      <c r="AKF8" s="197"/>
      <c r="AKG8" s="197"/>
      <c r="AKH8" s="197"/>
      <c r="AKI8" s="197"/>
      <c r="AKJ8" s="197"/>
      <c r="AKK8" s="197"/>
      <c r="AKL8" s="197"/>
      <c r="AKM8" s="197"/>
      <c r="AKN8" s="197"/>
      <c r="AKO8" s="197"/>
      <c r="AKP8" s="197"/>
      <c r="AKQ8" s="197"/>
      <c r="AKR8" s="197"/>
      <c r="AKS8" s="197"/>
      <c r="AKT8" s="197"/>
      <c r="AKU8" s="197"/>
      <c r="AKV8" s="197"/>
      <c r="AKW8" s="197"/>
      <c r="AKX8" s="197"/>
      <c r="AKY8" s="197"/>
      <c r="AKZ8" s="197"/>
      <c r="ALA8" s="197"/>
      <c r="ALB8" s="197"/>
      <c r="ALC8" s="197"/>
      <c r="ALD8" s="197"/>
      <c r="ALE8" s="197"/>
      <c r="ALF8" s="197"/>
      <c r="ALG8" s="197"/>
      <c r="ALH8" s="197"/>
      <c r="ALI8" s="197"/>
      <c r="ALJ8" s="197"/>
      <c r="ALK8" s="197"/>
      <c r="ALL8" s="197"/>
      <c r="ALM8" s="197"/>
      <c r="ALN8" s="197"/>
      <c r="ALO8" s="197"/>
      <c r="ALP8" s="197"/>
      <c r="ALQ8" s="197"/>
      <c r="ALR8" s="197"/>
      <c r="ALS8" s="197"/>
      <c r="ALT8" s="197"/>
      <c r="ALU8" s="197"/>
      <c r="ALV8" s="197"/>
      <c r="ALW8" s="197"/>
      <c r="ALX8" s="197"/>
      <c r="ALY8" s="197"/>
      <c r="ALZ8" s="197"/>
      <c r="AMA8" s="197"/>
      <c r="AMB8" s="197"/>
      <c r="AMC8" s="197"/>
      <c r="AMD8" s="197"/>
      <c r="AME8" s="197"/>
      <c r="AMF8" s="197"/>
      <c r="AMG8" s="197"/>
      <c r="AMH8" s="197"/>
      <c r="AMI8" s="197"/>
      <c r="AMJ8" s="197"/>
      <c r="AMK8" s="197"/>
      <c r="AML8" s="197"/>
      <c r="AMM8" s="197"/>
      <c r="AMN8" s="197"/>
      <c r="AMO8" s="197"/>
      <c r="AMP8" s="197"/>
      <c r="AMQ8" s="197"/>
      <c r="AMR8" s="197"/>
      <c r="AMS8" s="197"/>
      <c r="AMT8" s="197"/>
      <c r="AMU8" s="197"/>
      <c r="AMV8" s="197"/>
      <c r="AMW8" s="197"/>
      <c r="AMX8" s="197"/>
      <c r="AMY8" s="197"/>
      <c r="AMZ8" s="197"/>
      <c r="ANA8" s="197"/>
      <c r="ANB8" s="197"/>
      <c r="ANC8" s="197"/>
      <c r="AND8" s="197"/>
      <c r="ANE8" s="197"/>
      <c r="ANF8" s="197"/>
      <c r="ANG8" s="197"/>
      <c r="ANH8" s="197"/>
      <c r="ANI8" s="197"/>
      <c r="ANJ8" s="197"/>
      <c r="ANK8" s="197"/>
      <c r="ANL8" s="197"/>
      <c r="ANM8" s="197"/>
      <c r="ANN8" s="197"/>
      <c r="ANO8" s="197"/>
      <c r="ANP8" s="197"/>
      <c r="ANQ8" s="197"/>
      <c r="ANR8" s="197"/>
      <c r="ANS8" s="197"/>
      <c r="ANT8" s="197"/>
      <c r="ANU8" s="197"/>
      <c r="ANV8" s="197"/>
      <c r="ANW8" s="197"/>
      <c r="ANX8" s="197"/>
      <c r="ANY8" s="197"/>
      <c r="ANZ8" s="197"/>
      <c r="AOA8" s="197"/>
      <c r="AOB8" s="197"/>
      <c r="AOC8" s="197"/>
      <c r="AOD8" s="197"/>
      <c r="AOE8" s="197"/>
      <c r="AOF8" s="197"/>
      <c r="AOG8" s="197"/>
      <c r="AOH8" s="197"/>
      <c r="AOI8" s="197"/>
      <c r="AOJ8" s="197"/>
      <c r="AOK8" s="197"/>
      <c r="AOL8" s="197"/>
      <c r="AOM8" s="197"/>
      <c r="AON8" s="197"/>
      <c r="AOO8" s="197"/>
      <c r="AOP8" s="197"/>
      <c r="AOQ8" s="197"/>
      <c r="AOR8" s="197"/>
      <c r="AOS8" s="197"/>
      <c r="AOT8" s="197"/>
      <c r="AOU8" s="197"/>
      <c r="AOV8" s="197"/>
      <c r="AOW8" s="197"/>
      <c r="AOX8" s="197"/>
      <c r="AOY8" s="197"/>
      <c r="AOZ8" s="197"/>
      <c r="APA8" s="197"/>
      <c r="APB8" s="197"/>
      <c r="APC8" s="197"/>
      <c r="APD8" s="197"/>
      <c r="APE8" s="197"/>
      <c r="APF8" s="197"/>
      <c r="APG8" s="197"/>
      <c r="APH8" s="197"/>
      <c r="API8" s="197"/>
      <c r="APJ8" s="197"/>
      <c r="APK8" s="197"/>
      <c r="APL8" s="197"/>
      <c r="APM8" s="197"/>
      <c r="APN8" s="197"/>
      <c r="APO8" s="197"/>
      <c r="APP8" s="197"/>
      <c r="APQ8" s="197"/>
      <c r="APR8" s="197"/>
      <c r="APS8" s="197"/>
      <c r="APT8" s="197"/>
      <c r="APU8" s="197"/>
      <c r="APV8" s="197"/>
      <c r="APW8" s="197"/>
      <c r="APX8" s="197"/>
      <c r="APY8" s="197"/>
      <c r="APZ8" s="197"/>
      <c r="AQA8" s="197"/>
      <c r="AQB8" s="197"/>
      <c r="AQC8" s="197"/>
      <c r="AQD8" s="197"/>
      <c r="AQE8" s="197"/>
      <c r="AQF8" s="197"/>
      <c r="AQG8" s="197"/>
      <c r="AQH8" s="197"/>
      <c r="AQI8" s="197"/>
      <c r="AQJ8" s="197"/>
      <c r="AQK8" s="197"/>
      <c r="AQL8" s="197"/>
      <c r="AQM8" s="197"/>
      <c r="AQN8" s="197"/>
      <c r="AQO8" s="197"/>
      <c r="AQP8" s="197"/>
      <c r="AQQ8" s="197"/>
      <c r="AQR8" s="197"/>
      <c r="AQS8" s="197"/>
      <c r="AQT8" s="197"/>
      <c r="AQU8" s="197"/>
      <c r="AQV8" s="197"/>
      <c r="AQW8" s="197"/>
      <c r="AQX8" s="197"/>
      <c r="AQY8" s="197"/>
      <c r="AQZ8" s="197"/>
      <c r="ARA8" s="197"/>
      <c r="ARB8" s="197"/>
      <c r="ARC8" s="197"/>
      <c r="ARD8" s="197"/>
      <c r="ARE8" s="197"/>
      <c r="ARF8" s="197"/>
      <c r="ARG8" s="197"/>
      <c r="ARH8" s="197"/>
      <c r="ARI8" s="197"/>
      <c r="ARJ8" s="197"/>
      <c r="ARK8" s="197"/>
      <c r="ARL8" s="197"/>
      <c r="ARM8" s="197"/>
      <c r="ARN8" s="197"/>
      <c r="ARO8" s="197"/>
      <c r="ARP8" s="197"/>
      <c r="ARQ8" s="197"/>
      <c r="ARR8" s="197"/>
      <c r="ARS8" s="197"/>
      <c r="ART8" s="197"/>
      <c r="ARU8" s="197"/>
      <c r="ARV8" s="197"/>
      <c r="ARW8" s="197"/>
      <c r="ARX8" s="197"/>
      <c r="ARY8" s="197"/>
      <c r="ARZ8" s="197"/>
      <c r="ASA8" s="197"/>
      <c r="ASB8" s="197"/>
      <c r="ASC8" s="197"/>
      <c r="ASD8" s="197"/>
      <c r="ASE8" s="197"/>
      <c r="ASF8" s="197"/>
      <c r="ASG8" s="197"/>
      <c r="ASH8" s="197"/>
      <c r="ASI8" s="197"/>
      <c r="ASJ8" s="197"/>
      <c r="ASK8" s="197"/>
      <c r="ASL8" s="197"/>
      <c r="ASM8" s="197"/>
      <c r="ASN8" s="197"/>
      <c r="ASO8" s="197"/>
      <c r="ASP8" s="197"/>
      <c r="ASQ8" s="197"/>
      <c r="ASR8" s="197"/>
      <c r="ASS8" s="197"/>
      <c r="AST8" s="197"/>
      <c r="ASU8" s="197"/>
      <c r="ASV8" s="197"/>
      <c r="ASW8" s="197"/>
      <c r="ASX8" s="197"/>
      <c r="ASY8" s="197"/>
      <c r="ASZ8" s="197"/>
      <c r="ATA8" s="197"/>
      <c r="ATB8" s="197"/>
      <c r="ATC8" s="197"/>
      <c r="ATD8" s="197"/>
      <c r="ATE8" s="197"/>
      <c r="ATF8" s="197"/>
      <c r="ATG8" s="197"/>
      <c r="ATH8" s="197"/>
      <c r="ATI8" s="197"/>
      <c r="ATJ8" s="197"/>
      <c r="ATK8" s="197"/>
      <c r="ATL8" s="197"/>
      <c r="ATM8" s="197"/>
      <c r="ATN8" s="197"/>
      <c r="ATO8" s="197"/>
      <c r="ATP8" s="197"/>
      <c r="ATQ8" s="197"/>
      <c r="ATR8" s="197"/>
      <c r="ATS8" s="197"/>
      <c r="ATT8" s="197"/>
      <c r="ATU8" s="197"/>
      <c r="ATV8" s="197"/>
      <c r="ATW8" s="197"/>
      <c r="ATX8" s="197"/>
      <c r="ATY8" s="197"/>
      <c r="ATZ8" s="197"/>
      <c r="AUA8" s="197"/>
      <c r="AUB8" s="197"/>
      <c r="AUC8" s="197"/>
      <c r="AUD8" s="197"/>
      <c r="AUE8" s="197"/>
      <c r="AUF8" s="197"/>
      <c r="AUG8" s="197"/>
      <c r="AUH8" s="197"/>
      <c r="AUI8" s="197"/>
      <c r="AUJ8" s="197"/>
      <c r="AUK8" s="197"/>
      <c r="AUL8" s="197"/>
      <c r="AUM8" s="197"/>
      <c r="AUN8" s="197"/>
      <c r="AUO8" s="197"/>
      <c r="AUP8" s="197"/>
      <c r="AUQ8" s="197"/>
      <c r="AUR8" s="197"/>
      <c r="AUS8" s="197"/>
      <c r="AUT8" s="197"/>
      <c r="AUU8" s="197"/>
      <c r="AUV8" s="197"/>
      <c r="AUW8" s="197"/>
      <c r="AUX8" s="197"/>
      <c r="AUY8" s="197"/>
      <c r="AUZ8" s="197"/>
      <c r="AVA8" s="197"/>
      <c r="AVB8" s="197"/>
      <c r="AVC8" s="197"/>
      <c r="AVD8" s="197"/>
      <c r="AVE8" s="197"/>
      <c r="AVF8" s="197"/>
      <c r="AVG8" s="197"/>
      <c r="AVH8" s="197"/>
      <c r="AVI8" s="197"/>
      <c r="AVJ8" s="197"/>
      <c r="AVK8" s="197"/>
      <c r="AVL8" s="197"/>
      <c r="AVM8" s="197"/>
      <c r="AVN8" s="197"/>
      <c r="AVO8" s="197"/>
      <c r="AVP8" s="197"/>
      <c r="AVQ8" s="197"/>
      <c r="AVR8" s="197"/>
      <c r="AVS8" s="197"/>
      <c r="AVT8" s="197"/>
      <c r="AVU8" s="197"/>
      <c r="AVV8" s="197"/>
      <c r="AVW8" s="197"/>
      <c r="AVX8" s="197"/>
      <c r="AVY8" s="197"/>
      <c r="AVZ8" s="197"/>
      <c r="AWA8" s="197"/>
      <c r="AWB8" s="197"/>
      <c r="AWC8" s="197"/>
      <c r="AWD8" s="197"/>
      <c r="AWE8" s="197"/>
      <c r="AWF8" s="197"/>
      <c r="AWG8" s="197"/>
      <c r="AWH8" s="197"/>
      <c r="AWI8" s="197"/>
      <c r="AWJ8" s="197"/>
      <c r="AWK8" s="197"/>
      <c r="AWL8" s="197"/>
      <c r="AWM8" s="197"/>
      <c r="AWN8" s="197"/>
      <c r="AWO8" s="197"/>
      <c r="AWP8" s="197"/>
      <c r="AWQ8" s="197"/>
      <c r="AWR8" s="197"/>
      <c r="AWS8" s="197"/>
      <c r="AWT8" s="197"/>
      <c r="AWU8" s="197"/>
      <c r="AWV8" s="197"/>
      <c r="AWW8" s="197"/>
      <c r="AWX8" s="197"/>
      <c r="AWY8" s="197"/>
      <c r="AWZ8" s="197"/>
      <c r="AXA8" s="197"/>
      <c r="AXB8" s="197"/>
      <c r="AXC8" s="197"/>
      <c r="AXD8" s="197"/>
      <c r="AXE8" s="197"/>
      <c r="AXF8" s="197"/>
      <c r="AXG8" s="197"/>
      <c r="AXH8" s="197"/>
      <c r="AXI8" s="197"/>
      <c r="AXJ8" s="197"/>
      <c r="AXK8" s="197"/>
      <c r="AXL8" s="197"/>
      <c r="AXM8" s="197"/>
      <c r="AXN8" s="197"/>
      <c r="AXO8" s="197"/>
      <c r="AXP8" s="197"/>
      <c r="AXQ8" s="197"/>
      <c r="AXR8" s="197"/>
      <c r="AXS8" s="197"/>
      <c r="AXT8" s="197"/>
      <c r="AXU8" s="197"/>
      <c r="AXV8" s="197"/>
      <c r="AXW8" s="197"/>
      <c r="AXX8" s="197"/>
      <c r="AXY8" s="197"/>
      <c r="AXZ8" s="197"/>
      <c r="AYA8" s="197"/>
      <c r="AYB8" s="197"/>
      <c r="AYC8" s="197"/>
      <c r="AYD8" s="197"/>
      <c r="AYE8" s="197"/>
      <c r="AYF8" s="197"/>
      <c r="AYG8" s="197"/>
      <c r="AYH8" s="197"/>
      <c r="AYI8" s="197"/>
      <c r="AYJ8" s="197"/>
      <c r="AYK8" s="197"/>
      <c r="AYL8" s="197"/>
      <c r="AYM8" s="197"/>
      <c r="AYN8" s="197"/>
      <c r="AYO8" s="197"/>
      <c r="AYP8" s="197"/>
      <c r="AYQ8" s="197"/>
      <c r="AYR8" s="197"/>
      <c r="AYS8" s="197"/>
      <c r="AYT8" s="197"/>
      <c r="AYU8" s="197"/>
      <c r="AYV8" s="197"/>
      <c r="AYW8" s="197"/>
      <c r="AYX8" s="197"/>
      <c r="AYY8" s="197"/>
      <c r="AYZ8" s="197"/>
      <c r="AZA8" s="197"/>
      <c r="AZB8" s="197"/>
      <c r="AZC8" s="197"/>
      <c r="AZD8" s="197"/>
      <c r="AZE8" s="197"/>
      <c r="AZF8" s="197"/>
      <c r="AZG8" s="197"/>
      <c r="AZH8" s="197"/>
      <c r="AZI8" s="197"/>
      <c r="AZJ8" s="197"/>
      <c r="AZK8" s="197"/>
      <c r="AZL8" s="197"/>
      <c r="AZM8" s="197"/>
      <c r="AZN8" s="197"/>
      <c r="AZO8" s="197"/>
      <c r="AZP8" s="197"/>
      <c r="AZQ8" s="197"/>
      <c r="AZR8" s="197"/>
      <c r="AZS8" s="197"/>
      <c r="AZT8" s="197"/>
      <c r="AZU8" s="197"/>
      <c r="AZV8" s="197"/>
      <c r="AZW8" s="197"/>
      <c r="AZX8" s="197"/>
      <c r="AZY8" s="197"/>
      <c r="AZZ8" s="197"/>
      <c r="BAA8" s="197"/>
      <c r="BAB8" s="197"/>
      <c r="BAC8" s="197"/>
      <c r="BAD8" s="197"/>
      <c r="BAE8" s="197"/>
      <c r="BAF8" s="197"/>
      <c r="BAG8" s="197"/>
      <c r="BAH8" s="197"/>
      <c r="BAI8" s="197"/>
      <c r="BAJ8" s="197"/>
      <c r="BAK8" s="197"/>
      <c r="BAL8" s="197"/>
      <c r="BAM8" s="197"/>
      <c r="BAN8" s="197"/>
      <c r="BAO8" s="197"/>
      <c r="BAP8" s="197"/>
      <c r="BAQ8" s="197"/>
      <c r="BAR8" s="197"/>
      <c r="BAS8" s="197"/>
      <c r="BAT8" s="197"/>
      <c r="BAU8" s="197"/>
      <c r="BAV8" s="197"/>
      <c r="BAW8" s="197"/>
      <c r="BAX8" s="197"/>
      <c r="BAY8" s="197"/>
      <c r="BAZ8" s="197"/>
      <c r="BBA8" s="197"/>
      <c r="BBB8" s="197"/>
      <c r="BBC8" s="197"/>
      <c r="BBD8" s="197"/>
      <c r="BBE8" s="197"/>
      <c r="BBF8" s="197"/>
      <c r="BBG8" s="197"/>
      <c r="BBH8" s="197"/>
      <c r="BBI8" s="197"/>
      <c r="BBJ8" s="197"/>
      <c r="BBK8" s="197"/>
      <c r="BBL8" s="197"/>
      <c r="BBM8" s="197"/>
      <c r="BBN8" s="197"/>
      <c r="BBO8" s="197"/>
      <c r="BBP8" s="197"/>
      <c r="BBQ8" s="197"/>
      <c r="BBR8" s="197"/>
      <c r="BBS8" s="197"/>
      <c r="BBT8" s="197"/>
      <c r="BBU8" s="197"/>
      <c r="BBV8" s="197"/>
      <c r="BBW8" s="197"/>
      <c r="BBX8" s="197"/>
      <c r="BBY8" s="197"/>
      <c r="BBZ8" s="197"/>
      <c r="BCA8" s="197"/>
      <c r="BCB8" s="197"/>
      <c r="BCC8" s="197"/>
      <c r="BCD8" s="197"/>
      <c r="BCE8" s="197"/>
      <c r="BCF8" s="197"/>
      <c r="BCG8" s="197"/>
      <c r="BCH8" s="197"/>
      <c r="BCI8" s="197"/>
      <c r="BCJ8" s="197"/>
      <c r="BCK8" s="197"/>
      <c r="BCL8" s="197"/>
      <c r="BCM8" s="197"/>
      <c r="BCN8" s="197"/>
      <c r="BCO8" s="197"/>
      <c r="BCP8" s="197"/>
      <c r="BCQ8" s="197"/>
      <c r="BCR8" s="197"/>
      <c r="BCS8" s="197"/>
      <c r="BCT8" s="197"/>
      <c r="BCU8" s="197"/>
      <c r="BCV8" s="197"/>
      <c r="BCW8" s="197"/>
      <c r="BCX8" s="197"/>
      <c r="BCY8" s="197"/>
      <c r="BCZ8" s="197"/>
      <c r="BDA8" s="197"/>
      <c r="BDB8" s="197"/>
      <c r="BDC8" s="197"/>
      <c r="BDD8" s="197"/>
      <c r="BDE8" s="197"/>
      <c r="BDF8" s="197"/>
      <c r="BDG8" s="197"/>
      <c r="BDH8" s="197"/>
      <c r="BDI8" s="197"/>
      <c r="BDJ8" s="197"/>
      <c r="BDK8" s="197"/>
      <c r="BDL8" s="197"/>
      <c r="BDM8" s="197"/>
      <c r="BDN8" s="197"/>
      <c r="BDO8" s="197"/>
      <c r="BDP8" s="197"/>
      <c r="BDQ8" s="197"/>
      <c r="BDR8" s="197"/>
      <c r="BDS8" s="197"/>
      <c r="BDT8" s="197"/>
      <c r="BDU8" s="197"/>
      <c r="BDV8" s="197"/>
      <c r="BDW8" s="197"/>
      <c r="BDX8" s="197"/>
      <c r="BDY8" s="197"/>
      <c r="BDZ8" s="197"/>
      <c r="BEA8" s="197"/>
      <c r="BEB8" s="197"/>
      <c r="BEC8" s="197"/>
      <c r="BED8" s="197"/>
      <c r="BEE8" s="197"/>
      <c r="BEF8" s="197"/>
      <c r="BEG8" s="197"/>
      <c r="BEH8" s="197"/>
      <c r="BEI8" s="197"/>
      <c r="BEJ8" s="197"/>
      <c r="BEK8" s="197"/>
      <c r="BEL8" s="197"/>
      <c r="BEM8" s="197"/>
      <c r="BEN8" s="197"/>
      <c r="BEO8" s="197"/>
      <c r="BEP8" s="197"/>
      <c r="BEQ8" s="197"/>
      <c r="BER8" s="197"/>
      <c r="BES8" s="197"/>
      <c r="BET8" s="197"/>
      <c r="BEU8" s="197"/>
      <c r="BEV8" s="197"/>
      <c r="BEW8" s="197"/>
      <c r="BEX8" s="197"/>
      <c r="BEY8" s="197"/>
      <c r="BEZ8" s="197"/>
      <c r="BFA8" s="197"/>
      <c r="BFB8" s="197"/>
      <c r="BFC8" s="197"/>
      <c r="BFD8" s="197"/>
      <c r="BFE8" s="197"/>
      <c r="BFF8" s="197"/>
      <c r="BFG8" s="197"/>
      <c r="BFH8" s="197"/>
      <c r="BFI8" s="197"/>
      <c r="BFJ8" s="197"/>
      <c r="BFK8" s="197"/>
      <c r="BFL8" s="197"/>
      <c r="BFM8" s="197"/>
      <c r="BFN8" s="197"/>
      <c r="BFO8" s="197"/>
      <c r="BFP8" s="197"/>
      <c r="BFQ8" s="197"/>
      <c r="BFR8" s="197"/>
      <c r="BFS8" s="197"/>
      <c r="BFT8" s="197"/>
      <c r="BFU8" s="197"/>
      <c r="BFV8" s="197"/>
      <c r="BFW8" s="197"/>
      <c r="BFX8" s="197"/>
      <c r="BFY8" s="197"/>
      <c r="BFZ8" s="197"/>
      <c r="BGA8" s="197"/>
      <c r="BGB8" s="197"/>
      <c r="BGC8" s="197"/>
      <c r="BGD8" s="197"/>
      <c r="BGE8" s="197"/>
      <c r="BGF8" s="197"/>
      <c r="BGG8" s="197"/>
      <c r="BGH8" s="197"/>
      <c r="BGI8" s="197"/>
      <c r="BGJ8" s="197"/>
      <c r="BGK8" s="197"/>
      <c r="BGL8" s="197"/>
      <c r="BGM8" s="197"/>
      <c r="BGN8" s="197"/>
      <c r="BGO8" s="197"/>
      <c r="BGP8" s="197"/>
      <c r="BGQ8" s="197"/>
      <c r="BGR8" s="197"/>
      <c r="BGS8" s="197"/>
      <c r="BGT8" s="197"/>
      <c r="BGU8" s="197"/>
      <c r="BGV8" s="197"/>
      <c r="BGW8" s="197"/>
      <c r="BGX8" s="197"/>
      <c r="BGY8" s="197"/>
      <c r="BGZ8" s="197"/>
      <c r="BHA8" s="197"/>
      <c r="BHB8" s="197"/>
      <c r="BHC8" s="197"/>
      <c r="BHD8" s="197"/>
      <c r="BHE8" s="197"/>
      <c r="BHF8" s="197"/>
      <c r="BHG8" s="197"/>
      <c r="BHH8" s="197"/>
      <c r="BHI8" s="197"/>
      <c r="BHJ8" s="197"/>
      <c r="BHK8" s="197"/>
      <c r="BHL8" s="197"/>
      <c r="BHM8" s="197"/>
      <c r="BHN8" s="197"/>
      <c r="BHO8" s="197"/>
      <c r="BHP8" s="197"/>
      <c r="BHQ8" s="197"/>
      <c r="BHR8" s="197"/>
      <c r="BHS8" s="197"/>
      <c r="BHT8" s="197"/>
      <c r="BHU8" s="197"/>
      <c r="BHV8" s="197"/>
      <c r="BHW8" s="197"/>
      <c r="BHX8" s="197"/>
      <c r="BHY8" s="197"/>
      <c r="BHZ8" s="197"/>
      <c r="BIA8" s="197"/>
      <c r="BIB8" s="197"/>
      <c r="BIC8" s="197"/>
      <c r="BID8" s="197"/>
      <c r="BIE8" s="197"/>
      <c r="BIF8" s="197"/>
      <c r="BIG8" s="197"/>
      <c r="BIH8" s="197"/>
      <c r="BII8" s="197"/>
      <c r="BIJ8" s="197"/>
      <c r="BIK8" s="197"/>
      <c r="BIL8" s="197"/>
      <c r="BIM8" s="197"/>
      <c r="BIN8" s="197"/>
      <c r="BIO8" s="197"/>
      <c r="BIP8" s="197"/>
      <c r="BIQ8" s="197"/>
      <c r="BIR8" s="197"/>
      <c r="BIS8" s="197"/>
      <c r="BIT8" s="197"/>
      <c r="BIU8" s="197"/>
      <c r="BIV8" s="197"/>
      <c r="BIW8" s="197"/>
      <c r="BIX8" s="197"/>
      <c r="BIY8" s="197"/>
      <c r="BIZ8" s="197"/>
      <c r="BJA8" s="197"/>
      <c r="BJB8" s="197"/>
      <c r="BJC8" s="197"/>
      <c r="BJD8" s="197"/>
      <c r="BJE8" s="197"/>
      <c r="BJF8" s="197"/>
      <c r="BJG8" s="197"/>
      <c r="BJH8" s="197"/>
      <c r="BJI8" s="197"/>
      <c r="BJJ8" s="197"/>
      <c r="BJK8" s="197"/>
      <c r="BJL8" s="197"/>
      <c r="BJM8" s="197"/>
      <c r="BJN8" s="197"/>
      <c r="BJO8" s="197"/>
      <c r="BJP8" s="197"/>
      <c r="BJQ8" s="197"/>
      <c r="BJR8" s="197"/>
      <c r="BJS8" s="197"/>
      <c r="BJT8" s="197"/>
      <c r="BJU8" s="197"/>
      <c r="BJV8" s="197"/>
      <c r="BJW8" s="197"/>
      <c r="BJX8" s="197"/>
      <c r="BJY8" s="197"/>
      <c r="BJZ8" s="197"/>
      <c r="BKA8" s="197"/>
      <c r="BKB8" s="197"/>
      <c r="BKC8" s="197"/>
      <c r="BKD8" s="197"/>
      <c r="BKE8" s="197"/>
      <c r="BKF8" s="197"/>
      <c r="BKG8" s="197"/>
      <c r="BKH8" s="197"/>
      <c r="BKI8" s="197"/>
      <c r="BKJ8" s="197"/>
      <c r="BKK8" s="197"/>
      <c r="BKL8" s="197"/>
      <c r="BKM8" s="197"/>
      <c r="BKN8" s="197"/>
      <c r="BKO8" s="197"/>
      <c r="BKP8" s="197"/>
      <c r="BKQ8" s="197"/>
      <c r="BKR8" s="197"/>
      <c r="BKS8" s="197"/>
      <c r="BKT8" s="197"/>
      <c r="BKU8" s="197"/>
      <c r="BKV8" s="197"/>
      <c r="BKW8" s="197"/>
      <c r="BKX8" s="197"/>
      <c r="BKY8" s="197"/>
      <c r="BKZ8" s="197"/>
      <c r="BLA8" s="197"/>
      <c r="BLB8" s="197"/>
      <c r="BLC8" s="197"/>
      <c r="BLD8" s="197"/>
      <c r="BLE8" s="197"/>
      <c r="BLF8" s="197"/>
      <c r="BLG8" s="197"/>
      <c r="BLH8" s="197"/>
      <c r="BLI8" s="197"/>
      <c r="BLJ8" s="197"/>
      <c r="BLK8" s="197"/>
      <c r="BLL8" s="197"/>
      <c r="BLM8" s="197"/>
      <c r="BLN8" s="197"/>
      <c r="BLO8" s="197"/>
      <c r="BLP8" s="197"/>
      <c r="BLQ8" s="197"/>
      <c r="BLR8" s="197"/>
      <c r="BLS8" s="197"/>
      <c r="BLT8" s="197"/>
      <c r="BLU8" s="197"/>
      <c r="BLV8" s="197"/>
      <c r="BLW8" s="197"/>
      <c r="BLX8" s="197"/>
      <c r="BLY8" s="197"/>
      <c r="BLZ8" s="197"/>
      <c r="BMA8" s="197"/>
      <c r="BMB8" s="197"/>
      <c r="BMC8" s="197"/>
      <c r="BMD8" s="197"/>
      <c r="BME8" s="197"/>
      <c r="BMF8" s="197"/>
      <c r="BMG8" s="197"/>
      <c r="BMH8" s="197"/>
      <c r="BMI8" s="197"/>
      <c r="BMJ8" s="197"/>
      <c r="BMK8" s="197"/>
      <c r="BML8" s="197"/>
      <c r="BMM8" s="197"/>
      <c r="BMN8" s="197"/>
      <c r="BMO8" s="197"/>
      <c r="BMP8" s="197"/>
      <c r="BMQ8" s="197"/>
      <c r="BMR8" s="197"/>
      <c r="BMS8" s="197"/>
      <c r="BMT8" s="197"/>
      <c r="BMU8" s="197"/>
      <c r="BMV8" s="197"/>
      <c r="BMW8" s="197"/>
      <c r="BMX8" s="197"/>
      <c r="BMY8" s="197"/>
      <c r="BMZ8" s="197"/>
      <c r="BNA8" s="197"/>
      <c r="BNB8" s="197"/>
      <c r="BNC8" s="197"/>
      <c r="BND8" s="197"/>
      <c r="BNE8" s="197"/>
      <c r="BNF8" s="197"/>
      <c r="BNG8" s="197"/>
      <c r="BNH8" s="197"/>
      <c r="BNI8" s="197"/>
      <c r="BNJ8" s="197"/>
      <c r="BNK8" s="197"/>
      <c r="BNL8" s="197"/>
      <c r="BNM8" s="197"/>
      <c r="BNN8" s="197"/>
      <c r="BNO8" s="197"/>
      <c r="BNP8" s="197"/>
      <c r="BNQ8" s="197"/>
      <c r="BNR8" s="197"/>
      <c r="BNS8" s="197"/>
      <c r="BNT8" s="197"/>
      <c r="BNU8" s="197"/>
      <c r="BNV8" s="197"/>
      <c r="BNW8" s="197"/>
      <c r="BNX8" s="197"/>
      <c r="BNY8" s="197"/>
      <c r="BNZ8" s="197"/>
      <c r="BOA8" s="197"/>
      <c r="BOB8" s="197"/>
      <c r="BOC8" s="197"/>
      <c r="BOD8" s="197"/>
      <c r="BOE8" s="197"/>
      <c r="BOF8" s="197"/>
      <c r="BOG8" s="197"/>
      <c r="BOH8" s="197"/>
      <c r="BOI8" s="197"/>
      <c r="BOJ8" s="197"/>
      <c r="BOK8" s="197"/>
      <c r="BOL8" s="197"/>
      <c r="BOM8" s="197"/>
      <c r="BON8" s="197"/>
      <c r="BOO8" s="197"/>
      <c r="BOP8" s="197"/>
      <c r="BOQ8" s="197"/>
      <c r="BOR8" s="197"/>
      <c r="BOS8" s="197"/>
      <c r="BOT8" s="197"/>
      <c r="BOU8" s="197"/>
      <c r="BOV8" s="197"/>
      <c r="BOW8" s="197"/>
      <c r="BOX8" s="197"/>
      <c r="BOY8" s="197"/>
      <c r="BOZ8" s="197"/>
      <c r="BPA8" s="197"/>
      <c r="BPB8" s="197"/>
      <c r="BPC8" s="197"/>
      <c r="BPD8" s="197"/>
      <c r="BPE8" s="197"/>
      <c r="BPF8" s="197"/>
      <c r="BPG8" s="197"/>
      <c r="BPH8" s="197"/>
      <c r="BPI8" s="197"/>
      <c r="BPJ8" s="197"/>
      <c r="BPK8" s="197"/>
      <c r="BPL8" s="197"/>
      <c r="BPM8" s="197"/>
      <c r="BPN8" s="197"/>
      <c r="BPO8" s="197"/>
      <c r="BPP8" s="197"/>
      <c r="BPQ8" s="197"/>
      <c r="BPR8" s="197"/>
      <c r="BPS8" s="197"/>
      <c r="BPT8" s="197"/>
      <c r="BPU8" s="197"/>
      <c r="BPV8" s="197"/>
      <c r="BPW8" s="197"/>
      <c r="BPX8" s="197"/>
      <c r="BPY8" s="197"/>
      <c r="BPZ8" s="197"/>
      <c r="BQA8" s="197"/>
      <c r="BQB8" s="197"/>
      <c r="BQC8" s="197"/>
      <c r="BQD8" s="197"/>
      <c r="BQE8" s="197"/>
      <c r="BQF8" s="197"/>
      <c r="BQG8" s="197"/>
      <c r="BQH8" s="197"/>
      <c r="BQI8" s="197"/>
      <c r="BQJ8" s="197"/>
      <c r="BQK8" s="197"/>
      <c r="BQL8" s="197"/>
      <c r="BQM8" s="197"/>
      <c r="BQN8" s="197"/>
      <c r="BQO8" s="197"/>
      <c r="BQP8" s="197"/>
      <c r="BQQ8" s="197"/>
      <c r="BQR8" s="197"/>
      <c r="BQS8" s="197"/>
      <c r="BQT8" s="197"/>
      <c r="BQU8" s="197"/>
      <c r="BQV8" s="197"/>
      <c r="BQW8" s="197"/>
      <c r="BQX8" s="197"/>
      <c r="BQY8" s="197"/>
      <c r="BQZ8" s="197"/>
      <c r="BRA8" s="197"/>
      <c r="BRB8" s="197"/>
      <c r="BRC8" s="197"/>
      <c r="BRD8" s="197"/>
      <c r="BRE8" s="197"/>
      <c r="BRF8" s="197"/>
      <c r="BRG8" s="197"/>
      <c r="BRH8" s="197"/>
      <c r="BRI8" s="197"/>
      <c r="BRJ8" s="197"/>
      <c r="BRK8" s="197"/>
      <c r="BRL8" s="197"/>
      <c r="BRM8" s="197"/>
      <c r="BRN8" s="197"/>
      <c r="BRO8" s="197"/>
      <c r="BRP8" s="197"/>
      <c r="BRQ8" s="197"/>
      <c r="BRR8" s="197"/>
      <c r="BRS8" s="197"/>
      <c r="BRT8" s="197"/>
      <c r="BRU8" s="197"/>
      <c r="BRV8" s="197"/>
      <c r="BRW8" s="197"/>
      <c r="BRX8" s="197"/>
      <c r="BRY8" s="197"/>
      <c r="BRZ8" s="197"/>
      <c r="BSA8" s="197"/>
      <c r="BSB8" s="197"/>
      <c r="BSC8" s="197"/>
      <c r="BSD8" s="197"/>
      <c r="BSE8" s="197"/>
      <c r="BSF8" s="197"/>
      <c r="BSG8" s="197"/>
      <c r="BSH8" s="197"/>
      <c r="BSI8" s="197"/>
      <c r="BSJ8" s="197"/>
      <c r="BSK8" s="197"/>
      <c r="BSL8" s="197"/>
      <c r="BSM8" s="197"/>
      <c r="BSN8" s="197"/>
      <c r="BSO8" s="197"/>
      <c r="BSP8" s="197"/>
      <c r="BSQ8" s="197"/>
      <c r="BSR8" s="197"/>
      <c r="BSS8" s="197"/>
      <c r="BST8" s="197"/>
      <c r="BSU8" s="197"/>
      <c r="BSV8" s="197"/>
      <c r="BSW8" s="197"/>
      <c r="BSX8" s="197"/>
      <c r="BSY8" s="197"/>
      <c r="BSZ8" s="197"/>
      <c r="BTA8" s="197"/>
      <c r="BTB8" s="197"/>
      <c r="BTC8" s="197"/>
      <c r="BTD8" s="197"/>
      <c r="BTE8" s="197"/>
      <c r="BTF8" s="197"/>
      <c r="BTG8" s="197"/>
      <c r="BTH8" s="197"/>
      <c r="BTI8" s="197"/>
      <c r="BTJ8" s="197"/>
      <c r="BTK8" s="197"/>
      <c r="BTL8" s="197"/>
      <c r="BTM8" s="197"/>
      <c r="BTN8" s="197"/>
      <c r="BTO8" s="197"/>
      <c r="BTP8" s="197"/>
      <c r="BTQ8" s="197"/>
      <c r="BTR8" s="197"/>
      <c r="BTS8" s="197"/>
      <c r="BTT8" s="197"/>
      <c r="BTU8" s="197"/>
      <c r="BTV8" s="197"/>
      <c r="BTW8" s="197"/>
      <c r="BTX8" s="197"/>
      <c r="BTY8" s="197"/>
      <c r="BTZ8" s="197"/>
      <c r="BUA8" s="197"/>
      <c r="BUB8" s="197"/>
      <c r="BUC8" s="197"/>
      <c r="BUD8" s="197"/>
      <c r="BUE8" s="197"/>
      <c r="BUF8" s="197"/>
      <c r="BUG8" s="197"/>
      <c r="BUH8" s="197"/>
      <c r="BUI8" s="197"/>
      <c r="BUJ8" s="197"/>
      <c r="BUK8" s="197"/>
      <c r="BUL8" s="197"/>
      <c r="BUM8" s="197"/>
      <c r="BUN8" s="197"/>
      <c r="BUO8" s="197"/>
      <c r="BUP8" s="197"/>
      <c r="BUQ8" s="197"/>
      <c r="BUR8" s="197"/>
      <c r="BUS8" s="197"/>
      <c r="BUT8" s="197"/>
      <c r="BUU8" s="197"/>
      <c r="BUV8" s="197"/>
      <c r="BUW8" s="197"/>
      <c r="BUX8" s="197"/>
      <c r="BUY8" s="197"/>
      <c r="BUZ8" s="197"/>
      <c r="BVA8" s="197"/>
      <c r="BVB8" s="197"/>
      <c r="BVC8" s="197"/>
      <c r="BVD8" s="197"/>
      <c r="BVE8" s="197"/>
      <c r="BVF8" s="197"/>
      <c r="BVG8" s="197"/>
      <c r="BVH8" s="197"/>
      <c r="BVI8" s="197"/>
      <c r="BVJ8" s="197"/>
      <c r="BVK8" s="197"/>
      <c r="BVL8" s="197"/>
      <c r="BVM8" s="197"/>
      <c r="BVN8" s="197"/>
      <c r="BVO8" s="197"/>
      <c r="BVP8" s="197"/>
      <c r="BVQ8" s="197"/>
      <c r="BVR8" s="197"/>
      <c r="BVS8" s="197"/>
      <c r="BVT8" s="197"/>
      <c r="BVU8" s="197"/>
      <c r="BVV8" s="197"/>
      <c r="BVW8" s="197"/>
      <c r="BVX8" s="197"/>
      <c r="BVY8" s="197"/>
      <c r="BVZ8" s="197"/>
      <c r="BWA8" s="197"/>
      <c r="BWB8" s="197"/>
      <c r="BWC8" s="197"/>
      <c r="BWD8" s="197"/>
      <c r="BWE8" s="197"/>
      <c r="BWF8" s="197"/>
      <c r="BWG8" s="197"/>
      <c r="BWH8" s="197"/>
      <c r="BWI8" s="197"/>
      <c r="BWJ8" s="197"/>
      <c r="BWK8" s="197"/>
      <c r="BWL8" s="197"/>
      <c r="BWM8" s="197"/>
      <c r="BWN8" s="197"/>
      <c r="BWO8" s="197"/>
      <c r="BWP8" s="197"/>
      <c r="BWQ8" s="197"/>
      <c r="BWR8" s="197"/>
      <c r="BWS8" s="197"/>
      <c r="BWT8" s="197"/>
      <c r="BWU8" s="197"/>
      <c r="BWV8" s="197"/>
      <c r="BWW8" s="197"/>
      <c r="BWX8" s="197"/>
      <c r="BWY8" s="197"/>
      <c r="BWZ8" s="197"/>
      <c r="BXA8" s="197"/>
      <c r="BXB8" s="197"/>
      <c r="BXC8" s="197"/>
      <c r="BXD8" s="197"/>
      <c r="BXE8" s="197"/>
      <c r="BXF8" s="197"/>
      <c r="BXG8" s="197"/>
      <c r="BXH8" s="197"/>
      <c r="BXI8" s="197"/>
      <c r="BXJ8" s="197"/>
      <c r="BXK8" s="197"/>
      <c r="BXL8" s="197"/>
      <c r="BXM8" s="197"/>
      <c r="BXN8" s="197"/>
      <c r="BXO8" s="197"/>
      <c r="BXP8" s="197"/>
      <c r="BXQ8" s="197"/>
      <c r="BXR8" s="197"/>
      <c r="BXS8" s="197"/>
      <c r="BXT8" s="197"/>
      <c r="BXU8" s="197"/>
      <c r="BXV8" s="197"/>
      <c r="BXW8" s="197"/>
      <c r="BXX8" s="197"/>
      <c r="BXY8" s="197"/>
      <c r="BXZ8" s="197"/>
      <c r="BYA8" s="197"/>
      <c r="BYB8" s="197"/>
      <c r="BYC8" s="197"/>
      <c r="BYD8" s="197"/>
      <c r="BYE8" s="197"/>
      <c r="BYF8" s="197"/>
      <c r="BYG8" s="197"/>
    </row>
    <row r="9" spans="1:2009" s="100" customFormat="1" ht="12.75" customHeight="1" thickBot="1" x14ac:dyDescent="0.3">
      <c r="A9" s="97"/>
      <c r="B9" s="97"/>
      <c r="C9" s="164"/>
      <c r="D9" s="164"/>
      <c r="E9" s="164"/>
      <c r="F9" s="164"/>
      <c r="G9" s="640"/>
      <c r="H9" s="98"/>
      <c r="I9" s="751"/>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70</v>
      </c>
      <c r="B10" s="131"/>
      <c r="C10" s="165"/>
      <c r="D10" s="165"/>
      <c r="E10" s="166"/>
      <c r="F10" s="166"/>
      <c r="G10" s="641"/>
      <c r="H10" s="93"/>
      <c r="I10" s="552"/>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46</v>
      </c>
      <c r="C11" s="167"/>
      <c r="D11" s="167"/>
      <c r="E11" s="168"/>
      <c r="F11" s="168"/>
      <c r="G11" s="642">
        <f>ROUND(SUM(C11:F11),5)</f>
        <v>0</v>
      </c>
      <c r="H11" s="93"/>
      <c r="I11" s="552"/>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461</v>
      </c>
      <c r="C12" s="167"/>
      <c r="D12" s="167"/>
      <c r="E12" s="168"/>
      <c r="F12" s="168"/>
      <c r="G12" s="642">
        <f>ROUND(SUM(C12:F12),5)</f>
        <v>0</v>
      </c>
      <c r="H12" s="93"/>
      <c r="I12" s="55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462</v>
      </c>
      <c r="C13" s="167">
        <f>82555.54-D13-E13</f>
        <v>56859.239999999991</v>
      </c>
      <c r="D13" s="167">
        <v>13201.44</v>
      </c>
      <c r="E13" s="168">
        <v>12494.86</v>
      </c>
      <c r="F13" s="168"/>
      <c r="G13" s="642">
        <f>ROUND(SUM(C13:F13),5)</f>
        <v>82555.539999999994</v>
      </c>
      <c r="H13" s="93"/>
      <c r="I13" s="55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2" customFormat="1" ht="24.95" customHeight="1" thickBot="1" x14ac:dyDescent="0.3">
      <c r="A14" s="199"/>
      <c r="B14" s="200" t="s">
        <v>140</v>
      </c>
      <c r="C14" s="201">
        <f>ROUND(SUM(C10:C13),5)</f>
        <v>56859.24</v>
      </c>
      <c r="D14" s="201">
        <f>SUM(D11:D13)</f>
        <v>13201.44</v>
      </c>
      <c r="E14" s="201">
        <f>SUM(E11:E13)</f>
        <v>12494.86</v>
      </c>
      <c r="F14" s="201"/>
      <c r="G14" s="762">
        <f>ROUND(SUM(G10:G13),5)</f>
        <v>82555.539999999994</v>
      </c>
      <c r="H14" s="196"/>
      <c r="I14" s="552"/>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c r="IW14" s="197"/>
      <c r="IX14" s="197"/>
      <c r="IY14" s="197"/>
      <c r="IZ14" s="197"/>
      <c r="JA14" s="197"/>
      <c r="JB14" s="197"/>
      <c r="JC14" s="197"/>
      <c r="JD14" s="197"/>
      <c r="JE14" s="197"/>
      <c r="JF14" s="197"/>
      <c r="JG14" s="197"/>
      <c r="JH14" s="197"/>
      <c r="JI14" s="197"/>
      <c r="JJ14" s="197"/>
      <c r="JK14" s="197"/>
      <c r="JL14" s="197"/>
      <c r="JM14" s="197"/>
      <c r="JN14" s="197"/>
      <c r="JO14" s="197"/>
      <c r="JP14" s="197"/>
      <c r="JQ14" s="197"/>
      <c r="JR14" s="197"/>
      <c r="JS14" s="197"/>
      <c r="JT14" s="197"/>
      <c r="JU14" s="197"/>
      <c r="JV14" s="197"/>
      <c r="JW14" s="197"/>
      <c r="JX14" s="197"/>
      <c r="JY14" s="197"/>
      <c r="JZ14" s="197"/>
      <c r="KA14" s="197"/>
      <c r="KB14" s="197"/>
      <c r="KC14" s="197"/>
      <c r="KD14" s="197"/>
      <c r="KE14" s="197"/>
      <c r="KF14" s="197"/>
      <c r="KG14" s="197"/>
      <c r="KH14" s="197"/>
      <c r="KI14" s="197"/>
      <c r="KJ14" s="197"/>
      <c r="KK14" s="197"/>
      <c r="KL14" s="197"/>
      <c r="KM14" s="197"/>
      <c r="KN14" s="197"/>
      <c r="KO14" s="197"/>
      <c r="KP14" s="197"/>
      <c r="KQ14" s="197"/>
      <c r="KR14" s="197"/>
      <c r="KS14" s="197"/>
      <c r="KT14" s="197"/>
      <c r="KU14" s="197"/>
      <c r="KV14" s="197"/>
      <c r="KW14" s="197"/>
      <c r="KX14" s="197"/>
      <c r="KY14" s="197"/>
      <c r="KZ14" s="197"/>
      <c r="LA14" s="197"/>
      <c r="LB14" s="197"/>
      <c r="LC14" s="197"/>
      <c r="LD14" s="197"/>
      <c r="LE14" s="197"/>
      <c r="LF14" s="197"/>
      <c r="LG14" s="197"/>
      <c r="LH14" s="197"/>
      <c r="LI14" s="197"/>
      <c r="LJ14" s="197"/>
      <c r="LK14" s="197"/>
      <c r="LL14" s="197"/>
      <c r="LM14" s="197"/>
      <c r="LN14" s="197"/>
      <c r="LO14" s="197"/>
      <c r="LP14" s="197"/>
      <c r="LQ14" s="197"/>
      <c r="LR14" s="197"/>
      <c r="LS14" s="197"/>
      <c r="LT14" s="197"/>
      <c r="LU14" s="197"/>
      <c r="LV14" s="197"/>
      <c r="LW14" s="197"/>
      <c r="LX14" s="197"/>
      <c r="LY14" s="197"/>
      <c r="LZ14" s="197"/>
      <c r="MA14" s="197"/>
      <c r="MB14" s="197"/>
      <c r="MC14" s="197"/>
      <c r="MD14" s="197"/>
      <c r="ME14" s="197"/>
      <c r="MF14" s="197"/>
      <c r="MG14" s="197"/>
      <c r="MH14" s="197"/>
      <c r="MI14" s="197"/>
      <c r="MJ14" s="197"/>
      <c r="MK14" s="197"/>
      <c r="ML14" s="197"/>
      <c r="MM14" s="197"/>
      <c r="MN14" s="197"/>
      <c r="MO14" s="197"/>
      <c r="MP14" s="197"/>
      <c r="MQ14" s="197"/>
      <c r="MR14" s="197"/>
      <c r="MS14" s="197"/>
      <c r="MT14" s="197"/>
      <c r="MU14" s="197"/>
      <c r="MV14" s="197"/>
      <c r="MW14" s="197"/>
      <c r="MX14" s="197"/>
      <c r="MY14" s="197"/>
      <c r="MZ14" s="197"/>
      <c r="NA14" s="197"/>
      <c r="NB14" s="197"/>
      <c r="NC14" s="197"/>
      <c r="ND14" s="197"/>
      <c r="NE14" s="197"/>
      <c r="NF14" s="197"/>
      <c r="NG14" s="197"/>
      <c r="NH14" s="197"/>
      <c r="NI14" s="197"/>
      <c r="NJ14" s="197"/>
      <c r="NK14" s="197"/>
      <c r="NL14" s="197"/>
      <c r="NM14" s="197"/>
      <c r="NN14" s="197"/>
      <c r="NO14" s="197"/>
      <c r="NP14" s="197"/>
      <c r="NQ14" s="197"/>
      <c r="NR14" s="197"/>
      <c r="NS14" s="197"/>
      <c r="NT14" s="197"/>
      <c r="NU14" s="197"/>
      <c r="NV14" s="197"/>
      <c r="NW14" s="197"/>
      <c r="NX14" s="197"/>
      <c r="NY14" s="197"/>
      <c r="NZ14" s="197"/>
      <c r="OA14" s="197"/>
      <c r="OB14" s="197"/>
      <c r="OC14" s="197"/>
      <c r="OD14" s="197"/>
      <c r="OE14" s="197"/>
      <c r="OF14" s="197"/>
      <c r="OG14" s="197"/>
      <c r="OH14" s="197"/>
      <c r="OI14" s="197"/>
      <c r="OJ14" s="197"/>
      <c r="OK14" s="197"/>
      <c r="OL14" s="197"/>
      <c r="OM14" s="197"/>
      <c r="ON14" s="197"/>
      <c r="OO14" s="197"/>
      <c r="OP14" s="197"/>
      <c r="OQ14" s="197"/>
      <c r="OR14" s="197"/>
      <c r="OS14" s="197"/>
      <c r="OT14" s="197"/>
      <c r="OU14" s="197"/>
      <c r="OV14" s="197"/>
      <c r="OW14" s="197"/>
      <c r="OX14" s="197"/>
      <c r="OY14" s="197"/>
      <c r="OZ14" s="197"/>
      <c r="PA14" s="197"/>
      <c r="PB14" s="197"/>
      <c r="PC14" s="197"/>
      <c r="PD14" s="197"/>
      <c r="PE14" s="197"/>
      <c r="PF14" s="197"/>
      <c r="PG14" s="197"/>
      <c r="PH14" s="197"/>
      <c r="PI14" s="197"/>
      <c r="PJ14" s="197"/>
      <c r="PK14" s="197"/>
      <c r="PL14" s="197"/>
      <c r="PM14" s="197"/>
      <c r="PN14" s="197"/>
      <c r="PO14" s="197"/>
      <c r="PP14" s="197"/>
      <c r="PQ14" s="197"/>
      <c r="PR14" s="197"/>
      <c r="PS14" s="197"/>
      <c r="PT14" s="197"/>
      <c r="PU14" s="197"/>
      <c r="PV14" s="197"/>
      <c r="PW14" s="197"/>
      <c r="PX14" s="197"/>
      <c r="PY14" s="197"/>
      <c r="PZ14" s="197"/>
      <c r="QA14" s="197"/>
      <c r="QB14" s="197"/>
      <c r="QC14" s="197"/>
      <c r="QD14" s="197"/>
      <c r="QE14" s="197"/>
      <c r="QF14" s="197"/>
      <c r="QG14" s="197"/>
      <c r="QH14" s="197"/>
      <c r="QI14" s="197"/>
      <c r="QJ14" s="197"/>
      <c r="QK14" s="197"/>
      <c r="QL14" s="197"/>
      <c r="QM14" s="197"/>
      <c r="QN14" s="197"/>
      <c r="QO14" s="197"/>
      <c r="QP14" s="197"/>
      <c r="QQ14" s="197"/>
      <c r="QR14" s="197"/>
      <c r="QS14" s="197"/>
      <c r="QT14" s="197"/>
      <c r="QU14" s="197"/>
      <c r="QV14" s="197"/>
      <c r="QW14" s="197"/>
      <c r="QX14" s="197"/>
      <c r="QY14" s="197"/>
      <c r="QZ14" s="197"/>
      <c r="RA14" s="197"/>
      <c r="RB14" s="197"/>
      <c r="RC14" s="197"/>
      <c r="RD14" s="197"/>
      <c r="RE14" s="197"/>
      <c r="RF14" s="197"/>
      <c r="RG14" s="197"/>
      <c r="RH14" s="197"/>
      <c r="RI14" s="197"/>
      <c r="RJ14" s="197"/>
      <c r="RK14" s="197"/>
      <c r="RL14" s="197"/>
      <c r="RM14" s="197"/>
      <c r="RN14" s="197"/>
      <c r="RO14" s="197"/>
      <c r="RP14" s="197"/>
      <c r="RQ14" s="197"/>
      <c r="RR14" s="197"/>
      <c r="RS14" s="197"/>
      <c r="RT14" s="197"/>
      <c r="RU14" s="197"/>
      <c r="RV14" s="197"/>
      <c r="RW14" s="197"/>
      <c r="RX14" s="197"/>
      <c r="RY14" s="197"/>
      <c r="RZ14" s="197"/>
      <c r="SA14" s="197"/>
      <c r="SB14" s="197"/>
      <c r="SC14" s="197"/>
      <c r="SD14" s="197"/>
      <c r="SE14" s="197"/>
      <c r="SF14" s="197"/>
      <c r="SG14" s="197"/>
      <c r="SH14" s="197"/>
      <c r="SI14" s="197"/>
      <c r="SJ14" s="197"/>
      <c r="SK14" s="197"/>
      <c r="SL14" s="197"/>
      <c r="SM14" s="197"/>
      <c r="SN14" s="197"/>
      <c r="SO14" s="197"/>
      <c r="SP14" s="197"/>
      <c r="SQ14" s="197"/>
      <c r="SR14" s="197"/>
      <c r="SS14" s="197"/>
      <c r="ST14" s="197"/>
      <c r="SU14" s="197"/>
      <c r="SV14" s="197"/>
      <c r="SW14" s="197"/>
      <c r="SX14" s="197"/>
      <c r="SY14" s="197"/>
      <c r="SZ14" s="197"/>
      <c r="TA14" s="197"/>
      <c r="TB14" s="197"/>
      <c r="TC14" s="197"/>
      <c r="TD14" s="197"/>
      <c r="TE14" s="197"/>
      <c r="TF14" s="197"/>
      <c r="TG14" s="197"/>
      <c r="TH14" s="197"/>
      <c r="TI14" s="197"/>
      <c r="TJ14" s="197"/>
      <c r="TK14" s="197"/>
      <c r="TL14" s="197"/>
      <c r="TM14" s="197"/>
      <c r="TN14" s="197"/>
      <c r="TO14" s="197"/>
      <c r="TP14" s="197"/>
      <c r="TQ14" s="197"/>
      <c r="TR14" s="197"/>
      <c r="TS14" s="197"/>
      <c r="TT14" s="197"/>
      <c r="TU14" s="197"/>
      <c r="TV14" s="197"/>
      <c r="TW14" s="197"/>
      <c r="TX14" s="197"/>
      <c r="TY14" s="197"/>
      <c r="TZ14" s="197"/>
      <c r="UA14" s="197"/>
      <c r="UB14" s="197"/>
      <c r="UC14" s="197"/>
      <c r="UD14" s="197"/>
      <c r="UE14" s="197"/>
      <c r="UF14" s="197"/>
      <c r="UG14" s="197"/>
      <c r="UH14" s="197"/>
      <c r="UI14" s="197"/>
      <c r="UJ14" s="197"/>
      <c r="UK14" s="197"/>
      <c r="UL14" s="197"/>
      <c r="UM14" s="197"/>
      <c r="UN14" s="197"/>
      <c r="UO14" s="197"/>
      <c r="UP14" s="197"/>
      <c r="UQ14" s="197"/>
      <c r="UR14" s="197"/>
      <c r="US14" s="197"/>
      <c r="UT14" s="197"/>
      <c r="UU14" s="197"/>
      <c r="UV14" s="197"/>
      <c r="UW14" s="197"/>
      <c r="UX14" s="197"/>
      <c r="UY14" s="197"/>
      <c r="UZ14" s="197"/>
      <c r="VA14" s="197"/>
      <c r="VB14" s="197"/>
      <c r="VC14" s="197"/>
      <c r="VD14" s="197"/>
      <c r="VE14" s="197"/>
      <c r="VF14" s="197"/>
      <c r="VG14" s="197"/>
      <c r="VH14" s="197"/>
      <c r="VI14" s="197"/>
      <c r="VJ14" s="197"/>
      <c r="VK14" s="197"/>
      <c r="VL14" s="197"/>
      <c r="VM14" s="197"/>
      <c r="VN14" s="197"/>
      <c r="VO14" s="197"/>
      <c r="VP14" s="197"/>
      <c r="VQ14" s="197"/>
      <c r="VR14" s="197"/>
      <c r="VS14" s="197"/>
      <c r="VT14" s="197"/>
      <c r="VU14" s="197"/>
      <c r="VV14" s="197"/>
      <c r="VW14" s="197"/>
      <c r="VX14" s="197"/>
      <c r="VY14" s="197"/>
      <c r="VZ14" s="197"/>
      <c r="WA14" s="197"/>
      <c r="WB14" s="197"/>
      <c r="WC14" s="197"/>
      <c r="WD14" s="197"/>
      <c r="WE14" s="197"/>
      <c r="WF14" s="197"/>
      <c r="WG14" s="197"/>
      <c r="WH14" s="197"/>
      <c r="WI14" s="197"/>
      <c r="WJ14" s="197"/>
      <c r="WK14" s="197"/>
      <c r="WL14" s="197"/>
      <c r="WM14" s="197"/>
      <c r="WN14" s="197"/>
      <c r="WO14" s="197"/>
      <c r="WP14" s="197"/>
      <c r="WQ14" s="197"/>
      <c r="WR14" s="197"/>
      <c r="WS14" s="197"/>
      <c r="WT14" s="197"/>
      <c r="WU14" s="197"/>
      <c r="WV14" s="197"/>
      <c r="WW14" s="197"/>
      <c r="WX14" s="197"/>
      <c r="WY14" s="197"/>
      <c r="WZ14" s="197"/>
      <c r="XA14" s="197"/>
      <c r="XB14" s="197"/>
      <c r="XC14" s="197"/>
      <c r="XD14" s="197"/>
      <c r="XE14" s="197"/>
      <c r="XF14" s="197"/>
      <c r="XG14" s="197"/>
      <c r="XH14" s="197"/>
      <c r="XI14" s="197"/>
      <c r="XJ14" s="197"/>
      <c r="XK14" s="197"/>
      <c r="XL14" s="197"/>
      <c r="XM14" s="197"/>
      <c r="XN14" s="197"/>
      <c r="XO14" s="197"/>
      <c r="XP14" s="197"/>
      <c r="XQ14" s="197"/>
      <c r="XR14" s="197"/>
      <c r="XS14" s="197"/>
      <c r="XT14" s="197"/>
      <c r="XU14" s="197"/>
      <c r="XV14" s="197"/>
      <c r="XW14" s="197"/>
      <c r="XX14" s="197"/>
      <c r="XY14" s="197"/>
      <c r="XZ14" s="197"/>
      <c r="YA14" s="197"/>
      <c r="YB14" s="197"/>
      <c r="YC14" s="197"/>
      <c r="YD14" s="197"/>
      <c r="YE14" s="197"/>
      <c r="YF14" s="197"/>
      <c r="YG14" s="197"/>
      <c r="YH14" s="197"/>
      <c r="YI14" s="197"/>
      <c r="YJ14" s="197"/>
      <c r="YK14" s="197"/>
      <c r="YL14" s="197"/>
      <c r="YM14" s="197"/>
      <c r="YN14" s="197"/>
      <c r="YO14" s="197"/>
      <c r="YP14" s="197"/>
      <c r="YQ14" s="197"/>
      <c r="YR14" s="197"/>
      <c r="YS14" s="197"/>
      <c r="YT14" s="197"/>
      <c r="YU14" s="197"/>
      <c r="YV14" s="197"/>
      <c r="YW14" s="197"/>
      <c r="YX14" s="197"/>
      <c r="YY14" s="197"/>
      <c r="YZ14" s="197"/>
      <c r="ZA14" s="197"/>
      <c r="ZB14" s="197"/>
      <c r="ZC14" s="197"/>
      <c r="ZD14" s="197"/>
      <c r="ZE14" s="197"/>
      <c r="ZF14" s="197"/>
      <c r="ZG14" s="197"/>
      <c r="ZH14" s="197"/>
      <c r="ZI14" s="197"/>
      <c r="ZJ14" s="197"/>
      <c r="ZK14" s="197"/>
      <c r="ZL14" s="197"/>
      <c r="ZM14" s="197"/>
      <c r="ZN14" s="197"/>
      <c r="ZO14" s="197"/>
      <c r="ZP14" s="197"/>
      <c r="ZQ14" s="197"/>
      <c r="ZR14" s="197"/>
      <c r="ZS14" s="197"/>
      <c r="ZT14" s="197"/>
      <c r="ZU14" s="197"/>
      <c r="ZV14" s="197"/>
      <c r="ZW14" s="197"/>
      <c r="ZX14" s="197"/>
      <c r="ZY14" s="197"/>
      <c r="ZZ14" s="197"/>
      <c r="AAA14" s="197"/>
      <c r="AAB14" s="197"/>
      <c r="AAC14" s="197"/>
      <c r="AAD14" s="197"/>
      <c r="AAE14" s="197"/>
      <c r="AAF14" s="197"/>
      <c r="AAG14" s="197"/>
      <c r="AAH14" s="197"/>
      <c r="AAI14" s="197"/>
      <c r="AAJ14" s="197"/>
      <c r="AAK14" s="197"/>
      <c r="AAL14" s="197"/>
      <c r="AAM14" s="197"/>
      <c r="AAN14" s="197"/>
      <c r="AAO14" s="197"/>
      <c r="AAP14" s="197"/>
      <c r="AAQ14" s="197"/>
      <c r="AAR14" s="197"/>
      <c r="AAS14" s="197"/>
      <c r="AAT14" s="197"/>
      <c r="AAU14" s="197"/>
      <c r="AAV14" s="197"/>
      <c r="AAW14" s="197"/>
      <c r="AAX14" s="197"/>
      <c r="AAY14" s="197"/>
      <c r="AAZ14" s="197"/>
      <c r="ABA14" s="197"/>
      <c r="ABB14" s="197"/>
      <c r="ABC14" s="197"/>
      <c r="ABD14" s="197"/>
      <c r="ABE14" s="197"/>
      <c r="ABF14" s="197"/>
      <c r="ABG14" s="197"/>
      <c r="ABH14" s="197"/>
      <c r="ABI14" s="197"/>
      <c r="ABJ14" s="197"/>
      <c r="ABK14" s="197"/>
      <c r="ABL14" s="197"/>
      <c r="ABM14" s="197"/>
      <c r="ABN14" s="197"/>
      <c r="ABO14" s="197"/>
      <c r="ABP14" s="197"/>
      <c r="ABQ14" s="197"/>
      <c r="ABR14" s="197"/>
      <c r="ABS14" s="197"/>
      <c r="ABT14" s="197"/>
      <c r="ABU14" s="197"/>
      <c r="ABV14" s="197"/>
      <c r="ABW14" s="197"/>
      <c r="ABX14" s="197"/>
      <c r="ABY14" s="197"/>
      <c r="ABZ14" s="197"/>
      <c r="ACA14" s="197"/>
      <c r="ACB14" s="197"/>
      <c r="ACC14" s="197"/>
      <c r="ACD14" s="197"/>
      <c r="ACE14" s="197"/>
      <c r="ACF14" s="197"/>
      <c r="ACG14" s="197"/>
      <c r="ACH14" s="197"/>
      <c r="ACI14" s="197"/>
      <c r="ACJ14" s="197"/>
      <c r="ACK14" s="197"/>
      <c r="ACL14" s="197"/>
      <c r="ACM14" s="197"/>
      <c r="ACN14" s="197"/>
      <c r="ACO14" s="197"/>
      <c r="ACP14" s="197"/>
      <c r="ACQ14" s="197"/>
      <c r="ACR14" s="197"/>
      <c r="ACS14" s="197"/>
      <c r="ACT14" s="197"/>
      <c r="ACU14" s="197"/>
      <c r="ACV14" s="197"/>
      <c r="ACW14" s="197"/>
      <c r="ACX14" s="197"/>
      <c r="ACY14" s="197"/>
      <c r="ACZ14" s="197"/>
      <c r="ADA14" s="197"/>
      <c r="ADB14" s="197"/>
      <c r="ADC14" s="197"/>
      <c r="ADD14" s="197"/>
      <c r="ADE14" s="197"/>
      <c r="ADF14" s="197"/>
      <c r="ADG14" s="197"/>
      <c r="ADH14" s="197"/>
      <c r="ADI14" s="197"/>
      <c r="ADJ14" s="197"/>
      <c r="ADK14" s="197"/>
      <c r="ADL14" s="197"/>
      <c r="ADM14" s="197"/>
      <c r="ADN14" s="197"/>
      <c r="ADO14" s="197"/>
      <c r="ADP14" s="197"/>
      <c r="ADQ14" s="197"/>
      <c r="ADR14" s="197"/>
      <c r="ADS14" s="197"/>
      <c r="ADT14" s="197"/>
      <c r="ADU14" s="197"/>
      <c r="ADV14" s="197"/>
      <c r="ADW14" s="197"/>
      <c r="ADX14" s="197"/>
      <c r="ADY14" s="197"/>
      <c r="ADZ14" s="197"/>
      <c r="AEA14" s="197"/>
      <c r="AEB14" s="197"/>
      <c r="AEC14" s="197"/>
      <c r="AED14" s="197"/>
      <c r="AEE14" s="197"/>
      <c r="AEF14" s="197"/>
      <c r="AEG14" s="197"/>
      <c r="AEH14" s="197"/>
      <c r="AEI14" s="197"/>
      <c r="AEJ14" s="197"/>
      <c r="AEK14" s="197"/>
      <c r="AEL14" s="197"/>
      <c r="AEM14" s="197"/>
      <c r="AEN14" s="197"/>
      <c r="AEO14" s="197"/>
      <c r="AEP14" s="197"/>
      <c r="AEQ14" s="197"/>
      <c r="AER14" s="197"/>
      <c r="AES14" s="197"/>
      <c r="AET14" s="197"/>
      <c r="AEU14" s="197"/>
      <c r="AEV14" s="197"/>
      <c r="AEW14" s="197"/>
      <c r="AEX14" s="197"/>
      <c r="AEY14" s="197"/>
      <c r="AEZ14" s="197"/>
      <c r="AFA14" s="197"/>
      <c r="AFB14" s="197"/>
      <c r="AFC14" s="197"/>
      <c r="AFD14" s="197"/>
      <c r="AFE14" s="197"/>
      <c r="AFF14" s="197"/>
      <c r="AFG14" s="197"/>
      <c r="AFH14" s="197"/>
      <c r="AFI14" s="197"/>
      <c r="AFJ14" s="197"/>
      <c r="AFK14" s="197"/>
      <c r="AFL14" s="197"/>
      <c r="AFM14" s="197"/>
      <c r="AFN14" s="197"/>
      <c r="AFO14" s="197"/>
      <c r="AFP14" s="197"/>
      <c r="AFQ14" s="197"/>
      <c r="AFR14" s="197"/>
      <c r="AFS14" s="197"/>
      <c r="AFT14" s="197"/>
      <c r="AFU14" s="197"/>
      <c r="AFV14" s="197"/>
      <c r="AFW14" s="197"/>
      <c r="AFX14" s="197"/>
      <c r="AFY14" s="197"/>
      <c r="AFZ14" s="197"/>
      <c r="AGA14" s="197"/>
      <c r="AGB14" s="197"/>
      <c r="AGC14" s="197"/>
      <c r="AGD14" s="197"/>
      <c r="AGE14" s="197"/>
      <c r="AGF14" s="197"/>
      <c r="AGG14" s="197"/>
      <c r="AGH14" s="197"/>
      <c r="AGI14" s="197"/>
      <c r="AGJ14" s="197"/>
      <c r="AGK14" s="197"/>
      <c r="AGL14" s="197"/>
      <c r="AGM14" s="197"/>
      <c r="AGN14" s="197"/>
      <c r="AGO14" s="197"/>
      <c r="AGP14" s="197"/>
      <c r="AGQ14" s="197"/>
      <c r="AGR14" s="197"/>
      <c r="AGS14" s="197"/>
      <c r="AGT14" s="197"/>
      <c r="AGU14" s="197"/>
      <c r="AGV14" s="197"/>
      <c r="AGW14" s="197"/>
      <c r="AGX14" s="197"/>
      <c r="AGY14" s="197"/>
      <c r="AGZ14" s="197"/>
      <c r="AHA14" s="197"/>
      <c r="AHB14" s="197"/>
      <c r="AHC14" s="197"/>
      <c r="AHD14" s="197"/>
      <c r="AHE14" s="197"/>
      <c r="AHF14" s="197"/>
      <c r="AHG14" s="197"/>
      <c r="AHH14" s="197"/>
      <c r="AHI14" s="197"/>
      <c r="AHJ14" s="197"/>
      <c r="AHK14" s="197"/>
      <c r="AHL14" s="197"/>
      <c r="AHM14" s="197"/>
      <c r="AHN14" s="197"/>
      <c r="AHO14" s="197"/>
      <c r="AHP14" s="197"/>
      <c r="AHQ14" s="197"/>
      <c r="AHR14" s="197"/>
      <c r="AHS14" s="197"/>
      <c r="AHT14" s="197"/>
      <c r="AHU14" s="197"/>
      <c r="AHV14" s="197"/>
      <c r="AHW14" s="197"/>
      <c r="AHX14" s="197"/>
      <c r="AHY14" s="197"/>
      <c r="AHZ14" s="197"/>
      <c r="AIA14" s="197"/>
      <c r="AIB14" s="197"/>
      <c r="AIC14" s="197"/>
      <c r="AID14" s="197"/>
      <c r="AIE14" s="197"/>
      <c r="AIF14" s="197"/>
      <c r="AIG14" s="197"/>
      <c r="AIH14" s="197"/>
      <c r="AII14" s="197"/>
      <c r="AIJ14" s="197"/>
      <c r="AIK14" s="197"/>
      <c r="AIL14" s="197"/>
      <c r="AIM14" s="197"/>
      <c r="AIN14" s="197"/>
      <c r="AIO14" s="197"/>
      <c r="AIP14" s="197"/>
      <c r="AIQ14" s="197"/>
      <c r="AIR14" s="197"/>
      <c r="AIS14" s="197"/>
      <c r="AIT14" s="197"/>
      <c r="AIU14" s="197"/>
      <c r="AIV14" s="197"/>
      <c r="AIW14" s="197"/>
      <c r="AIX14" s="197"/>
      <c r="AIY14" s="197"/>
      <c r="AIZ14" s="197"/>
      <c r="AJA14" s="197"/>
      <c r="AJB14" s="197"/>
      <c r="AJC14" s="197"/>
      <c r="AJD14" s="197"/>
      <c r="AJE14" s="197"/>
      <c r="AJF14" s="197"/>
      <c r="AJG14" s="197"/>
      <c r="AJH14" s="197"/>
      <c r="AJI14" s="197"/>
      <c r="AJJ14" s="197"/>
      <c r="AJK14" s="197"/>
      <c r="AJL14" s="197"/>
      <c r="AJM14" s="197"/>
      <c r="AJN14" s="197"/>
      <c r="AJO14" s="197"/>
      <c r="AJP14" s="197"/>
      <c r="AJQ14" s="197"/>
      <c r="AJR14" s="197"/>
      <c r="AJS14" s="197"/>
      <c r="AJT14" s="197"/>
      <c r="AJU14" s="197"/>
      <c r="AJV14" s="197"/>
      <c r="AJW14" s="197"/>
      <c r="AJX14" s="197"/>
      <c r="AJY14" s="197"/>
      <c r="AJZ14" s="197"/>
      <c r="AKA14" s="197"/>
      <c r="AKB14" s="197"/>
      <c r="AKC14" s="197"/>
      <c r="AKD14" s="197"/>
      <c r="AKE14" s="197"/>
      <c r="AKF14" s="197"/>
      <c r="AKG14" s="197"/>
      <c r="AKH14" s="197"/>
      <c r="AKI14" s="197"/>
      <c r="AKJ14" s="197"/>
      <c r="AKK14" s="197"/>
      <c r="AKL14" s="197"/>
      <c r="AKM14" s="197"/>
      <c r="AKN14" s="197"/>
      <c r="AKO14" s="197"/>
      <c r="AKP14" s="197"/>
      <c r="AKQ14" s="197"/>
      <c r="AKR14" s="197"/>
      <c r="AKS14" s="197"/>
      <c r="AKT14" s="197"/>
      <c r="AKU14" s="197"/>
      <c r="AKV14" s="197"/>
      <c r="AKW14" s="197"/>
      <c r="AKX14" s="197"/>
      <c r="AKY14" s="197"/>
      <c r="AKZ14" s="197"/>
      <c r="ALA14" s="197"/>
      <c r="ALB14" s="197"/>
      <c r="ALC14" s="197"/>
      <c r="ALD14" s="197"/>
      <c r="ALE14" s="197"/>
      <c r="ALF14" s="197"/>
      <c r="ALG14" s="197"/>
      <c r="ALH14" s="197"/>
      <c r="ALI14" s="197"/>
      <c r="ALJ14" s="197"/>
      <c r="ALK14" s="197"/>
      <c r="ALL14" s="197"/>
      <c r="ALM14" s="197"/>
      <c r="ALN14" s="197"/>
      <c r="ALO14" s="197"/>
      <c r="ALP14" s="197"/>
      <c r="ALQ14" s="197"/>
      <c r="ALR14" s="197"/>
      <c r="ALS14" s="197"/>
      <c r="ALT14" s="197"/>
      <c r="ALU14" s="197"/>
      <c r="ALV14" s="197"/>
      <c r="ALW14" s="197"/>
      <c r="ALX14" s="197"/>
      <c r="ALY14" s="197"/>
      <c r="ALZ14" s="197"/>
      <c r="AMA14" s="197"/>
      <c r="AMB14" s="197"/>
      <c r="AMC14" s="197"/>
      <c r="AMD14" s="197"/>
      <c r="AME14" s="197"/>
      <c r="AMF14" s="197"/>
      <c r="AMG14" s="197"/>
      <c r="AMH14" s="197"/>
      <c r="AMI14" s="197"/>
      <c r="AMJ14" s="197"/>
      <c r="AMK14" s="197"/>
      <c r="AML14" s="197"/>
      <c r="AMM14" s="197"/>
      <c r="AMN14" s="197"/>
      <c r="AMO14" s="197"/>
      <c r="AMP14" s="197"/>
      <c r="AMQ14" s="197"/>
      <c r="AMR14" s="197"/>
      <c r="AMS14" s="197"/>
      <c r="AMT14" s="197"/>
      <c r="AMU14" s="197"/>
      <c r="AMV14" s="197"/>
      <c r="AMW14" s="197"/>
      <c r="AMX14" s="197"/>
      <c r="AMY14" s="197"/>
      <c r="AMZ14" s="197"/>
      <c r="ANA14" s="197"/>
      <c r="ANB14" s="197"/>
      <c r="ANC14" s="197"/>
      <c r="AND14" s="197"/>
      <c r="ANE14" s="197"/>
      <c r="ANF14" s="197"/>
      <c r="ANG14" s="197"/>
      <c r="ANH14" s="197"/>
      <c r="ANI14" s="197"/>
      <c r="ANJ14" s="197"/>
      <c r="ANK14" s="197"/>
      <c r="ANL14" s="197"/>
      <c r="ANM14" s="197"/>
      <c r="ANN14" s="197"/>
      <c r="ANO14" s="197"/>
      <c r="ANP14" s="197"/>
      <c r="ANQ14" s="197"/>
      <c r="ANR14" s="197"/>
      <c r="ANS14" s="197"/>
      <c r="ANT14" s="197"/>
      <c r="ANU14" s="197"/>
      <c r="ANV14" s="197"/>
      <c r="ANW14" s="197"/>
      <c r="ANX14" s="197"/>
      <c r="ANY14" s="197"/>
      <c r="ANZ14" s="197"/>
      <c r="AOA14" s="197"/>
      <c r="AOB14" s="197"/>
      <c r="AOC14" s="197"/>
      <c r="AOD14" s="197"/>
      <c r="AOE14" s="197"/>
      <c r="AOF14" s="197"/>
      <c r="AOG14" s="197"/>
      <c r="AOH14" s="197"/>
      <c r="AOI14" s="197"/>
      <c r="AOJ14" s="197"/>
      <c r="AOK14" s="197"/>
      <c r="AOL14" s="197"/>
      <c r="AOM14" s="197"/>
      <c r="AON14" s="197"/>
      <c r="AOO14" s="197"/>
      <c r="AOP14" s="197"/>
      <c r="AOQ14" s="197"/>
      <c r="AOR14" s="197"/>
      <c r="AOS14" s="197"/>
      <c r="AOT14" s="197"/>
      <c r="AOU14" s="197"/>
      <c r="AOV14" s="197"/>
      <c r="AOW14" s="197"/>
      <c r="AOX14" s="197"/>
      <c r="AOY14" s="197"/>
      <c r="AOZ14" s="197"/>
      <c r="APA14" s="197"/>
      <c r="APB14" s="197"/>
      <c r="APC14" s="197"/>
      <c r="APD14" s="197"/>
      <c r="APE14" s="197"/>
      <c r="APF14" s="197"/>
      <c r="APG14" s="197"/>
      <c r="APH14" s="197"/>
      <c r="API14" s="197"/>
      <c r="APJ14" s="197"/>
      <c r="APK14" s="197"/>
      <c r="APL14" s="197"/>
      <c r="APM14" s="197"/>
      <c r="APN14" s="197"/>
      <c r="APO14" s="197"/>
      <c r="APP14" s="197"/>
      <c r="APQ14" s="197"/>
      <c r="APR14" s="197"/>
      <c r="APS14" s="197"/>
      <c r="APT14" s="197"/>
      <c r="APU14" s="197"/>
      <c r="APV14" s="197"/>
      <c r="APW14" s="197"/>
      <c r="APX14" s="197"/>
      <c r="APY14" s="197"/>
      <c r="APZ14" s="197"/>
      <c r="AQA14" s="197"/>
      <c r="AQB14" s="197"/>
      <c r="AQC14" s="197"/>
      <c r="AQD14" s="197"/>
      <c r="AQE14" s="197"/>
      <c r="AQF14" s="197"/>
      <c r="AQG14" s="197"/>
      <c r="AQH14" s="197"/>
      <c r="AQI14" s="197"/>
      <c r="AQJ14" s="197"/>
      <c r="AQK14" s="197"/>
      <c r="AQL14" s="197"/>
      <c r="AQM14" s="197"/>
      <c r="AQN14" s="197"/>
      <c r="AQO14" s="197"/>
      <c r="AQP14" s="197"/>
      <c r="AQQ14" s="197"/>
      <c r="AQR14" s="197"/>
      <c r="AQS14" s="197"/>
      <c r="AQT14" s="197"/>
      <c r="AQU14" s="197"/>
      <c r="AQV14" s="197"/>
      <c r="AQW14" s="197"/>
      <c r="AQX14" s="197"/>
      <c r="AQY14" s="197"/>
      <c r="AQZ14" s="197"/>
      <c r="ARA14" s="197"/>
      <c r="ARB14" s="197"/>
      <c r="ARC14" s="197"/>
      <c r="ARD14" s="197"/>
      <c r="ARE14" s="197"/>
      <c r="ARF14" s="197"/>
      <c r="ARG14" s="197"/>
      <c r="ARH14" s="197"/>
      <c r="ARI14" s="197"/>
      <c r="ARJ14" s="197"/>
      <c r="ARK14" s="197"/>
      <c r="ARL14" s="197"/>
      <c r="ARM14" s="197"/>
      <c r="ARN14" s="197"/>
      <c r="ARO14" s="197"/>
      <c r="ARP14" s="197"/>
      <c r="ARQ14" s="197"/>
      <c r="ARR14" s="197"/>
      <c r="ARS14" s="197"/>
      <c r="ART14" s="197"/>
      <c r="ARU14" s="197"/>
      <c r="ARV14" s="197"/>
      <c r="ARW14" s="197"/>
      <c r="ARX14" s="197"/>
      <c r="ARY14" s="197"/>
      <c r="ARZ14" s="197"/>
      <c r="ASA14" s="197"/>
      <c r="ASB14" s="197"/>
      <c r="ASC14" s="197"/>
      <c r="ASD14" s="197"/>
      <c r="ASE14" s="197"/>
      <c r="ASF14" s="197"/>
      <c r="ASG14" s="197"/>
      <c r="ASH14" s="197"/>
      <c r="ASI14" s="197"/>
      <c r="ASJ14" s="197"/>
      <c r="ASK14" s="197"/>
      <c r="ASL14" s="197"/>
      <c r="ASM14" s="197"/>
      <c r="ASN14" s="197"/>
      <c r="ASO14" s="197"/>
      <c r="ASP14" s="197"/>
      <c r="ASQ14" s="197"/>
      <c r="ASR14" s="197"/>
      <c r="ASS14" s="197"/>
      <c r="AST14" s="197"/>
      <c r="ASU14" s="197"/>
      <c r="ASV14" s="197"/>
      <c r="ASW14" s="197"/>
      <c r="ASX14" s="197"/>
      <c r="ASY14" s="197"/>
      <c r="ASZ14" s="197"/>
      <c r="ATA14" s="197"/>
      <c r="ATB14" s="197"/>
      <c r="ATC14" s="197"/>
      <c r="ATD14" s="197"/>
      <c r="ATE14" s="197"/>
      <c r="ATF14" s="197"/>
      <c r="ATG14" s="197"/>
      <c r="ATH14" s="197"/>
      <c r="ATI14" s="197"/>
      <c r="ATJ14" s="197"/>
      <c r="ATK14" s="197"/>
      <c r="ATL14" s="197"/>
      <c r="ATM14" s="197"/>
      <c r="ATN14" s="197"/>
      <c r="ATO14" s="197"/>
      <c r="ATP14" s="197"/>
      <c r="ATQ14" s="197"/>
      <c r="ATR14" s="197"/>
      <c r="ATS14" s="197"/>
      <c r="ATT14" s="197"/>
      <c r="ATU14" s="197"/>
      <c r="ATV14" s="197"/>
      <c r="ATW14" s="197"/>
      <c r="ATX14" s="197"/>
      <c r="ATY14" s="197"/>
      <c r="ATZ14" s="197"/>
      <c r="AUA14" s="197"/>
      <c r="AUB14" s="197"/>
      <c r="AUC14" s="197"/>
      <c r="AUD14" s="197"/>
      <c r="AUE14" s="197"/>
      <c r="AUF14" s="197"/>
      <c r="AUG14" s="197"/>
      <c r="AUH14" s="197"/>
      <c r="AUI14" s="197"/>
      <c r="AUJ14" s="197"/>
      <c r="AUK14" s="197"/>
      <c r="AUL14" s="197"/>
      <c r="AUM14" s="197"/>
      <c r="AUN14" s="197"/>
      <c r="AUO14" s="197"/>
      <c r="AUP14" s="197"/>
      <c r="AUQ14" s="197"/>
      <c r="AUR14" s="197"/>
      <c r="AUS14" s="197"/>
      <c r="AUT14" s="197"/>
      <c r="AUU14" s="197"/>
      <c r="AUV14" s="197"/>
      <c r="AUW14" s="197"/>
      <c r="AUX14" s="197"/>
      <c r="AUY14" s="197"/>
      <c r="AUZ14" s="197"/>
      <c r="AVA14" s="197"/>
      <c r="AVB14" s="197"/>
      <c r="AVC14" s="197"/>
      <c r="AVD14" s="197"/>
      <c r="AVE14" s="197"/>
      <c r="AVF14" s="197"/>
      <c r="AVG14" s="197"/>
      <c r="AVH14" s="197"/>
      <c r="AVI14" s="197"/>
      <c r="AVJ14" s="197"/>
      <c r="AVK14" s="197"/>
      <c r="AVL14" s="197"/>
      <c r="AVM14" s="197"/>
      <c r="AVN14" s="197"/>
      <c r="AVO14" s="197"/>
      <c r="AVP14" s="197"/>
      <c r="AVQ14" s="197"/>
      <c r="AVR14" s="197"/>
      <c r="AVS14" s="197"/>
      <c r="AVT14" s="197"/>
      <c r="AVU14" s="197"/>
      <c r="AVV14" s="197"/>
      <c r="AVW14" s="197"/>
      <c r="AVX14" s="197"/>
      <c r="AVY14" s="197"/>
      <c r="AVZ14" s="197"/>
      <c r="AWA14" s="197"/>
      <c r="AWB14" s="197"/>
      <c r="AWC14" s="197"/>
      <c r="AWD14" s="197"/>
      <c r="AWE14" s="197"/>
      <c r="AWF14" s="197"/>
      <c r="AWG14" s="197"/>
      <c r="AWH14" s="197"/>
      <c r="AWI14" s="197"/>
      <c r="AWJ14" s="197"/>
      <c r="AWK14" s="197"/>
      <c r="AWL14" s="197"/>
      <c r="AWM14" s="197"/>
      <c r="AWN14" s="197"/>
      <c r="AWO14" s="197"/>
      <c r="AWP14" s="197"/>
      <c r="AWQ14" s="197"/>
      <c r="AWR14" s="197"/>
      <c r="AWS14" s="197"/>
      <c r="AWT14" s="197"/>
      <c r="AWU14" s="197"/>
      <c r="AWV14" s="197"/>
      <c r="AWW14" s="197"/>
      <c r="AWX14" s="197"/>
      <c r="AWY14" s="197"/>
      <c r="AWZ14" s="197"/>
      <c r="AXA14" s="197"/>
      <c r="AXB14" s="197"/>
      <c r="AXC14" s="197"/>
      <c r="AXD14" s="197"/>
      <c r="AXE14" s="197"/>
      <c r="AXF14" s="197"/>
      <c r="AXG14" s="197"/>
      <c r="AXH14" s="197"/>
      <c r="AXI14" s="197"/>
      <c r="AXJ14" s="197"/>
      <c r="AXK14" s="197"/>
      <c r="AXL14" s="197"/>
      <c r="AXM14" s="197"/>
      <c r="AXN14" s="197"/>
      <c r="AXO14" s="197"/>
      <c r="AXP14" s="197"/>
      <c r="AXQ14" s="197"/>
      <c r="AXR14" s="197"/>
      <c r="AXS14" s="197"/>
      <c r="AXT14" s="197"/>
      <c r="AXU14" s="197"/>
      <c r="AXV14" s="197"/>
      <c r="AXW14" s="197"/>
      <c r="AXX14" s="197"/>
      <c r="AXY14" s="197"/>
      <c r="AXZ14" s="197"/>
      <c r="AYA14" s="197"/>
      <c r="AYB14" s="197"/>
      <c r="AYC14" s="197"/>
      <c r="AYD14" s="197"/>
      <c r="AYE14" s="197"/>
      <c r="AYF14" s="197"/>
      <c r="AYG14" s="197"/>
      <c r="AYH14" s="197"/>
      <c r="AYI14" s="197"/>
      <c r="AYJ14" s="197"/>
      <c r="AYK14" s="197"/>
      <c r="AYL14" s="197"/>
      <c r="AYM14" s="197"/>
      <c r="AYN14" s="197"/>
      <c r="AYO14" s="197"/>
      <c r="AYP14" s="197"/>
      <c r="AYQ14" s="197"/>
      <c r="AYR14" s="197"/>
      <c r="AYS14" s="197"/>
      <c r="AYT14" s="197"/>
      <c r="AYU14" s="197"/>
      <c r="AYV14" s="197"/>
      <c r="AYW14" s="197"/>
      <c r="AYX14" s="197"/>
      <c r="AYY14" s="197"/>
      <c r="AYZ14" s="197"/>
      <c r="AZA14" s="197"/>
      <c r="AZB14" s="197"/>
      <c r="AZC14" s="197"/>
      <c r="AZD14" s="197"/>
      <c r="AZE14" s="197"/>
      <c r="AZF14" s="197"/>
      <c r="AZG14" s="197"/>
      <c r="AZH14" s="197"/>
      <c r="AZI14" s="197"/>
      <c r="AZJ14" s="197"/>
      <c r="AZK14" s="197"/>
      <c r="AZL14" s="197"/>
      <c r="AZM14" s="197"/>
      <c r="AZN14" s="197"/>
      <c r="AZO14" s="197"/>
      <c r="AZP14" s="197"/>
      <c r="AZQ14" s="197"/>
      <c r="AZR14" s="197"/>
      <c r="AZS14" s="197"/>
      <c r="AZT14" s="197"/>
      <c r="AZU14" s="197"/>
      <c r="AZV14" s="197"/>
      <c r="AZW14" s="197"/>
      <c r="AZX14" s="197"/>
      <c r="AZY14" s="197"/>
      <c r="AZZ14" s="197"/>
      <c r="BAA14" s="197"/>
      <c r="BAB14" s="197"/>
      <c r="BAC14" s="197"/>
      <c r="BAD14" s="197"/>
      <c r="BAE14" s="197"/>
      <c r="BAF14" s="197"/>
      <c r="BAG14" s="197"/>
      <c r="BAH14" s="197"/>
      <c r="BAI14" s="197"/>
      <c r="BAJ14" s="197"/>
      <c r="BAK14" s="197"/>
      <c r="BAL14" s="197"/>
      <c r="BAM14" s="197"/>
      <c r="BAN14" s="197"/>
      <c r="BAO14" s="197"/>
      <c r="BAP14" s="197"/>
      <c r="BAQ14" s="197"/>
      <c r="BAR14" s="197"/>
      <c r="BAS14" s="197"/>
      <c r="BAT14" s="197"/>
      <c r="BAU14" s="197"/>
      <c r="BAV14" s="197"/>
      <c r="BAW14" s="197"/>
      <c r="BAX14" s="197"/>
      <c r="BAY14" s="197"/>
      <c r="BAZ14" s="197"/>
      <c r="BBA14" s="197"/>
      <c r="BBB14" s="197"/>
      <c r="BBC14" s="197"/>
      <c r="BBD14" s="197"/>
      <c r="BBE14" s="197"/>
      <c r="BBF14" s="197"/>
      <c r="BBG14" s="197"/>
      <c r="BBH14" s="197"/>
      <c r="BBI14" s="197"/>
      <c r="BBJ14" s="197"/>
      <c r="BBK14" s="197"/>
      <c r="BBL14" s="197"/>
      <c r="BBM14" s="197"/>
      <c r="BBN14" s="197"/>
      <c r="BBO14" s="197"/>
      <c r="BBP14" s="197"/>
      <c r="BBQ14" s="197"/>
      <c r="BBR14" s="197"/>
      <c r="BBS14" s="197"/>
      <c r="BBT14" s="197"/>
      <c r="BBU14" s="197"/>
      <c r="BBV14" s="197"/>
      <c r="BBW14" s="197"/>
      <c r="BBX14" s="197"/>
      <c r="BBY14" s="197"/>
      <c r="BBZ14" s="197"/>
      <c r="BCA14" s="197"/>
      <c r="BCB14" s="197"/>
      <c r="BCC14" s="197"/>
      <c r="BCD14" s="197"/>
      <c r="BCE14" s="197"/>
      <c r="BCF14" s="197"/>
      <c r="BCG14" s="197"/>
      <c r="BCH14" s="197"/>
      <c r="BCI14" s="197"/>
      <c r="BCJ14" s="197"/>
      <c r="BCK14" s="197"/>
      <c r="BCL14" s="197"/>
      <c r="BCM14" s="197"/>
      <c r="BCN14" s="197"/>
      <c r="BCO14" s="197"/>
      <c r="BCP14" s="197"/>
      <c r="BCQ14" s="197"/>
      <c r="BCR14" s="197"/>
      <c r="BCS14" s="197"/>
      <c r="BCT14" s="197"/>
      <c r="BCU14" s="197"/>
      <c r="BCV14" s="197"/>
      <c r="BCW14" s="197"/>
      <c r="BCX14" s="197"/>
      <c r="BCY14" s="197"/>
      <c r="BCZ14" s="197"/>
      <c r="BDA14" s="197"/>
      <c r="BDB14" s="197"/>
      <c r="BDC14" s="197"/>
      <c r="BDD14" s="197"/>
      <c r="BDE14" s="197"/>
      <c r="BDF14" s="197"/>
      <c r="BDG14" s="197"/>
      <c r="BDH14" s="197"/>
      <c r="BDI14" s="197"/>
      <c r="BDJ14" s="197"/>
      <c r="BDK14" s="197"/>
      <c r="BDL14" s="197"/>
      <c r="BDM14" s="197"/>
      <c r="BDN14" s="197"/>
      <c r="BDO14" s="197"/>
      <c r="BDP14" s="197"/>
      <c r="BDQ14" s="197"/>
      <c r="BDR14" s="197"/>
      <c r="BDS14" s="197"/>
      <c r="BDT14" s="197"/>
      <c r="BDU14" s="197"/>
      <c r="BDV14" s="197"/>
      <c r="BDW14" s="197"/>
      <c r="BDX14" s="197"/>
      <c r="BDY14" s="197"/>
      <c r="BDZ14" s="197"/>
      <c r="BEA14" s="197"/>
      <c r="BEB14" s="197"/>
      <c r="BEC14" s="197"/>
      <c r="BED14" s="197"/>
      <c r="BEE14" s="197"/>
      <c r="BEF14" s="197"/>
      <c r="BEG14" s="197"/>
      <c r="BEH14" s="197"/>
      <c r="BEI14" s="197"/>
      <c r="BEJ14" s="197"/>
      <c r="BEK14" s="197"/>
      <c r="BEL14" s="197"/>
      <c r="BEM14" s="197"/>
      <c r="BEN14" s="197"/>
      <c r="BEO14" s="197"/>
      <c r="BEP14" s="197"/>
      <c r="BEQ14" s="197"/>
      <c r="BER14" s="197"/>
      <c r="BES14" s="197"/>
      <c r="BET14" s="197"/>
      <c r="BEU14" s="197"/>
      <c r="BEV14" s="197"/>
      <c r="BEW14" s="197"/>
      <c r="BEX14" s="197"/>
      <c r="BEY14" s="197"/>
      <c r="BEZ14" s="197"/>
      <c r="BFA14" s="197"/>
      <c r="BFB14" s="197"/>
      <c r="BFC14" s="197"/>
      <c r="BFD14" s="197"/>
      <c r="BFE14" s="197"/>
      <c r="BFF14" s="197"/>
      <c r="BFG14" s="197"/>
      <c r="BFH14" s="197"/>
      <c r="BFI14" s="197"/>
      <c r="BFJ14" s="197"/>
      <c r="BFK14" s="197"/>
      <c r="BFL14" s="197"/>
      <c r="BFM14" s="197"/>
      <c r="BFN14" s="197"/>
      <c r="BFO14" s="197"/>
      <c r="BFP14" s="197"/>
      <c r="BFQ14" s="197"/>
      <c r="BFR14" s="197"/>
      <c r="BFS14" s="197"/>
      <c r="BFT14" s="197"/>
      <c r="BFU14" s="197"/>
      <c r="BFV14" s="197"/>
      <c r="BFW14" s="197"/>
      <c r="BFX14" s="197"/>
      <c r="BFY14" s="197"/>
      <c r="BFZ14" s="197"/>
      <c r="BGA14" s="197"/>
      <c r="BGB14" s="197"/>
      <c r="BGC14" s="197"/>
      <c r="BGD14" s="197"/>
      <c r="BGE14" s="197"/>
      <c r="BGF14" s="197"/>
      <c r="BGG14" s="197"/>
      <c r="BGH14" s="197"/>
      <c r="BGI14" s="197"/>
      <c r="BGJ14" s="197"/>
      <c r="BGK14" s="197"/>
      <c r="BGL14" s="197"/>
      <c r="BGM14" s="197"/>
      <c r="BGN14" s="197"/>
      <c r="BGO14" s="197"/>
      <c r="BGP14" s="197"/>
      <c r="BGQ14" s="197"/>
      <c r="BGR14" s="197"/>
      <c r="BGS14" s="197"/>
      <c r="BGT14" s="197"/>
      <c r="BGU14" s="197"/>
      <c r="BGV14" s="197"/>
      <c r="BGW14" s="197"/>
      <c r="BGX14" s="197"/>
      <c r="BGY14" s="197"/>
      <c r="BGZ14" s="197"/>
      <c r="BHA14" s="197"/>
      <c r="BHB14" s="197"/>
      <c r="BHC14" s="197"/>
      <c r="BHD14" s="197"/>
      <c r="BHE14" s="197"/>
      <c r="BHF14" s="197"/>
      <c r="BHG14" s="197"/>
      <c r="BHH14" s="197"/>
      <c r="BHI14" s="197"/>
      <c r="BHJ14" s="197"/>
      <c r="BHK14" s="197"/>
      <c r="BHL14" s="197"/>
      <c r="BHM14" s="197"/>
      <c r="BHN14" s="197"/>
      <c r="BHO14" s="197"/>
      <c r="BHP14" s="197"/>
      <c r="BHQ14" s="197"/>
      <c r="BHR14" s="197"/>
      <c r="BHS14" s="197"/>
      <c r="BHT14" s="197"/>
      <c r="BHU14" s="197"/>
      <c r="BHV14" s="197"/>
      <c r="BHW14" s="197"/>
      <c r="BHX14" s="197"/>
      <c r="BHY14" s="197"/>
      <c r="BHZ14" s="197"/>
      <c r="BIA14" s="197"/>
      <c r="BIB14" s="197"/>
      <c r="BIC14" s="197"/>
      <c r="BID14" s="197"/>
      <c r="BIE14" s="197"/>
      <c r="BIF14" s="197"/>
      <c r="BIG14" s="197"/>
      <c r="BIH14" s="197"/>
      <c r="BII14" s="197"/>
      <c r="BIJ14" s="197"/>
      <c r="BIK14" s="197"/>
      <c r="BIL14" s="197"/>
      <c r="BIM14" s="197"/>
      <c r="BIN14" s="197"/>
      <c r="BIO14" s="197"/>
      <c r="BIP14" s="197"/>
      <c r="BIQ14" s="197"/>
      <c r="BIR14" s="197"/>
      <c r="BIS14" s="197"/>
      <c r="BIT14" s="197"/>
      <c r="BIU14" s="197"/>
      <c r="BIV14" s="197"/>
      <c r="BIW14" s="197"/>
      <c r="BIX14" s="197"/>
      <c r="BIY14" s="197"/>
      <c r="BIZ14" s="197"/>
      <c r="BJA14" s="197"/>
      <c r="BJB14" s="197"/>
      <c r="BJC14" s="197"/>
      <c r="BJD14" s="197"/>
      <c r="BJE14" s="197"/>
      <c r="BJF14" s="197"/>
      <c r="BJG14" s="197"/>
      <c r="BJH14" s="197"/>
      <c r="BJI14" s="197"/>
      <c r="BJJ14" s="197"/>
      <c r="BJK14" s="197"/>
      <c r="BJL14" s="197"/>
      <c r="BJM14" s="197"/>
      <c r="BJN14" s="197"/>
      <c r="BJO14" s="197"/>
      <c r="BJP14" s="197"/>
      <c r="BJQ14" s="197"/>
      <c r="BJR14" s="197"/>
      <c r="BJS14" s="197"/>
      <c r="BJT14" s="197"/>
      <c r="BJU14" s="197"/>
      <c r="BJV14" s="197"/>
      <c r="BJW14" s="197"/>
      <c r="BJX14" s="197"/>
      <c r="BJY14" s="197"/>
      <c r="BJZ14" s="197"/>
      <c r="BKA14" s="197"/>
      <c r="BKB14" s="197"/>
      <c r="BKC14" s="197"/>
      <c r="BKD14" s="197"/>
      <c r="BKE14" s="197"/>
      <c r="BKF14" s="197"/>
      <c r="BKG14" s="197"/>
      <c r="BKH14" s="197"/>
      <c r="BKI14" s="197"/>
      <c r="BKJ14" s="197"/>
      <c r="BKK14" s="197"/>
      <c r="BKL14" s="197"/>
      <c r="BKM14" s="197"/>
      <c r="BKN14" s="197"/>
      <c r="BKO14" s="197"/>
      <c r="BKP14" s="197"/>
      <c r="BKQ14" s="197"/>
      <c r="BKR14" s="197"/>
      <c r="BKS14" s="197"/>
      <c r="BKT14" s="197"/>
      <c r="BKU14" s="197"/>
      <c r="BKV14" s="197"/>
      <c r="BKW14" s="197"/>
      <c r="BKX14" s="197"/>
      <c r="BKY14" s="197"/>
      <c r="BKZ14" s="197"/>
      <c r="BLA14" s="197"/>
      <c r="BLB14" s="197"/>
      <c r="BLC14" s="197"/>
      <c r="BLD14" s="197"/>
      <c r="BLE14" s="197"/>
      <c r="BLF14" s="197"/>
      <c r="BLG14" s="197"/>
      <c r="BLH14" s="197"/>
      <c r="BLI14" s="197"/>
      <c r="BLJ14" s="197"/>
      <c r="BLK14" s="197"/>
      <c r="BLL14" s="197"/>
      <c r="BLM14" s="197"/>
      <c r="BLN14" s="197"/>
      <c r="BLO14" s="197"/>
      <c r="BLP14" s="197"/>
      <c r="BLQ14" s="197"/>
      <c r="BLR14" s="197"/>
      <c r="BLS14" s="197"/>
      <c r="BLT14" s="197"/>
      <c r="BLU14" s="197"/>
      <c r="BLV14" s="197"/>
      <c r="BLW14" s="197"/>
      <c r="BLX14" s="197"/>
      <c r="BLY14" s="197"/>
      <c r="BLZ14" s="197"/>
      <c r="BMA14" s="197"/>
      <c r="BMB14" s="197"/>
      <c r="BMC14" s="197"/>
      <c r="BMD14" s="197"/>
      <c r="BME14" s="197"/>
      <c r="BMF14" s="197"/>
      <c r="BMG14" s="197"/>
      <c r="BMH14" s="197"/>
      <c r="BMI14" s="197"/>
      <c r="BMJ14" s="197"/>
      <c r="BMK14" s="197"/>
      <c r="BML14" s="197"/>
      <c r="BMM14" s="197"/>
      <c r="BMN14" s="197"/>
      <c r="BMO14" s="197"/>
      <c r="BMP14" s="197"/>
      <c r="BMQ14" s="197"/>
      <c r="BMR14" s="197"/>
      <c r="BMS14" s="197"/>
      <c r="BMT14" s="197"/>
      <c r="BMU14" s="197"/>
      <c r="BMV14" s="197"/>
      <c r="BMW14" s="197"/>
      <c r="BMX14" s="197"/>
      <c r="BMY14" s="197"/>
      <c r="BMZ14" s="197"/>
      <c r="BNA14" s="197"/>
      <c r="BNB14" s="197"/>
      <c r="BNC14" s="197"/>
      <c r="BND14" s="197"/>
      <c r="BNE14" s="197"/>
      <c r="BNF14" s="197"/>
      <c r="BNG14" s="197"/>
      <c r="BNH14" s="197"/>
      <c r="BNI14" s="197"/>
      <c r="BNJ14" s="197"/>
      <c r="BNK14" s="197"/>
      <c r="BNL14" s="197"/>
      <c r="BNM14" s="197"/>
      <c r="BNN14" s="197"/>
      <c r="BNO14" s="197"/>
      <c r="BNP14" s="197"/>
      <c r="BNQ14" s="197"/>
      <c r="BNR14" s="197"/>
      <c r="BNS14" s="197"/>
      <c r="BNT14" s="197"/>
      <c r="BNU14" s="197"/>
      <c r="BNV14" s="197"/>
      <c r="BNW14" s="197"/>
      <c r="BNX14" s="197"/>
      <c r="BNY14" s="197"/>
      <c r="BNZ14" s="197"/>
      <c r="BOA14" s="197"/>
      <c r="BOB14" s="197"/>
      <c r="BOC14" s="197"/>
      <c r="BOD14" s="197"/>
      <c r="BOE14" s="197"/>
      <c r="BOF14" s="197"/>
      <c r="BOG14" s="197"/>
      <c r="BOH14" s="197"/>
      <c r="BOI14" s="197"/>
      <c r="BOJ14" s="197"/>
      <c r="BOK14" s="197"/>
      <c r="BOL14" s="197"/>
      <c r="BOM14" s="197"/>
      <c r="BON14" s="197"/>
      <c r="BOO14" s="197"/>
      <c r="BOP14" s="197"/>
      <c r="BOQ14" s="197"/>
      <c r="BOR14" s="197"/>
      <c r="BOS14" s="197"/>
      <c r="BOT14" s="197"/>
      <c r="BOU14" s="197"/>
      <c r="BOV14" s="197"/>
      <c r="BOW14" s="197"/>
      <c r="BOX14" s="197"/>
      <c r="BOY14" s="197"/>
      <c r="BOZ14" s="197"/>
      <c r="BPA14" s="197"/>
      <c r="BPB14" s="197"/>
      <c r="BPC14" s="197"/>
      <c r="BPD14" s="197"/>
      <c r="BPE14" s="197"/>
      <c r="BPF14" s="197"/>
      <c r="BPG14" s="197"/>
      <c r="BPH14" s="197"/>
      <c r="BPI14" s="197"/>
      <c r="BPJ14" s="197"/>
      <c r="BPK14" s="197"/>
      <c r="BPL14" s="197"/>
      <c r="BPM14" s="197"/>
      <c r="BPN14" s="197"/>
      <c r="BPO14" s="197"/>
      <c r="BPP14" s="197"/>
      <c r="BPQ14" s="197"/>
      <c r="BPR14" s="197"/>
      <c r="BPS14" s="197"/>
      <c r="BPT14" s="197"/>
      <c r="BPU14" s="197"/>
      <c r="BPV14" s="197"/>
      <c r="BPW14" s="197"/>
      <c r="BPX14" s="197"/>
      <c r="BPY14" s="197"/>
      <c r="BPZ14" s="197"/>
      <c r="BQA14" s="197"/>
      <c r="BQB14" s="197"/>
      <c r="BQC14" s="197"/>
      <c r="BQD14" s="197"/>
      <c r="BQE14" s="197"/>
      <c r="BQF14" s="197"/>
      <c r="BQG14" s="197"/>
      <c r="BQH14" s="197"/>
      <c r="BQI14" s="197"/>
      <c r="BQJ14" s="197"/>
      <c r="BQK14" s="197"/>
      <c r="BQL14" s="197"/>
      <c r="BQM14" s="197"/>
      <c r="BQN14" s="197"/>
      <c r="BQO14" s="197"/>
      <c r="BQP14" s="197"/>
      <c r="BQQ14" s="197"/>
      <c r="BQR14" s="197"/>
      <c r="BQS14" s="197"/>
      <c r="BQT14" s="197"/>
      <c r="BQU14" s="197"/>
      <c r="BQV14" s="197"/>
      <c r="BQW14" s="197"/>
      <c r="BQX14" s="197"/>
      <c r="BQY14" s="197"/>
      <c r="BQZ14" s="197"/>
      <c r="BRA14" s="197"/>
      <c r="BRB14" s="197"/>
      <c r="BRC14" s="197"/>
      <c r="BRD14" s="197"/>
      <c r="BRE14" s="197"/>
      <c r="BRF14" s="197"/>
      <c r="BRG14" s="197"/>
      <c r="BRH14" s="197"/>
      <c r="BRI14" s="197"/>
      <c r="BRJ14" s="197"/>
      <c r="BRK14" s="197"/>
      <c r="BRL14" s="197"/>
      <c r="BRM14" s="197"/>
      <c r="BRN14" s="197"/>
      <c r="BRO14" s="197"/>
      <c r="BRP14" s="197"/>
      <c r="BRQ14" s="197"/>
      <c r="BRR14" s="197"/>
      <c r="BRS14" s="197"/>
      <c r="BRT14" s="197"/>
      <c r="BRU14" s="197"/>
      <c r="BRV14" s="197"/>
      <c r="BRW14" s="197"/>
      <c r="BRX14" s="197"/>
      <c r="BRY14" s="197"/>
      <c r="BRZ14" s="197"/>
      <c r="BSA14" s="197"/>
      <c r="BSB14" s="197"/>
      <c r="BSC14" s="197"/>
      <c r="BSD14" s="197"/>
      <c r="BSE14" s="197"/>
      <c r="BSF14" s="197"/>
      <c r="BSG14" s="197"/>
      <c r="BSH14" s="197"/>
      <c r="BSI14" s="197"/>
      <c r="BSJ14" s="197"/>
      <c r="BSK14" s="197"/>
      <c r="BSL14" s="197"/>
      <c r="BSM14" s="197"/>
      <c r="BSN14" s="197"/>
      <c r="BSO14" s="197"/>
      <c r="BSP14" s="197"/>
      <c r="BSQ14" s="197"/>
      <c r="BSR14" s="197"/>
      <c r="BSS14" s="197"/>
      <c r="BST14" s="197"/>
      <c r="BSU14" s="197"/>
      <c r="BSV14" s="197"/>
      <c r="BSW14" s="197"/>
      <c r="BSX14" s="197"/>
      <c r="BSY14" s="197"/>
      <c r="BSZ14" s="197"/>
      <c r="BTA14" s="197"/>
      <c r="BTB14" s="197"/>
      <c r="BTC14" s="197"/>
      <c r="BTD14" s="197"/>
      <c r="BTE14" s="197"/>
      <c r="BTF14" s="197"/>
      <c r="BTG14" s="197"/>
      <c r="BTH14" s="197"/>
      <c r="BTI14" s="197"/>
      <c r="BTJ14" s="197"/>
      <c r="BTK14" s="197"/>
      <c r="BTL14" s="197"/>
      <c r="BTM14" s="197"/>
      <c r="BTN14" s="197"/>
      <c r="BTO14" s="197"/>
      <c r="BTP14" s="197"/>
      <c r="BTQ14" s="197"/>
      <c r="BTR14" s="197"/>
      <c r="BTS14" s="197"/>
      <c r="BTT14" s="197"/>
      <c r="BTU14" s="197"/>
      <c r="BTV14" s="197"/>
      <c r="BTW14" s="197"/>
      <c r="BTX14" s="197"/>
      <c r="BTY14" s="197"/>
      <c r="BTZ14" s="197"/>
      <c r="BUA14" s="197"/>
      <c r="BUB14" s="197"/>
      <c r="BUC14" s="197"/>
      <c r="BUD14" s="197"/>
      <c r="BUE14" s="197"/>
      <c r="BUF14" s="197"/>
      <c r="BUG14" s="197"/>
      <c r="BUH14" s="197"/>
      <c r="BUI14" s="197"/>
      <c r="BUJ14" s="197"/>
      <c r="BUK14" s="197"/>
      <c r="BUL14" s="197"/>
      <c r="BUM14" s="197"/>
      <c r="BUN14" s="197"/>
      <c r="BUO14" s="197"/>
      <c r="BUP14" s="197"/>
      <c r="BUQ14" s="197"/>
      <c r="BUR14" s="197"/>
      <c r="BUS14" s="197"/>
      <c r="BUT14" s="197"/>
      <c r="BUU14" s="197"/>
      <c r="BUV14" s="197"/>
      <c r="BUW14" s="197"/>
      <c r="BUX14" s="197"/>
      <c r="BUY14" s="197"/>
      <c r="BUZ14" s="197"/>
      <c r="BVA14" s="197"/>
      <c r="BVB14" s="197"/>
      <c r="BVC14" s="197"/>
      <c r="BVD14" s="197"/>
      <c r="BVE14" s="197"/>
      <c r="BVF14" s="197"/>
      <c r="BVG14" s="197"/>
      <c r="BVH14" s="197"/>
      <c r="BVI14" s="197"/>
      <c r="BVJ14" s="197"/>
      <c r="BVK14" s="197"/>
      <c r="BVL14" s="197"/>
      <c r="BVM14" s="197"/>
      <c r="BVN14" s="197"/>
      <c r="BVO14" s="197"/>
      <c r="BVP14" s="197"/>
      <c r="BVQ14" s="197"/>
      <c r="BVR14" s="197"/>
      <c r="BVS14" s="197"/>
      <c r="BVT14" s="197"/>
      <c r="BVU14" s="197"/>
      <c r="BVV14" s="197"/>
      <c r="BVW14" s="197"/>
      <c r="BVX14" s="197"/>
      <c r="BVY14" s="197"/>
      <c r="BVZ14" s="197"/>
      <c r="BWA14" s="197"/>
      <c r="BWB14" s="197"/>
      <c r="BWC14" s="197"/>
      <c r="BWD14" s="197"/>
      <c r="BWE14" s="197"/>
      <c r="BWF14" s="197"/>
      <c r="BWG14" s="197"/>
      <c r="BWH14" s="197"/>
      <c r="BWI14" s="197"/>
      <c r="BWJ14" s="197"/>
      <c r="BWK14" s="197"/>
      <c r="BWL14" s="197"/>
      <c r="BWM14" s="197"/>
      <c r="BWN14" s="197"/>
      <c r="BWO14" s="197"/>
      <c r="BWP14" s="197"/>
      <c r="BWQ14" s="197"/>
      <c r="BWR14" s="197"/>
      <c r="BWS14" s="197"/>
      <c r="BWT14" s="197"/>
      <c r="BWU14" s="197"/>
      <c r="BWV14" s="197"/>
      <c r="BWW14" s="197"/>
      <c r="BWX14" s="197"/>
      <c r="BWY14" s="197"/>
      <c r="BWZ14" s="197"/>
      <c r="BXA14" s="197"/>
      <c r="BXB14" s="197"/>
      <c r="BXC14" s="197"/>
      <c r="BXD14" s="197"/>
      <c r="BXE14" s="197"/>
      <c r="BXF14" s="197"/>
      <c r="BXG14" s="197"/>
      <c r="BXH14" s="197"/>
      <c r="BXI14" s="197"/>
      <c r="BXJ14" s="197"/>
      <c r="BXK14" s="197"/>
      <c r="BXL14" s="197"/>
      <c r="BXM14" s="197"/>
      <c r="BXN14" s="197"/>
      <c r="BXO14" s="197"/>
      <c r="BXP14" s="197"/>
      <c r="BXQ14" s="197"/>
      <c r="BXR14" s="197"/>
      <c r="BXS14" s="197"/>
      <c r="BXT14" s="197"/>
      <c r="BXU14" s="197"/>
      <c r="BXV14" s="197"/>
      <c r="BXW14" s="197"/>
      <c r="BXX14" s="197"/>
      <c r="BXY14" s="197"/>
      <c r="BXZ14" s="197"/>
      <c r="BYA14" s="197"/>
      <c r="BYB14" s="197"/>
      <c r="BYC14" s="197"/>
      <c r="BYD14" s="197"/>
      <c r="BYE14" s="197"/>
      <c r="BYF14" s="197"/>
      <c r="BYG14" s="197"/>
    </row>
    <row r="15" spans="1:2009" s="100" customFormat="1" ht="12.75" customHeight="1" thickBot="1" x14ac:dyDescent="0.3">
      <c r="A15" s="97"/>
      <c r="B15" s="97"/>
      <c r="C15" s="169"/>
      <c r="D15" s="169"/>
      <c r="E15" s="169"/>
      <c r="F15" s="169"/>
      <c r="G15" s="643"/>
      <c r="H15" s="98"/>
      <c r="I15" s="751"/>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71</v>
      </c>
      <c r="B16" s="134"/>
      <c r="C16" s="171"/>
      <c r="D16" s="171"/>
      <c r="E16" s="172"/>
      <c r="F16" s="172"/>
      <c r="G16" s="644"/>
      <c r="H16" s="93"/>
      <c r="I16" s="552"/>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202</v>
      </c>
      <c r="C17" s="173"/>
      <c r="D17" s="173"/>
      <c r="E17" s="174"/>
      <c r="F17" s="174"/>
      <c r="G17" s="645">
        <f t="shared" ref="G17:G20" si="0">ROUND(SUM(C17:F17),5)</f>
        <v>0</v>
      </c>
      <c r="H17" s="93"/>
      <c r="I17" s="552"/>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271</v>
      </c>
      <c r="C18" s="173"/>
      <c r="D18" s="173"/>
      <c r="E18" s="174"/>
      <c r="F18" s="174"/>
      <c r="G18" s="645">
        <f t="shared" si="0"/>
        <v>0</v>
      </c>
      <c r="H18" s="93"/>
      <c r="I18" s="552"/>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314</v>
      </c>
      <c r="C19" s="173"/>
      <c r="D19" s="173"/>
      <c r="E19" s="174"/>
      <c r="F19" s="174"/>
      <c r="G19" s="645"/>
      <c r="H19" s="93"/>
      <c r="I19" s="552"/>
      <c r="J19" s="93"/>
      <c r="K19" s="592"/>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272</v>
      </c>
      <c r="C20" s="173"/>
      <c r="D20" s="173"/>
      <c r="E20" s="174"/>
      <c r="F20" s="174"/>
      <c r="G20" s="645">
        <f t="shared" si="0"/>
        <v>0</v>
      </c>
      <c r="H20" s="93"/>
      <c r="I20" s="552"/>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315</v>
      </c>
      <c r="C21" s="173"/>
      <c r="D21" s="173"/>
      <c r="E21" s="174"/>
      <c r="F21" s="174"/>
      <c r="G21" s="645"/>
      <c r="H21" s="93"/>
      <c r="I21" s="552"/>
      <c r="J21" s="93"/>
      <c r="K21" s="592"/>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319</v>
      </c>
      <c r="C22" s="173"/>
      <c r="D22" s="173"/>
      <c r="E22" s="174"/>
      <c r="F22" s="174"/>
      <c r="G22" s="645"/>
      <c r="H22" s="98"/>
      <c r="I22" s="751"/>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8" customFormat="1" ht="24.95" hidden="1" customHeight="1" thickBot="1" x14ac:dyDescent="0.3">
      <c r="A23" s="203"/>
      <c r="B23" s="204" t="s">
        <v>72</v>
      </c>
      <c r="C23" s="205"/>
      <c r="D23" s="205"/>
      <c r="E23" s="205"/>
      <c r="F23" s="205"/>
      <c r="G23" s="646"/>
      <c r="H23" s="206"/>
      <c r="I23" s="751"/>
      <c r="J23" s="206"/>
      <c r="K23" s="419"/>
      <c r="L23"/>
      <c r="M23"/>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c r="MS23" s="207"/>
      <c r="MT23" s="207"/>
      <c r="MU23" s="207"/>
      <c r="MV23" s="207"/>
      <c r="MW23" s="207"/>
      <c r="MX23" s="207"/>
      <c r="MY23" s="207"/>
      <c r="MZ23" s="207"/>
      <c r="NA23" s="207"/>
      <c r="NB23" s="207"/>
      <c r="NC23" s="207"/>
      <c r="ND23" s="207"/>
      <c r="NE23" s="207"/>
      <c r="NF23" s="207"/>
      <c r="NG23" s="207"/>
      <c r="NH23" s="207"/>
      <c r="NI23" s="207"/>
      <c r="NJ23" s="207"/>
      <c r="NK23" s="207"/>
      <c r="NL23" s="207"/>
      <c r="NM23" s="207"/>
      <c r="NN23" s="207"/>
      <c r="NO23" s="207"/>
      <c r="NP23" s="207"/>
      <c r="NQ23" s="207"/>
      <c r="NR23" s="207"/>
      <c r="NS23" s="207"/>
      <c r="NT23" s="207"/>
      <c r="NU23" s="207"/>
      <c r="NV23" s="207"/>
      <c r="NW23" s="207"/>
      <c r="NX23" s="207"/>
      <c r="NY23" s="207"/>
      <c r="NZ23" s="207"/>
      <c r="OA23" s="207"/>
      <c r="OB23" s="207"/>
      <c r="OC23" s="207"/>
      <c r="OD23" s="207"/>
      <c r="OE23" s="207"/>
      <c r="OF23" s="207"/>
      <c r="OG23" s="207"/>
      <c r="OH23" s="207"/>
      <c r="OI23" s="207"/>
      <c r="OJ23" s="207"/>
      <c r="OK23" s="207"/>
      <c r="OL23" s="207"/>
      <c r="OM23" s="207"/>
      <c r="ON23" s="207"/>
      <c r="OO23" s="207"/>
      <c r="OP23" s="207"/>
      <c r="OQ23" s="207"/>
      <c r="OR23" s="207"/>
      <c r="OS23" s="207"/>
      <c r="OT23" s="207"/>
      <c r="OU23" s="207"/>
      <c r="OV23" s="207"/>
      <c r="OW23" s="207"/>
      <c r="OX23" s="207"/>
      <c r="OY23" s="207"/>
      <c r="OZ23" s="207"/>
      <c r="PA23" s="207"/>
      <c r="PB23" s="207"/>
      <c r="PC23" s="207"/>
      <c r="PD23" s="207"/>
      <c r="PE23" s="207"/>
      <c r="PF23" s="207"/>
      <c r="PG23" s="207"/>
      <c r="PH23" s="207"/>
      <c r="PI23" s="207"/>
      <c r="PJ23" s="207"/>
      <c r="PK23" s="207"/>
      <c r="PL23" s="207"/>
      <c r="PM23" s="207"/>
      <c r="PN23" s="207"/>
      <c r="PO23" s="207"/>
      <c r="PP23" s="207"/>
      <c r="PQ23" s="207"/>
      <c r="PR23" s="207"/>
      <c r="PS23" s="207"/>
      <c r="PT23" s="207"/>
      <c r="PU23" s="207"/>
      <c r="PV23" s="207"/>
      <c r="PW23" s="207"/>
      <c r="PX23" s="207"/>
      <c r="PY23" s="207"/>
      <c r="PZ23" s="207"/>
      <c r="QA23" s="207"/>
      <c r="QB23" s="207"/>
      <c r="QC23" s="207"/>
      <c r="QD23" s="207"/>
      <c r="QE23" s="207"/>
      <c r="QF23" s="207"/>
      <c r="QG23" s="207"/>
      <c r="QH23" s="207"/>
      <c r="QI23" s="207"/>
      <c r="QJ23" s="207"/>
      <c r="QK23" s="207"/>
      <c r="QL23" s="207"/>
      <c r="QM23" s="207"/>
      <c r="QN23" s="207"/>
      <c r="QO23" s="207"/>
      <c r="QP23" s="207"/>
      <c r="QQ23" s="207"/>
      <c r="QR23" s="207"/>
      <c r="QS23" s="207"/>
      <c r="QT23" s="207"/>
      <c r="QU23" s="207"/>
      <c r="QV23" s="207"/>
      <c r="QW23" s="207"/>
      <c r="QX23" s="207"/>
      <c r="QY23" s="207"/>
      <c r="QZ23" s="207"/>
      <c r="RA23" s="207"/>
      <c r="RB23" s="207"/>
      <c r="RC23" s="207"/>
      <c r="RD23" s="207"/>
      <c r="RE23" s="207"/>
      <c r="RF23" s="207"/>
      <c r="RG23" s="207"/>
      <c r="RH23" s="207"/>
      <c r="RI23" s="207"/>
      <c r="RJ23" s="207"/>
      <c r="RK23" s="207"/>
      <c r="RL23" s="207"/>
      <c r="RM23" s="207"/>
      <c r="RN23" s="207"/>
      <c r="RO23" s="207"/>
      <c r="RP23" s="207"/>
      <c r="RQ23" s="207"/>
      <c r="RR23" s="207"/>
      <c r="RS23" s="207"/>
      <c r="RT23" s="207"/>
      <c r="RU23" s="207"/>
      <c r="RV23" s="207"/>
      <c r="RW23" s="207"/>
      <c r="RX23" s="207"/>
      <c r="RY23" s="207"/>
      <c r="RZ23" s="207"/>
      <c r="SA23" s="207"/>
      <c r="SB23" s="207"/>
      <c r="SC23" s="207"/>
      <c r="SD23" s="207"/>
      <c r="SE23" s="207"/>
      <c r="SF23" s="207"/>
      <c r="SG23" s="207"/>
      <c r="SH23" s="207"/>
      <c r="SI23" s="207"/>
      <c r="SJ23" s="207"/>
      <c r="SK23" s="207"/>
      <c r="SL23" s="207"/>
      <c r="SM23" s="207"/>
      <c r="SN23" s="207"/>
      <c r="SO23" s="207"/>
      <c r="SP23" s="207"/>
      <c r="SQ23" s="207"/>
      <c r="SR23" s="207"/>
      <c r="SS23" s="207"/>
      <c r="ST23" s="207"/>
      <c r="SU23" s="207"/>
      <c r="SV23" s="207"/>
      <c r="SW23" s="207"/>
      <c r="SX23" s="207"/>
      <c r="SY23" s="207"/>
      <c r="SZ23" s="207"/>
      <c r="TA23" s="207"/>
      <c r="TB23" s="207"/>
      <c r="TC23" s="207"/>
      <c r="TD23" s="207"/>
      <c r="TE23" s="207"/>
      <c r="TF23" s="207"/>
      <c r="TG23" s="207"/>
      <c r="TH23" s="207"/>
      <c r="TI23" s="207"/>
      <c r="TJ23" s="207"/>
      <c r="TK23" s="207"/>
      <c r="TL23" s="207"/>
      <c r="TM23" s="207"/>
      <c r="TN23" s="207"/>
      <c r="TO23" s="207"/>
      <c r="TP23" s="207"/>
      <c r="TQ23" s="207"/>
      <c r="TR23" s="207"/>
      <c r="TS23" s="207"/>
      <c r="TT23" s="207"/>
      <c r="TU23" s="207"/>
      <c r="TV23" s="207"/>
      <c r="TW23" s="207"/>
      <c r="TX23" s="207"/>
      <c r="TY23" s="207"/>
      <c r="TZ23" s="207"/>
      <c r="UA23" s="207"/>
      <c r="UB23" s="207"/>
      <c r="UC23" s="207"/>
      <c r="UD23" s="207"/>
      <c r="UE23" s="207"/>
      <c r="UF23" s="207"/>
      <c r="UG23" s="207"/>
      <c r="UH23" s="207"/>
      <c r="UI23" s="207"/>
      <c r="UJ23" s="207"/>
      <c r="UK23" s="207"/>
      <c r="UL23" s="207"/>
      <c r="UM23" s="207"/>
      <c r="UN23" s="207"/>
      <c r="UO23" s="207"/>
      <c r="UP23" s="207"/>
      <c r="UQ23" s="207"/>
      <c r="UR23" s="207"/>
      <c r="US23" s="207"/>
      <c r="UT23" s="207"/>
      <c r="UU23" s="207"/>
      <c r="UV23" s="207"/>
      <c r="UW23" s="207"/>
      <c r="UX23" s="207"/>
      <c r="UY23" s="207"/>
      <c r="UZ23" s="207"/>
      <c r="VA23" s="207"/>
      <c r="VB23" s="207"/>
      <c r="VC23" s="207"/>
      <c r="VD23" s="207"/>
      <c r="VE23" s="207"/>
      <c r="VF23" s="207"/>
      <c r="VG23" s="207"/>
      <c r="VH23" s="207"/>
      <c r="VI23" s="207"/>
      <c r="VJ23" s="207"/>
      <c r="VK23" s="207"/>
      <c r="VL23" s="207"/>
      <c r="VM23" s="207"/>
      <c r="VN23" s="207"/>
      <c r="VO23" s="207"/>
      <c r="VP23" s="207"/>
      <c r="VQ23" s="207"/>
      <c r="VR23" s="207"/>
      <c r="VS23" s="207"/>
      <c r="VT23" s="207"/>
      <c r="VU23" s="207"/>
      <c r="VV23" s="207"/>
      <c r="VW23" s="207"/>
      <c r="VX23" s="207"/>
      <c r="VY23" s="207"/>
      <c r="VZ23" s="207"/>
      <c r="WA23" s="207"/>
      <c r="WB23" s="207"/>
      <c r="WC23" s="207"/>
      <c r="WD23" s="207"/>
      <c r="WE23" s="207"/>
      <c r="WF23" s="207"/>
      <c r="WG23" s="207"/>
      <c r="WH23" s="207"/>
      <c r="WI23" s="207"/>
      <c r="WJ23" s="207"/>
      <c r="WK23" s="207"/>
      <c r="WL23" s="207"/>
      <c r="WM23" s="207"/>
      <c r="WN23" s="207"/>
      <c r="WO23" s="207"/>
      <c r="WP23" s="207"/>
      <c r="WQ23" s="207"/>
      <c r="WR23" s="207"/>
      <c r="WS23" s="207"/>
      <c r="WT23" s="207"/>
      <c r="WU23" s="207"/>
      <c r="WV23" s="207"/>
      <c r="WW23" s="207"/>
      <c r="WX23" s="207"/>
      <c r="WY23" s="207"/>
      <c r="WZ23" s="207"/>
      <c r="XA23" s="207"/>
      <c r="XB23" s="207"/>
      <c r="XC23" s="207"/>
      <c r="XD23" s="207"/>
      <c r="XE23" s="207"/>
      <c r="XF23" s="207"/>
      <c r="XG23" s="207"/>
      <c r="XH23" s="207"/>
      <c r="XI23" s="207"/>
      <c r="XJ23" s="207"/>
      <c r="XK23" s="207"/>
      <c r="XL23" s="207"/>
      <c r="XM23" s="207"/>
      <c r="XN23" s="207"/>
      <c r="XO23" s="207"/>
      <c r="XP23" s="207"/>
      <c r="XQ23" s="207"/>
      <c r="XR23" s="207"/>
      <c r="XS23" s="207"/>
      <c r="XT23" s="207"/>
      <c r="XU23" s="207"/>
      <c r="XV23" s="207"/>
      <c r="XW23" s="207"/>
      <c r="XX23" s="207"/>
      <c r="XY23" s="207"/>
      <c r="XZ23" s="207"/>
      <c r="YA23" s="207"/>
      <c r="YB23" s="207"/>
      <c r="YC23" s="207"/>
      <c r="YD23" s="207"/>
      <c r="YE23" s="207"/>
      <c r="YF23" s="207"/>
      <c r="YG23" s="207"/>
      <c r="YH23" s="207"/>
      <c r="YI23" s="207"/>
      <c r="YJ23" s="207"/>
      <c r="YK23" s="207"/>
      <c r="YL23" s="207"/>
      <c r="YM23" s="207"/>
      <c r="YN23" s="207"/>
      <c r="YO23" s="207"/>
      <c r="YP23" s="207"/>
      <c r="YQ23" s="207"/>
      <c r="YR23" s="207"/>
      <c r="YS23" s="207"/>
      <c r="YT23" s="207"/>
      <c r="YU23" s="207"/>
      <c r="YV23" s="207"/>
      <c r="YW23" s="207"/>
      <c r="YX23" s="207"/>
      <c r="YY23" s="207"/>
      <c r="YZ23" s="207"/>
      <c r="ZA23" s="207"/>
      <c r="ZB23" s="207"/>
      <c r="ZC23" s="207"/>
      <c r="ZD23" s="207"/>
      <c r="ZE23" s="207"/>
      <c r="ZF23" s="207"/>
      <c r="ZG23" s="207"/>
      <c r="ZH23" s="207"/>
      <c r="ZI23" s="207"/>
      <c r="ZJ23" s="207"/>
      <c r="ZK23" s="207"/>
      <c r="ZL23" s="207"/>
      <c r="ZM23" s="207"/>
      <c r="ZN23" s="207"/>
      <c r="ZO23" s="207"/>
      <c r="ZP23" s="207"/>
      <c r="ZQ23" s="207"/>
      <c r="ZR23" s="207"/>
      <c r="ZS23" s="207"/>
      <c r="ZT23" s="207"/>
      <c r="ZU23" s="207"/>
      <c r="ZV23" s="207"/>
      <c r="ZW23" s="207"/>
      <c r="ZX23" s="207"/>
      <c r="ZY23" s="207"/>
      <c r="ZZ23" s="207"/>
      <c r="AAA23" s="207"/>
      <c r="AAB23" s="207"/>
      <c r="AAC23" s="207"/>
      <c r="AAD23" s="207"/>
      <c r="AAE23" s="207"/>
      <c r="AAF23" s="207"/>
      <c r="AAG23" s="207"/>
      <c r="AAH23" s="207"/>
      <c r="AAI23" s="207"/>
      <c r="AAJ23" s="207"/>
      <c r="AAK23" s="207"/>
      <c r="AAL23" s="207"/>
      <c r="AAM23" s="207"/>
      <c r="AAN23" s="207"/>
      <c r="AAO23" s="207"/>
      <c r="AAP23" s="207"/>
      <c r="AAQ23" s="207"/>
      <c r="AAR23" s="207"/>
      <c r="AAS23" s="207"/>
      <c r="AAT23" s="207"/>
      <c r="AAU23" s="207"/>
      <c r="AAV23" s="207"/>
      <c r="AAW23" s="207"/>
      <c r="AAX23" s="207"/>
      <c r="AAY23" s="207"/>
      <c r="AAZ23" s="207"/>
      <c r="ABA23" s="207"/>
      <c r="ABB23" s="207"/>
      <c r="ABC23" s="207"/>
      <c r="ABD23" s="207"/>
      <c r="ABE23" s="207"/>
      <c r="ABF23" s="207"/>
      <c r="ABG23" s="207"/>
      <c r="ABH23" s="207"/>
      <c r="ABI23" s="207"/>
      <c r="ABJ23" s="207"/>
      <c r="ABK23" s="207"/>
      <c r="ABL23" s="207"/>
      <c r="ABM23" s="207"/>
      <c r="ABN23" s="207"/>
      <c r="ABO23" s="207"/>
      <c r="ABP23" s="207"/>
      <c r="ABQ23" s="207"/>
      <c r="ABR23" s="207"/>
      <c r="ABS23" s="207"/>
      <c r="ABT23" s="207"/>
      <c r="ABU23" s="207"/>
      <c r="ABV23" s="207"/>
      <c r="ABW23" s="207"/>
      <c r="ABX23" s="207"/>
      <c r="ABY23" s="207"/>
      <c r="ABZ23" s="207"/>
      <c r="ACA23" s="207"/>
      <c r="ACB23" s="207"/>
      <c r="ACC23" s="207"/>
      <c r="ACD23" s="207"/>
      <c r="ACE23" s="207"/>
      <c r="ACF23" s="207"/>
      <c r="ACG23" s="207"/>
      <c r="ACH23" s="207"/>
      <c r="ACI23" s="207"/>
      <c r="ACJ23" s="207"/>
      <c r="ACK23" s="207"/>
      <c r="ACL23" s="207"/>
      <c r="ACM23" s="207"/>
      <c r="ACN23" s="207"/>
      <c r="ACO23" s="207"/>
      <c r="ACP23" s="207"/>
      <c r="ACQ23" s="207"/>
      <c r="ACR23" s="207"/>
      <c r="ACS23" s="207"/>
      <c r="ACT23" s="207"/>
      <c r="ACU23" s="207"/>
      <c r="ACV23" s="207"/>
      <c r="ACW23" s="207"/>
      <c r="ACX23" s="207"/>
      <c r="ACY23" s="207"/>
      <c r="ACZ23" s="207"/>
      <c r="ADA23" s="207"/>
      <c r="ADB23" s="207"/>
      <c r="ADC23" s="207"/>
      <c r="ADD23" s="207"/>
      <c r="ADE23" s="207"/>
      <c r="ADF23" s="207"/>
      <c r="ADG23" s="207"/>
      <c r="ADH23" s="207"/>
      <c r="ADI23" s="207"/>
      <c r="ADJ23" s="207"/>
      <c r="ADK23" s="207"/>
      <c r="ADL23" s="207"/>
      <c r="ADM23" s="207"/>
      <c r="ADN23" s="207"/>
      <c r="ADO23" s="207"/>
      <c r="ADP23" s="207"/>
      <c r="ADQ23" s="207"/>
      <c r="ADR23" s="207"/>
      <c r="ADS23" s="207"/>
      <c r="ADT23" s="207"/>
      <c r="ADU23" s="207"/>
      <c r="ADV23" s="207"/>
      <c r="ADW23" s="207"/>
      <c r="ADX23" s="207"/>
      <c r="ADY23" s="207"/>
      <c r="ADZ23" s="207"/>
      <c r="AEA23" s="207"/>
      <c r="AEB23" s="207"/>
      <c r="AEC23" s="207"/>
      <c r="AED23" s="207"/>
      <c r="AEE23" s="207"/>
      <c r="AEF23" s="207"/>
      <c r="AEG23" s="207"/>
      <c r="AEH23" s="207"/>
      <c r="AEI23" s="207"/>
      <c r="AEJ23" s="207"/>
      <c r="AEK23" s="207"/>
      <c r="AEL23" s="207"/>
      <c r="AEM23" s="207"/>
      <c r="AEN23" s="207"/>
      <c r="AEO23" s="207"/>
      <c r="AEP23" s="207"/>
      <c r="AEQ23" s="207"/>
      <c r="AER23" s="207"/>
      <c r="AES23" s="207"/>
      <c r="AET23" s="207"/>
      <c r="AEU23" s="207"/>
      <c r="AEV23" s="207"/>
      <c r="AEW23" s="207"/>
      <c r="AEX23" s="207"/>
      <c r="AEY23" s="207"/>
      <c r="AEZ23" s="207"/>
      <c r="AFA23" s="207"/>
      <c r="AFB23" s="207"/>
      <c r="AFC23" s="207"/>
      <c r="AFD23" s="207"/>
      <c r="AFE23" s="207"/>
      <c r="AFF23" s="207"/>
      <c r="AFG23" s="207"/>
      <c r="AFH23" s="207"/>
      <c r="AFI23" s="207"/>
      <c r="AFJ23" s="207"/>
      <c r="AFK23" s="207"/>
      <c r="AFL23" s="207"/>
      <c r="AFM23" s="207"/>
      <c r="AFN23" s="207"/>
      <c r="AFO23" s="207"/>
      <c r="AFP23" s="207"/>
      <c r="AFQ23" s="207"/>
      <c r="AFR23" s="207"/>
      <c r="AFS23" s="207"/>
      <c r="AFT23" s="207"/>
      <c r="AFU23" s="207"/>
      <c r="AFV23" s="207"/>
      <c r="AFW23" s="207"/>
      <c r="AFX23" s="207"/>
      <c r="AFY23" s="207"/>
      <c r="AFZ23" s="207"/>
      <c r="AGA23" s="207"/>
      <c r="AGB23" s="207"/>
      <c r="AGC23" s="207"/>
      <c r="AGD23" s="207"/>
      <c r="AGE23" s="207"/>
      <c r="AGF23" s="207"/>
      <c r="AGG23" s="207"/>
      <c r="AGH23" s="207"/>
      <c r="AGI23" s="207"/>
      <c r="AGJ23" s="207"/>
      <c r="AGK23" s="207"/>
      <c r="AGL23" s="207"/>
      <c r="AGM23" s="207"/>
      <c r="AGN23" s="207"/>
      <c r="AGO23" s="207"/>
      <c r="AGP23" s="207"/>
      <c r="AGQ23" s="207"/>
      <c r="AGR23" s="207"/>
      <c r="AGS23" s="207"/>
      <c r="AGT23" s="207"/>
      <c r="AGU23" s="207"/>
      <c r="AGV23" s="207"/>
      <c r="AGW23" s="207"/>
      <c r="AGX23" s="207"/>
      <c r="AGY23" s="207"/>
      <c r="AGZ23" s="207"/>
      <c r="AHA23" s="207"/>
      <c r="AHB23" s="207"/>
      <c r="AHC23" s="207"/>
      <c r="AHD23" s="207"/>
      <c r="AHE23" s="207"/>
      <c r="AHF23" s="207"/>
      <c r="AHG23" s="207"/>
      <c r="AHH23" s="207"/>
      <c r="AHI23" s="207"/>
      <c r="AHJ23" s="207"/>
      <c r="AHK23" s="207"/>
      <c r="AHL23" s="207"/>
      <c r="AHM23" s="207"/>
      <c r="AHN23" s="207"/>
      <c r="AHO23" s="207"/>
      <c r="AHP23" s="207"/>
      <c r="AHQ23" s="207"/>
      <c r="AHR23" s="207"/>
      <c r="AHS23" s="207"/>
      <c r="AHT23" s="207"/>
      <c r="AHU23" s="207"/>
      <c r="AHV23" s="207"/>
      <c r="AHW23" s="207"/>
      <c r="AHX23" s="207"/>
      <c r="AHY23" s="207"/>
      <c r="AHZ23" s="207"/>
      <c r="AIA23" s="207"/>
      <c r="AIB23" s="207"/>
      <c r="AIC23" s="207"/>
      <c r="AID23" s="207"/>
      <c r="AIE23" s="207"/>
      <c r="AIF23" s="207"/>
      <c r="AIG23" s="207"/>
      <c r="AIH23" s="207"/>
      <c r="AII23" s="207"/>
      <c r="AIJ23" s="207"/>
      <c r="AIK23" s="207"/>
      <c r="AIL23" s="207"/>
      <c r="AIM23" s="207"/>
      <c r="AIN23" s="207"/>
      <c r="AIO23" s="207"/>
      <c r="AIP23" s="207"/>
      <c r="AIQ23" s="207"/>
      <c r="AIR23" s="207"/>
      <c r="AIS23" s="207"/>
      <c r="AIT23" s="207"/>
      <c r="AIU23" s="207"/>
      <c r="AIV23" s="207"/>
      <c r="AIW23" s="207"/>
      <c r="AIX23" s="207"/>
      <c r="AIY23" s="207"/>
      <c r="AIZ23" s="207"/>
      <c r="AJA23" s="207"/>
      <c r="AJB23" s="207"/>
      <c r="AJC23" s="207"/>
      <c r="AJD23" s="207"/>
      <c r="AJE23" s="207"/>
      <c r="AJF23" s="207"/>
      <c r="AJG23" s="207"/>
      <c r="AJH23" s="207"/>
      <c r="AJI23" s="207"/>
      <c r="AJJ23" s="207"/>
      <c r="AJK23" s="207"/>
      <c r="AJL23" s="207"/>
      <c r="AJM23" s="207"/>
      <c r="AJN23" s="207"/>
      <c r="AJO23" s="207"/>
      <c r="AJP23" s="207"/>
      <c r="AJQ23" s="207"/>
      <c r="AJR23" s="207"/>
      <c r="AJS23" s="207"/>
      <c r="AJT23" s="207"/>
      <c r="AJU23" s="207"/>
      <c r="AJV23" s="207"/>
      <c r="AJW23" s="207"/>
      <c r="AJX23" s="207"/>
      <c r="AJY23" s="207"/>
      <c r="AJZ23" s="207"/>
      <c r="AKA23" s="207"/>
      <c r="AKB23" s="207"/>
      <c r="AKC23" s="207"/>
      <c r="AKD23" s="207"/>
      <c r="AKE23" s="207"/>
      <c r="AKF23" s="207"/>
      <c r="AKG23" s="207"/>
      <c r="AKH23" s="207"/>
      <c r="AKI23" s="207"/>
      <c r="AKJ23" s="207"/>
      <c r="AKK23" s="207"/>
      <c r="AKL23" s="207"/>
      <c r="AKM23" s="207"/>
      <c r="AKN23" s="207"/>
      <c r="AKO23" s="207"/>
      <c r="AKP23" s="207"/>
      <c r="AKQ23" s="207"/>
      <c r="AKR23" s="207"/>
      <c r="AKS23" s="207"/>
      <c r="AKT23" s="207"/>
      <c r="AKU23" s="207"/>
      <c r="AKV23" s="207"/>
      <c r="AKW23" s="207"/>
      <c r="AKX23" s="207"/>
      <c r="AKY23" s="207"/>
      <c r="AKZ23" s="207"/>
      <c r="ALA23" s="207"/>
      <c r="ALB23" s="207"/>
      <c r="ALC23" s="207"/>
      <c r="ALD23" s="207"/>
      <c r="ALE23" s="207"/>
      <c r="ALF23" s="207"/>
      <c r="ALG23" s="207"/>
      <c r="ALH23" s="207"/>
      <c r="ALI23" s="207"/>
      <c r="ALJ23" s="207"/>
      <c r="ALK23" s="207"/>
      <c r="ALL23" s="207"/>
      <c r="ALM23" s="207"/>
      <c r="ALN23" s="207"/>
      <c r="ALO23" s="207"/>
      <c r="ALP23" s="207"/>
      <c r="ALQ23" s="207"/>
      <c r="ALR23" s="207"/>
      <c r="ALS23" s="207"/>
      <c r="ALT23" s="207"/>
      <c r="ALU23" s="207"/>
      <c r="ALV23" s="207"/>
      <c r="ALW23" s="207"/>
      <c r="ALX23" s="207"/>
      <c r="ALY23" s="207"/>
      <c r="ALZ23" s="207"/>
      <c r="AMA23" s="207"/>
      <c r="AMB23" s="207"/>
      <c r="AMC23" s="207"/>
      <c r="AMD23" s="207"/>
      <c r="AME23" s="207"/>
      <c r="AMF23" s="207"/>
      <c r="AMG23" s="207"/>
      <c r="AMH23" s="207"/>
      <c r="AMI23" s="207"/>
      <c r="AMJ23" s="207"/>
      <c r="AMK23" s="207"/>
      <c r="AML23" s="207"/>
      <c r="AMM23" s="207"/>
      <c r="AMN23" s="207"/>
      <c r="AMO23" s="207"/>
      <c r="AMP23" s="207"/>
      <c r="AMQ23" s="207"/>
      <c r="AMR23" s="207"/>
      <c r="AMS23" s="207"/>
      <c r="AMT23" s="207"/>
      <c r="AMU23" s="207"/>
      <c r="AMV23" s="207"/>
      <c r="AMW23" s="207"/>
      <c r="AMX23" s="207"/>
      <c r="AMY23" s="207"/>
      <c r="AMZ23" s="207"/>
      <c r="ANA23" s="207"/>
      <c r="ANB23" s="207"/>
      <c r="ANC23" s="207"/>
      <c r="AND23" s="207"/>
      <c r="ANE23" s="207"/>
      <c r="ANF23" s="207"/>
      <c r="ANG23" s="207"/>
      <c r="ANH23" s="207"/>
      <c r="ANI23" s="207"/>
      <c r="ANJ23" s="207"/>
      <c r="ANK23" s="207"/>
      <c r="ANL23" s="207"/>
      <c r="ANM23" s="207"/>
      <c r="ANN23" s="207"/>
      <c r="ANO23" s="207"/>
      <c r="ANP23" s="207"/>
      <c r="ANQ23" s="207"/>
      <c r="ANR23" s="207"/>
      <c r="ANS23" s="207"/>
      <c r="ANT23" s="207"/>
      <c r="ANU23" s="207"/>
      <c r="ANV23" s="207"/>
      <c r="ANW23" s="207"/>
      <c r="ANX23" s="207"/>
      <c r="ANY23" s="207"/>
      <c r="ANZ23" s="207"/>
      <c r="AOA23" s="207"/>
      <c r="AOB23" s="207"/>
      <c r="AOC23" s="207"/>
      <c r="AOD23" s="207"/>
      <c r="AOE23" s="207"/>
      <c r="AOF23" s="207"/>
      <c r="AOG23" s="207"/>
      <c r="AOH23" s="207"/>
      <c r="AOI23" s="207"/>
      <c r="AOJ23" s="207"/>
      <c r="AOK23" s="207"/>
      <c r="AOL23" s="207"/>
      <c r="AOM23" s="207"/>
      <c r="AON23" s="207"/>
      <c r="AOO23" s="207"/>
      <c r="AOP23" s="207"/>
      <c r="AOQ23" s="207"/>
      <c r="AOR23" s="207"/>
      <c r="AOS23" s="207"/>
      <c r="AOT23" s="207"/>
      <c r="AOU23" s="207"/>
      <c r="AOV23" s="207"/>
      <c r="AOW23" s="207"/>
      <c r="AOX23" s="207"/>
      <c r="AOY23" s="207"/>
      <c r="AOZ23" s="207"/>
      <c r="APA23" s="207"/>
      <c r="APB23" s="207"/>
      <c r="APC23" s="207"/>
      <c r="APD23" s="207"/>
      <c r="APE23" s="207"/>
      <c r="APF23" s="207"/>
      <c r="APG23" s="207"/>
      <c r="APH23" s="207"/>
      <c r="API23" s="207"/>
      <c r="APJ23" s="207"/>
      <c r="APK23" s="207"/>
      <c r="APL23" s="207"/>
      <c r="APM23" s="207"/>
      <c r="APN23" s="207"/>
      <c r="APO23" s="207"/>
      <c r="APP23" s="207"/>
      <c r="APQ23" s="207"/>
      <c r="APR23" s="207"/>
      <c r="APS23" s="207"/>
      <c r="APT23" s="207"/>
      <c r="APU23" s="207"/>
      <c r="APV23" s="207"/>
      <c r="APW23" s="207"/>
      <c r="APX23" s="207"/>
      <c r="APY23" s="207"/>
      <c r="APZ23" s="207"/>
      <c r="AQA23" s="207"/>
      <c r="AQB23" s="207"/>
      <c r="AQC23" s="207"/>
      <c r="AQD23" s="207"/>
      <c r="AQE23" s="207"/>
      <c r="AQF23" s="207"/>
      <c r="AQG23" s="207"/>
      <c r="AQH23" s="207"/>
      <c r="AQI23" s="207"/>
      <c r="AQJ23" s="207"/>
      <c r="AQK23" s="207"/>
      <c r="AQL23" s="207"/>
      <c r="AQM23" s="207"/>
      <c r="AQN23" s="207"/>
      <c r="AQO23" s="207"/>
      <c r="AQP23" s="207"/>
      <c r="AQQ23" s="207"/>
      <c r="AQR23" s="207"/>
      <c r="AQS23" s="207"/>
      <c r="AQT23" s="207"/>
      <c r="AQU23" s="207"/>
      <c r="AQV23" s="207"/>
      <c r="AQW23" s="207"/>
      <c r="AQX23" s="207"/>
      <c r="AQY23" s="207"/>
      <c r="AQZ23" s="207"/>
      <c r="ARA23" s="207"/>
      <c r="ARB23" s="207"/>
      <c r="ARC23" s="207"/>
      <c r="ARD23" s="207"/>
      <c r="ARE23" s="207"/>
      <c r="ARF23" s="207"/>
      <c r="ARG23" s="207"/>
      <c r="ARH23" s="207"/>
      <c r="ARI23" s="207"/>
      <c r="ARJ23" s="207"/>
      <c r="ARK23" s="207"/>
      <c r="ARL23" s="207"/>
      <c r="ARM23" s="207"/>
      <c r="ARN23" s="207"/>
      <c r="ARO23" s="207"/>
      <c r="ARP23" s="207"/>
      <c r="ARQ23" s="207"/>
      <c r="ARR23" s="207"/>
      <c r="ARS23" s="207"/>
      <c r="ART23" s="207"/>
      <c r="ARU23" s="207"/>
      <c r="ARV23" s="207"/>
      <c r="ARW23" s="207"/>
      <c r="ARX23" s="207"/>
      <c r="ARY23" s="207"/>
      <c r="ARZ23" s="207"/>
      <c r="ASA23" s="207"/>
      <c r="ASB23" s="207"/>
      <c r="ASC23" s="207"/>
      <c r="ASD23" s="207"/>
      <c r="ASE23" s="207"/>
      <c r="ASF23" s="207"/>
      <c r="ASG23" s="207"/>
      <c r="ASH23" s="207"/>
      <c r="ASI23" s="207"/>
      <c r="ASJ23" s="207"/>
      <c r="ASK23" s="207"/>
      <c r="ASL23" s="207"/>
      <c r="ASM23" s="207"/>
      <c r="ASN23" s="207"/>
      <c r="ASO23" s="207"/>
      <c r="ASP23" s="207"/>
      <c r="ASQ23" s="207"/>
      <c r="ASR23" s="207"/>
      <c r="ASS23" s="207"/>
      <c r="AST23" s="207"/>
      <c r="ASU23" s="207"/>
      <c r="ASV23" s="207"/>
      <c r="ASW23" s="207"/>
      <c r="ASX23" s="207"/>
      <c r="ASY23" s="207"/>
      <c r="ASZ23" s="207"/>
      <c r="ATA23" s="207"/>
      <c r="ATB23" s="207"/>
      <c r="ATC23" s="207"/>
      <c r="ATD23" s="207"/>
      <c r="ATE23" s="207"/>
      <c r="ATF23" s="207"/>
      <c r="ATG23" s="207"/>
      <c r="ATH23" s="207"/>
      <c r="ATI23" s="207"/>
      <c r="ATJ23" s="207"/>
      <c r="ATK23" s="207"/>
      <c r="ATL23" s="207"/>
      <c r="ATM23" s="207"/>
      <c r="ATN23" s="207"/>
      <c r="ATO23" s="207"/>
      <c r="ATP23" s="207"/>
      <c r="ATQ23" s="207"/>
      <c r="ATR23" s="207"/>
      <c r="ATS23" s="207"/>
      <c r="ATT23" s="207"/>
      <c r="ATU23" s="207"/>
      <c r="ATV23" s="207"/>
      <c r="ATW23" s="207"/>
      <c r="ATX23" s="207"/>
      <c r="ATY23" s="207"/>
      <c r="ATZ23" s="207"/>
      <c r="AUA23" s="207"/>
      <c r="AUB23" s="207"/>
      <c r="AUC23" s="207"/>
      <c r="AUD23" s="207"/>
      <c r="AUE23" s="207"/>
      <c r="AUF23" s="207"/>
      <c r="AUG23" s="207"/>
      <c r="AUH23" s="207"/>
      <c r="AUI23" s="207"/>
      <c r="AUJ23" s="207"/>
      <c r="AUK23" s="207"/>
      <c r="AUL23" s="207"/>
      <c r="AUM23" s="207"/>
      <c r="AUN23" s="207"/>
      <c r="AUO23" s="207"/>
      <c r="AUP23" s="207"/>
      <c r="AUQ23" s="207"/>
      <c r="AUR23" s="207"/>
      <c r="AUS23" s="207"/>
      <c r="AUT23" s="207"/>
      <c r="AUU23" s="207"/>
      <c r="AUV23" s="207"/>
      <c r="AUW23" s="207"/>
      <c r="AUX23" s="207"/>
      <c r="AUY23" s="207"/>
      <c r="AUZ23" s="207"/>
      <c r="AVA23" s="207"/>
      <c r="AVB23" s="207"/>
      <c r="AVC23" s="207"/>
      <c r="AVD23" s="207"/>
      <c r="AVE23" s="207"/>
      <c r="AVF23" s="207"/>
      <c r="AVG23" s="207"/>
      <c r="AVH23" s="207"/>
      <c r="AVI23" s="207"/>
      <c r="AVJ23" s="207"/>
      <c r="AVK23" s="207"/>
      <c r="AVL23" s="207"/>
      <c r="AVM23" s="207"/>
      <c r="AVN23" s="207"/>
      <c r="AVO23" s="207"/>
      <c r="AVP23" s="207"/>
      <c r="AVQ23" s="207"/>
      <c r="AVR23" s="207"/>
      <c r="AVS23" s="207"/>
      <c r="AVT23" s="207"/>
      <c r="AVU23" s="207"/>
      <c r="AVV23" s="207"/>
      <c r="AVW23" s="207"/>
      <c r="AVX23" s="207"/>
      <c r="AVY23" s="207"/>
      <c r="AVZ23" s="207"/>
      <c r="AWA23" s="207"/>
      <c r="AWB23" s="207"/>
      <c r="AWC23" s="207"/>
      <c r="AWD23" s="207"/>
      <c r="AWE23" s="207"/>
      <c r="AWF23" s="207"/>
      <c r="AWG23" s="207"/>
      <c r="AWH23" s="207"/>
      <c r="AWI23" s="207"/>
      <c r="AWJ23" s="207"/>
      <c r="AWK23" s="207"/>
      <c r="AWL23" s="207"/>
      <c r="AWM23" s="207"/>
      <c r="AWN23" s="207"/>
      <c r="AWO23" s="207"/>
      <c r="AWP23" s="207"/>
      <c r="AWQ23" s="207"/>
      <c r="AWR23" s="207"/>
      <c r="AWS23" s="207"/>
      <c r="AWT23" s="207"/>
      <c r="AWU23" s="207"/>
      <c r="AWV23" s="207"/>
      <c r="AWW23" s="207"/>
      <c r="AWX23" s="207"/>
      <c r="AWY23" s="207"/>
      <c r="AWZ23" s="207"/>
      <c r="AXA23" s="207"/>
      <c r="AXB23" s="207"/>
      <c r="AXC23" s="207"/>
      <c r="AXD23" s="207"/>
      <c r="AXE23" s="207"/>
      <c r="AXF23" s="207"/>
      <c r="AXG23" s="207"/>
      <c r="AXH23" s="207"/>
      <c r="AXI23" s="207"/>
      <c r="AXJ23" s="207"/>
      <c r="AXK23" s="207"/>
      <c r="AXL23" s="207"/>
      <c r="AXM23" s="207"/>
      <c r="AXN23" s="207"/>
      <c r="AXO23" s="207"/>
      <c r="AXP23" s="207"/>
      <c r="AXQ23" s="207"/>
      <c r="AXR23" s="207"/>
      <c r="AXS23" s="207"/>
      <c r="AXT23" s="207"/>
      <c r="AXU23" s="207"/>
      <c r="AXV23" s="207"/>
      <c r="AXW23" s="207"/>
      <c r="AXX23" s="207"/>
      <c r="AXY23" s="207"/>
      <c r="AXZ23" s="207"/>
      <c r="AYA23" s="207"/>
      <c r="AYB23" s="207"/>
      <c r="AYC23" s="207"/>
      <c r="AYD23" s="207"/>
      <c r="AYE23" s="207"/>
      <c r="AYF23" s="207"/>
      <c r="AYG23" s="207"/>
      <c r="AYH23" s="207"/>
      <c r="AYI23" s="207"/>
      <c r="AYJ23" s="207"/>
      <c r="AYK23" s="207"/>
      <c r="AYL23" s="207"/>
      <c r="AYM23" s="207"/>
      <c r="AYN23" s="207"/>
      <c r="AYO23" s="207"/>
      <c r="AYP23" s="207"/>
      <c r="AYQ23" s="207"/>
      <c r="AYR23" s="207"/>
      <c r="AYS23" s="207"/>
      <c r="AYT23" s="207"/>
      <c r="AYU23" s="207"/>
      <c r="AYV23" s="207"/>
      <c r="AYW23" s="207"/>
      <c r="AYX23" s="207"/>
      <c r="AYY23" s="207"/>
      <c r="AYZ23" s="207"/>
      <c r="AZA23" s="207"/>
      <c r="AZB23" s="207"/>
      <c r="AZC23" s="207"/>
      <c r="AZD23" s="207"/>
      <c r="AZE23" s="207"/>
      <c r="AZF23" s="207"/>
      <c r="AZG23" s="207"/>
      <c r="AZH23" s="207"/>
      <c r="AZI23" s="207"/>
      <c r="AZJ23" s="207"/>
      <c r="AZK23" s="207"/>
      <c r="AZL23" s="207"/>
      <c r="AZM23" s="207"/>
      <c r="AZN23" s="207"/>
      <c r="AZO23" s="207"/>
      <c r="AZP23" s="207"/>
      <c r="AZQ23" s="207"/>
      <c r="AZR23" s="207"/>
      <c r="AZS23" s="207"/>
      <c r="AZT23" s="207"/>
      <c r="AZU23" s="207"/>
      <c r="AZV23" s="207"/>
      <c r="AZW23" s="207"/>
      <c r="AZX23" s="207"/>
      <c r="AZY23" s="207"/>
      <c r="AZZ23" s="207"/>
      <c r="BAA23" s="207"/>
      <c r="BAB23" s="207"/>
      <c r="BAC23" s="207"/>
      <c r="BAD23" s="207"/>
      <c r="BAE23" s="207"/>
      <c r="BAF23" s="207"/>
      <c r="BAG23" s="207"/>
      <c r="BAH23" s="207"/>
      <c r="BAI23" s="207"/>
      <c r="BAJ23" s="207"/>
      <c r="BAK23" s="207"/>
      <c r="BAL23" s="207"/>
      <c r="BAM23" s="207"/>
      <c r="BAN23" s="207"/>
      <c r="BAO23" s="207"/>
      <c r="BAP23" s="207"/>
      <c r="BAQ23" s="207"/>
      <c r="BAR23" s="207"/>
      <c r="BAS23" s="207"/>
      <c r="BAT23" s="207"/>
      <c r="BAU23" s="207"/>
      <c r="BAV23" s="207"/>
      <c r="BAW23" s="207"/>
      <c r="BAX23" s="207"/>
      <c r="BAY23" s="207"/>
      <c r="BAZ23" s="207"/>
      <c r="BBA23" s="207"/>
      <c r="BBB23" s="207"/>
      <c r="BBC23" s="207"/>
      <c r="BBD23" s="207"/>
      <c r="BBE23" s="207"/>
      <c r="BBF23" s="207"/>
      <c r="BBG23" s="207"/>
      <c r="BBH23" s="207"/>
      <c r="BBI23" s="207"/>
      <c r="BBJ23" s="207"/>
      <c r="BBK23" s="207"/>
      <c r="BBL23" s="207"/>
      <c r="BBM23" s="207"/>
      <c r="BBN23" s="207"/>
      <c r="BBO23" s="207"/>
      <c r="BBP23" s="207"/>
      <c r="BBQ23" s="207"/>
      <c r="BBR23" s="207"/>
      <c r="BBS23" s="207"/>
      <c r="BBT23" s="207"/>
      <c r="BBU23" s="207"/>
      <c r="BBV23" s="207"/>
      <c r="BBW23" s="207"/>
      <c r="BBX23" s="207"/>
      <c r="BBY23" s="207"/>
      <c r="BBZ23" s="207"/>
      <c r="BCA23" s="207"/>
      <c r="BCB23" s="207"/>
      <c r="BCC23" s="207"/>
      <c r="BCD23" s="207"/>
      <c r="BCE23" s="207"/>
      <c r="BCF23" s="207"/>
      <c r="BCG23" s="207"/>
      <c r="BCH23" s="207"/>
      <c r="BCI23" s="207"/>
      <c r="BCJ23" s="207"/>
      <c r="BCK23" s="207"/>
      <c r="BCL23" s="207"/>
      <c r="BCM23" s="207"/>
      <c r="BCN23" s="207"/>
      <c r="BCO23" s="207"/>
      <c r="BCP23" s="207"/>
      <c r="BCQ23" s="207"/>
      <c r="BCR23" s="207"/>
      <c r="BCS23" s="207"/>
      <c r="BCT23" s="207"/>
      <c r="BCU23" s="207"/>
      <c r="BCV23" s="207"/>
      <c r="BCW23" s="207"/>
      <c r="BCX23" s="207"/>
      <c r="BCY23" s="207"/>
      <c r="BCZ23" s="207"/>
      <c r="BDA23" s="207"/>
      <c r="BDB23" s="207"/>
      <c r="BDC23" s="207"/>
      <c r="BDD23" s="207"/>
      <c r="BDE23" s="207"/>
      <c r="BDF23" s="207"/>
      <c r="BDG23" s="207"/>
      <c r="BDH23" s="207"/>
      <c r="BDI23" s="207"/>
      <c r="BDJ23" s="207"/>
      <c r="BDK23" s="207"/>
      <c r="BDL23" s="207"/>
      <c r="BDM23" s="207"/>
      <c r="BDN23" s="207"/>
      <c r="BDO23" s="207"/>
      <c r="BDP23" s="207"/>
      <c r="BDQ23" s="207"/>
      <c r="BDR23" s="207"/>
      <c r="BDS23" s="207"/>
      <c r="BDT23" s="207"/>
      <c r="BDU23" s="207"/>
      <c r="BDV23" s="207"/>
      <c r="BDW23" s="207"/>
      <c r="BDX23" s="207"/>
      <c r="BDY23" s="207"/>
      <c r="BDZ23" s="207"/>
      <c r="BEA23" s="207"/>
      <c r="BEB23" s="207"/>
      <c r="BEC23" s="207"/>
      <c r="BED23" s="207"/>
      <c r="BEE23" s="207"/>
      <c r="BEF23" s="207"/>
      <c r="BEG23" s="207"/>
      <c r="BEH23" s="207"/>
      <c r="BEI23" s="207"/>
      <c r="BEJ23" s="207"/>
      <c r="BEK23" s="207"/>
      <c r="BEL23" s="207"/>
      <c r="BEM23" s="207"/>
      <c r="BEN23" s="207"/>
      <c r="BEO23" s="207"/>
      <c r="BEP23" s="207"/>
      <c r="BEQ23" s="207"/>
      <c r="BER23" s="207"/>
      <c r="BES23" s="207"/>
      <c r="BET23" s="207"/>
      <c r="BEU23" s="207"/>
      <c r="BEV23" s="207"/>
      <c r="BEW23" s="207"/>
      <c r="BEX23" s="207"/>
      <c r="BEY23" s="207"/>
      <c r="BEZ23" s="207"/>
      <c r="BFA23" s="207"/>
      <c r="BFB23" s="207"/>
      <c r="BFC23" s="207"/>
      <c r="BFD23" s="207"/>
      <c r="BFE23" s="207"/>
      <c r="BFF23" s="207"/>
      <c r="BFG23" s="207"/>
      <c r="BFH23" s="207"/>
      <c r="BFI23" s="207"/>
      <c r="BFJ23" s="207"/>
      <c r="BFK23" s="207"/>
      <c r="BFL23" s="207"/>
      <c r="BFM23" s="207"/>
      <c r="BFN23" s="207"/>
      <c r="BFO23" s="207"/>
      <c r="BFP23" s="207"/>
      <c r="BFQ23" s="207"/>
      <c r="BFR23" s="207"/>
      <c r="BFS23" s="207"/>
      <c r="BFT23" s="207"/>
      <c r="BFU23" s="207"/>
      <c r="BFV23" s="207"/>
      <c r="BFW23" s="207"/>
      <c r="BFX23" s="207"/>
      <c r="BFY23" s="207"/>
      <c r="BFZ23" s="207"/>
      <c r="BGA23" s="207"/>
      <c r="BGB23" s="207"/>
      <c r="BGC23" s="207"/>
      <c r="BGD23" s="207"/>
      <c r="BGE23" s="207"/>
      <c r="BGF23" s="207"/>
      <c r="BGG23" s="207"/>
      <c r="BGH23" s="207"/>
      <c r="BGI23" s="207"/>
      <c r="BGJ23" s="207"/>
      <c r="BGK23" s="207"/>
      <c r="BGL23" s="207"/>
      <c r="BGM23" s="207"/>
      <c r="BGN23" s="207"/>
      <c r="BGO23" s="207"/>
      <c r="BGP23" s="207"/>
      <c r="BGQ23" s="207"/>
      <c r="BGR23" s="207"/>
      <c r="BGS23" s="207"/>
      <c r="BGT23" s="207"/>
      <c r="BGU23" s="207"/>
      <c r="BGV23" s="207"/>
      <c r="BGW23" s="207"/>
      <c r="BGX23" s="207"/>
      <c r="BGY23" s="207"/>
      <c r="BGZ23" s="207"/>
      <c r="BHA23" s="207"/>
      <c r="BHB23" s="207"/>
      <c r="BHC23" s="207"/>
      <c r="BHD23" s="207"/>
      <c r="BHE23" s="207"/>
      <c r="BHF23" s="207"/>
      <c r="BHG23" s="207"/>
      <c r="BHH23" s="207"/>
      <c r="BHI23" s="207"/>
      <c r="BHJ23" s="207"/>
      <c r="BHK23" s="207"/>
      <c r="BHL23" s="207"/>
      <c r="BHM23" s="207"/>
      <c r="BHN23" s="207"/>
      <c r="BHO23" s="207"/>
      <c r="BHP23" s="207"/>
      <c r="BHQ23" s="207"/>
      <c r="BHR23" s="207"/>
      <c r="BHS23" s="207"/>
      <c r="BHT23" s="207"/>
      <c r="BHU23" s="207"/>
      <c r="BHV23" s="207"/>
      <c r="BHW23" s="207"/>
      <c r="BHX23" s="207"/>
      <c r="BHY23" s="207"/>
      <c r="BHZ23" s="207"/>
      <c r="BIA23" s="207"/>
      <c r="BIB23" s="207"/>
      <c r="BIC23" s="207"/>
      <c r="BID23" s="207"/>
      <c r="BIE23" s="207"/>
      <c r="BIF23" s="207"/>
      <c r="BIG23" s="207"/>
      <c r="BIH23" s="207"/>
      <c r="BII23" s="207"/>
      <c r="BIJ23" s="207"/>
      <c r="BIK23" s="207"/>
      <c r="BIL23" s="207"/>
      <c r="BIM23" s="207"/>
      <c r="BIN23" s="207"/>
      <c r="BIO23" s="207"/>
      <c r="BIP23" s="207"/>
      <c r="BIQ23" s="207"/>
      <c r="BIR23" s="207"/>
      <c r="BIS23" s="207"/>
      <c r="BIT23" s="207"/>
      <c r="BIU23" s="207"/>
      <c r="BIV23" s="207"/>
      <c r="BIW23" s="207"/>
      <c r="BIX23" s="207"/>
      <c r="BIY23" s="207"/>
      <c r="BIZ23" s="207"/>
      <c r="BJA23" s="207"/>
      <c r="BJB23" s="207"/>
      <c r="BJC23" s="207"/>
      <c r="BJD23" s="207"/>
      <c r="BJE23" s="207"/>
      <c r="BJF23" s="207"/>
      <c r="BJG23" s="207"/>
      <c r="BJH23" s="207"/>
      <c r="BJI23" s="207"/>
      <c r="BJJ23" s="207"/>
      <c r="BJK23" s="207"/>
      <c r="BJL23" s="207"/>
      <c r="BJM23" s="207"/>
      <c r="BJN23" s="207"/>
      <c r="BJO23" s="207"/>
      <c r="BJP23" s="207"/>
      <c r="BJQ23" s="207"/>
      <c r="BJR23" s="207"/>
      <c r="BJS23" s="207"/>
      <c r="BJT23" s="207"/>
      <c r="BJU23" s="207"/>
      <c r="BJV23" s="207"/>
      <c r="BJW23" s="207"/>
      <c r="BJX23" s="207"/>
      <c r="BJY23" s="207"/>
      <c r="BJZ23" s="207"/>
      <c r="BKA23" s="207"/>
      <c r="BKB23" s="207"/>
      <c r="BKC23" s="207"/>
      <c r="BKD23" s="207"/>
      <c r="BKE23" s="207"/>
      <c r="BKF23" s="207"/>
      <c r="BKG23" s="207"/>
      <c r="BKH23" s="207"/>
      <c r="BKI23" s="207"/>
      <c r="BKJ23" s="207"/>
      <c r="BKK23" s="207"/>
      <c r="BKL23" s="207"/>
      <c r="BKM23" s="207"/>
      <c r="BKN23" s="207"/>
      <c r="BKO23" s="207"/>
      <c r="BKP23" s="207"/>
      <c r="BKQ23" s="207"/>
      <c r="BKR23" s="207"/>
      <c r="BKS23" s="207"/>
      <c r="BKT23" s="207"/>
      <c r="BKU23" s="207"/>
      <c r="BKV23" s="207"/>
      <c r="BKW23" s="207"/>
      <c r="BKX23" s="207"/>
      <c r="BKY23" s="207"/>
      <c r="BKZ23" s="207"/>
      <c r="BLA23" s="207"/>
      <c r="BLB23" s="207"/>
      <c r="BLC23" s="207"/>
      <c r="BLD23" s="207"/>
      <c r="BLE23" s="207"/>
      <c r="BLF23" s="207"/>
      <c r="BLG23" s="207"/>
      <c r="BLH23" s="207"/>
      <c r="BLI23" s="207"/>
      <c r="BLJ23" s="207"/>
      <c r="BLK23" s="207"/>
      <c r="BLL23" s="207"/>
      <c r="BLM23" s="207"/>
      <c r="BLN23" s="207"/>
      <c r="BLO23" s="207"/>
      <c r="BLP23" s="207"/>
      <c r="BLQ23" s="207"/>
      <c r="BLR23" s="207"/>
      <c r="BLS23" s="207"/>
      <c r="BLT23" s="207"/>
      <c r="BLU23" s="207"/>
      <c r="BLV23" s="207"/>
      <c r="BLW23" s="207"/>
      <c r="BLX23" s="207"/>
      <c r="BLY23" s="207"/>
      <c r="BLZ23" s="207"/>
      <c r="BMA23" s="207"/>
      <c r="BMB23" s="207"/>
      <c r="BMC23" s="207"/>
      <c r="BMD23" s="207"/>
      <c r="BME23" s="207"/>
      <c r="BMF23" s="207"/>
      <c r="BMG23" s="207"/>
      <c r="BMH23" s="207"/>
      <c r="BMI23" s="207"/>
      <c r="BMJ23" s="207"/>
      <c r="BMK23" s="207"/>
      <c r="BML23" s="207"/>
      <c r="BMM23" s="207"/>
      <c r="BMN23" s="207"/>
      <c r="BMO23" s="207"/>
      <c r="BMP23" s="207"/>
      <c r="BMQ23" s="207"/>
      <c r="BMR23" s="207"/>
      <c r="BMS23" s="207"/>
      <c r="BMT23" s="207"/>
      <c r="BMU23" s="207"/>
      <c r="BMV23" s="207"/>
      <c r="BMW23" s="207"/>
      <c r="BMX23" s="207"/>
      <c r="BMY23" s="207"/>
      <c r="BMZ23" s="207"/>
      <c r="BNA23" s="207"/>
      <c r="BNB23" s="207"/>
      <c r="BNC23" s="207"/>
      <c r="BND23" s="207"/>
      <c r="BNE23" s="207"/>
      <c r="BNF23" s="207"/>
      <c r="BNG23" s="207"/>
      <c r="BNH23" s="207"/>
      <c r="BNI23" s="207"/>
      <c r="BNJ23" s="207"/>
      <c r="BNK23" s="207"/>
      <c r="BNL23" s="207"/>
      <c r="BNM23" s="207"/>
      <c r="BNN23" s="207"/>
      <c r="BNO23" s="207"/>
      <c r="BNP23" s="207"/>
      <c r="BNQ23" s="207"/>
      <c r="BNR23" s="207"/>
      <c r="BNS23" s="207"/>
      <c r="BNT23" s="207"/>
      <c r="BNU23" s="207"/>
      <c r="BNV23" s="207"/>
      <c r="BNW23" s="207"/>
      <c r="BNX23" s="207"/>
      <c r="BNY23" s="207"/>
      <c r="BNZ23" s="207"/>
      <c r="BOA23" s="207"/>
      <c r="BOB23" s="207"/>
      <c r="BOC23" s="207"/>
      <c r="BOD23" s="207"/>
      <c r="BOE23" s="207"/>
      <c r="BOF23" s="207"/>
      <c r="BOG23" s="207"/>
      <c r="BOH23" s="207"/>
      <c r="BOI23" s="207"/>
      <c r="BOJ23" s="207"/>
      <c r="BOK23" s="207"/>
      <c r="BOL23" s="207"/>
      <c r="BOM23" s="207"/>
      <c r="BON23" s="207"/>
      <c r="BOO23" s="207"/>
      <c r="BOP23" s="207"/>
      <c r="BOQ23" s="207"/>
      <c r="BOR23" s="207"/>
      <c r="BOS23" s="207"/>
      <c r="BOT23" s="207"/>
      <c r="BOU23" s="207"/>
      <c r="BOV23" s="207"/>
      <c r="BOW23" s="207"/>
      <c r="BOX23" s="207"/>
      <c r="BOY23" s="207"/>
      <c r="BOZ23" s="207"/>
      <c r="BPA23" s="207"/>
      <c r="BPB23" s="207"/>
      <c r="BPC23" s="207"/>
      <c r="BPD23" s="207"/>
      <c r="BPE23" s="207"/>
      <c r="BPF23" s="207"/>
      <c r="BPG23" s="207"/>
      <c r="BPH23" s="207"/>
      <c r="BPI23" s="207"/>
      <c r="BPJ23" s="207"/>
      <c r="BPK23" s="207"/>
      <c r="BPL23" s="207"/>
      <c r="BPM23" s="207"/>
      <c r="BPN23" s="207"/>
      <c r="BPO23" s="207"/>
      <c r="BPP23" s="207"/>
      <c r="BPQ23" s="207"/>
      <c r="BPR23" s="207"/>
      <c r="BPS23" s="207"/>
      <c r="BPT23" s="207"/>
      <c r="BPU23" s="207"/>
      <c r="BPV23" s="207"/>
      <c r="BPW23" s="207"/>
      <c r="BPX23" s="207"/>
      <c r="BPY23" s="207"/>
      <c r="BPZ23" s="207"/>
      <c r="BQA23" s="207"/>
      <c r="BQB23" s="207"/>
      <c r="BQC23" s="207"/>
      <c r="BQD23" s="207"/>
      <c r="BQE23" s="207"/>
      <c r="BQF23" s="207"/>
      <c r="BQG23" s="207"/>
      <c r="BQH23" s="207"/>
      <c r="BQI23" s="207"/>
      <c r="BQJ23" s="207"/>
      <c r="BQK23" s="207"/>
      <c r="BQL23" s="207"/>
      <c r="BQM23" s="207"/>
      <c r="BQN23" s="207"/>
      <c r="BQO23" s="207"/>
      <c r="BQP23" s="207"/>
      <c r="BQQ23" s="207"/>
      <c r="BQR23" s="207"/>
      <c r="BQS23" s="207"/>
      <c r="BQT23" s="207"/>
      <c r="BQU23" s="207"/>
      <c r="BQV23" s="207"/>
      <c r="BQW23" s="207"/>
      <c r="BQX23" s="207"/>
      <c r="BQY23" s="207"/>
      <c r="BQZ23" s="207"/>
      <c r="BRA23" s="207"/>
      <c r="BRB23" s="207"/>
      <c r="BRC23" s="207"/>
      <c r="BRD23" s="207"/>
      <c r="BRE23" s="207"/>
      <c r="BRF23" s="207"/>
      <c r="BRG23" s="207"/>
      <c r="BRH23" s="207"/>
      <c r="BRI23" s="207"/>
      <c r="BRJ23" s="207"/>
      <c r="BRK23" s="207"/>
      <c r="BRL23" s="207"/>
      <c r="BRM23" s="207"/>
      <c r="BRN23" s="207"/>
      <c r="BRO23" s="207"/>
      <c r="BRP23" s="207"/>
      <c r="BRQ23" s="207"/>
      <c r="BRR23" s="207"/>
      <c r="BRS23" s="207"/>
      <c r="BRT23" s="207"/>
      <c r="BRU23" s="207"/>
      <c r="BRV23" s="207"/>
      <c r="BRW23" s="207"/>
      <c r="BRX23" s="207"/>
      <c r="BRY23" s="207"/>
      <c r="BRZ23" s="207"/>
      <c r="BSA23" s="207"/>
      <c r="BSB23" s="207"/>
      <c r="BSC23" s="207"/>
      <c r="BSD23" s="207"/>
      <c r="BSE23" s="207"/>
      <c r="BSF23" s="207"/>
      <c r="BSG23" s="207"/>
      <c r="BSH23" s="207"/>
      <c r="BSI23" s="207"/>
      <c r="BSJ23" s="207"/>
      <c r="BSK23" s="207"/>
      <c r="BSL23" s="207"/>
      <c r="BSM23" s="207"/>
      <c r="BSN23" s="207"/>
      <c r="BSO23" s="207"/>
      <c r="BSP23" s="207"/>
      <c r="BSQ23" s="207"/>
      <c r="BSR23" s="207"/>
      <c r="BSS23" s="207"/>
      <c r="BST23" s="207"/>
      <c r="BSU23" s="207"/>
      <c r="BSV23" s="207"/>
      <c r="BSW23" s="207"/>
      <c r="BSX23" s="207"/>
      <c r="BSY23" s="207"/>
      <c r="BSZ23" s="207"/>
      <c r="BTA23" s="207"/>
      <c r="BTB23" s="207"/>
      <c r="BTC23" s="207"/>
      <c r="BTD23" s="207"/>
      <c r="BTE23" s="207"/>
      <c r="BTF23" s="207"/>
      <c r="BTG23" s="207"/>
      <c r="BTH23" s="207"/>
      <c r="BTI23" s="207"/>
      <c r="BTJ23" s="207"/>
      <c r="BTK23" s="207"/>
      <c r="BTL23" s="207"/>
      <c r="BTM23" s="207"/>
      <c r="BTN23" s="207"/>
      <c r="BTO23" s="207"/>
      <c r="BTP23" s="207"/>
      <c r="BTQ23" s="207"/>
      <c r="BTR23" s="207"/>
      <c r="BTS23" s="207"/>
      <c r="BTT23" s="207"/>
      <c r="BTU23" s="207"/>
      <c r="BTV23" s="207"/>
      <c r="BTW23" s="207"/>
      <c r="BTX23" s="207"/>
      <c r="BTY23" s="207"/>
      <c r="BTZ23" s="207"/>
      <c r="BUA23" s="207"/>
      <c r="BUB23" s="207"/>
      <c r="BUC23" s="207"/>
      <c r="BUD23" s="207"/>
      <c r="BUE23" s="207"/>
      <c r="BUF23" s="207"/>
      <c r="BUG23" s="207"/>
      <c r="BUH23" s="207"/>
      <c r="BUI23" s="207"/>
      <c r="BUJ23" s="207"/>
      <c r="BUK23" s="207"/>
      <c r="BUL23" s="207"/>
      <c r="BUM23" s="207"/>
      <c r="BUN23" s="207"/>
      <c r="BUO23" s="207"/>
      <c r="BUP23" s="207"/>
      <c r="BUQ23" s="207"/>
      <c r="BUR23" s="207"/>
      <c r="BUS23" s="207"/>
      <c r="BUT23" s="207"/>
      <c r="BUU23" s="207"/>
      <c r="BUV23" s="207"/>
      <c r="BUW23" s="207"/>
      <c r="BUX23" s="207"/>
      <c r="BUY23" s="207"/>
      <c r="BUZ23" s="207"/>
      <c r="BVA23" s="207"/>
      <c r="BVB23" s="207"/>
      <c r="BVC23" s="207"/>
      <c r="BVD23" s="207"/>
      <c r="BVE23" s="207"/>
      <c r="BVF23" s="207"/>
      <c r="BVG23" s="207"/>
      <c r="BVH23" s="207"/>
      <c r="BVI23" s="207"/>
      <c r="BVJ23" s="207"/>
      <c r="BVK23" s="207"/>
      <c r="BVL23" s="207"/>
      <c r="BVM23" s="207"/>
      <c r="BVN23" s="207"/>
      <c r="BVO23" s="207"/>
      <c r="BVP23" s="207"/>
      <c r="BVQ23" s="207"/>
      <c r="BVR23" s="207"/>
      <c r="BVS23" s="207"/>
      <c r="BVT23" s="207"/>
      <c r="BVU23" s="207"/>
      <c r="BVV23" s="207"/>
      <c r="BVW23" s="207"/>
      <c r="BVX23" s="207"/>
      <c r="BVY23" s="207"/>
      <c r="BVZ23" s="207"/>
      <c r="BWA23" s="207"/>
      <c r="BWB23" s="207"/>
      <c r="BWC23" s="207"/>
      <c r="BWD23" s="207"/>
      <c r="BWE23" s="207"/>
      <c r="BWF23" s="207"/>
      <c r="BWG23" s="207"/>
      <c r="BWH23" s="207"/>
      <c r="BWI23" s="207"/>
      <c r="BWJ23" s="207"/>
      <c r="BWK23" s="207"/>
      <c r="BWL23" s="207"/>
      <c r="BWM23" s="207"/>
      <c r="BWN23" s="207"/>
      <c r="BWO23" s="207"/>
      <c r="BWP23" s="207"/>
      <c r="BWQ23" s="207"/>
      <c r="BWR23" s="207"/>
      <c r="BWS23" s="207"/>
      <c r="BWT23" s="207"/>
      <c r="BWU23" s="207"/>
      <c r="BWV23" s="207"/>
      <c r="BWW23" s="207"/>
      <c r="BWX23" s="207"/>
      <c r="BWY23" s="207"/>
      <c r="BWZ23" s="207"/>
      <c r="BXA23" s="207"/>
      <c r="BXB23" s="207"/>
      <c r="BXC23" s="207"/>
      <c r="BXD23" s="207"/>
      <c r="BXE23" s="207"/>
      <c r="BXF23" s="207"/>
      <c r="BXG23" s="207"/>
      <c r="BXH23" s="207"/>
      <c r="BXI23" s="207"/>
      <c r="BXJ23" s="207"/>
      <c r="BXK23" s="207"/>
      <c r="BXL23" s="207"/>
      <c r="BXM23" s="207"/>
      <c r="BXN23" s="207"/>
      <c r="BXO23" s="207"/>
      <c r="BXP23" s="207"/>
      <c r="BXQ23" s="207"/>
      <c r="BXR23" s="207"/>
      <c r="BXS23" s="207"/>
      <c r="BXT23" s="207"/>
      <c r="BXU23" s="207"/>
      <c r="BXV23" s="207"/>
      <c r="BXW23" s="207"/>
      <c r="BXX23" s="207"/>
      <c r="BXY23" s="207"/>
      <c r="BXZ23" s="207"/>
      <c r="BYA23" s="207"/>
      <c r="BYB23" s="207"/>
      <c r="BYC23" s="207"/>
      <c r="BYD23" s="207"/>
      <c r="BYE23" s="207"/>
      <c r="BYF23" s="207"/>
      <c r="BYG23" s="207"/>
    </row>
    <row r="24" spans="1:2009" s="99" customFormat="1" ht="12.75" hidden="1" customHeight="1" thickBot="1" x14ac:dyDescent="0.3">
      <c r="A24" s="106"/>
      <c r="B24" s="107"/>
      <c r="C24" s="175"/>
      <c r="D24" s="175"/>
      <c r="E24" s="175"/>
      <c r="F24" s="175"/>
      <c r="G24" s="647"/>
      <c r="H24" s="98"/>
      <c r="I24" s="751"/>
      <c r="J24" s="98"/>
      <c r="K24" s="420"/>
      <c r="L24" s="419">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96</v>
      </c>
      <c r="B25" s="138"/>
      <c r="C25" s="176"/>
      <c r="D25" s="176"/>
      <c r="E25" s="177"/>
      <c r="F25" s="177"/>
      <c r="G25" s="648"/>
      <c r="H25" s="93"/>
      <c r="I25" s="552"/>
      <c r="J25" s="93"/>
      <c r="K25" s="420"/>
      <c r="L25" s="420" t="s">
        <v>198</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157</v>
      </c>
      <c r="C26" s="178"/>
      <c r="D26" s="178"/>
      <c r="E26" s="179"/>
      <c r="F26" s="179"/>
      <c r="G26" s="649"/>
      <c r="H26" s="93"/>
      <c r="I26" s="552"/>
      <c r="J26" s="93"/>
      <c r="K26" s="421"/>
      <c r="L26"/>
      <c r="M26" s="422">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3" customFormat="1" ht="24.95" hidden="1" customHeight="1" thickBot="1" x14ac:dyDescent="0.3">
      <c r="A27" s="209"/>
      <c r="B27" s="210" t="s">
        <v>141</v>
      </c>
      <c r="C27" s="211"/>
      <c r="D27" s="212"/>
      <c r="E27" s="212"/>
      <c r="F27" s="212">
        <f>SUM(F25:F26)</f>
        <v>0</v>
      </c>
      <c r="G27" s="650">
        <f>ROUND(SUM(C27:F27),5)</f>
        <v>0</v>
      </c>
      <c r="H27" s="196"/>
      <c r="I27" s="552"/>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c r="IW27" s="197"/>
      <c r="IX27" s="197"/>
      <c r="IY27" s="197"/>
      <c r="IZ27" s="197"/>
      <c r="JA27" s="197"/>
      <c r="JB27" s="197"/>
      <c r="JC27" s="197"/>
      <c r="JD27" s="197"/>
      <c r="JE27" s="197"/>
      <c r="JF27" s="197"/>
      <c r="JG27" s="197"/>
      <c r="JH27" s="197"/>
      <c r="JI27" s="197"/>
      <c r="JJ27" s="197"/>
      <c r="JK27" s="197"/>
      <c r="JL27" s="197"/>
      <c r="JM27" s="197"/>
      <c r="JN27" s="197"/>
      <c r="JO27" s="197"/>
      <c r="JP27" s="197"/>
      <c r="JQ27" s="197"/>
      <c r="JR27" s="197"/>
      <c r="JS27" s="197"/>
      <c r="JT27" s="197"/>
      <c r="JU27" s="197"/>
      <c r="JV27" s="197"/>
      <c r="JW27" s="197"/>
      <c r="JX27" s="197"/>
      <c r="JY27" s="197"/>
      <c r="JZ27" s="197"/>
      <c r="KA27" s="197"/>
      <c r="KB27" s="197"/>
      <c r="KC27" s="197"/>
      <c r="KD27" s="197"/>
      <c r="KE27" s="197"/>
      <c r="KF27" s="197"/>
      <c r="KG27" s="197"/>
      <c r="KH27" s="197"/>
      <c r="KI27" s="197"/>
      <c r="KJ27" s="197"/>
      <c r="KK27" s="197"/>
      <c r="KL27" s="197"/>
      <c r="KM27" s="197"/>
      <c r="KN27" s="197"/>
      <c r="KO27" s="197"/>
      <c r="KP27" s="197"/>
      <c r="KQ27" s="197"/>
      <c r="KR27" s="197"/>
      <c r="KS27" s="197"/>
      <c r="KT27" s="197"/>
      <c r="KU27" s="197"/>
      <c r="KV27" s="197"/>
      <c r="KW27" s="197"/>
      <c r="KX27" s="197"/>
      <c r="KY27" s="197"/>
      <c r="KZ27" s="197"/>
      <c r="LA27" s="197"/>
      <c r="LB27" s="197"/>
      <c r="LC27" s="197"/>
      <c r="LD27" s="197"/>
      <c r="LE27" s="197"/>
      <c r="LF27" s="197"/>
      <c r="LG27" s="197"/>
      <c r="LH27" s="197"/>
      <c r="LI27" s="197"/>
      <c r="LJ27" s="197"/>
      <c r="LK27" s="197"/>
      <c r="LL27" s="197"/>
      <c r="LM27" s="197"/>
      <c r="LN27" s="197"/>
      <c r="LO27" s="197"/>
      <c r="LP27" s="197"/>
      <c r="LQ27" s="197"/>
      <c r="LR27" s="197"/>
      <c r="LS27" s="197"/>
      <c r="LT27" s="197"/>
      <c r="LU27" s="197"/>
      <c r="LV27" s="197"/>
      <c r="LW27" s="197"/>
      <c r="LX27" s="197"/>
      <c r="LY27" s="197"/>
      <c r="LZ27" s="197"/>
      <c r="MA27" s="197"/>
      <c r="MB27" s="197"/>
      <c r="MC27" s="197"/>
      <c r="MD27" s="197"/>
      <c r="ME27" s="197"/>
      <c r="MF27" s="197"/>
      <c r="MG27" s="197"/>
      <c r="MH27" s="197"/>
      <c r="MI27" s="197"/>
      <c r="MJ27" s="197"/>
      <c r="MK27" s="197"/>
      <c r="ML27" s="197"/>
      <c r="MM27" s="197"/>
      <c r="MN27" s="197"/>
      <c r="MO27" s="197"/>
      <c r="MP27" s="197"/>
      <c r="MQ27" s="197"/>
      <c r="MR27" s="197"/>
      <c r="MS27" s="197"/>
      <c r="MT27" s="197"/>
      <c r="MU27" s="197"/>
      <c r="MV27" s="197"/>
      <c r="MW27" s="197"/>
      <c r="MX27" s="197"/>
      <c r="MY27" s="197"/>
      <c r="MZ27" s="197"/>
      <c r="NA27" s="197"/>
      <c r="NB27" s="197"/>
      <c r="NC27" s="197"/>
      <c r="ND27" s="197"/>
      <c r="NE27" s="197"/>
      <c r="NF27" s="197"/>
      <c r="NG27" s="197"/>
      <c r="NH27" s="197"/>
      <c r="NI27" s="197"/>
      <c r="NJ27" s="197"/>
      <c r="NK27" s="197"/>
      <c r="NL27" s="197"/>
      <c r="NM27" s="197"/>
      <c r="NN27" s="197"/>
      <c r="NO27" s="197"/>
      <c r="NP27" s="197"/>
      <c r="NQ27" s="197"/>
      <c r="NR27" s="197"/>
      <c r="NS27" s="197"/>
      <c r="NT27" s="197"/>
      <c r="NU27" s="197"/>
      <c r="NV27" s="197"/>
      <c r="NW27" s="197"/>
      <c r="NX27" s="197"/>
      <c r="NY27" s="197"/>
      <c r="NZ27" s="197"/>
      <c r="OA27" s="197"/>
      <c r="OB27" s="197"/>
      <c r="OC27" s="197"/>
      <c r="OD27" s="197"/>
      <c r="OE27" s="197"/>
      <c r="OF27" s="197"/>
      <c r="OG27" s="197"/>
      <c r="OH27" s="197"/>
      <c r="OI27" s="197"/>
      <c r="OJ27" s="197"/>
      <c r="OK27" s="197"/>
      <c r="OL27" s="197"/>
      <c r="OM27" s="197"/>
      <c r="ON27" s="197"/>
      <c r="OO27" s="197"/>
      <c r="OP27" s="197"/>
      <c r="OQ27" s="197"/>
      <c r="OR27" s="197"/>
      <c r="OS27" s="197"/>
      <c r="OT27" s="197"/>
      <c r="OU27" s="197"/>
      <c r="OV27" s="197"/>
      <c r="OW27" s="197"/>
      <c r="OX27" s="197"/>
      <c r="OY27" s="197"/>
      <c r="OZ27" s="197"/>
      <c r="PA27" s="197"/>
      <c r="PB27" s="197"/>
      <c r="PC27" s="197"/>
      <c r="PD27" s="197"/>
      <c r="PE27" s="197"/>
      <c r="PF27" s="197"/>
      <c r="PG27" s="197"/>
      <c r="PH27" s="197"/>
      <c r="PI27" s="197"/>
      <c r="PJ27" s="197"/>
      <c r="PK27" s="197"/>
      <c r="PL27" s="197"/>
      <c r="PM27" s="197"/>
      <c r="PN27" s="197"/>
      <c r="PO27" s="197"/>
      <c r="PP27" s="197"/>
      <c r="PQ27" s="197"/>
      <c r="PR27" s="197"/>
      <c r="PS27" s="197"/>
      <c r="PT27" s="197"/>
      <c r="PU27" s="197"/>
      <c r="PV27" s="197"/>
      <c r="PW27" s="197"/>
      <c r="PX27" s="197"/>
      <c r="PY27" s="197"/>
      <c r="PZ27" s="197"/>
      <c r="QA27" s="197"/>
      <c r="QB27" s="197"/>
      <c r="QC27" s="197"/>
      <c r="QD27" s="197"/>
      <c r="QE27" s="197"/>
      <c r="QF27" s="197"/>
      <c r="QG27" s="197"/>
      <c r="QH27" s="197"/>
      <c r="QI27" s="197"/>
      <c r="QJ27" s="197"/>
      <c r="QK27" s="197"/>
      <c r="QL27" s="197"/>
      <c r="QM27" s="197"/>
      <c r="QN27" s="197"/>
      <c r="QO27" s="197"/>
      <c r="QP27" s="197"/>
      <c r="QQ27" s="197"/>
      <c r="QR27" s="197"/>
      <c r="QS27" s="197"/>
      <c r="QT27" s="197"/>
      <c r="QU27" s="197"/>
      <c r="QV27" s="197"/>
      <c r="QW27" s="197"/>
      <c r="QX27" s="197"/>
      <c r="QY27" s="197"/>
      <c r="QZ27" s="197"/>
      <c r="RA27" s="197"/>
      <c r="RB27" s="197"/>
      <c r="RC27" s="197"/>
      <c r="RD27" s="197"/>
      <c r="RE27" s="197"/>
      <c r="RF27" s="197"/>
      <c r="RG27" s="197"/>
      <c r="RH27" s="197"/>
      <c r="RI27" s="197"/>
      <c r="RJ27" s="197"/>
      <c r="RK27" s="197"/>
      <c r="RL27" s="197"/>
      <c r="RM27" s="197"/>
      <c r="RN27" s="197"/>
      <c r="RO27" s="197"/>
      <c r="RP27" s="197"/>
      <c r="RQ27" s="197"/>
      <c r="RR27" s="197"/>
      <c r="RS27" s="197"/>
      <c r="RT27" s="197"/>
      <c r="RU27" s="197"/>
      <c r="RV27" s="197"/>
      <c r="RW27" s="197"/>
      <c r="RX27" s="197"/>
      <c r="RY27" s="197"/>
      <c r="RZ27" s="197"/>
      <c r="SA27" s="197"/>
      <c r="SB27" s="197"/>
      <c r="SC27" s="197"/>
      <c r="SD27" s="197"/>
      <c r="SE27" s="197"/>
      <c r="SF27" s="197"/>
      <c r="SG27" s="197"/>
      <c r="SH27" s="197"/>
      <c r="SI27" s="197"/>
      <c r="SJ27" s="197"/>
      <c r="SK27" s="197"/>
      <c r="SL27" s="197"/>
      <c r="SM27" s="197"/>
      <c r="SN27" s="197"/>
      <c r="SO27" s="197"/>
      <c r="SP27" s="197"/>
      <c r="SQ27" s="197"/>
      <c r="SR27" s="197"/>
      <c r="SS27" s="197"/>
      <c r="ST27" s="197"/>
      <c r="SU27" s="197"/>
      <c r="SV27" s="197"/>
      <c r="SW27" s="197"/>
      <c r="SX27" s="197"/>
      <c r="SY27" s="197"/>
      <c r="SZ27" s="197"/>
      <c r="TA27" s="197"/>
      <c r="TB27" s="197"/>
      <c r="TC27" s="197"/>
      <c r="TD27" s="197"/>
      <c r="TE27" s="197"/>
      <c r="TF27" s="197"/>
      <c r="TG27" s="197"/>
      <c r="TH27" s="197"/>
      <c r="TI27" s="197"/>
      <c r="TJ27" s="197"/>
      <c r="TK27" s="197"/>
      <c r="TL27" s="197"/>
      <c r="TM27" s="197"/>
      <c r="TN27" s="197"/>
      <c r="TO27" s="197"/>
      <c r="TP27" s="197"/>
      <c r="TQ27" s="197"/>
      <c r="TR27" s="197"/>
      <c r="TS27" s="197"/>
      <c r="TT27" s="197"/>
      <c r="TU27" s="197"/>
      <c r="TV27" s="197"/>
      <c r="TW27" s="197"/>
      <c r="TX27" s="197"/>
      <c r="TY27" s="197"/>
      <c r="TZ27" s="197"/>
      <c r="UA27" s="197"/>
      <c r="UB27" s="197"/>
      <c r="UC27" s="197"/>
      <c r="UD27" s="197"/>
      <c r="UE27" s="197"/>
      <c r="UF27" s="197"/>
      <c r="UG27" s="197"/>
      <c r="UH27" s="197"/>
      <c r="UI27" s="197"/>
      <c r="UJ27" s="197"/>
      <c r="UK27" s="197"/>
      <c r="UL27" s="197"/>
      <c r="UM27" s="197"/>
      <c r="UN27" s="197"/>
      <c r="UO27" s="197"/>
      <c r="UP27" s="197"/>
      <c r="UQ27" s="197"/>
      <c r="UR27" s="197"/>
      <c r="US27" s="197"/>
      <c r="UT27" s="197"/>
      <c r="UU27" s="197"/>
      <c r="UV27" s="197"/>
      <c r="UW27" s="197"/>
      <c r="UX27" s="197"/>
      <c r="UY27" s="197"/>
      <c r="UZ27" s="197"/>
      <c r="VA27" s="197"/>
      <c r="VB27" s="197"/>
      <c r="VC27" s="197"/>
      <c r="VD27" s="197"/>
      <c r="VE27" s="197"/>
      <c r="VF27" s="197"/>
      <c r="VG27" s="197"/>
      <c r="VH27" s="197"/>
      <c r="VI27" s="197"/>
      <c r="VJ27" s="197"/>
      <c r="VK27" s="197"/>
      <c r="VL27" s="197"/>
      <c r="VM27" s="197"/>
      <c r="VN27" s="197"/>
      <c r="VO27" s="197"/>
      <c r="VP27" s="197"/>
      <c r="VQ27" s="197"/>
      <c r="VR27" s="197"/>
      <c r="VS27" s="197"/>
      <c r="VT27" s="197"/>
      <c r="VU27" s="197"/>
      <c r="VV27" s="197"/>
      <c r="VW27" s="197"/>
      <c r="VX27" s="197"/>
      <c r="VY27" s="197"/>
      <c r="VZ27" s="197"/>
      <c r="WA27" s="197"/>
      <c r="WB27" s="197"/>
      <c r="WC27" s="197"/>
      <c r="WD27" s="197"/>
      <c r="WE27" s="197"/>
      <c r="WF27" s="197"/>
      <c r="WG27" s="197"/>
      <c r="WH27" s="197"/>
      <c r="WI27" s="197"/>
      <c r="WJ27" s="197"/>
      <c r="WK27" s="197"/>
      <c r="WL27" s="197"/>
      <c r="WM27" s="197"/>
      <c r="WN27" s="197"/>
      <c r="WO27" s="197"/>
      <c r="WP27" s="197"/>
      <c r="WQ27" s="197"/>
      <c r="WR27" s="197"/>
      <c r="WS27" s="197"/>
      <c r="WT27" s="197"/>
      <c r="WU27" s="197"/>
      <c r="WV27" s="197"/>
      <c r="WW27" s="197"/>
      <c r="WX27" s="197"/>
      <c r="WY27" s="197"/>
      <c r="WZ27" s="197"/>
      <c r="XA27" s="197"/>
      <c r="XB27" s="197"/>
      <c r="XC27" s="197"/>
      <c r="XD27" s="197"/>
      <c r="XE27" s="197"/>
      <c r="XF27" s="197"/>
      <c r="XG27" s="197"/>
      <c r="XH27" s="197"/>
      <c r="XI27" s="197"/>
      <c r="XJ27" s="197"/>
      <c r="XK27" s="197"/>
      <c r="XL27" s="197"/>
      <c r="XM27" s="197"/>
      <c r="XN27" s="197"/>
      <c r="XO27" s="197"/>
      <c r="XP27" s="197"/>
      <c r="XQ27" s="197"/>
      <c r="XR27" s="197"/>
      <c r="XS27" s="197"/>
      <c r="XT27" s="197"/>
      <c r="XU27" s="197"/>
      <c r="XV27" s="197"/>
      <c r="XW27" s="197"/>
      <c r="XX27" s="197"/>
      <c r="XY27" s="197"/>
      <c r="XZ27" s="197"/>
      <c r="YA27" s="197"/>
      <c r="YB27" s="197"/>
      <c r="YC27" s="197"/>
      <c r="YD27" s="197"/>
      <c r="YE27" s="197"/>
      <c r="YF27" s="197"/>
      <c r="YG27" s="197"/>
      <c r="YH27" s="197"/>
      <c r="YI27" s="197"/>
      <c r="YJ27" s="197"/>
      <c r="YK27" s="197"/>
      <c r="YL27" s="197"/>
      <c r="YM27" s="197"/>
      <c r="YN27" s="197"/>
      <c r="YO27" s="197"/>
      <c r="YP27" s="197"/>
      <c r="YQ27" s="197"/>
      <c r="YR27" s="197"/>
      <c r="YS27" s="197"/>
      <c r="YT27" s="197"/>
      <c r="YU27" s="197"/>
      <c r="YV27" s="197"/>
      <c r="YW27" s="197"/>
      <c r="YX27" s="197"/>
      <c r="YY27" s="197"/>
      <c r="YZ27" s="197"/>
      <c r="ZA27" s="197"/>
      <c r="ZB27" s="197"/>
      <c r="ZC27" s="197"/>
      <c r="ZD27" s="197"/>
      <c r="ZE27" s="197"/>
      <c r="ZF27" s="197"/>
      <c r="ZG27" s="197"/>
      <c r="ZH27" s="197"/>
      <c r="ZI27" s="197"/>
      <c r="ZJ27" s="197"/>
      <c r="ZK27" s="197"/>
      <c r="ZL27" s="197"/>
      <c r="ZM27" s="197"/>
      <c r="ZN27" s="197"/>
      <c r="ZO27" s="197"/>
      <c r="ZP27" s="197"/>
      <c r="ZQ27" s="197"/>
      <c r="ZR27" s="197"/>
      <c r="ZS27" s="197"/>
      <c r="ZT27" s="197"/>
      <c r="ZU27" s="197"/>
      <c r="ZV27" s="197"/>
      <c r="ZW27" s="197"/>
      <c r="ZX27" s="197"/>
      <c r="ZY27" s="197"/>
      <c r="ZZ27" s="197"/>
      <c r="AAA27" s="197"/>
      <c r="AAB27" s="197"/>
      <c r="AAC27" s="197"/>
      <c r="AAD27" s="197"/>
      <c r="AAE27" s="197"/>
      <c r="AAF27" s="197"/>
      <c r="AAG27" s="197"/>
      <c r="AAH27" s="197"/>
      <c r="AAI27" s="197"/>
      <c r="AAJ27" s="197"/>
      <c r="AAK27" s="197"/>
      <c r="AAL27" s="197"/>
      <c r="AAM27" s="197"/>
      <c r="AAN27" s="197"/>
      <c r="AAO27" s="197"/>
      <c r="AAP27" s="197"/>
      <c r="AAQ27" s="197"/>
      <c r="AAR27" s="197"/>
      <c r="AAS27" s="197"/>
      <c r="AAT27" s="197"/>
      <c r="AAU27" s="197"/>
      <c r="AAV27" s="197"/>
      <c r="AAW27" s="197"/>
      <c r="AAX27" s="197"/>
      <c r="AAY27" s="197"/>
      <c r="AAZ27" s="197"/>
      <c r="ABA27" s="197"/>
      <c r="ABB27" s="197"/>
      <c r="ABC27" s="197"/>
      <c r="ABD27" s="197"/>
      <c r="ABE27" s="197"/>
      <c r="ABF27" s="197"/>
      <c r="ABG27" s="197"/>
      <c r="ABH27" s="197"/>
      <c r="ABI27" s="197"/>
      <c r="ABJ27" s="197"/>
      <c r="ABK27" s="197"/>
      <c r="ABL27" s="197"/>
      <c r="ABM27" s="197"/>
      <c r="ABN27" s="197"/>
      <c r="ABO27" s="197"/>
      <c r="ABP27" s="197"/>
      <c r="ABQ27" s="197"/>
      <c r="ABR27" s="197"/>
      <c r="ABS27" s="197"/>
      <c r="ABT27" s="197"/>
      <c r="ABU27" s="197"/>
      <c r="ABV27" s="197"/>
      <c r="ABW27" s="197"/>
      <c r="ABX27" s="197"/>
      <c r="ABY27" s="197"/>
      <c r="ABZ27" s="197"/>
      <c r="ACA27" s="197"/>
      <c r="ACB27" s="197"/>
      <c r="ACC27" s="197"/>
      <c r="ACD27" s="197"/>
      <c r="ACE27" s="197"/>
      <c r="ACF27" s="197"/>
      <c r="ACG27" s="197"/>
      <c r="ACH27" s="197"/>
      <c r="ACI27" s="197"/>
      <c r="ACJ27" s="197"/>
      <c r="ACK27" s="197"/>
      <c r="ACL27" s="197"/>
      <c r="ACM27" s="197"/>
      <c r="ACN27" s="197"/>
      <c r="ACO27" s="197"/>
      <c r="ACP27" s="197"/>
      <c r="ACQ27" s="197"/>
      <c r="ACR27" s="197"/>
      <c r="ACS27" s="197"/>
      <c r="ACT27" s="197"/>
      <c r="ACU27" s="197"/>
      <c r="ACV27" s="197"/>
      <c r="ACW27" s="197"/>
      <c r="ACX27" s="197"/>
      <c r="ACY27" s="197"/>
      <c r="ACZ27" s="197"/>
      <c r="ADA27" s="197"/>
      <c r="ADB27" s="197"/>
      <c r="ADC27" s="197"/>
      <c r="ADD27" s="197"/>
      <c r="ADE27" s="197"/>
      <c r="ADF27" s="197"/>
      <c r="ADG27" s="197"/>
      <c r="ADH27" s="197"/>
      <c r="ADI27" s="197"/>
      <c r="ADJ27" s="197"/>
      <c r="ADK27" s="197"/>
      <c r="ADL27" s="197"/>
      <c r="ADM27" s="197"/>
      <c r="ADN27" s="197"/>
      <c r="ADO27" s="197"/>
      <c r="ADP27" s="197"/>
      <c r="ADQ27" s="197"/>
      <c r="ADR27" s="197"/>
      <c r="ADS27" s="197"/>
      <c r="ADT27" s="197"/>
      <c r="ADU27" s="197"/>
      <c r="ADV27" s="197"/>
      <c r="ADW27" s="197"/>
      <c r="ADX27" s="197"/>
      <c r="ADY27" s="197"/>
      <c r="ADZ27" s="197"/>
      <c r="AEA27" s="197"/>
      <c r="AEB27" s="197"/>
      <c r="AEC27" s="197"/>
      <c r="AED27" s="197"/>
      <c r="AEE27" s="197"/>
      <c r="AEF27" s="197"/>
      <c r="AEG27" s="197"/>
      <c r="AEH27" s="197"/>
      <c r="AEI27" s="197"/>
      <c r="AEJ27" s="197"/>
      <c r="AEK27" s="197"/>
      <c r="AEL27" s="197"/>
      <c r="AEM27" s="197"/>
      <c r="AEN27" s="197"/>
      <c r="AEO27" s="197"/>
      <c r="AEP27" s="197"/>
      <c r="AEQ27" s="197"/>
      <c r="AER27" s="197"/>
      <c r="AES27" s="197"/>
      <c r="AET27" s="197"/>
      <c r="AEU27" s="197"/>
      <c r="AEV27" s="197"/>
      <c r="AEW27" s="197"/>
      <c r="AEX27" s="197"/>
      <c r="AEY27" s="197"/>
      <c r="AEZ27" s="197"/>
      <c r="AFA27" s="197"/>
      <c r="AFB27" s="197"/>
      <c r="AFC27" s="197"/>
      <c r="AFD27" s="197"/>
      <c r="AFE27" s="197"/>
      <c r="AFF27" s="197"/>
      <c r="AFG27" s="197"/>
      <c r="AFH27" s="197"/>
      <c r="AFI27" s="197"/>
      <c r="AFJ27" s="197"/>
      <c r="AFK27" s="197"/>
      <c r="AFL27" s="197"/>
      <c r="AFM27" s="197"/>
      <c r="AFN27" s="197"/>
      <c r="AFO27" s="197"/>
      <c r="AFP27" s="197"/>
      <c r="AFQ27" s="197"/>
      <c r="AFR27" s="197"/>
      <c r="AFS27" s="197"/>
      <c r="AFT27" s="197"/>
      <c r="AFU27" s="197"/>
      <c r="AFV27" s="197"/>
      <c r="AFW27" s="197"/>
      <c r="AFX27" s="197"/>
      <c r="AFY27" s="197"/>
      <c r="AFZ27" s="197"/>
      <c r="AGA27" s="197"/>
      <c r="AGB27" s="197"/>
      <c r="AGC27" s="197"/>
      <c r="AGD27" s="197"/>
      <c r="AGE27" s="197"/>
      <c r="AGF27" s="197"/>
      <c r="AGG27" s="197"/>
      <c r="AGH27" s="197"/>
      <c r="AGI27" s="197"/>
      <c r="AGJ27" s="197"/>
      <c r="AGK27" s="197"/>
      <c r="AGL27" s="197"/>
      <c r="AGM27" s="197"/>
      <c r="AGN27" s="197"/>
      <c r="AGO27" s="197"/>
      <c r="AGP27" s="197"/>
      <c r="AGQ27" s="197"/>
      <c r="AGR27" s="197"/>
      <c r="AGS27" s="197"/>
      <c r="AGT27" s="197"/>
      <c r="AGU27" s="197"/>
      <c r="AGV27" s="197"/>
      <c r="AGW27" s="197"/>
      <c r="AGX27" s="197"/>
      <c r="AGY27" s="197"/>
      <c r="AGZ27" s="197"/>
      <c r="AHA27" s="197"/>
      <c r="AHB27" s="197"/>
      <c r="AHC27" s="197"/>
      <c r="AHD27" s="197"/>
      <c r="AHE27" s="197"/>
      <c r="AHF27" s="197"/>
      <c r="AHG27" s="197"/>
      <c r="AHH27" s="197"/>
      <c r="AHI27" s="197"/>
      <c r="AHJ27" s="197"/>
      <c r="AHK27" s="197"/>
      <c r="AHL27" s="197"/>
      <c r="AHM27" s="197"/>
      <c r="AHN27" s="197"/>
      <c r="AHO27" s="197"/>
      <c r="AHP27" s="197"/>
      <c r="AHQ27" s="197"/>
      <c r="AHR27" s="197"/>
      <c r="AHS27" s="197"/>
      <c r="AHT27" s="197"/>
      <c r="AHU27" s="197"/>
      <c r="AHV27" s="197"/>
      <c r="AHW27" s="197"/>
      <c r="AHX27" s="197"/>
      <c r="AHY27" s="197"/>
      <c r="AHZ27" s="197"/>
      <c r="AIA27" s="197"/>
      <c r="AIB27" s="197"/>
      <c r="AIC27" s="197"/>
      <c r="AID27" s="197"/>
      <c r="AIE27" s="197"/>
      <c r="AIF27" s="197"/>
      <c r="AIG27" s="197"/>
      <c r="AIH27" s="197"/>
      <c r="AII27" s="197"/>
      <c r="AIJ27" s="197"/>
      <c r="AIK27" s="197"/>
      <c r="AIL27" s="197"/>
      <c r="AIM27" s="197"/>
      <c r="AIN27" s="197"/>
      <c r="AIO27" s="197"/>
      <c r="AIP27" s="197"/>
      <c r="AIQ27" s="197"/>
      <c r="AIR27" s="197"/>
      <c r="AIS27" s="197"/>
      <c r="AIT27" s="197"/>
      <c r="AIU27" s="197"/>
      <c r="AIV27" s="197"/>
      <c r="AIW27" s="197"/>
      <c r="AIX27" s="197"/>
      <c r="AIY27" s="197"/>
      <c r="AIZ27" s="197"/>
      <c r="AJA27" s="197"/>
      <c r="AJB27" s="197"/>
      <c r="AJC27" s="197"/>
      <c r="AJD27" s="197"/>
      <c r="AJE27" s="197"/>
      <c r="AJF27" s="197"/>
      <c r="AJG27" s="197"/>
      <c r="AJH27" s="197"/>
      <c r="AJI27" s="197"/>
      <c r="AJJ27" s="197"/>
      <c r="AJK27" s="197"/>
      <c r="AJL27" s="197"/>
      <c r="AJM27" s="197"/>
      <c r="AJN27" s="197"/>
      <c r="AJO27" s="197"/>
      <c r="AJP27" s="197"/>
      <c r="AJQ27" s="197"/>
      <c r="AJR27" s="197"/>
      <c r="AJS27" s="197"/>
      <c r="AJT27" s="197"/>
      <c r="AJU27" s="197"/>
      <c r="AJV27" s="197"/>
      <c r="AJW27" s="197"/>
      <c r="AJX27" s="197"/>
      <c r="AJY27" s="197"/>
      <c r="AJZ27" s="197"/>
      <c r="AKA27" s="197"/>
      <c r="AKB27" s="197"/>
      <c r="AKC27" s="197"/>
      <c r="AKD27" s="197"/>
      <c r="AKE27" s="197"/>
      <c r="AKF27" s="197"/>
      <c r="AKG27" s="197"/>
      <c r="AKH27" s="197"/>
      <c r="AKI27" s="197"/>
      <c r="AKJ27" s="197"/>
      <c r="AKK27" s="197"/>
      <c r="AKL27" s="197"/>
      <c r="AKM27" s="197"/>
      <c r="AKN27" s="197"/>
      <c r="AKO27" s="197"/>
      <c r="AKP27" s="197"/>
      <c r="AKQ27" s="197"/>
      <c r="AKR27" s="197"/>
      <c r="AKS27" s="197"/>
      <c r="AKT27" s="197"/>
      <c r="AKU27" s="197"/>
      <c r="AKV27" s="197"/>
      <c r="AKW27" s="197"/>
      <c r="AKX27" s="197"/>
      <c r="AKY27" s="197"/>
      <c r="AKZ27" s="197"/>
      <c r="ALA27" s="197"/>
      <c r="ALB27" s="197"/>
      <c r="ALC27" s="197"/>
      <c r="ALD27" s="197"/>
      <c r="ALE27" s="197"/>
      <c r="ALF27" s="197"/>
      <c r="ALG27" s="197"/>
      <c r="ALH27" s="197"/>
      <c r="ALI27" s="197"/>
      <c r="ALJ27" s="197"/>
      <c r="ALK27" s="197"/>
      <c r="ALL27" s="197"/>
      <c r="ALM27" s="197"/>
      <c r="ALN27" s="197"/>
      <c r="ALO27" s="197"/>
      <c r="ALP27" s="197"/>
      <c r="ALQ27" s="197"/>
      <c r="ALR27" s="197"/>
      <c r="ALS27" s="197"/>
      <c r="ALT27" s="197"/>
      <c r="ALU27" s="197"/>
      <c r="ALV27" s="197"/>
      <c r="ALW27" s="197"/>
      <c r="ALX27" s="197"/>
      <c r="ALY27" s="197"/>
      <c r="ALZ27" s="197"/>
      <c r="AMA27" s="197"/>
      <c r="AMB27" s="197"/>
      <c r="AMC27" s="197"/>
      <c r="AMD27" s="197"/>
      <c r="AME27" s="197"/>
      <c r="AMF27" s="197"/>
      <c r="AMG27" s="197"/>
      <c r="AMH27" s="197"/>
      <c r="AMI27" s="197"/>
      <c r="AMJ27" s="197"/>
      <c r="AMK27" s="197"/>
      <c r="AML27" s="197"/>
      <c r="AMM27" s="197"/>
      <c r="AMN27" s="197"/>
      <c r="AMO27" s="197"/>
      <c r="AMP27" s="197"/>
      <c r="AMQ27" s="197"/>
      <c r="AMR27" s="197"/>
      <c r="AMS27" s="197"/>
      <c r="AMT27" s="197"/>
      <c r="AMU27" s="197"/>
      <c r="AMV27" s="197"/>
      <c r="AMW27" s="197"/>
      <c r="AMX27" s="197"/>
      <c r="AMY27" s="197"/>
      <c r="AMZ27" s="197"/>
      <c r="ANA27" s="197"/>
      <c r="ANB27" s="197"/>
      <c r="ANC27" s="197"/>
      <c r="AND27" s="197"/>
      <c r="ANE27" s="197"/>
      <c r="ANF27" s="197"/>
      <c r="ANG27" s="197"/>
      <c r="ANH27" s="197"/>
      <c r="ANI27" s="197"/>
      <c r="ANJ27" s="197"/>
      <c r="ANK27" s="197"/>
      <c r="ANL27" s="197"/>
      <c r="ANM27" s="197"/>
      <c r="ANN27" s="197"/>
      <c r="ANO27" s="197"/>
      <c r="ANP27" s="197"/>
      <c r="ANQ27" s="197"/>
      <c r="ANR27" s="197"/>
      <c r="ANS27" s="197"/>
      <c r="ANT27" s="197"/>
      <c r="ANU27" s="197"/>
      <c r="ANV27" s="197"/>
      <c r="ANW27" s="197"/>
      <c r="ANX27" s="197"/>
      <c r="ANY27" s="197"/>
      <c r="ANZ27" s="197"/>
      <c r="AOA27" s="197"/>
      <c r="AOB27" s="197"/>
      <c r="AOC27" s="197"/>
      <c r="AOD27" s="197"/>
      <c r="AOE27" s="197"/>
      <c r="AOF27" s="197"/>
      <c r="AOG27" s="197"/>
      <c r="AOH27" s="197"/>
      <c r="AOI27" s="197"/>
      <c r="AOJ27" s="197"/>
      <c r="AOK27" s="197"/>
      <c r="AOL27" s="197"/>
      <c r="AOM27" s="197"/>
      <c r="AON27" s="197"/>
      <c r="AOO27" s="197"/>
      <c r="AOP27" s="197"/>
      <c r="AOQ27" s="197"/>
      <c r="AOR27" s="197"/>
      <c r="AOS27" s="197"/>
      <c r="AOT27" s="197"/>
      <c r="AOU27" s="197"/>
      <c r="AOV27" s="197"/>
      <c r="AOW27" s="197"/>
      <c r="AOX27" s="197"/>
      <c r="AOY27" s="197"/>
      <c r="AOZ27" s="197"/>
      <c r="APA27" s="197"/>
      <c r="APB27" s="197"/>
      <c r="APC27" s="197"/>
      <c r="APD27" s="197"/>
      <c r="APE27" s="197"/>
      <c r="APF27" s="197"/>
      <c r="APG27" s="197"/>
      <c r="APH27" s="197"/>
      <c r="API27" s="197"/>
      <c r="APJ27" s="197"/>
      <c r="APK27" s="197"/>
      <c r="APL27" s="197"/>
      <c r="APM27" s="197"/>
      <c r="APN27" s="197"/>
      <c r="APO27" s="197"/>
      <c r="APP27" s="197"/>
      <c r="APQ27" s="197"/>
      <c r="APR27" s="197"/>
      <c r="APS27" s="197"/>
      <c r="APT27" s="197"/>
      <c r="APU27" s="197"/>
      <c r="APV27" s="197"/>
      <c r="APW27" s="197"/>
      <c r="APX27" s="197"/>
      <c r="APY27" s="197"/>
      <c r="APZ27" s="197"/>
      <c r="AQA27" s="197"/>
      <c r="AQB27" s="197"/>
      <c r="AQC27" s="197"/>
      <c r="AQD27" s="197"/>
      <c r="AQE27" s="197"/>
      <c r="AQF27" s="197"/>
      <c r="AQG27" s="197"/>
      <c r="AQH27" s="197"/>
      <c r="AQI27" s="197"/>
      <c r="AQJ27" s="197"/>
      <c r="AQK27" s="197"/>
      <c r="AQL27" s="197"/>
      <c r="AQM27" s="197"/>
      <c r="AQN27" s="197"/>
      <c r="AQO27" s="197"/>
      <c r="AQP27" s="197"/>
      <c r="AQQ27" s="197"/>
      <c r="AQR27" s="197"/>
      <c r="AQS27" s="197"/>
      <c r="AQT27" s="197"/>
      <c r="AQU27" s="197"/>
      <c r="AQV27" s="197"/>
      <c r="AQW27" s="197"/>
      <c r="AQX27" s="197"/>
      <c r="AQY27" s="197"/>
      <c r="AQZ27" s="197"/>
      <c r="ARA27" s="197"/>
      <c r="ARB27" s="197"/>
      <c r="ARC27" s="197"/>
      <c r="ARD27" s="197"/>
      <c r="ARE27" s="197"/>
      <c r="ARF27" s="197"/>
      <c r="ARG27" s="197"/>
      <c r="ARH27" s="197"/>
      <c r="ARI27" s="197"/>
      <c r="ARJ27" s="197"/>
      <c r="ARK27" s="197"/>
      <c r="ARL27" s="197"/>
      <c r="ARM27" s="197"/>
      <c r="ARN27" s="197"/>
      <c r="ARO27" s="197"/>
      <c r="ARP27" s="197"/>
      <c r="ARQ27" s="197"/>
      <c r="ARR27" s="197"/>
      <c r="ARS27" s="197"/>
      <c r="ART27" s="197"/>
      <c r="ARU27" s="197"/>
      <c r="ARV27" s="197"/>
      <c r="ARW27" s="197"/>
      <c r="ARX27" s="197"/>
      <c r="ARY27" s="197"/>
      <c r="ARZ27" s="197"/>
      <c r="ASA27" s="197"/>
      <c r="ASB27" s="197"/>
      <c r="ASC27" s="197"/>
      <c r="ASD27" s="197"/>
      <c r="ASE27" s="197"/>
      <c r="ASF27" s="197"/>
      <c r="ASG27" s="197"/>
      <c r="ASH27" s="197"/>
      <c r="ASI27" s="197"/>
      <c r="ASJ27" s="197"/>
      <c r="ASK27" s="197"/>
      <c r="ASL27" s="197"/>
      <c r="ASM27" s="197"/>
      <c r="ASN27" s="197"/>
      <c r="ASO27" s="197"/>
      <c r="ASP27" s="197"/>
      <c r="ASQ27" s="197"/>
      <c r="ASR27" s="197"/>
      <c r="ASS27" s="197"/>
      <c r="AST27" s="197"/>
      <c r="ASU27" s="197"/>
      <c r="ASV27" s="197"/>
      <c r="ASW27" s="197"/>
      <c r="ASX27" s="197"/>
      <c r="ASY27" s="197"/>
      <c r="ASZ27" s="197"/>
      <c r="ATA27" s="197"/>
      <c r="ATB27" s="197"/>
      <c r="ATC27" s="197"/>
      <c r="ATD27" s="197"/>
      <c r="ATE27" s="197"/>
      <c r="ATF27" s="197"/>
      <c r="ATG27" s="197"/>
      <c r="ATH27" s="197"/>
      <c r="ATI27" s="197"/>
      <c r="ATJ27" s="197"/>
      <c r="ATK27" s="197"/>
      <c r="ATL27" s="197"/>
      <c r="ATM27" s="197"/>
      <c r="ATN27" s="197"/>
      <c r="ATO27" s="197"/>
      <c r="ATP27" s="197"/>
      <c r="ATQ27" s="197"/>
      <c r="ATR27" s="197"/>
      <c r="ATS27" s="197"/>
      <c r="ATT27" s="197"/>
      <c r="ATU27" s="197"/>
      <c r="ATV27" s="197"/>
      <c r="ATW27" s="197"/>
      <c r="ATX27" s="197"/>
      <c r="ATY27" s="197"/>
      <c r="ATZ27" s="197"/>
      <c r="AUA27" s="197"/>
      <c r="AUB27" s="197"/>
      <c r="AUC27" s="197"/>
      <c r="AUD27" s="197"/>
      <c r="AUE27" s="197"/>
      <c r="AUF27" s="197"/>
      <c r="AUG27" s="197"/>
      <c r="AUH27" s="197"/>
      <c r="AUI27" s="197"/>
      <c r="AUJ27" s="197"/>
      <c r="AUK27" s="197"/>
      <c r="AUL27" s="197"/>
      <c r="AUM27" s="197"/>
      <c r="AUN27" s="197"/>
      <c r="AUO27" s="197"/>
      <c r="AUP27" s="197"/>
      <c r="AUQ27" s="197"/>
      <c r="AUR27" s="197"/>
      <c r="AUS27" s="197"/>
      <c r="AUT27" s="197"/>
      <c r="AUU27" s="197"/>
      <c r="AUV27" s="197"/>
      <c r="AUW27" s="197"/>
      <c r="AUX27" s="197"/>
      <c r="AUY27" s="197"/>
      <c r="AUZ27" s="197"/>
      <c r="AVA27" s="197"/>
      <c r="AVB27" s="197"/>
      <c r="AVC27" s="197"/>
      <c r="AVD27" s="197"/>
      <c r="AVE27" s="197"/>
      <c r="AVF27" s="197"/>
      <c r="AVG27" s="197"/>
      <c r="AVH27" s="197"/>
      <c r="AVI27" s="197"/>
      <c r="AVJ27" s="197"/>
      <c r="AVK27" s="197"/>
      <c r="AVL27" s="197"/>
      <c r="AVM27" s="197"/>
      <c r="AVN27" s="197"/>
      <c r="AVO27" s="197"/>
      <c r="AVP27" s="197"/>
      <c r="AVQ27" s="197"/>
      <c r="AVR27" s="197"/>
      <c r="AVS27" s="197"/>
      <c r="AVT27" s="197"/>
      <c r="AVU27" s="197"/>
      <c r="AVV27" s="197"/>
      <c r="AVW27" s="197"/>
      <c r="AVX27" s="197"/>
      <c r="AVY27" s="197"/>
      <c r="AVZ27" s="197"/>
      <c r="AWA27" s="197"/>
      <c r="AWB27" s="197"/>
      <c r="AWC27" s="197"/>
      <c r="AWD27" s="197"/>
      <c r="AWE27" s="197"/>
      <c r="AWF27" s="197"/>
      <c r="AWG27" s="197"/>
      <c r="AWH27" s="197"/>
      <c r="AWI27" s="197"/>
      <c r="AWJ27" s="197"/>
      <c r="AWK27" s="197"/>
      <c r="AWL27" s="197"/>
      <c r="AWM27" s="197"/>
      <c r="AWN27" s="197"/>
      <c r="AWO27" s="197"/>
      <c r="AWP27" s="197"/>
      <c r="AWQ27" s="197"/>
      <c r="AWR27" s="197"/>
      <c r="AWS27" s="197"/>
      <c r="AWT27" s="197"/>
      <c r="AWU27" s="197"/>
      <c r="AWV27" s="197"/>
      <c r="AWW27" s="197"/>
      <c r="AWX27" s="197"/>
      <c r="AWY27" s="197"/>
      <c r="AWZ27" s="197"/>
      <c r="AXA27" s="197"/>
      <c r="AXB27" s="197"/>
      <c r="AXC27" s="197"/>
      <c r="AXD27" s="197"/>
      <c r="AXE27" s="197"/>
      <c r="AXF27" s="197"/>
      <c r="AXG27" s="197"/>
      <c r="AXH27" s="197"/>
      <c r="AXI27" s="197"/>
      <c r="AXJ27" s="197"/>
      <c r="AXK27" s="197"/>
      <c r="AXL27" s="197"/>
      <c r="AXM27" s="197"/>
      <c r="AXN27" s="197"/>
      <c r="AXO27" s="197"/>
      <c r="AXP27" s="197"/>
      <c r="AXQ27" s="197"/>
      <c r="AXR27" s="197"/>
      <c r="AXS27" s="197"/>
      <c r="AXT27" s="197"/>
      <c r="AXU27" s="197"/>
      <c r="AXV27" s="197"/>
      <c r="AXW27" s="197"/>
      <c r="AXX27" s="197"/>
      <c r="AXY27" s="197"/>
      <c r="AXZ27" s="197"/>
      <c r="AYA27" s="197"/>
      <c r="AYB27" s="197"/>
      <c r="AYC27" s="197"/>
      <c r="AYD27" s="197"/>
      <c r="AYE27" s="197"/>
      <c r="AYF27" s="197"/>
      <c r="AYG27" s="197"/>
      <c r="AYH27" s="197"/>
      <c r="AYI27" s="197"/>
      <c r="AYJ27" s="197"/>
      <c r="AYK27" s="197"/>
      <c r="AYL27" s="197"/>
      <c r="AYM27" s="197"/>
      <c r="AYN27" s="197"/>
      <c r="AYO27" s="197"/>
      <c r="AYP27" s="197"/>
      <c r="AYQ27" s="197"/>
      <c r="AYR27" s="197"/>
      <c r="AYS27" s="197"/>
      <c r="AYT27" s="197"/>
      <c r="AYU27" s="197"/>
      <c r="AYV27" s="197"/>
      <c r="AYW27" s="197"/>
      <c r="AYX27" s="197"/>
      <c r="AYY27" s="197"/>
      <c r="AYZ27" s="197"/>
      <c r="AZA27" s="197"/>
      <c r="AZB27" s="197"/>
      <c r="AZC27" s="197"/>
      <c r="AZD27" s="197"/>
      <c r="AZE27" s="197"/>
      <c r="AZF27" s="197"/>
      <c r="AZG27" s="197"/>
      <c r="AZH27" s="197"/>
      <c r="AZI27" s="197"/>
      <c r="AZJ27" s="197"/>
      <c r="AZK27" s="197"/>
      <c r="AZL27" s="197"/>
      <c r="AZM27" s="197"/>
      <c r="AZN27" s="197"/>
      <c r="AZO27" s="197"/>
      <c r="AZP27" s="197"/>
      <c r="AZQ27" s="197"/>
      <c r="AZR27" s="197"/>
      <c r="AZS27" s="197"/>
      <c r="AZT27" s="197"/>
      <c r="AZU27" s="197"/>
      <c r="AZV27" s="197"/>
      <c r="AZW27" s="197"/>
      <c r="AZX27" s="197"/>
      <c r="AZY27" s="197"/>
      <c r="AZZ27" s="197"/>
      <c r="BAA27" s="197"/>
      <c r="BAB27" s="197"/>
      <c r="BAC27" s="197"/>
      <c r="BAD27" s="197"/>
      <c r="BAE27" s="197"/>
      <c r="BAF27" s="197"/>
      <c r="BAG27" s="197"/>
      <c r="BAH27" s="197"/>
      <c r="BAI27" s="197"/>
      <c r="BAJ27" s="197"/>
      <c r="BAK27" s="197"/>
      <c r="BAL27" s="197"/>
      <c r="BAM27" s="197"/>
      <c r="BAN27" s="197"/>
      <c r="BAO27" s="197"/>
      <c r="BAP27" s="197"/>
      <c r="BAQ27" s="197"/>
      <c r="BAR27" s="197"/>
      <c r="BAS27" s="197"/>
      <c r="BAT27" s="197"/>
      <c r="BAU27" s="197"/>
      <c r="BAV27" s="197"/>
      <c r="BAW27" s="197"/>
      <c r="BAX27" s="197"/>
      <c r="BAY27" s="197"/>
      <c r="BAZ27" s="197"/>
      <c r="BBA27" s="197"/>
      <c r="BBB27" s="197"/>
      <c r="BBC27" s="197"/>
      <c r="BBD27" s="197"/>
      <c r="BBE27" s="197"/>
      <c r="BBF27" s="197"/>
      <c r="BBG27" s="197"/>
      <c r="BBH27" s="197"/>
      <c r="BBI27" s="197"/>
      <c r="BBJ27" s="197"/>
      <c r="BBK27" s="197"/>
      <c r="BBL27" s="197"/>
      <c r="BBM27" s="197"/>
      <c r="BBN27" s="197"/>
      <c r="BBO27" s="197"/>
      <c r="BBP27" s="197"/>
      <c r="BBQ27" s="197"/>
      <c r="BBR27" s="197"/>
      <c r="BBS27" s="197"/>
      <c r="BBT27" s="197"/>
      <c r="BBU27" s="197"/>
      <c r="BBV27" s="197"/>
      <c r="BBW27" s="197"/>
      <c r="BBX27" s="197"/>
      <c r="BBY27" s="197"/>
      <c r="BBZ27" s="197"/>
      <c r="BCA27" s="197"/>
      <c r="BCB27" s="197"/>
      <c r="BCC27" s="197"/>
      <c r="BCD27" s="197"/>
      <c r="BCE27" s="197"/>
      <c r="BCF27" s="197"/>
      <c r="BCG27" s="197"/>
      <c r="BCH27" s="197"/>
      <c r="BCI27" s="197"/>
      <c r="BCJ27" s="197"/>
      <c r="BCK27" s="197"/>
      <c r="BCL27" s="197"/>
      <c r="BCM27" s="197"/>
      <c r="BCN27" s="197"/>
      <c r="BCO27" s="197"/>
      <c r="BCP27" s="197"/>
      <c r="BCQ27" s="197"/>
      <c r="BCR27" s="197"/>
      <c r="BCS27" s="197"/>
      <c r="BCT27" s="197"/>
      <c r="BCU27" s="197"/>
      <c r="BCV27" s="197"/>
      <c r="BCW27" s="197"/>
      <c r="BCX27" s="197"/>
      <c r="BCY27" s="197"/>
      <c r="BCZ27" s="197"/>
      <c r="BDA27" s="197"/>
      <c r="BDB27" s="197"/>
      <c r="BDC27" s="197"/>
      <c r="BDD27" s="197"/>
      <c r="BDE27" s="197"/>
      <c r="BDF27" s="197"/>
      <c r="BDG27" s="197"/>
      <c r="BDH27" s="197"/>
      <c r="BDI27" s="197"/>
      <c r="BDJ27" s="197"/>
      <c r="BDK27" s="197"/>
      <c r="BDL27" s="197"/>
      <c r="BDM27" s="197"/>
      <c r="BDN27" s="197"/>
      <c r="BDO27" s="197"/>
      <c r="BDP27" s="197"/>
      <c r="BDQ27" s="197"/>
      <c r="BDR27" s="197"/>
      <c r="BDS27" s="197"/>
      <c r="BDT27" s="197"/>
      <c r="BDU27" s="197"/>
      <c r="BDV27" s="197"/>
      <c r="BDW27" s="197"/>
      <c r="BDX27" s="197"/>
      <c r="BDY27" s="197"/>
      <c r="BDZ27" s="197"/>
      <c r="BEA27" s="197"/>
      <c r="BEB27" s="197"/>
      <c r="BEC27" s="197"/>
      <c r="BED27" s="197"/>
      <c r="BEE27" s="197"/>
      <c r="BEF27" s="197"/>
      <c r="BEG27" s="197"/>
      <c r="BEH27" s="197"/>
      <c r="BEI27" s="197"/>
      <c r="BEJ27" s="197"/>
      <c r="BEK27" s="197"/>
      <c r="BEL27" s="197"/>
      <c r="BEM27" s="197"/>
      <c r="BEN27" s="197"/>
      <c r="BEO27" s="197"/>
      <c r="BEP27" s="197"/>
      <c r="BEQ27" s="197"/>
      <c r="BER27" s="197"/>
      <c r="BES27" s="197"/>
      <c r="BET27" s="197"/>
      <c r="BEU27" s="197"/>
      <c r="BEV27" s="197"/>
      <c r="BEW27" s="197"/>
      <c r="BEX27" s="197"/>
      <c r="BEY27" s="197"/>
      <c r="BEZ27" s="197"/>
      <c r="BFA27" s="197"/>
      <c r="BFB27" s="197"/>
      <c r="BFC27" s="197"/>
      <c r="BFD27" s="197"/>
      <c r="BFE27" s="197"/>
      <c r="BFF27" s="197"/>
      <c r="BFG27" s="197"/>
      <c r="BFH27" s="197"/>
      <c r="BFI27" s="197"/>
      <c r="BFJ27" s="197"/>
      <c r="BFK27" s="197"/>
      <c r="BFL27" s="197"/>
      <c r="BFM27" s="197"/>
      <c r="BFN27" s="197"/>
      <c r="BFO27" s="197"/>
      <c r="BFP27" s="197"/>
      <c r="BFQ27" s="197"/>
      <c r="BFR27" s="197"/>
      <c r="BFS27" s="197"/>
      <c r="BFT27" s="197"/>
      <c r="BFU27" s="197"/>
      <c r="BFV27" s="197"/>
      <c r="BFW27" s="197"/>
      <c r="BFX27" s="197"/>
      <c r="BFY27" s="197"/>
      <c r="BFZ27" s="197"/>
      <c r="BGA27" s="197"/>
      <c r="BGB27" s="197"/>
      <c r="BGC27" s="197"/>
      <c r="BGD27" s="197"/>
      <c r="BGE27" s="197"/>
      <c r="BGF27" s="197"/>
      <c r="BGG27" s="197"/>
      <c r="BGH27" s="197"/>
      <c r="BGI27" s="197"/>
      <c r="BGJ27" s="197"/>
      <c r="BGK27" s="197"/>
      <c r="BGL27" s="197"/>
      <c r="BGM27" s="197"/>
      <c r="BGN27" s="197"/>
      <c r="BGO27" s="197"/>
      <c r="BGP27" s="197"/>
      <c r="BGQ27" s="197"/>
      <c r="BGR27" s="197"/>
      <c r="BGS27" s="197"/>
      <c r="BGT27" s="197"/>
      <c r="BGU27" s="197"/>
      <c r="BGV27" s="197"/>
      <c r="BGW27" s="197"/>
      <c r="BGX27" s="197"/>
      <c r="BGY27" s="197"/>
      <c r="BGZ27" s="197"/>
      <c r="BHA27" s="197"/>
      <c r="BHB27" s="197"/>
      <c r="BHC27" s="197"/>
      <c r="BHD27" s="197"/>
      <c r="BHE27" s="197"/>
      <c r="BHF27" s="197"/>
      <c r="BHG27" s="197"/>
      <c r="BHH27" s="197"/>
      <c r="BHI27" s="197"/>
      <c r="BHJ27" s="197"/>
      <c r="BHK27" s="197"/>
      <c r="BHL27" s="197"/>
      <c r="BHM27" s="197"/>
      <c r="BHN27" s="197"/>
      <c r="BHO27" s="197"/>
      <c r="BHP27" s="197"/>
      <c r="BHQ27" s="197"/>
      <c r="BHR27" s="197"/>
      <c r="BHS27" s="197"/>
      <c r="BHT27" s="197"/>
      <c r="BHU27" s="197"/>
      <c r="BHV27" s="197"/>
      <c r="BHW27" s="197"/>
      <c r="BHX27" s="197"/>
      <c r="BHY27" s="197"/>
      <c r="BHZ27" s="197"/>
      <c r="BIA27" s="197"/>
      <c r="BIB27" s="197"/>
      <c r="BIC27" s="197"/>
      <c r="BID27" s="197"/>
      <c r="BIE27" s="197"/>
      <c r="BIF27" s="197"/>
      <c r="BIG27" s="197"/>
      <c r="BIH27" s="197"/>
      <c r="BII27" s="197"/>
      <c r="BIJ27" s="197"/>
      <c r="BIK27" s="197"/>
      <c r="BIL27" s="197"/>
      <c r="BIM27" s="197"/>
      <c r="BIN27" s="197"/>
      <c r="BIO27" s="197"/>
      <c r="BIP27" s="197"/>
      <c r="BIQ27" s="197"/>
      <c r="BIR27" s="197"/>
      <c r="BIS27" s="197"/>
      <c r="BIT27" s="197"/>
      <c r="BIU27" s="197"/>
      <c r="BIV27" s="197"/>
      <c r="BIW27" s="197"/>
      <c r="BIX27" s="197"/>
      <c r="BIY27" s="197"/>
      <c r="BIZ27" s="197"/>
      <c r="BJA27" s="197"/>
      <c r="BJB27" s="197"/>
      <c r="BJC27" s="197"/>
      <c r="BJD27" s="197"/>
      <c r="BJE27" s="197"/>
      <c r="BJF27" s="197"/>
      <c r="BJG27" s="197"/>
      <c r="BJH27" s="197"/>
      <c r="BJI27" s="197"/>
      <c r="BJJ27" s="197"/>
      <c r="BJK27" s="197"/>
      <c r="BJL27" s="197"/>
      <c r="BJM27" s="197"/>
      <c r="BJN27" s="197"/>
      <c r="BJO27" s="197"/>
      <c r="BJP27" s="197"/>
      <c r="BJQ27" s="197"/>
      <c r="BJR27" s="197"/>
      <c r="BJS27" s="197"/>
      <c r="BJT27" s="197"/>
      <c r="BJU27" s="197"/>
      <c r="BJV27" s="197"/>
      <c r="BJW27" s="197"/>
      <c r="BJX27" s="197"/>
      <c r="BJY27" s="197"/>
      <c r="BJZ27" s="197"/>
      <c r="BKA27" s="197"/>
      <c r="BKB27" s="197"/>
      <c r="BKC27" s="197"/>
      <c r="BKD27" s="197"/>
      <c r="BKE27" s="197"/>
      <c r="BKF27" s="197"/>
      <c r="BKG27" s="197"/>
      <c r="BKH27" s="197"/>
      <c r="BKI27" s="197"/>
      <c r="BKJ27" s="197"/>
      <c r="BKK27" s="197"/>
      <c r="BKL27" s="197"/>
      <c r="BKM27" s="197"/>
      <c r="BKN27" s="197"/>
      <c r="BKO27" s="197"/>
      <c r="BKP27" s="197"/>
      <c r="BKQ27" s="197"/>
      <c r="BKR27" s="197"/>
      <c r="BKS27" s="197"/>
      <c r="BKT27" s="197"/>
      <c r="BKU27" s="197"/>
      <c r="BKV27" s="197"/>
      <c r="BKW27" s="197"/>
      <c r="BKX27" s="197"/>
      <c r="BKY27" s="197"/>
      <c r="BKZ27" s="197"/>
      <c r="BLA27" s="197"/>
      <c r="BLB27" s="197"/>
      <c r="BLC27" s="197"/>
      <c r="BLD27" s="197"/>
      <c r="BLE27" s="197"/>
      <c r="BLF27" s="197"/>
      <c r="BLG27" s="197"/>
      <c r="BLH27" s="197"/>
      <c r="BLI27" s="197"/>
      <c r="BLJ27" s="197"/>
      <c r="BLK27" s="197"/>
      <c r="BLL27" s="197"/>
      <c r="BLM27" s="197"/>
      <c r="BLN27" s="197"/>
      <c r="BLO27" s="197"/>
      <c r="BLP27" s="197"/>
      <c r="BLQ27" s="197"/>
      <c r="BLR27" s="197"/>
      <c r="BLS27" s="197"/>
      <c r="BLT27" s="197"/>
      <c r="BLU27" s="197"/>
      <c r="BLV27" s="197"/>
      <c r="BLW27" s="197"/>
      <c r="BLX27" s="197"/>
      <c r="BLY27" s="197"/>
      <c r="BLZ27" s="197"/>
      <c r="BMA27" s="197"/>
      <c r="BMB27" s="197"/>
      <c r="BMC27" s="197"/>
      <c r="BMD27" s="197"/>
      <c r="BME27" s="197"/>
      <c r="BMF27" s="197"/>
      <c r="BMG27" s="197"/>
      <c r="BMH27" s="197"/>
      <c r="BMI27" s="197"/>
      <c r="BMJ27" s="197"/>
      <c r="BMK27" s="197"/>
      <c r="BML27" s="197"/>
      <c r="BMM27" s="197"/>
      <c r="BMN27" s="197"/>
      <c r="BMO27" s="197"/>
      <c r="BMP27" s="197"/>
      <c r="BMQ27" s="197"/>
      <c r="BMR27" s="197"/>
      <c r="BMS27" s="197"/>
      <c r="BMT27" s="197"/>
      <c r="BMU27" s="197"/>
      <c r="BMV27" s="197"/>
      <c r="BMW27" s="197"/>
      <c r="BMX27" s="197"/>
      <c r="BMY27" s="197"/>
      <c r="BMZ27" s="197"/>
      <c r="BNA27" s="197"/>
      <c r="BNB27" s="197"/>
      <c r="BNC27" s="197"/>
      <c r="BND27" s="197"/>
      <c r="BNE27" s="197"/>
      <c r="BNF27" s="197"/>
      <c r="BNG27" s="197"/>
      <c r="BNH27" s="197"/>
      <c r="BNI27" s="197"/>
      <c r="BNJ27" s="197"/>
      <c r="BNK27" s="197"/>
      <c r="BNL27" s="197"/>
      <c r="BNM27" s="197"/>
      <c r="BNN27" s="197"/>
      <c r="BNO27" s="197"/>
      <c r="BNP27" s="197"/>
      <c r="BNQ27" s="197"/>
      <c r="BNR27" s="197"/>
      <c r="BNS27" s="197"/>
      <c r="BNT27" s="197"/>
      <c r="BNU27" s="197"/>
      <c r="BNV27" s="197"/>
      <c r="BNW27" s="197"/>
      <c r="BNX27" s="197"/>
      <c r="BNY27" s="197"/>
      <c r="BNZ27" s="197"/>
      <c r="BOA27" s="197"/>
      <c r="BOB27" s="197"/>
      <c r="BOC27" s="197"/>
      <c r="BOD27" s="197"/>
      <c r="BOE27" s="197"/>
      <c r="BOF27" s="197"/>
      <c r="BOG27" s="197"/>
      <c r="BOH27" s="197"/>
      <c r="BOI27" s="197"/>
      <c r="BOJ27" s="197"/>
      <c r="BOK27" s="197"/>
      <c r="BOL27" s="197"/>
      <c r="BOM27" s="197"/>
      <c r="BON27" s="197"/>
      <c r="BOO27" s="197"/>
      <c r="BOP27" s="197"/>
      <c r="BOQ27" s="197"/>
      <c r="BOR27" s="197"/>
      <c r="BOS27" s="197"/>
      <c r="BOT27" s="197"/>
      <c r="BOU27" s="197"/>
      <c r="BOV27" s="197"/>
      <c r="BOW27" s="197"/>
      <c r="BOX27" s="197"/>
      <c r="BOY27" s="197"/>
      <c r="BOZ27" s="197"/>
      <c r="BPA27" s="197"/>
      <c r="BPB27" s="197"/>
      <c r="BPC27" s="197"/>
      <c r="BPD27" s="197"/>
      <c r="BPE27" s="197"/>
      <c r="BPF27" s="197"/>
      <c r="BPG27" s="197"/>
      <c r="BPH27" s="197"/>
      <c r="BPI27" s="197"/>
      <c r="BPJ27" s="197"/>
      <c r="BPK27" s="197"/>
      <c r="BPL27" s="197"/>
      <c r="BPM27" s="197"/>
      <c r="BPN27" s="197"/>
      <c r="BPO27" s="197"/>
      <c r="BPP27" s="197"/>
      <c r="BPQ27" s="197"/>
      <c r="BPR27" s="197"/>
      <c r="BPS27" s="197"/>
      <c r="BPT27" s="197"/>
      <c r="BPU27" s="197"/>
      <c r="BPV27" s="197"/>
      <c r="BPW27" s="197"/>
      <c r="BPX27" s="197"/>
      <c r="BPY27" s="197"/>
      <c r="BPZ27" s="197"/>
      <c r="BQA27" s="197"/>
      <c r="BQB27" s="197"/>
      <c r="BQC27" s="197"/>
      <c r="BQD27" s="197"/>
      <c r="BQE27" s="197"/>
      <c r="BQF27" s="197"/>
      <c r="BQG27" s="197"/>
      <c r="BQH27" s="197"/>
      <c r="BQI27" s="197"/>
      <c r="BQJ27" s="197"/>
      <c r="BQK27" s="197"/>
      <c r="BQL27" s="197"/>
      <c r="BQM27" s="197"/>
      <c r="BQN27" s="197"/>
      <c r="BQO27" s="197"/>
      <c r="BQP27" s="197"/>
      <c r="BQQ27" s="197"/>
      <c r="BQR27" s="197"/>
      <c r="BQS27" s="197"/>
      <c r="BQT27" s="197"/>
      <c r="BQU27" s="197"/>
      <c r="BQV27" s="197"/>
      <c r="BQW27" s="197"/>
      <c r="BQX27" s="197"/>
      <c r="BQY27" s="197"/>
      <c r="BQZ27" s="197"/>
      <c r="BRA27" s="197"/>
      <c r="BRB27" s="197"/>
      <c r="BRC27" s="197"/>
      <c r="BRD27" s="197"/>
      <c r="BRE27" s="197"/>
      <c r="BRF27" s="197"/>
      <c r="BRG27" s="197"/>
      <c r="BRH27" s="197"/>
      <c r="BRI27" s="197"/>
      <c r="BRJ27" s="197"/>
      <c r="BRK27" s="197"/>
      <c r="BRL27" s="197"/>
      <c r="BRM27" s="197"/>
      <c r="BRN27" s="197"/>
      <c r="BRO27" s="197"/>
      <c r="BRP27" s="197"/>
      <c r="BRQ27" s="197"/>
      <c r="BRR27" s="197"/>
      <c r="BRS27" s="197"/>
      <c r="BRT27" s="197"/>
      <c r="BRU27" s="197"/>
      <c r="BRV27" s="197"/>
      <c r="BRW27" s="197"/>
      <c r="BRX27" s="197"/>
      <c r="BRY27" s="197"/>
      <c r="BRZ27" s="197"/>
      <c r="BSA27" s="197"/>
      <c r="BSB27" s="197"/>
      <c r="BSC27" s="197"/>
      <c r="BSD27" s="197"/>
      <c r="BSE27" s="197"/>
      <c r="BSF27" s="197"/>
      <c r="BSG27" s="197"/>
      <c r="BSH27" s="197"/>
      <c r="BSI27" s="197"/>
      <c r="BSJ27" s="197"/>
      <c r="BSK27" s="197"/>
      <c r="BSL27" s="197"/>
      <c r="BSM27" s="197"/>
      <c r="BSN27" s="197"/>
      <c r="BSO27" s="197"/>
      <c r="BSP27" s="197"/>
      <c r="BSQ27" s="197"/>
      <c r="BSR27" s="197"/>
      <c r="BSS27" s="197"/>
      <c r="BST27" s="197"/>
      <c r="BSU27" s="197"/>
      <c r="BSV27" s="197"/>
      <c r="BSW27" s="197"/>
      <c r="BSX27" s="197"/>
      <c r="BSY27" s="197"/>
      <c r="BSZ27" s="197"/>
      <c r="BTA27" s="197"/>
      <c r="BTB27" s="197"/>
      <c r="BTC27" s="197"/>
      <c r="BTD27" s="197"/>
      <c r="BTE27" s="197"/>
      <c r="BTF27" s="197"/>
      <c r="BTG27" s="197"/>
      <c r="BTH27" s="197"/>
      <c r="BTI27" s="197"/>
      <c r="BTJ27" s="197"/>
      <c r="BTK27" s="197"/>
      <c r="BTL27" s="197"/>
      <c r="BTM27" s="197"/>
      <c r="BTN27" s="197"/>
      <c r="BTO27" s="197"/>
      <c r="BTP27" s="197"/>
      <c r="BTQ27" s="197"/>
      <c r="BTR27" s="197"/>
      <c r="BTS27" s="197"/>
      <c r="BTT27" s="197"/>
      <c r="BTU27" s="197"/>
      <c r="BTV27" s="197"/>
      <c r="BTW27" s="197"/>
      <c r="BTX27" s="197"/>
      <c r="BTY27" s="197"/>
      <c r="BTZ27" s="197"/>
      <c r="BUA27" s="197"/>
      <c r="BUB27" s="197"/>
      <c r="BUC27" s="197"/>
      <c r="BUD27" s="197"/>
      <c r="BUE27" s="197"/>
      <c r="BUF27" s="197"/>
      <c r="BUG27" s="197"/>
      <c r="BUH27" s="197"/>
      <c r="BUI27" s="197"/>
      <c r="BUJ27" s="197"/>
      <c r="BUK27" s="197"/>
      <c r="BUL27" s="197"/>
      <c r="BUM27" s="197"/>
      <c r="BUN27" s="197"/>
      <c r="BUO27" s="197"/>
      <c r="BUP27" s="197"/>
      <c r="BUQ27" s="197"/>
      <c r="BUR27" s="197"/>
      <c r="BUS27" s="197"/>
      <c r="BUT27" s="197"/>
      <c r="BUU27" s="197"/>
      <c r="BUV27" s="197"/>
      <c r="BUW27" s="197"/>
      <c r="BUX27" s="197"/>
      <c r="BUY27" s="197"/>
      <c r="BUZ27" s="197"/>
      <c r="BVA27" s="197"/>
      <c r="BVB27" s="197"/>
      <c r="BVC27" s="197"/>
      <c r="BVD27" s="197"/>
      <c r="BVE27" s="197"/>
      <c r="BVF27" s="197"/>
      <c r="BVG27" s="197"/>
      <c r="BVH27" s="197"/>
      <c r="BVI27" s="197"/>
      <c r="BVJ27" s="197"/>
      <c r="BVK27" s="197"/>
      <c r="BVL27" s="197"/>
      <c r="BVM27" s="197"/>
      <c r="BVN27" s="197"/>
      <c r="BVO27" s="197"/>
      <c r="BVP27" s="197"/>
      <c r="BVQ27" s="197"/>
      <c r="BVR27" s="197"/>
      <c r="BVS27" s="197"/>
      <c r="BVT27" s="197"/>
      <c r="BVU27" s="197"/>
      <c r="BVV27" s="197"/>
      <c r="BVW27" s="197"/>
      <c r="BVX27" s="197"/>
      <c r="BVY27" s="197"/>
      <c r="BVZ27" s="197"/>
      <c r="BWA27" s="197"/>
      <c r="BWB27" s="197"/>
      <c r="BWC27" s="197"/>
      <c r="BWD27" s="197"/>
      <c r="BWE27" s="197"/>
      <c r="BWF27" s="197"/>
      <c r="BWG27" s="197"/>
      <c r="BWH27" s="197"/>
      <c r="BWI27" s="197"/>
      <c r="BWJ27" s="197"/>
      <c r="BWK27" s="197"/>
      <c r="BWL27" s="197"/>
      <c r="BWM27" s="197"/>
      <c r="BWN27" s="197"/>
      <c r="BWO27" s="197"/>
      <c r="BWP27" s="197"/>
      <c r="BWQ27" s="197"/>
      <c r="BWR27" s="197"/>
      <c r="BWS27" s="197"/>
      <c r="BWT27" s="197"/>
      <c r="BWU27" s="197"/>
      <c r="BWV27" s="197"/>
      <c r="BWW27" s="197"/>
      <c r="BWX27" s="197"/>
      <c r="BWY27" s="197"/>
      <c r="BWZ27" s="197"/>
      <c r="BXA27" s="197"/>
      <c r="BXB27" s="197"/>
      <c r="BXC27" s="197"/>
      <c r="BXD27" s="197"/>
      <c r="BXE27" s="197"/>
      <c r="BXF27" s="197"/>
      <c r="BXG27" s="197"/>
      <c r="BXH27" s="197"/>
      <c r="BXI27" s="197"/>
      <c r="BXJ27" s="197"/>
      <c r="BXK27" s="197"/>
      <c r="BXL27" s="197"/>
      <c r="BXM27" s="197"/>
      <c r="BXN27" s="197"/>
      <c r="BXO27" s="197"/>
      <c r="BXP27" s="197"/>
      <c r="BXQ27" s="197"/>
      <c r="BXR27" s="197"/>
      <c r="BXS27" s="197"/>
      <c r="BXT27" s="197"/>
      <c r="BXU27" s="197"/>
      <c r="BXV27" s="197"/>
      <c r="BXW27" s="197"/>
      <c r="BXX27" s="197"/>
      <c r="BXY27" s="197"/>
      <c r="BXZ27" s="197"/>
      <c r="BYA27" s="197"/>
      <c r="BYB27" s="197"/>
      <c r="BYC27" s="197"/>
      <c r="BYD27" s="197"/>
      <c r="BYE27" s="197"/>
      <c r="BYF27" s="197"/>
      <c r="BYG27" s="197"/>
    </row>
    <row r="28" spans="1:2009" s="100" customFormat="1" ht="12.75" hidden="1" customHeight="1" thickBot="1" x14ac:dyDescent="0.3">
      <c r="A28" s="97"/>
      <c r="B28" s="97"/>
      <c r="C28" s="169"/>
      <c r="D28" s="169"/>
      <c r="E28" s="169"/>
      <c r="F28" s="169"/>
      <c r="G28" s="643"/>
      <c r="H28" s="98"/>
      <c r="I28" s="751"/>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155</v>
      </c>
      <c r="B29" s="141"/>
      <c r="C29" s="180"/>
      <c r="D29" s="180"/>
      <c r="E29" s="181"/>
      <c r="F29" s="181"/>
      <c r="G29" s="651"/>
      <c r="H29" s="93"/>
      <c r="I29" s="552"/>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7"/>
      <c r="B30" s="113" t="s">
        <v>463</v>
      </c>
      <c r="C30" s="182"/>
      <c r="D30" s="182"/>
      <c r="E30" s="183"/>
      <c r="F30" s="183"/>
      <c r="G30" s="652">
        <f>SUM(C30:F30)</f>
        <v>0</v>
      </c>
      <c r="H30" s="93"/>
      <c r="I30" s="552"/>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464</v>
      </c>
      <c r="C31" s="182">
        <v>17925.310000000001</v>
      </c>
      <c r="D31" s="182">
        <v>18081.61</v>
      </c>
      <c r="E31" s="183"/>
      <c r="F31" s="183"/>
      <c r="G31" s="652">
        <f>SUM(C31:F31)</f>
        <v>36006.92</v>
      </c>
      <c r="H31" s="93"/>
      <c r="I31" s="552"/>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8" customFormat="1" ht="24.95" customHeight="1" thickBot="1" x14ac:dyDescent="0.3">
      <c r="A32" s="214"/>
      <c r="B32" s="215" t="s">
        <v>156</v>
      </c>
      <c r="C32" s="216">
        <f>SUM(C30:C31)</f>
        <v>17925.310000000001</v>
      </c>
      <c r="D32" s="216">
        <f>D30+D31</f>
        <v>18081.61</v>
      </c>
      <c r="E32" s="216"/>
      <c r="F32" s="216"/>
      <c r="G32" s="653">
        <f>SUM(G30:G31)</f>
        <v>36006.92</v>
      </c>
      <c r="H32" s="196"/>
      <c r="I32" s="552"/>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17"/>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c r="IK32" s="217"/>
      <c r="IL32" s="217"/>
      <c r="IM32" s="217"/>
      <c r="IN32" s="217"/>
      <c r="IO32" s="217"/>
      <c r="IP32" s="217"/>
      <c r="IQ32" s="217"/>
      <c r="IR32" s="217"/>
      <c r="IS32" s="217"/>
      <c r="IT32" s="217"/>
      <c r="IU32" s="217"/>
      <c r="IV32" s="217"/>
      <c r="IW32" s="217"/>
      <c r="IX32" s="217"/>
      <c r="IY32" s="217"/>
      <c r="IZ32" s="217"/>
      <c r="JA32" s="217"/>
      <c r="JB32" s="217"/>
      <c r="JC32" s="217"/>
      <c r="JD32" s="217"/>
      <c r="JE32" s="217"/>
      <c r="JF32" s="217"/>
      <c r="JG32" s="217"/>
      <c r="JH32" s="217"/>
      <c r="JI32" s="217"/>
      <c r="JJ32" s="217"/>
      <c r="JK32" s="217"/>
      <c r="JL32" s="217"/>
      <c r="JM32" s="217"/>
      <c r="JN32" s="217"/>
      <c r="JO32" s="217"/>
      <c r="JP32" s="217"/>
      <c r="JQ32" s="217"/>
      <c r="JR32" s="217"/>
      <c r="JS32" s="217"/>
      <c r="JT32" s="217"/>
      <c r="JU32" s="217"/>
      <c r="JV32" s="217"/>
      <c r="JW32" s="217"/>
      <c r="JX32" s="217"/>
      <c r="JY32" s="217"/>
      <c r="JZ32" s="217"/>
      <c r="KA32" s="217"/>
      <c r="KB32" s="217"/>
      <c r="KC32" s="217"/>
      <c r="KD32" s="217"/>
      <c r="KE32" s="217"/>
      <c r="KF32" s="217"/>
      <c r="KG32" s="217"/>
      <c r="KH32" s="217"/>
      <c r="KI32" s="217"/>
      <c r="KJ32" s="217"/>
      <c r="KK32" s="217"/>
      <c r="KL32" s="217"/>
      <c r="KM32" s="217"/>
      <c r="KN32" s="217"/>
      <c r="KO32" s="217"/>
      <c r="KP32" s="217"/>
      <c r="KQ32" s="217"/>
      <c r="KR32" s="217"/>
      <c r="KS32" s="217"/>
      <c r="KT32" s="217"/>
      <c r="KU32" s="217"/>
      <c r="KV32" s="217"/>
      <c r="KW32" s="217"/>
      <c r="KX32" s="217"/>
      <c r="KY32" s="217"/>
      <c r="KZ32" s="217"/>
      <c r="LA32" s="217"/>
      <c r="LB32" s="217"/>
      <c r="LC32" s="217"/>
      <c r="LD32" s="217"/>
      <c r="LE32" s="217"/>
      <c r="LF32" s="217"/>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c r="OK32" s="217"/>
      <c r="OL32" s="217"/>
      <c r="OM32" s="217"/>
      <c r="ON32" s="217"/>
      <c r="OO32" s="217"/>
      <c r="OP32" s="217"/>
      <c r="OQ32" s="217"/>
      <c r="OR32" s="217"/>
      <c r="OS32" s="217"/>
      <c r="OT32" s="217"/>
      <c r="OU32" s="217"/>
      <c r="OV32" s="217"/>
      <c r="OW32" s="217"/>
      <c r="OX32" s="217"/>
      <c r="OY32" s="217"/>
      <c r="OZ32" s="217"/>
      <c r="PA32" s="217"/>
      <c r="PB32" s="217"/>
      <c r="PC32" s="217"/>
      <c r="PD32" s="217"/>
      <c r="PE32" s="217"/>
      <c r="PF32" s="217"/>
      <c r="PG32" s="217"/>
      <c r="PH32" s="217"/>
      <c r="PI32" s="217"/>
      <c r="PJ32" s="217"/>
      <c r="PK32" s="217"/>
      <c r="PL32" s="217"/>
      <c r="PM32" s="217"/>
      <c r="PN32" s="217"/>
      <c r="PO32" s="217"/>
      <c r="PP32" s="217"/>
      <c r="PQ32" s="217"/>
      <c r="PR32" s="217"/>
      <c r="PS32" s="217"/>
      <c r="PT32" s="217"/>
      <c r="PU32" s="217"/>
      <c r="PV32" s="217"/>
      <c r="PW32" s="217"/>
      <c r="PX32" s="217"/>
      <c r="PY32" s="217"/>
      <c r="PZ32" s="217"/>
      <c r="QA32" s="217"/>
      <c r="QB32" s="217"/>
      <c r="QC32" s="217"/>
      <c r="QD32" s="217"/>
      <c r="QE32" s="217"/>
      <c r="QF32" s="217"/>
      <c r="QG32" s="217"/>
      <c r="QH32" s="217"/>
      <c r="QI32" s="217"/>
      <c r="QJ32" s="217"/>
      <c r="QK32" s="217"/>
      <c r="QL32" s="217"/>
      <c r="QM32" s="217"/>
      <c r="QN32" s="217"/>
      <c r="QO32" s="217"/>
      <c r="QP32" s="217"/>
      <c r="QQ32" s="217"/>
      <c r="QR32" s="217"/>
      <c r="QS32" s="217"/>
      <c r="QT32" s="217"/>
      <c r="QU32" s="217"/>
      <c r="QV32" s="217"/>
      <c r="QW32" s="217"/>
      <c r="QX32" s="217"/>
      <c r="QY32" s="217"/>
      <c r="QZ32" s="217"/>
      <c r="RA32" s="217"/>
      <c r="RB32" s="217"/>
      <c r="RC32" s="217"/>
      <c r="RD32" s="217"/>
      <c r="RE32" s="217"/>
      <c r="RF32" s="217"/>
      <c r="RG32" s="217"/>
      <c r="RH32" s="217"/>
      <c r="RI32" s="217"/>
      <c r="RJ32" s="217"/>
      <c r="RK32" s="217"/>
      <c r="RL32" s="217"/>
      <c r="RM32" s="217"/>
      <c r="RN32" s="217"/>
      <c r="RO32" s="217"/>
      <c r="RP32" s="217"/>
      <c r="RQ32" s="217"/>
      <c r="RR32" s="217"/>
      <c r="RS32" s="217"/>
      <c r="RT32" s="217"/>
      <c r="RU32" s="217"/>
      <c r="RV32" s="217"/>
      <c r="RW32" s="217"/>
      <c r="RX32" s="217"/>
      <c r="RY32" s="217"/>
      <c r="RZ32" s="217"/>
      <c r="SA32" s="217"/>
      <c r="SB32" s="217"/>
      <c r="SC32" s="217"/>
      <c r="SD32" s="217"/>
      <c r="SE32" s="217"/>
      <c r="SF32" s="217"/>
      <c r="SG32" s="217"/>
      <c r="SH32" s="217"/>
      <c r="SI32" s="217"/>
      <c r="SJ32" s="217"/>
      <c r="SK32" s="217"/>
      <c r="SL32" s="217"/>
      <c r="SM32" s="217"/>
      <c r="SN32" s="217"/>
      <c r="SO32" s="217"/>
      <c r="SP32" s="217"/>
      <c r="SQ32" s="217"/>
      <c r="SR32" s="217"/>
      <c r="SS32" s="217"/>
      <c r="ST32" s="217"/>
      <c r="SU32" s="217"/>
      <c r="SV32" s="217"/>
      <c r="SW32" s="217"/>
      <c r="SX32" s="217"/>
      <c r="SY32" s="217"/>
      <c r="SZ32" s="217"/>
      <c r="TA32" s="217"/>
      <c r="TB32" s="217"/>
      <c r="TC32" s="217"/>
      <c r="TD32" s="217"/>
      <c r="TE32" s="217"/>
      <c r="TF32" s="217"/>
      <c r="TG32" s="217"/>
      <c r="TH32" s="217"/>
      <c r="TI32" s="217"/>
      <c r="TJ32" s="217"/>
      <c r="TK32" s="217"/>
      <c r="TL32" s="217"/>
      <c r="TM32" s="217"/>
      <c r="TN32" s="217"/>
      <c r="TO32" s="217"/>
      <c r="TP32" s="217"/>
      <c r="TQ32" s="217"/>
      <c r="TR32" s="217"/>
      <c r="TS32" s="217"/>
      <c r="TT32" s="217"/>
      <c r="TU32" s="217"/>
      <c r="TV32" s="217"/>
      <c r="TW32" s="217"/>
      <c r="TX32" s="217"/>
      <c r="TY32" s="217"/>
      <c r="TZ32" s="217"/>
      <c r="UA32" s="217"/>
      <c r="UB32" s="217"/>
      <c r="UC32" s="217"/>
      <c r="UD32" s="217"/>
      <c r="UE32" s="217"/>
      <c r="UF32" s="217"/>
      <c r="UG32" s="217"/>
      <c r="UH32" s="217"/>
      <c r="UI32" s="217"/>
      <c r="UJ32" s="217"/>
      <c r="UK32" s="217"/>
      <c r="UL32" s="217"/>
      <c r="UM32" s="217"/>
      <c r="UN32" s="217"/>
      <c r="UO32" s="217"/>
      <c r="UP32" s="217"/>
      <c r="UQ32" s="217"/>
      <c r="UR32" s="217"/>
      <c r="US32" s="217"/>
      <c r="UT32" s="217"/>
      <c r="UU32" s="217"/>
      <c r="UV32" s="217"/>
      <c r="UW32" s="217"/>
      <c r="UX32" s="217"/>
      <c r="UY32" s="217"/>
      <c r="UZ32" s="217"/>
      <c r="VA32" s="217"/>
      <c r="VB32" s="217"/>
      <c r="VC32" s="217"/>
      <c r="VD32" s="217"/>
      <c r="VE32" s="217"/>
      <c r="VF32" s="217"/>
      <c r="VG32" s="217"/>
      <c r="VH32" s="217"/>
      <c r="VI32" s="217"/>
      <c r="VJ32" s="217"/>
      <c r="VK32" s="217"/>
      <c r="VL32" s="217"/>
      <c r="VM32" s="217"/>
      <c r="VN32" s="217"/>
      <c r="VO32" s="217"/>
      <c r="VP32" s="217"/>
      <c r="VQ32" s="217"/>
      <c r="VR32" s="217"/>
      <c r="VS32" s="217"/>
      <c r="VT32" s="217"/>
      <c r="VU32" s="217"/>
      <c r="VV32" s="217"/>
      <c r="VW32" s="217"/>
      <c r="VX32" s="217"/>
      <c r="VY32" s="217"/>
      <c r="VZ32" s="217"/>
      <c r="WA32" s="217"/>
      <c r="WB32" s="217"/>
      <c r="WC32" s="217"/>
      <c r="WD32" s="217"/>
      <c r="WE32" s="217"/>
      <c r="WF32" s="217"/>
      <c r="WG32" s="217"/>
      <c r="WH32" s="217"/>
      <c r="WI32" s="217"/>
      <c r="WJ32" s="217"/>
      <c r="WK32" s="217"/>
      <c r="WL32" s="217"/>
      <c r="WM32" s="217"/>
      <c r="WN32" s="217"/>
      <c r="WO32" s="217"/>
      <c r="WP32" s="217"/>
      <c r="WQ32" s="217"/>
      <c r="WR32" s="217"/>
      <c r="WS32" s="217"/>
      <c r="WT32" s="217"/>
      <c r="WU32" s="217"/>
      <c r="WV32" s="217"/>
      <c r="WW32" s="217"/>
      <c r="WX32" s="217"/>
      <c r="WY32" s="217"/>
      <c r="WZ32" s="217"/>
      <c r="XA32" s="217"/>
      <c r="XB32" s="217"/>
      <c r="XC32" s="217"/>
      <c r="XD32" s="217"/>
      <c r="XE32" s="217"/>
      <c r="XF32" s="217"/>
      <c r="XG32" s="217"/>
      <c r="XH32" s="217"/>
      <c r="XI32" s="217"/>
      <c r="XJ32" s="217"/>
      <c r="XK32" s="217"/>
      <c r="XL32" s="217"/>
      <c r="XM32" s="217"/>
      <c r="XN32" s="217"/>
      <c r="XO32" s="217"/>
      <c r="XP32" s="217"/>
      <c r="XQ32" s="217"/>
      <c r="XR32" s="217"/>
      <c r="XS32" s="217"/>
      <c r="XT32" s="217"/>
      <c r="XU32" s="217"/>
      <c r="XV32" s="217"/>
      <c r="XW32" s="217"/>
      <c r="XX32" s="217"/>
      <c r="XY32" s="217"/>
      <c r="XZ32" s="217"/>
      <c r="YA32" s="217"/>
      <c r="YB32" s="217"/>
      <c r="YC32" s="217"/>
      <c r="YD32" s="217"/>
      <c r="YE32" s="217"/>
      <c r="YF32" s="217"/>
      <c r="YG32" s="217"/>
      <c r="YH32" s="217"/>
      <c r="YI32" s="217"/>
      <c r="YJ32" s="217"/>
      <c r="YK32" s="217"/>
      <c r="YL32" s="217"/>
      <c r="YM32" s="217"/>
      <c r="YN32" s="217"/>
      <c r="YO32" s="217"/>
      <c r="YP32" s="217"/>
      <c r="YQ32" s="217"/>
      <c r="YR32" s="217"/>
      <c r="YS32" s="217"/>
      <c r="YT32" s="217"/>
      <c r="YU32" s="217"/>
      <c r="YV32" s="217"/>
      <c r="YW32" s="217"/>
      <c r="YX32" s="217"/>
      <c r="YY32" s="217"/>
      <c r="YZ32" s="217"/>
      <c r="ZA32" s="217"/>
      <c r="ZB32" s="217"/>
      <c r="ZC32" s="217"/>
      <c r="ZD32" s="217"/>
      <c r="ZE32" s="217"/>
      <c r="ZF32" s="217"/>
      <c r="ZG32" s="217"/>
      <c r="ZH32" s="217"/>
      <c r="ZI32" s="217"/>
      <c r="ZJ32" s="217"/>
      <c r="ZK32" s="217"/>
      <c r="ZL32" s="217"/>
      <c r="ZM32" s="217"/>
      <c r="ZN32" s="217"/>
      <c r="ZO32" s="217"/>
      <c r="ZP32" s="217"/>
      <c r="ZQ32" s="217"/>
      <c r="ZR32" s="217"/>
      <c r="ZS32" s="217"/>
      <c r="ZT32" s="217"/>
      <c r="ZU32" s="217"/>
      <c r="ZV32" s="217"/>
      <c r="ZW32" s="217"/>
      <c r="ZX32" s="217"/>
      <c r="ZY32" s="217"/>
      <c r="ZZ32" s="217"/>
      <c r="AAA32" s="217"/>
      <c r="AAB32" s="217"/>
      <c r="AAC32" s="217"/>
      <c r="AAD32" s="217"/>
      <c r="AAE32" s="217"/>
      <c r="AAF32" s="217"/>
      <c r="AAG32" s="217"/>
      <c r="AAH32" s="217"/>
      <c r="AAI32" s="217"/>
      <c r="AAJ32" s="217"/>
      <c r="AAK32" s="217"/>
      <c r="AAL32" s="217"/>
      <c r="AAM32" s="217"/>
      <c r="AAN32" s="217"/>
      <c r="AAO32" s="217"/>
      <c r="AAP32" s="217"/>
      <c r="AAQ32" s="217"/>
      <c r="AAR32" s="217"/>
      <c r="AAS32" s="217"/>
      <c r="AAT32" s="217"/>
      <c r="AAU32" s="217"/>
      <c r="AAV32" s="217"/>
      <c r="AAW32" s="217"/>
      <c r="AAX32" s="217"/>
      <c r="AAY32" s="217"/>
      <c r="AAZ32" s="217"/>
      <c r="ABA32" s="217"/>
      <c r="ABB32" s="217"/>
      <c r="ABC32" s="217"/>
      <c r="ABD32" s="217"/>
      <c r="ABE32" s="217"/>
      <c r="ABF32" s="217"/>
      <c r="ABG32" s="217"/>
      <c r="ABH32" s="217"/>
      <c r="ABI32" s="217"/>
      <c r="ABJ32" s="217"/>
      <c r="ABK32" s="217"/>
      <c r="ABL32" s="217"/>
      <c r="ABM32" s="217"/>
      <c r="ABN32" s="217"/>
      <c r="ABO32" s="217"/>
      <c r="ABP32" s="217"/>
      <c r="ABQ32" s="217"/>
      <c r="ABR32" s="217"/>
      <c r="ABS32" s="217"/>
      <c r="ABT32" s="217"/>
      <c r="ABU32" s="217"/>
      <c r="ABV32" s="217"/>
      <c r="ABW32" s="217"/>
      <c r="ABX32" s="217"/>
      <c r="ABY32" s="217"/>
      <c r="ABZ32" s="217"/>
      <c r="ACA32" s="217"/>
      <c r="ACB32" s="217"/>
      <c r="ACC32" s="217"/>
      <c r="ACD32" s="217"/>
      <c r="ACE32" s="217"/>
      <c r="ACF32" s="217"/>
      <c r="ACG32" s="217"/>
      <c r="ACH32" s="217"/>
      <c r="ACI32" s="217"/>
      <c r="ACJ32" s="217"/>
      <c r="ACK32" s="217"/>
      <c r="ACL32" s="217"/>
      <c r="ACM32" s="217"/>
      <c r="ACN32" s="217"/>
      <c r="ACO32" s="217"/>
      <c r="ACP32" s="217"/>
      <c r="ACQ32" s="217"/>
      <c r="ACR32" s="217"/>
      <c r="ACS32" s="217"/>
      <c r="ACT32" s="217"/>
      <c r="ACU32" s="217"/>
      <c r="ACV32" s="217"/>
      <c r="ACW32" s="217"/>
      <c r="ACX32" s="217"/>
      <c r="ACY32" s="217"/>
      <c r="ACZ32" s="217"/>
      <c r="ADA32" s="217"/>
      <c r="ADB32" s="217"/>
      <c r="ADC32" s="217"/>
      <c r="ADD32" s="217"/>
      <c r="ADE32" s="217"/>
      <c r="ADF32" s="217"/>
      <c r="ADG32" s="217"/>
      <c r="ADH32" s="217"/>
      <c r="ADI32" s="217"/>
      <c r="ADJ32" s="217"/>
      <c r="ADK32" s="217"/>
      <c r="ADL32" s="217"/>
      <c r="ADM32" s="217"/>
      <c r="ADN32" s="217"/>
      <c r="ADO32" s="217"/>
      <c r="ADP32" s="217"/>
      <c r="ADQ32" s="217"/>
      <c r="ADR32" s="217"/>
      <c r="ADS32" s="217"/>
      <c r="ADT32" s="217"/>
      <c r="ADU32" s="217"/>
      <c r="ADV32" s="217"/>
      <c r="ADW32" s="217"/>
      <c r="ADX32" s="217"/>
      <c r="ADY32" s="217"/>
      <c r="ADZ32" s="217"/>
      <c r="AEA32" s="217"/>
      <c r="AEB32" s="217"/>
      <c r="AEC32" s="217"/>
      <c r="AED32" s="217"/>
      <c r="AEE32" s="217"/>
      <c r="AEF32" s="217"/>
      <c r="AEG32" s="217"/>
      <c r="AEH32" s="217"/>
      <c r="AEI32" s="217"/>
      <c r="AEJ32" s="217"/>
      <c r="AEK32" s="217"/>
      <c r="AEL32" s="217"/>
      <c r="AEM32" s="217"/>
      <c r="AEN32" s="217"/>
      <c r="AEO32" s="217"/>
      <c r="AEP32" s="217"/>
      <c r="AEQ32" s="217"/>
      <c r="AER32" s="217"/>
      <c r="AES32" s="217"/>
      <c r="AET32" s="217"/>
      <c r="AEU32" s="217"/>
      <c r="AEV32" s="217"/>
      <c r="AEW32" s="217"/>
      <c r="AEX32" s="217"/>
      <c r="AEY32" s="217"/>
      <c r="AEZ32" s="217"/>
      <c r="AFA32" s="217"/>
      <c r="AFB32" s="217"/>
      <c r="AFC32" s="217"/>
      <c r="AFD32" s="217"/>
      <c r="AFE32" s="217"/>
      <c r="AFF32" s="217"/>
      <c r="AFG32" s="217"/>
      <c r="AFH32" s="217"/>
      <c r="AFI32" s="217"/>
      <c r="AFJ32" s="217"/>
      <c r="AFK32" s="217"/>
      <c r="AFL32" s="217"/>
      <c r="AFM32" s="217"/>
      <c r="AFN32" s="217"/>
      <c r="AFO32" s="217"/>
      <c r="AFP32" s="217"/>
      <c r="AFQ32" s="217"/>
      <c r="AFR32" s="217"/>
      <c r="AFS32" s="217"/>
      <c r="AFT32" s="217"/>
      <c r="AFU32" s="217"/>
      <c r="AFV32" s="217"/>
      <c r="AFW32" s="217"/>
      <c r="AFX32" s="217"/>
      <c r="AFY32" s="217"/>
      <c r="AFZ32" s="217"/>
      <c r="AGA32" s="217"/>
      <c r="AGB32" s="217"/>
      <c r="AGC32" s="217"/>
      <c r="AGD32" s="217"/>
      <c r="AGE32" s="217"/>
      <c r="AGF32" s="217"/>
      <c r="AGG32" s="217"/>
      <c r="AGH32" s="217"/>
      <c r="AGI32" s="217"/>
      <c r="AGJ32" s="217"/>
      <c r="AGK32" s="217"/>
      <c r="AGL32" s="217"/>
      <c r="AGM32" s="217"/>
      <c r="AGN32" s="217"/>
      <c r="AGO32" s="217"/>
      <c r="AGP32" s="217"/>
      <c r="AGQ32" s="217"/>
      <c r="AGR32" s="217"/>
      <c r="AGS32" s="217"/>
      <c r="AGT32" s="217"/>
      <c r="AGU32" s="217"/>
      <c r="AGV32" s="217"/>
      <c r="AGW32" s="217"/>
      <c r="AGX32" s="217"/>
      <c r="AGY32" s="217"/>
      <c r="AGZ32" s="217"/>
      <c r="AHA32" s="217"/>
      <c r="AHB32" s="217"/>
      <c r="AHC32" s="217"/>
      <c r="AHD32" s="217"/>
      <c r="AHE32" s="217"/>
      <c r="AHF32" s="217"/>
      <c r="AHG32" s="217"/>
      <c r="AHH32" s="217"/>
      <c r="AHI32" s="217"/>
      <c r="AHJ32" s="217"/>
      <c r="AHK32" s="217"/>
      <c r="AHL32" s="217"/>
      <c r="AHM32" s="217"/>
      <c r="AHN32" s="217"/>
      <c r="AHO32" s="217"/>
      <c r="AHP32" s="217"/>
      <c r="AHQ32" s="217"/>
      <c r="AHR32" s="217"/>
      <c r="AHS32" s="217"/>
      <c r="AHT32" s="217"/>
      <c r="AHU32" s="217"/>
      <c r="AHV32" s="217"/>
      <c r="AHW32" s="217"/>
      <c r="AHX32" s="217"/>
      <c r="AHY32" s="217"/>
      <c r="AHZ32" s="217"/>
      <c r="AIA32" s="217"/>
      <c r="AIB32" s="217"/>
      <c r="AIC32" s="217"/>
      <c r="AID32" s="217"/>
      <c r="AIE32" s="217"/>
      <c r="AIF32" s="217"/>
      <c r="AIG32" s="217"/>
      <c r="AIH32" s="217"/>
      <c r="AII32" s="217"/>
      <c r="AIJ32" s="217"/>
      <c r="AIK32" s="217"/>
      <c r="AIL32" s="217"/>
      <c r="AIM32" s="217"/>
      <c r="AIN32" s="217"/>
      <c r="AIO32" s="217"/>
      <c r="AIP32" s="217"/>
      <c r="AIQ32" s="217"/>
      <c r="AIR32" s="217"/>
      <c r="AIS32" s="217"/>
      <c r="AIT32" s="217"/>
      <c r="AIU32" s="217"/>
      <c r="AIV32" s="217"/>
      <c r="AIW32" s="217"/>
      <c r="AIX32" s="217"/>
      <c r="AIY32" s="217"/>
      <c r="AIZ32" s="217"/>
      <c r="AJA32" s="217"/>
      <c r="AJB32" s="217"/>
      <c r="AJC32" s="217"/>
      <c r="AJD32" s="217"/>
      <c r="AJE32" s="217"/>
      <c r="AJF32" s="217"/>
      <c r="AJG32" s="217"/>
      <c r="AJH32" s="217"/>
      <c r="AJI32" s="217"/>
      <c r="AJJ32" s="217"/>
      <c r="AJK32" s="217"/>
      <c r="AJL32" s="217"/>
      <c r="AJM32" s="217"/>
      <c r="AJN32" s="217"/>
      <c r="AJO32" s="217"/>
      <c r="AJP32" s="217"/>
      <c r="AJQ32" s="217"/>
      <c r="AJR32" s="217"/>
      <c r="AJS32" s="217"/>
      <c r="AJT32" s="217"/>
      <c r="AJU32" s="217"/>
      <c r="AJV32" s="217"/>
      <c r="AJW32" s="217"/>
      <c r="AJX32" s="217"/>
      <c r="AJY32" s="217"/>
      <c r="AJZ32" s="217"/>
      <c r="AKA32" s="217"/>
      <c r="AKB32" s="217"/>
      <c r="AKC32" s="217"/>
      <c r="AKD32" s="217"/>
      <c r="AKE32" s="217"/>
      <c r="AKF32" s="217"/>
      <c r="AKG32" s="217"/>
      <c r="AKH32" s="217"/>
      <c r="AKI32" s="217"/>
      <c r="AKJ32" s="217"/>
      <c r="AKK32" s="217"/>
      <c r="AKL32" s="217"/>
      <c r="AKM32" s="217"/>
      <c r="AKN32" s="217"/>
      <c r="AKO32" s="217"/>
      <c r="AKP32" s="217"/>
      <c r="AKQ32" s="217"/>
      <c r="AKR32" s="217"/>
      <c r="AKS32" s="217"/>
      <c r="AKT32" s="217"/>
      <c r="AKU32" s="217"/>
      <c r="AKV32" s="217"/>
      <c r="AKW32" s="217"/>
      <c r="AKX32" s="217"/>
      <c r="AKY32" s="217"/>
      <c r="AKZ32" s="217"/>
      <c r="ALA32" s="217"/>
      <c r="ALB32" s="217"/>
      <c r="ALC32" s="217"/>
      <c r="ALD32" s="217"/>
      <c r="ALE32" s="217"/>
      <c r="ALF32" s="217"/>
      <c r="ALG32" s="217"/>
      <c r="ALH32" s="217"/>
      <c r="ALI32" s="217"/>
      <c r="ALJ32" s="217"/>
      <c r="ALK32" s="217"/>
      <c r="ALL32" s="217"/>
      <c r="ALM32" s="217"/>
      <c r="ALN32" s="217"/>
      <c r="ALO32" s="217"/>
      <c r="ALP32" s="217"/>
      <c r="ALQ32" s="217"/>
      <c r="ALR32" s="217"/>
      <c r="ALS32" s="217"/>
      <c r="ALT32" s="217"/>
      <c r="ALU32" s="217"/>
      <c r="ALV32" s="217"/>
      <c r="ALW32" s="217"/>
      <c r="ALX32" s="217"/>
      <c r="ALY32" s="217"/>
      <c r="ALZ32" s="217"/>
      <c r="AMA32" s="217"/>
      <c r="AMB32" s="217"/>
      <c r="AMC32" s="217"/>
      <c r="AMD32" s="217"/>
      <c r="AME32" s="217"/>
      <c r="AMF32" s="217"/>
      <c r="AMG32" s="217"/>
      <c r="AMH32" s="217"/>
      <c r="AMI32" s="217"/>
      <c r="AMJ32" s="217"/>
      <c r="AMK32" s="217"/>
      <c r="AML32" s="217"/>
      <c r="AMM32" s="217"/>
      <c r="AMN32" s="217"/>
      <c r="AMO32" s="217"/>
      <c r="AMP32" s="217"/>
      <c r="AMQ32" s="217"/>
      <c r="AMR32" s="217"/>
      <c r="AMS32" s="217"/>
      <c r="AMT32" s="217"/>
      <c r="AMU32" s="217"/>
      <c r="AMV32" s="217"/>
      <c r="AMW32" s="217"/>
      <c r="AMX32" s="217"/>
      <c r="AMY32" s="217"/>
      <c r="AMZ32" s="217"/>
      <c r="ANA32" s="217"/>
      <c r="ANB32" s="217"/>
      <c r="ANC32" s="217"/>
      <c r="AND32" s="217"/>
      <c r="ANE32" s="217"/>
      <c r="ANF32" s="217"/>
      <c r="ANG32" s="217"/>
      <c r="ANH32" s="217"/>
      <c r="ANI32" s="217"/>
      <c r="ANJ32" s="217"/>
      <c r="ANK32" s="217"/>
      <c r="ANL32" s="217"/>
      <c r="ANM32" s="217"/>
      <c r="ANN32" s="217"/>
      <c r="ANO32" s="217"/>
      <c r="ANP32" s="217"/>
      <c r="ANQ32" s="217"/>
      <c r="ANR32" s="217"/>
      <c r="ANS32" s="217"/>
      <c r="ANT32" s="217"/>
      <c r="ANU32" s="217"/>
      <c r="ANV32" s="217"/>
      <c r="ANW32" s="217"/>
      <c r="ANX32" s="217"/>
      <c r="ANY32" s="217"/>
      <c r="ANZ32" s="217"/>
      <c r="AOA32" s="217"/>
      <c r="AOB32" s="217"/>
      <c r="AOC32" s="217"/>
      <c r="AOD32" s="217"/>
      <c r="AOE32" s="217"/>
      <c r="AOF32" s="217"/>
      <c r="AOG32" s="217"/>
      <c r="AOH32" s="217"/>
      <c r="AOI32" s="217"/>
      <c r="AOJ32" s="217"/>
      <c r="AOK32" s="217"/>
      <c r="AOL32" s="217"/>
      <c r="AOM32" s="217"/>
      <c r="AON32" s="217"/>
      <c r="AOO32" s="217"/>
      <c r="AOP32" s="217"/>
      <c r="AOQ32" s="217"/>
      <c r="AOR32" s="217"/>
      <c r="AOS32" s="217"/>
      <c r="AOT32" s="217"/>
      <c r="AOU32" s="217"/>
      <c r="AOV32" s="217"/>
      <c r="AOW32" s="217"/>
      <c r="AOX32" s="217"/>
      <c r="AOY32" s="217"/>
      <c r="AOZ32" s="217"/>
      <c r="APA32" s="217"/>
      <c r="APB32" s="217"/>
      <c r="APC32" s="217"/>
      <c r="APD32" s="217"/>
      <c r="APE32" s="217"/>
      <c r="APF32" s="217"/>
      <c r="APG32" s="217"/>
      <c r="APH32" s="217"/>
      <c r="API32" s="217"/>
      <c r="APJ32" s="217"/>
      <c r="APK32" s="217"/>
      <c r="APL32" s="217"/>
      <c r="APM32" s="217"/>
      <c r="APN32" s="217"/>
      <c r="APO32" s="217"/>
      <c r="APP32" s="217"/>
      <c r="APQ32" s="217"/>
      <c r="APR32" s="217"/>
      <c r="APS32" s="217"/>
      <c r="APT32" s="217"/>
      <c r="APU32" s="217"/>
      <c r="APV32" s="217"/>
      <c r="APW32" s="217"/>
      <c r="APX32" s="217"/>
      <c r="APY32" s="217"/>
      <c r="APZ32" s="217"/>
      <c r="AQA32" s="217"/>
      <c r="AQB32" s="217"/>
      <c r="AQC32" s="217"/>
      <c r="AQD32" s="217"/>
      <c r="AQE32" s="217"/>
      <c r="AQF32" s="217"/>
      <c r="AQG32" s="217"/>
      <c r="AQH32" s="217"/>
      <c r="AQI32" s="217"/>
      <c r="AQJ32" s="217"/>
      <c r="AQK32" s="217"/>
      <c r="AQL32" s="217"/>
      <c r="AQM32" s="217"/>
      <c r="AQN32" s="217"/>
      <c r="AQO32" s="217"/>
      <c r="AQP32" s="217"/>
      <c r="AQQ32" s="217"/>
      <c r="AQR32" s="217"/>
      <c r="AQS32" s="217"/>
      <c r="AQT32" s="217"/>
      <c r="AQU32" s="217"/>
      <c r="AQV32" s="217"/>
      <c r="AQW32" s="217"/>
      <c r="AQX32" s="217"/>
      <c r="AQY32" s="217"/>
      <c r="AQZ32" s="217"/>
      <c r="ARA32" s="217"/>
      <c r="ARB32" s="217"/>
      <c r="ARC32" s="217"/>
      <c r="ARD32" s="217"/>
      <c r="ARE32" s="217"/>
      <c r="ARF32" s="217"/>
      <c r="ARG32" s="217"/>
      <c r="ARH32" s="217"/>
      <c r="ARI32" s="217"/>
      <c r="ARJ32" s="217"/>
      <c r="ARK32" s="217"/>
      <c r="ARL32" s="217"/>
      <c r="ARM32" s="217"/>
      <c r="ARN32" s="217"/>
      <c r="ARO32" s="217"/>
      <c r="ARP32" s="217"/>
      <c r="ARQ32" s="217"/>
      <c r="ARR32" s="217"/>
      <c r="ARS32" s="217"/>
      <c r="ART32" s="217"/>
      <c r="ARU32" s="217"/>
      <c r="ARV32" s="217"/>
      <c r="ARW32" s="217"/>
      <c r="ARX32" s="217"/>
      <c r="ARY32" s="217"/>
      <c r="ARZ32" s="217"/>
      <c r="ASA32" s="217"/>
      <c r="ASB32" s="217"/>
      <c r="ASC32" s="217"/>
      <c r="ASD32" s="217"/>
      <c r="ASE32" s="217"/>
      <c r="ASF32" s="217"/>
      <c r="ASG32" s="217"/>
      <c r="ASH32" s="217"/>
      <c r="ASI32" s="217"/>
      <c r="ASJ32" s="217"/>
      <c r="ASK32" s="217"/>
      <c r="ASL32" s="217"/>
      <c r="ASM32" s="217"/>
      <c r="ASN32" s="217"/>
      <c r="ASO32" s="217"/>
      <c r="ASP32" s="217"/>
      <c r="ASQ32" s="217"/>
      <c r="ASR32" s="217"/>
      <c r="ASS32" s="217"/>
      <c r="AST32" s="217"/>
      <c r="ASU32" s="217"/>
      <c r="ASV32" s="217"/>
      <c r="ASW32" s="217"/>
      <c r="ASX32" s="217"/>
      <c r="ASY32" s="217"/>
      <c r="ASZ32" s="217"/>
      <c r="ATA32" s="217"/>
      <c r="ATB32" s="217"/>
      <c r="ATC32" s="217"/>
      <c r="ATD32" s="217"/>
      <c r="ATE32" s="217"/>
      <c r="ATF32" s="217"/>
      <c r="ATG32" s="217"/>
      <c r="ATH32" s="217"/>
      <c r="ATI32" s="217"/>
      <c r="ATJ32" s="217"/>
      <c r="ATK32" s="217"/>
      <c r="ATL32" s="217"/>
      <c r="ATM32" s="217"/>
      <c r="ATN32" s="217"/>
      <c r="ATO32" s="217"/>
      <c r="ATP32" s="217"/>
      <c r="ATQ32" s="217"/>
      <c r="ATR32" s="217"/>
      <c r="ATS32" s="217"/>
      <c r="ATT32" s="217"/>
      <c r="ATU32" s="217"/>
      <c r="ATV32" s="217"/>
      <c r="ATW32" s="217"/>
      <c r="ATX32" s="217"/>
      <c r="ATY32" s="217"/>
      <c r="ATZ32" s="217"/>
      <c r="AUA32" s="217"/>
      <c r="AUB32" s="217"/>
      <c r="AUC32" s="217"/>
      <c r="AUD32" s="217"/>
      <c r="AUE32" s="217"/>
      <c r="AUF32" s="217"/>
      <c r="AUG32" s="217"/>
      <c r="AUH32" s="217"/>
      <c r="AUI32" s="217"/>
      <c r="AUJ32" s="217"/>
      <c r="AUK32" s="217"/>
      <c r="AUL32" s="217"/>
      <c r="AUM32" s="217"/>
      <c r="AUN32" s="217"/>
      <c r="AUO32" s="217"/>
      <c r="AUP32" s="217"/>
      <c r="AUQ32" s="217"/>
      <c r="AUR32" s="217"/>
      <c r="AUS32" s="217"/>
      <c r="AUT32" s="217"/>
      <c r="AUU32" s="217"/>
      <c r="AUV32" s="217"/>
      <c r="AUW32" s="217"/>
      <c r="AUX32" s="217"/>
      <c r="AUY32" s="217"/>
      <c r="AUZ32" s="217"/>
      <c r="AVA32" s="217"/>
      <c r="AVB32" s="217"/>
      <c r="AVC32" s="217"/>
      <c r="AVD32" s="217"/>
      <c r="AVE32" s="217"/>
      <c r="AVF32" s="217"/>
      <c r="AVG32" s="217"/>
      <c r="AVH32" s="217"/>
      <c r="AVI32" s="217"/>
      <c r="AVJ32" s="217"/>
      <c r="AVK32" s="217"/>
      <c r="AVL32" s="217"/>
      <c r="AVM32" s="217"/>
      <c r="AVN32" s="217"/>
      <c r="AVO32" s="217"/>
      <c r="AVP32" s="217"/>
      <c r="AVQ32" s="217"/>
      <c r="AVR32" s="217"/>
      <c r="AVS32" s="217"/>
      <c r="AVT32" s="217"/>
      <c r="AVU32" s="217"/>
      <c r="AVV32" s="217"/>
      <c r="AVW32" s="217"/>
      <c r="AVX32" s="217"/>
      <c r="AVY32" s="217"/>
      <c r="AVZ32" s="217"/>
      <c r="AWA32" s="217"/>
      <c r="AWB32" s="217"/>
      <c r="AWC32" s="217"/>
      <c r="AWD32" s="217"/>
      <c r="AWE32" s="217"/>
      <c r="AWF32" s="217"/>
      <c r="AWG32" s="217"/>
      <c r="AWH32" s="217"/>
      <c r="AWI32" s="217"/>
      <c r="AWJ32" s="217"/>
      <c r="AWK32" s="217"/>
      <c r="AWL32" s="217"/>
      <c r="AWM32" s="217"/>
      <c r="AWN32" s="217"/>
      <c r="AWO32" s="217"/>
      <c r="AWP32" s="217"/>
      <c r="AWQ32" s="217"/>
      <c r="AWR32" s="217"/>
      <c r="AWS32" s="217"/>
      <c r="AWT32" s="217"/>
      <c r="AWU32" s="217"/>
      <c r="AWV32" s="217"/>
      <c r="AWW32" s="217"/>
      <c r="AWX32" s="217"/>
      <c r="AWY32" s="217"/>
      <c r="AWZ32" s="217"/>
      <c r="AXA32" s="217"/>
      <c r="AXB32" s="217"/>
      <c r="AXC32" s="217"/>
      <c r="AXD32" s="217"/>
      <c r="AXE32" s="217"/>
      <c r="AXF32" s="217"/>
      <c r="AXG32" s="217"/>
      <c r="AXH32" s="217"/>
      <c r="AXI32" s="217"/>
      <c r="AXJ32" s="217"/>
      <c r="AXK32" s="217"/>
      <c r="AXL32" s="217"/>
      <c r="AXM32" s="217"/>
      <c r="AXN32" s="217"/>
      <c r="AXO32" s="217"/>
      <c r="AXP32" s="217"/>
      <c r="AXQ32" s="217"/>
      <c r="AXR32" s="217"/>
      <c r="AXS32" s="217"/>
      <c r="AXT32" s="217"/>
      <c r="AXU32" s="217"/>
      <c r="AXV32" s="217"/>
      <c r="AXW32" s="217"/>
      <c r="AXX32" s="217"/>
      <c r="AXY32" s="217"/>
      <c r="AXZ32" s="217"/>
      <c r="AYA32" s="217"/>
      <c r="AYB32" s="217"/>
      <c r="AYC32" s="217"/>
      <c r="AYD32" s="217"/>
      <c r="AYE32" s="217"/>
      <c r="AYF32" s="217"/>
      <c r="AYG32" s="217"/>
      <c r="AYH32" s="217"/>
      <c r="AYI32" s="217"/>
      <c r="AYJ32" s="217"/>
      <c r="AYK32" s="217"/>
      <c r="AYL32" s="217"/>
      <c r="AYM32" s="217"/>
      <c r="AYN32" s="217"/>
      <c r="AYO32" s="217"/>
      <c r="AYP32" s="217"/>
      <c r="AYQ32" s="217"/>
      <c r="AYR32" s="217"/>
      <c r="AYS32" s="217"/>
      <c r="AYT32" s="217"/>
      <c r="AYU32" s="217"/>
      <c r="AYV32" s="217"/>
      <c r="AYW32" s="217"/>
      <c r="AYX32" s="217"/>
      <c r="AYY32" s="217"/>
      <c r="AYZ32" s="217"/>
      <c r="AZA32" s="217"/>
      <c r="AZB32" s="217"/>
      <c r="AZC32" s="217"/>
      <c r="AZD32" s="217"/>
      <c r="AZE32" s="217"/>
      <c r="AZF32" s="217"/>
      <c r="AZG32" s="217"/>
      <c r="AZH32" s="217"/>
      <c r="AZI32" s="217"/>
      <c r="AZJ32" s="217"/>
      <c r="AZK32" s="217"/>
      <c r="AZL32" s="217"/>
      <c r="AZM32" s="217"/>
      <c r="AZN32" s="217"/>
      <c r="AZO32" s="217"/>
      <c r="AZP32" s="217"/>
      <c r="AZQ32" s="217"/>
      <c r="AZR32" s="217"/>
      <c r="AZS32" s="217"/>
      <c r="AZT32" s="217"/>
      <c r="AZU32" s="217"/>
      <c r="AZV32" s="217"/>
      <c r="AZW32" s="217"/>
      <c r="AZX32" s="217"/>
      <c r="AZY32" s="217"/>
      <c r="AZZ32" s="217"/>
      <c r="BAA32" s="217"/>
      <c r="BAB32" s="217"/>
      <c r="BAC32" s="217"/>
      <c r="BAD32" s="217"/>
      <c r="BAE32" s="217"/>
      <c r="BAF32" s="217"/>
      <c r="BAG32" s="217"/>
      <c r="BAH32" s="217"/>
      <c r="BAI32" s="217"/>
      <c r="BAJ32" s="217"/>
      <c r="BAK32" s="217"/>
      <c r="BAL32" s="217"/>
      <c r="BAM32" s="217"/>
      <c r="BAN32" s="217"/>
      <c r="BAO32" s="217"/>
      <c r="BAP32" s="217"/>
      <c r="BAQ32" s="217"/>
      <c r="BAR32" s="217"/>
      <c r="BAS32" s="217"/>
      <c r="BAT32" s="217"/>
      <c r="BAU32" s="217"/>
      <c r="BAV32" s="217"/>
      <c r="BAW32" s="217"/>
      <c r="BAX32" s="217"/>
      <c r="BAY32" s="217"/>
      <c r="BAZ32" s="217"/>
      <c r="BBA32" s="217"/>
      <c r="BBB32" s="217"/>
      <c r="BBC32" s="217"/>
      <c r="BBD32" s="217"/>
      <c r="BBE32" s="217"/>
      <c r="BBF32" s="217"/>
      <c r="BBG32" s="217"/>
      <c r="BBH32" s="217"/>
      <c r="BBI32" s="217"/>
      <c r="BBJ32" s="217"/>
      <c r="BBK32" s="217"/>
      <c r="BBL32" s="217"/>
      <c r="BBM32" s="217"/>
      <c r="BBN32" s="217"/>
      <c r="BBO32" s="217"/>
      <c r="BBP32" s="217"/>
      <c r="BBQ32" s="217"/>
      <c r="BBR32" s="217"/>
      <c r="BBS32" s="217"/>
      <c r="BBT32" s="217"/>
      <c r="BBU32" s="217"/>
      <c r="BBV32" s="217"/>
      <c r="BBW32" s="217"/>
      <c r="BBX32" s="217"/>
      <c r="BBY32" s="217"/>
      <c r="BBZ32" s="217"/>
      <c r="BCA32" s="217"/>
      <c r="BCB32" s="217"/>
      <c r="BCC32" s="217"/>
      <c r="BCD32" s="217"/>
      <c r="BCE32" s="217"/>
      <c r="BCF32" s="217"/>
      <c r="BCG32" s="217"/>
      <c r="BCH32" s="217"/>
      <c r="BCI32" s="217"/>
      <c r="BCJ32" s="217"/>
      <c r="BCK32" s="217"/>
      <c r="BCL32" s="217"/>
      <c r="BCM32" s="217"/>
      <c r="BCN32" s="217"/>
      <c r="BCO32" s="217"/>
      <c r="BCP32" s="217"/>
      <c r="BCQ32" s="217"/>
      <c r="BCR32" s="217"/>
      <c r="BCS32" s="217"/>
      <c r="BCT32" s="217"/>
      <c r="BCU32" s="217"/>
      <c r="BCV32" s="217"/>
      <c r="BCW32" s="217"/>
      <c r="BCX32" s="217"/>
      <c r="BCY32" s="217"/>
      <c r="BCZ32" s="217"/>
      <c r="BDA32" s="217"/>
      <c r="BDB32" s="217"/>
      <c r="BDC32" s="217"/>
      <c r="BDD32" s="217"/>
      <c r="BDE32" s="217"/>
      <c r="BDF32" s="217"/>
      <c r="BDG32" s="217"/>
      <c r="BDH32" s="217"/>
      <c r="BDI32" s="217"/>
      <c r="BDJ32" s="217"/>
      <c r="BDK32" s="217"/>
      <c r="BDL32" s="217"/>
      <c r="BDM32" s="217"/>
      <c r="BDN32" s="217"/>
      <c r="BDO32" s="217"/>
      <c r="BDP32" s="217"/>
      <c r="BDQ32" s="217"/>
      <c r="BDR32" s="217"/>
      <c r="BDS32" s="217"/>
      <c r="BDT32" s="217"/>
      <c r="BDU32" s="217"/>
      <c r="BDV32" s="217"/>
      <c r="BDW32" s="217"/>
      <c r="BDX32" s="217"/>
      <c r="BDY32" s="217"/>
      <c r="BDZ32" s="217"/>
      <c r="BEA32" s="217"/>
      <c r="BEB32" s="217"/>
      <c r="BEC32" s="217"/>
      <c r="BED32" s="217"/>
      <c r="BEE32" s="217"/>
      <c r="BEF32" s="217"/>
      <c r="BEG32" s="217"/>
      <c r="BEH32" s="217"/>
      <c r="BEI32" s="217"/>
      <c r="BEJ32" s="217"/>
      <c r="BEK32" s="217"/>
      <c r="BEL32" s="217"/>
      <c r="BEM32" s="217"/>
      <c r="BEN32" s="217"/>
      <c r="BEO32" s="217"/>
      <c r="BEP32" s="217"/>
      <c r="BEQ32" s="217"/>
      <c r="BER32" s="217"/>
      <c r="BES32" s="217"/>
      <c r="BET32" s="217"/>
      <c r="BEU32" s="217"/>
      <c r="BEV32" s="217"/>
      <c r="BEW32" s="217"/>
      <c r="BEX32" s="217"/>
      <c r="BEY32" s="217"/>
      <c r="BEZ32" s="217"/>
      <c r="BFA32" s="217"/>
      <c r="BFB32" s="217"/>
      <c r="BFC32" s="217"/>
      <c r="BFD32" s="217"/>
      <c r="BFE32" s="217"/>
      <c r="BFF32" s="217"/>
      <c r="BFG32" s="217"/>
      <c r="BFH32" s="217"/>
      <c r="BFI32" s="217"/>
      <c r="BFJ32" s="217"/>
      <c r="BFK32" s="217"/>
      <c r="BFL32" s="217"/>
      <c r="BFM32" s="217"/>
      <c r="BFN32" s="217"/>
      <c r="BFO32" s="217"/>
      <c r="BFP32" s="217"/>
      <c r="BFQ32" s="217"/>
      <c r="BFR32" s="217"/>
      <c r="BFS32" s="217"/>
      <c r="BFT32" s="217"/>
      <c r="BFU32" s="217"/>
      <c r="BFV32" s="217"/>
      <c r="BFW32" s="217"/>
      <c r="BFX32" s="217"/>
      <c r="BFY32" s="217"/>
      <c r="BFZ32" s="217"/>
      <c r="BGA32" s="217"/>
      <c r="BGB32" s="217"/>
      <c r="BGC32" s="217"/>
      <c r="BGD32" s="217"/>
      <c r="BGE32" s="217"/>
      <c r="BGF32" s="217"/>
      <c r="BGG32" s="217"/>
      <c r="BGH32" s="217"/>
      <c r="BGI32" s="217"/>
      <c r="BGJ32" s="217"/>
      <c r="BGK32" s="217"/>
      <c r="BGL32" s="217"/>
      <c r="BGM32" s="217"/>
      <c r="BGN32" s="217"/>
      <c r="BGO32" s="217"/>
      <c r="BGP32" s="217"/>
      <c r="BGQ32" s="217"/>
      <c r="BGR32" s="217"/>
      <c r="BGS32" s="217"/>
      <c r="BGT32" s="217"/>
      <c r="BGU32" s="217"/>
      <c r="BGV32" s="217"/>
      <c r="BGW32" s="217"/>
      <c r="BGX32" s="217"/>
      <c r="BGY32" s="217"/>
      <c r="BGZ32" s="217"/>
      <c r="BHA32" s="217"/>
      <c r="BHB32" s="217"/>
      <c r="BHC32" s="217"/>
      <c r="BHD32" s="217"/>
      <c r="BHE32" s="217"/>
      <c r="BHF32" s="217"/>
      <c r="BHG32" s="217"/>
      <c r="BHH32" s="217"/>
      <c r="BHI32" s="217"/>
      <c r="BHJ32" s="217"/>
      <c r="BHK32" s="217"/>
      <c r="BHL32" s="217"/>
      <c r="BHM32" s="217"/>
      <c r="BHN32" s="217"/>
      <c r="BHO32" s="217"/>
      <c r="BHP32" s="217"/>
      <c r="BHQ32" s="217"/>
      <c r="BHR32" s="217"/>
      <c r="BHS32" s="217"/>
      <c r="BHT32" s="217"/>
      <c r="BHU32" s="217"/>
      <c r="BHV32" s="217"/>
      <c r="BHW32" s="217"/>
      <c r="BHX32" s="217"/>
      <c r="BHY32" s="217"/>
      <c r="BHZ32" s="217"/>
      <c r="BIA32" s="217"/>
      <c r="BIB32" s="217"/>
      <c r="BIC32" s="217"/>
      <c r="BID32" s="217"/>
      <c r="BIE32" s="217"/>
      <c r="BIF32" s="217"/>
      <c r="BIG32" s="217"/>
      <c r="BIH32" s="217"/>
      <c r="BII32" s="217"/>
      <c r="BIJ32" s="217"/>
      <c r="BIK32" s="217"/>
      <c r="BIL32" s="217"/>
      <c r="BIM32" s="217"/>
      <c r="BIN32" s="217"/>
      <c r="BIO32" s="217"/>
      <c r="BIP32" s="217"/>
      <c r="BIQ32" s="217"/>
      <c r="BIR32" s="217"/>
      <c r="BIS32" s="217"/>
      <c r="BIT32" s="217"/>
      <c r="BIU32" s="217"/>
      <c r="BIV32" s="217"/>
      <c r="BIW32" s="217"/>
      <c r="BIX32" s="217"/>
      <c r="BIY32" s="217"/>
      <c r="BIZ32" s="217"/>
      <c r="BJA32" s="217"/>
      <c r="BJB32" s="217"/>
      <c r="BJC32" s="217"/>
      <c r="BJD32" s="217"/>
      <c r="BJE32" s="217"/>
      <c r="BJF32" s="217"/>
      <c r="BJG32" s="217"/>
      <c r="BJH32" s="217"/>
      <c r="BJI32" s="217"/>
      <c r="BJJ32" s="217"/>
      <c r="BJK32" s="217"/>
      <c r="BJL32" s="217"/>
      <c r="BJM32" s="217"/>
      <c r="BJN32" s="217"/>
      <c r="BJO32" s="217"/>
      <c r="BJP32" s="217"/>
      <c r="BJQ32" s="217"/>
      <c r="BJR32" s="217"/>
      <c r="BJS32" s="217"/>
      <c r="BJT32" s="217"/>
      <c r="BJU32" s="217"/>
      <c r="BJV32" s="217"/>
      <c r="BJW32" s="217"/>
      <c r="BJX32" s="217"/>
      <c r="BJY32" s="217"/>
      <c r="BJZ32" s="217"/>
      <c r="BKA32" s="217"/>
      <c r="BKB32" s="217"/>
      <c r="BKC32" s="217"/>
      <c r="BKD32" s="217"/>
      <c r="BKE32" s="217"/>
      <c r="BKF32" s="217"/>
      <c r="BKG32" s="217"/>
      <c r="BKH32" s="217"/>
      <c r="BKI32" s="217"/>
      <c r="BKJ32" s="217"/>
      <c r="BKK32" s="217"/>
      <c r="BKL32" s="217"/>
      <c r="BKM32" s="217"/>
      <c r="BKN32" s="217"/>
      <c r="BKO32" s="217"/>
      <c r="BKP32" s="217"/>
      <c r="BKQ32" s="217"/>
      <c r="BKR32" s="217"/>
      <c r="BKS32" s="217"/>
      <c r="BKT32" s="217"/>
      <c r="BKU32" s="217"/>
      <c r="BKV32" s="217"/>
      <c r="BKW32" s="217"/>
      <c r="BKX32" s="217"/>
      <c r="BKY32" s="217"/>
      <c r="BKZ32" s="217"/>
      <c r="BLA32" s="217"/>
      <c r="BLB32" s="217"/>
      <c r="BLC32" s="217"/>
      <c r="BLD32" s="217"/>
      <c r="BLE32" s="217"/>
      <c r="BLF32" s="217"/>
      <c r="BLG32" s="217"/>
      <c r="BLH32" s="217"/>
      <c r="BLI32" s="217"/>
      <c r="BLJ32" s="217"/>
      <c r="BLK32" s="217"/>
      <c r="BLL32" s="217"/>
      <c r="BLM32" s="217"/>
      <c r="BLN32" s="217"/>
      <c r="BLO32" s="217"/>
      <c r="BLP32" s="217"/>
      <c r="BLQ32" s="217"/>
      <c r="BLR32" s="217"/>
      <c r="BLS32" s="217"/>
      <c r="BLT32" s="217"/>
      <c r="BLU32" s="217"/>
      <c r="BLV32" s="217"/>
      <c r="BLW32" s="217"/>
      <c r="BLX32" s="217"/>
      <c r="BLY32" s="217"/>
      <c r="BLZ32" s="217"/>
      <c r="BMA32" s="217"/>
      <c r="BMB32" s="217"/>
      <c r="BMC32" s="217"/>
      <c r="BMD32" s="217"/>
      <c r="BME32" s="217"/>
      <c r="BMF32" s="217"/>
      <c r="BMG32" s="217"/>
      <c r="BMH32" s="217"/>
      <c r="BMI32" s="217"/>
      <c r="BMJ32" s="217"/>
      <c r="BMK32" s="217"/>
      <c r="BML32" s="217"/>
      <c r="BMM32" s="217"/>
      <c r="BMN32" s="217"/>
      <c r="BMO32" s="217"/>
      <c r="BMP32" s="217"/>
      <c r="BMQ32" s="217"/>
      <c r="BMR32" s="217"/>
      <c r="BMS32" s="217"/>
      <c r="BMT32" s="217"/>
      <c r="BMU32" s="217"/>
      <c r="BMV32" s="217"/>
      <c r="BMW32" s="217"/>
      <c r="BMX32" s="217"/>
      <c r="BMY32" s="217"/>
      <c r="BMZ32" s="217"/>
      <c r="BNA32" s="217"/>
      <c r="BNB32" s="217"/>
      <c r="BNC32" s="217"/>
      <c r="BND32" s="217"/>
      <c r="BNE32" s="217"/>
      <c r="BNF32" s="217"/>
      <c r="BNG32" s="217"/>
      <c r="BNH32" s="217"/>
      <c r="BNI32" s="217"/>
      <c r="BNJ32" s="217"/>
      <c r="BNK32" s="217"/>
      <c r="BNL32" s="217"/>
      <c r="BNM32" s="217"/>
      <c r="BNN32" s="217"/>
      <c r="BNO32" s="217"/>
      <c r="BNP32" s="217"/>
      <c r="BNQ32" s="217"/>
      <c r="BNR32" s="217"/>
      <c r="BNS32" s="217"/>
      <c r="BNT32" s="217"/>
      <c r="BNU32" s="217"/>
      <c r="BNV32" s="217"/>
      <c r="BNW32" s="217"/>
      <c r="BNX32" s="217"/>
      <c r="BNY32" s="217"/>
      <c r="BNZ32" s="217"/>
      <c r="BOA32" s="217"/>
      <c r="BOB32" s="217"/>
      <c r="BOC32" s="217"/>
      <c r="BOD32" s="217"/>
      <c r="BOE32" s="217"/>
      <c r="BOF32" s="217"/>
      <c r="BOG32" s="217"/>
      <c r="BOH32" s="217"/>
      <c r="BOI32" s="217"/>
      <c r="BOJ32" s="217"/>
      <c r="BOK32" s="217"/>
      <c r="BOL32" s="217"/>
      <c r="BOM32" s="217"/>
      <c r="BON32" s="217"/>
      <c r="BOO32" s="217"/>
      <c r="BOP32" s="217"/>
      <c r="BOQ32" s="217"/>
      <c r="BOR32" s="217"/>
      <c r="BOS32" s="217"/>
      <c r="BOT32" s="217"/>
      <c r="BOU32" s="217"/>
      <c r="BOV32" s="217"/>
      <c r="BOW32" s="217"/>
      <c r="BOX32" s="217"/>
      <c r="BOY32" s="217"/>
      <c r="BOZ32" s="217"/>
      <c r="BPA32" s="217"/>
      <c r="BPB32" s="217"/>
      <c r="BPC32" s="217"/>
      <c r="BPD32" s="217"/>
      <c r="BPE32" s="217"/>
      <c r="BPF32" s="217"/>
      <c r="BPG32" s="217"/>
      <c r="BPH32" s="217"/>
      <c r="BPI32" s="217"/>
      <c r="BPJ32" s="217"/>
      <c r="BPK32" s="217"/>
      <c r="BPL32" s="217"/>
      <c r="BPM32" s="217"/>
      <c r="BPN32" s="217"/>
      <c r="BPO32" s="217"/>
      <c r="BPP32" s="217"/>
      <c r="BPQ32" s="217"/>
      <c r="BPR32" s="217"/>
      <c r="BPS32" s="217"/>
      <c r="BPT32" s="217"/>
      <c r="BPU32" s="217"/>
      <c r="BPV32" s="217"/>
      <c r="BPW32" s="217"/>
      <c r="BPX32" s="217"/>
      <c r="BPY32" s="217"/>
      <c r="BPZ32" s="217"/>
      <c r="BQA32" s="217"/>
      <c r="BQB32" s="217"/>
      <c r="BQC32" s="217"/>
      <c r="BQD32" s="217"/>
      <c r="BQE32" s="217"/>
      <c r="BQF32" s="217"/>
      <c r="BQG32" s="217"/>
      <c r="BQH32" s="217"/>
      <c r="BQI32" s="217"/>
      <c r="BQJ32" s="217"/>
      <c r="BQK32" s="217"/>
      <c r="BQL32" s="217"/>
      <c r="BQM32" s="217"/>
      <c r="BQN32" s="217"/>
      <c r="BQO32" s="217"/>
      <c r="BQP32" s="217"/>
      <c r="BQQ32" s="217"/>
      <c r="BQR32" s="217"/>
      <c r="BQS32" s="217"/>
      <c r="BQT32" s="217"/>
      <c r="BQU32" s="217"/>
      <c r="BQV32" s="217"/>
      <c r="BQW32" s="217"/>
      <c r="BQX32" s="217"/>
      <c r="BQY32" s="217"/>
      <c r="BQZ32" s="217"/>
      <c r="BRA32" s="217"/>
      <c r="BRB32" s="217"/>
      <c r="BRC32" s="217"/>
      <c r="BRD32" s="217"/>
      <c r="BRE32" s="217"/>
      <c r="BRF32" s="217"/>
      <c r="BRG32" s="217"/>
      <c r="BRH32" s="217"/>
      <c r="BRI32" s="217"/>
      <c r="BRJ32" s="217"/>
      <c r="BRK32" s="217"/>
      <c r="BRL32" s="217"/>
      <c r="BRM32" s="217"/>
      <c r="BRN32" s="217"/>
      <c r="BRO32" s="217"/>
      <c r="BRP32" s="217"/>
      <c r="BRQ32" s="217"/>
      <c r="BRR32" s="217"/>
      <c r="BRS32" s="217"/>
      <c r="BRT32" s="217"/>
      <c r="BRU32" s="217"/>
      <c r="BRV32" s="217"/>
      <c r="BRW32" s="217"/>
      <c r="BRX32" s="217"/>
      <c r="BRY32" s="217"/>
      <c r="BRZ32" s="217"/>
      <c r="BSA32" s="217"/>
      <c r="BSB32" s="217"/>
      <c r="BSC32" s="217"/>
      <c r="BSD32" s="217"/>
      <c r="BSE32" s="217"/>
      <c r="BSF32" s="217"/>
      <c r="BSG32" s="217"/>
      <c r="BSH32" s="217"/>
      <c r="BSI32" s="217"/>
      <c r="BSJ32" s="217"/>
      <c r="BSK32" s="217"/>
      <c r="BSL32" s="217"/>
      <c r="BSM32" s="217"/>
      <c r="BSN32" s="217"/>
      <c r="BSO32" s="217"/>
      <c r="BSP32" s="217"/>
      <c r="BSQ32" s="217"/>
      <c r="BSR32" s="217"/>
      <c r="BSS32" s="217"/>
      <c r="BST32" s="217"/>
      <c r="BSU32" s="217"/>
      <c r="BSV32" s="217"/>
      <c r="BSW32" s="217"/>
      <c r="BSX32" s="217"/>
      <c r="BSY32" s="217"/>
      <c r="BSZ32" s="217"/>
      <c r="BTA32" s="217"/>
      <c r="BTB32" s="217"/>
      <c r="BTC32" s="217"/>
      <c r="BTD32" s="217"/>
      <c r="BTE32" s="217"/>
      <c r="BTF32" s="217"/>
      <c r="BTG32" s="217"/>
      <c r="BTH32" s="217"/>
      <c r="BTI32" s="217"/>
      <c r="BTJ32" s="217"/>
      <c r="BTK32" s="217"/>
      <c r="BTL32" s="217"/>
      <c r="BTM32" s="217"/>
      <c r="BTN32" s="217"/>
      <c r="BTO32" s="217"/>
      <c r="BTP32" s="217"/>
      <c r="BTQ32" s="217"/>
      <c r="BTR32" s="217"/>
      <c r="BTS32" s="217"/>
      <c r="BTT32" s="217"/>
      <c r="BTU32" s="217"/>
      <c r="BTV32" s="217"/>
      <c r="BTW32" s="217"/>
      <c r="BTX32" s="217"/>
      <c r="BTY32" s="217"/>
      <c r="BTZ32" s="217"/>
      <c r="BUA32" s="217"/>
      <c r="BUB32" s="217"/>
      <c r="BUC32" s="217"/>
      <c r="BUD32" s="217"/>
      <c r="BUE32" s="217"/>
      <c r="BUF32" s="217"/>
      <c r="BUG32" s="217"/>
      <c r="BUH32" s="217"/>
      <c r="BUI32" s="217"/>
      <c r="BUJ32" s="217"/>
      <c r="BUK32" s="217"/>
      <c r="BUL32" s="217"/>
      <c r="BUM32" s="217"/>
      <c r="BUN32" s="217"/>
      <c r="BUO32" s="217"/>
      <c r="BUP32" s="217"/>
      <c r="BUQ32" s="217"/>
      <c r="BUR32" s="217"/>
      <c r="BUS32" s="217"/>
      <c r="BUT32" s="217"/>
      <c r="BUU32" s="217"/>
      <c r="BUV32" s="217"/>
      <c r="BUW32" s="217"/>
      <c r="BUX32" s="217"/>
      <c r="BUY32" s="217"/>
      <c r="BUZ32" s="217"/>
      <c r="BVA32" s="217"/>
      <c r="BVB32" s="217"/>
      <c r="BVC32" s="217"/>
      <c r="BVD32" s="217"/>
      <c r="BVE32" s="217"/>
      <c r="BVF32" s="217"/>
      <c r="BVG32" s="217"/>
      <c r="BVH32" s="217"/>
      <c r="BVI32" s="217"/>
      <c r="BVJ32" s="217"/>
      <c r="BVK32" s="217"/>
      <c r="BVL32" s="217"/>
      <c r="BVM32" s="217"/>
      <c r="BVN32" s="217"/>
      <c r="BVO32" s="217"/>
      <c r="BVP32" s="217"/>
      <c r="BVQ32" s="217"/>
      <c r="BVR32" s="217"/>
      <c r="BVS32" s="217"/>
      <c r="BVT32" s="217"/>
      <c r="BVU32" s="217"/>
      <c r="BVV32" s="217"/>
      <c r="BVW32" s="217"/>
      <c r="BVX32" s="217"/>
      <c r="BVY32" s="217"/>
      <c r="BVZ32" s="217"/>
      <c r="BWA32" s="217"/>
      <c r="BWB32" s="217"/>
      <c r="BWC32" s="217"/>
      <c r="BWD32" s="217"/>
      <c r="BWE32" s="217"/>
      <c r="BWF32" s="217"/>
      <c r="BWG32" s="217"/>
      <c r="BWH32" s="217"/>
      <c r="BWI32" s="217"/>
      <c r="BWJ32" s="217"/>
      <c r="BWK32" s="217"/>
      <c r="BWL32" s="217"/>
      <c r="BWM32" s="217"/>
      <c r="BWN32" s="217"/>
      <c r="BWO32" s="217"/>
      <c r="BWP32" s="217"/>
      <c r="BWQ32" s="217"/>
      <c r="BWR32" s="217"/>
      <c r="BWS32" s="217"/>
      <c r="BWT32" s="217"/>
      <c r="BWU32" s="217"/>
      <c r="BWV32" s="217"/>
      <c r="BWW32" s="217"/>
      <c r="BWX32" s="217"/>
      <c r="BWY32" s="217"/>
      <c r="BWZ32" s="217"/>
      <c r="BXA32" s="217"/>
      <c r="BXB32" s="217"/>
      <c r="BXC32" s="217"/>
      <c r="BXD32" s="217"/>
      <c r="BXE32" s="217"/>
      <c r="BXF32" s="217"/>
      <c r="BXG32" s="217"/>
      <c r="BXH32" s="217"/>
      <c r="BXI32" s="217"/>
      <c r="BXJ32" s="217"/>
      <c r="BXK32" s="217"/>
      <c r="BXL32" s="217"/>
      <c r="BXM32" s="217"/>
      <c r="BXN32" s="217"/>
      <c r="BXO32" s="217"/>
      <c r="BXP32" s="217"/>
      <c r="BXQ32" s="217"/>
      <c r="BXR32" s="217"/>
      <c r="BXS32" s="217"/>
      <c r="BXT32" s="217"/>
      <c r="BXU32" s="217"/>
      <c r="BXV32" s="217"/>
      <c r="BXW32" s="217"/>
      <c r="BXX32" s="217"/>
      <c r="BXY32" s="217"/>
      <c r="BXZ32" s="217"/>
      <c r="BYA32" s="217"/>
      <c r="BYB32" s="217"/>
      <c r="BYC32" s="217"/>
      <c r="BYD32" s="217"/>
      <c r="BYE32" s="217"/>
      <c r="BYF32" s="217"/>
      <c r="BYG32" s="217"/>
    </row>
    <row r="33" spans="1:2009" s="93" customFormat="1" ht="17.25" customHeight="1" thickBot="1" x14ac:dyDescent="0.3">
      <c r="A33" s="110"/>
      <c r="B33" s="110"/>
      <c r="C33" s="175"/>
      <c r="D33" s="175"/>
      <c r="E33" s="175"/>
      <c r="F33" s="175"/>
      <c r="G33" s="647"/>
      <c r="I33" s="552"/>
      <c r="N33" s="196"/>
    </row>
    <row r="34" spans="1:2009" s="112" customFormat="1" ht="24.95" hidden="1" customHeight="1" x14ac:dyDescent="0.25">
      <c r="A34" s="140" t="s">
        <v>41</v>
      </c>
      <c r="B34" s="141"/>
      <c r="C34" s="184"/>
      <c r="D34" s="184"/>
      <c r="E34" s="185"/>
      <c r="F34" s="185"/>
      <c r="G34" s="654"/>
      <c r="H34" s="93"/>
      <c r="I34" s="552"/>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42</v>
      </c>
      <c r="C35" s="182"/>
      <c r="D35" s="182"/>
      <c r="E35" s="183"/>
      <c r="F35" s="183"/>
      <c r="G35" s="652"/>
      <c r="H35" s="93"/>
      <c r="I35" s="552"/>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8" customFormat="1" ht="24.95" hidden="1" customHeight="1" thickBot="1" x14ac:dyDescent="0.3">
      <c r="A36" s="219"/>
      <c r="B36" s="215" t="s">
        <v>73</v>
      </c>
      <c r="C36" s="216"/>
      <c r="D36" s="216"/>
      <c r="E36" s="216"/>
      <c r="F36" s="216"/>
      <c r="G36" s="653"/>
      <c r="H36" s="196"/>
      <c r="I36" s="552"/>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c r="IU36" s="217"/>
      <c r="IV36" s="217"/>
      <c r="IW36" s="217"/>
      <c r="IX36" s="217"/>
      <c r="IY36" s="217"/>
      <c r="IZ36" s="217"/>
      <c r="JA36" s="217"/>
      <c r="JB36" s="217"/>
      <c r="JC36" s="217"/>
      <c r="JD36" s="217"/>
      <c r="JE36" s="217"/>
      <c r="JF36" s="217"/>
      <c r="JG36" s="217"/>
      <c r="JH36" s="217"/>
      <c r="JI36" s="217"/>
      <c r="JJ36" s="217"/>
      <c r="JK36" s="217"/>
      <c r="JL36" s="217"/>
      <c r="JM36" s="217"/>
      <c r="JN36" s="217"/>
      <c r="JO36" s="217"/>
      <c r="JP36" s="217"/>
      <c r="JQ36" s="217"/>
      <c r="JR36" s="217"/>
      <c r="JS36" s="217"/>
      <c r="JT36" s="217"/>
      <c r="JU36" s="217"/>
      <c r="JV36" s="217"/>
      <c r="JW36" s="217"/>
      <c r="JX36" s="217"/>
      <c r="JY36" s="217"/>
      <c r="JZ36" s="217"/>
      <c r="KA36" s="217"/>
      <c r="KB36" s="217"/>
      <c r="KC36" s="217"/>
      <c r="KD36" s="217"/>
      <c r="KE36" s="217"/>
      <c r="KF36" s="217"/>
      <c r="KG36" s="217"/>
      <c r="KH36" s="217"/>
      <c r="KI36" s="217"/>
      <c r="KJ36" s="217"/>
      <c r="KK36" s="217"/>
      <c r="KL36" s="217"/>
      <c r="KM36" s="217"/>
      <c r="KN36" s="217"/>
      <c r="KO36" s="217"/>
      <c r="KP36" s="217"/>
      <c r="KQ36" s="217"/>
      <c r="KR36" s="217"/>
      <c r="KS36" s="217"/>
      <c r="KT36" s="217"/>
      <c r="KU36" s="217"/>
      <c r="KV36" s="217"/>
      <c r="KW36" s="217"/>
      <c r="KX36" s="217"/>
      <c r="KY36" s="217"/>
      <c r="KZ36" s="217"/>
      <c r="LA36" s="217"/>
      <c r="LB36" s="217"/>
      <c r="LC36" s="217"/>
      <c r="LD36" s="217"/>
      <c r="LE36" s="217"/>
      <c r="LF36" s="217"/>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c r="NI36" s="217"/>
      <c r="NJ36" s="217"/>
      <c r="NK36" s="217"/>
      <c r="NL36" s="217"/>
      <c r="NM36" s="217"/>
      <c r="NN36" s="217"/>
      <c r="NO36" s="217"/>
      <c r="NP36" s="217"/>
      <c r="NQ36" s="217"/>
      <c r="NR36" s="217"/>
      <c r="NS36" s="217"/>
      <c r="NT36" s="217"/>
      <c r="NU36" s="217"/>
      <c r="NV36" s="217"/>
      <c r="NW36" s="217"/>
      <c r="NX36" s="217"/>
      <c r="NY36" s="217"/>
      <c r="NZ36" s="217"/>
      <c r="OA36" s="217"/>
      <c r="OB36" s="217"/>
      <c r="OC36" s="217"/>
      <c r="OD36" s="217"/>
      <c r="OE36" s="217"/>
      <c r="OF36" s="217"/>
      <c r="OG36" s="217"/>
      <c r="OH36" s="217"/>
      <c r="OI36" s="217"/>
      <c r="OJ36" s="217"/>
      <c r="OK36" s="217"/>
      <c r="OL36" s="217"/>
      <c r="OM36" s="217"/>
      <c r="ON36" s="217"/>
      <c r="OO36" s="217"/>
      <c r="OP36" s="217"/>
      <c r="OQ36" s="217"/>
      <c r="OR36" s="217"/>
      <c r="OS36" s="217"/>
      <c r="OT36" s="217"/>
      <c r="OU36" s="217"/>
      <c r="OV36" s="217"/>
      <c r="OW36" s="217"/>
      <c r="OX36" s="217"/>
      <c r="OY36" s="217"/>
      <c r="OZ36" s="217"/>
      <c r="PA36" s="217"/>
      <c r="PB36" s="217"/>
      <c r="PC36" s="217"/>
      <c r="PD36" s="217"/>
      <c r="PE36" s="217"/>
      <c r="PF36" s="217"/>
      <c r="PG36" s="217"/>
      <c r="PH36" s="217"/>
      <c r="PI36" s="217"/>
      <c r="PJ36" s="217"/>
      <c r="PK36" s="217"/>
      <c r="PL36" s="217"/>
      <c r="PM36" s="217"/>
      <c r="PN36" s="217"/>
      <c r="PO36" s="217"/>
      <c r="PP36" s="217"/>
      <c r="PQ36" s="217"/>
      <c r="PR36" s="217"/>
      <c r="PS36" s="217"/>
      <c r="PT36" s="217"/>
      <c r="PU36" s="217"/>
      <c r="PV36" s="217"/>
      <c r="PW36" s="217"/>
      <c r="PX36" s="217"/>
      <c r="PY36" s="217"/>
      <c r="PZ36" s="217"/>
      <c r="QA36" s="217"/>
      <c r="QB36" s="217"/>
      <c r="QC36" s="217"/>
      <c r="QD36" s="217"/>
      <c r="QE36" s="217"/>
      <c r="QF36" s="217"/>
      <c r="QG36" s="217"/>
      <c r="QH36" s="217"/>
      <c r="QI36" s="217"/>
      <c r="QJ36" s="217"/>
      <c r="QK36" s="217"/>
      <c r="QL36" s="217"/>
      <c r="QM36" s="217"/>
      <c r="QN36" s="217"/>
      <c r="QO36" s="217"/>
      <c r="QP36" s="217"/>
      <c r="QQ36" s="217"/>
      <c r="QR36" s="217"/>
      <c r="QS36" s="217"/>
      <c r="QT36" s="217"/>
      <c r="QU36" s="217"/>
      <c r="QV36" s="217"/>
      <c r="QW36" s="217"/>
      <c r="QX36" s="217"/>
      <c r="QY36" s="217"/>
      <c r="QZ36" s="217"/>
      <c r="RA36" s="217"/>
      <c r="RB36" s="217"/>
      <c r="RC36" s="217"/>
      <c r="RD36" s="217"/>
      <c r="RE36" s="217"/>
      <c r="RF36" s="217"/>
      <c r="RG36" s="217"/>
      <c r="RH36" s="217"/>
      <c r="RI36" s="217"/>
      <c r="RJ36" s="217"/>
      <c r="RK36" s="217"/>
      <c r="RL36" s="217"/>
      <c r="RM36" s="217"/>
      <c r="RN36" s="217"/>
      <c r="RO36" s="217"/>
      <c r="RP36" s="217"/>
      <c r="RQ36" s="217"/>
      <c r="RR36" s="217"/>
      <c r="RS36" s="217"/>
      <c r="RT36" s="217"/>
      <c r="RU36" s="217"/>
      <c r="RV36" s="217"/>
      <c r="RW36" s="217"/>
      <c r="RX36" s="217"/>
      <c r="RY36" s="217"/>
      <c r="RZ36" s="217"/>
      <c r="SA36" s="217"/>
      <c r="SB36" s="217"/>
      <c r="SC36" s="217"/>
      <c r="SD36" s="217"/>
      <c r="SE36" s="217"/>
      <c r="SF36" s="217"/>
      <c r="SG36" s="217"/>
      <c r="SH36" s="217"/>
      <c r="SI36" s="217"/>
      <c r="SJ36" s="217"/>
      <c r="SK36" s="217"/>
      <c r="SL36" s="217"/>
      <c r="SM36" s="217"/>
      <c r="SN36" s="217"/>
      <c r="SO36" s="217"/>
      <c r="SP36" s="217"/>
      <c r="SQ36" s="217"/>
      <c r="SR36" s="217"/>
      <c r="SS36" s="217"/>
      <c r="ST36" s="217"/>
      <c r="SU36" s="217"/>
      <c r="SV36" s="217"/>
      <c r="SW36" s="217"/>
      <c r="SX36" s="217"/>
      <c r="SY36" s="217"/>
      <c r="SZ36" s="217"/>
      <c r="TA36" s="217"/>
      <c r="TB36" s="217"/>
      <c r="TC36" s="217"/>
      <c r="TD36" s="217"/>
      <c r="TE36" s="217"/>
      <c r="TF36" s="217"/>
      <c r="TG36" s="217"/>
      <c r="TH36" s="217"/>
      <c r="TI36" s="217"/>
      <c r="TJ36" s="217"/>
      <c r="TK36" s="217"/>
      <c r="TL36" s="217"/>
      <c r="TM36" s="217"/>
      <c r="TN36" s="217"/>
      <c r="TO36" s="217"/>
      <c r="TP36" s="217"/>
      <c r="TQ36" s="217"/>
      <c r="TR36" s="217"/>
      <c r="TS36" s="217"/>
      <c r="TT36" s="217"/>
      <c r="TU36" s="217"/>
      <c r="TV36" s="217"/>
      <c r="TW36" s="217"/>
      <c r="TX36" s="217"/>
      <c r="TY36" s="217"/>
      <c r="TZ36" s="217"/>
      <c r="UA36" s="217"/>
      <c r="UB36" s="217"/>
      <c r="UC36" s="217"/>
      <c r="UD36" s="217"/>
      <c r="UE36" s="217"/>
      <c r="UF36" s="217"/>
      <c r="UG36" s="217"/>
      <c r="UH36" s="217"/>
      <c r="UI36" s="217"/>
      <c r="UJ36" s="217"/>
      <c r="UK36" s="217"/>
      <c r="UL36" s="217"/>
      <c r="UM36" s="217"/>
      <c r="UN36" s="217"/>
      <c r="UO36" s="217"/>
      <c r="UP36" s="217"/>
      <c r="UQ36" s="217"/>
      <c r="UR36" s="217"/>
      <c r="US36" s="217"/>
      <c r="UT36" s="217"/>
      <c r="UU36" s="217"/>
      <c r="UV36" s="217"/>
      <c r="UW36" s="217"/>
      <c r="UX36" s="217"/>
      <c r="UY36" s="217"/>
      <c r="UZ36" s="217"/>
      <c r="VA36" s="217"/>
      <c r="VB36" s="217"/>
      <c r="VC36" s="217"/>
      <c r="VD36" s="217"/>
      <c r="VE36" s="217"/>
      <c r="VF36" s="217"/>
      <c r="VG36" s="217"/>
      <c r="VH36" s="217"/>
      <c r="VI36" s="217"/>
      <c r="VJ36" s="217"/>
      <c r="VK36" s="217"/>
      <c r="VL36" s="217"/>
      <c r="VM36" s="217"/>
      <c r="VN36" s="217"/>
      <c r="VO36" s="217"/>
      <c r="VP36" s="217"/>
      <c r="VQ36" s="217"/>
      <c r="VR36" s="217"/>
      <c r="VS36" s="217"/>
      <c r="VT36" s="217"/>
      <c r="VU36" s="217"/>
      <c r="VV36" s="217"/>
      <c r="VW36" s="217"/>
      <c r="VX36" s="217"/>
      <c r="VY36" s="217"/>
      <c r="VZ36" s="217"/>
      <c r="WA36" s="217"/>
      <c r="WB36" s="217"/>
      <c r="WC36" s="217"/>
      <c r="WD36" s="217"/>
      <c r="WE36" s="217"/>
      <c r="WF36" s="217"/>
      <c r="WG36" s="217"/>
      <c r="WH36" s="217"/>
      <c r="WI36" s="217"/>
      <c r="WJ36" s="217"/>
      <c r="WK36" s="217"/>
      <c r="WL36" s="217"/>
      <c r="WM36" s="217"/>
      <c r="WN36" s="217"/>
      <c r="WO36" s="217"/>
      <c r="WP36" s="217"/>
      <c r="WQ36" s="217"/>
      <c r="WR36" s="217"/>
      <c r="WS36" s="217"/>
      <c r="WT36" s="217"/>
      <c r="WU36" s="217"/>
      <c r="WV36" s="217"/>
      <c r="WW36" s="217"/>
      <c r="WX36" s="217"/>
      <c r="WY36" s="217"/>
      <c r="WZ36" s="217"/>
      <c r="XA36" s="217"/>
      <c r="XB36" s="217"/>
      <c r="XC36" s="217"/>
      <c r="XD36" s="217"/>
      <c r="XE36" s="217"/>
      <c r="XF36" s="217"/>
      <c r="XG36" s="217"/>
      <c r="XH36" s="217"/>
      <c r="XI36" s="217"/>
      <c r="XJ36" s="217"/>
      <c r="XK36" s="217"/>
      <c r="XL36" s="217"/>
      <c r="XM36" s="217"/>
      <c r="XN36" s="217"/>
      <c r="XO36" s="217"/>
      <c r="XP36" s="217"/>
      <c r="XQ36" s="217"/>
      <c r="XR36" s="217"/>
      <c r="XS36" s="217"/>
      <c r="XT36" s="217"/>
      <c r="XU36" s="217"/>
      <c r="XV36" s="217"/>
      <c r="XW36" s="217"/>
      <c r="XX36" s="217"/>
      <c r="XY36" s="217"/>
      <c r="XZ36" s="217"/>
      <c r="YA36" s="217"/>
      <c r="YB36" s="217"/>
      <c r="YC36" s="217"/>
      <c r="YD36" s="217"/>
      <c r="YE36" s="217"/>
      <c r="YF36" s="217"/>
      <c r="YG36" s="217"/>
      <c r="YH36" s="217"/>
      <c r="YI36" s="217"/>
      <c r="YJ36" s="217"/>
      <c r="YK36" s="217"/>
      <c r="YL36" s="217"/>
      <c r="YM36" s="217"/>
      <c r="YN36" s="217"/>
      <c r="YO36" s="217"/>
      <c r="YP36" s="217"/>
      <c r="YQ36" s="217"/>
      <c r="YR36" s="217"/>
      <c r="YS36" s="217"/>
      <c r="YT36" s="217"/>
      <c r="YU36" s="217"/>
      <c r="YV36" s="217"/>
      <c r="YW36" s="217"/>
      <c r="YX36" s="217"/>
      <c r="YY36" s="217"/>
      <c r="YZ36" s="217"/>
      <c r="ZA36" s="217"/>
      <c r="ZB36" s="217"/>
      <c r="ZC36" s="217"/>
      <c r="ZD36" s="217"/>
      <c r="ZE36" s="217"/>
      <c r="ZF36" s="217"/>
      <c r="ZG36" s="217"/>
      <c r="ZH36" s="217"/>
      <c r="ZI36" s="217"/>
      <c r="ZJ36" s="217"/>
      <c r="ZK36" s="217"/>
      <c r="ZL36" s="217"/>
      <c r="ZM36" s="217"/>
      <c r="ZN36" s="217"/>
      <c r="ZO36" s="217"/>
      <c r="ZP36" s="217"/>
      <c r="ZQ36" s="217"/>
      <c r="ZR36" s="217"/>
      <c r="ZS36" s="217"/>
      <c r="ZT36" s="217"/>
      <c r="ZU36" s="217"/>
      <c r="ZV36" s="217"/>
      <c r="ZW36" s="217"/>
      <c r="ZX36" s="217"/>
      <c r="ZY36" s="217"/>
      <c r="ZZ36" s="217"/>
      <c r="AAA36" s="217"/>
      <c r="AAB36" s="217"/>
      <c r="AAC36" s="217"/>
      <c r="AAD36" s="217"/>
      <c r="AAE36" s="217"/>
      <c r="AAF36" s="217"/>
      <c r="AAG36" s="217"/>
      <c r="AAH36" s="217"/>
      <c r="AAI36" s="217"/>
      <c r="AAJ36" s="217"/>
      <c r="AAK36" s="217"/>
      <c r="AAL36" s="217"/>
      <c r="AAM36" s="217"/>
      <c r="AAN36" s="217"/>
      <c r="AAO36" s="217"/>
      <c r="AAP36" s="217"/>
      <c r="AAQ36" s="217"/>
      <c r="AAR36" s="217"/>
      <c r="AAS36" s="217"/>
      <c r="AAT36" s="217"/>
      <c r="AAU36" s="217"/>
      <c r="AAV36" s="217"/>
      <c r="AAW36" s="217"/>
      <c r="AAX36" s="217"/>
      <c r="AAY36" s="217"/>
      <c r="AAZ36" s="217"/>
      <c r="ABA36" s="217"/>
      <c r="ABB36" s="217"/>
      <c r="ABC36" s="217"/>
      <c r="ABD36" s="217"/>
      <c r="ABE36" s="217"/>
      <c r="ABF36" s="217"/>
      <c r="ABG36" s="217"/>
      <c r="ABH36" s="217"/>
      <c r="ABI36" s="217"/>
      <c r="ABJ36" s="217"/>
      <c r="ABK36" s="217"/>
      <c r="ABL36" s="217"/>
      <c r="ABM36" s="217"/>
      <c r="ABN36" s="217"/>
      <c r="ABO36" s="217"/>
      <c r="ABP36" s="217"/>
      <c r="ABQ36" s="217"/>
      <c r="ABR36" s="217"/>
      <c r="ABS36" s="217"/>
      <c r="ABT36" s="217"/>
      <c r="ABU36" s="217"/>
      <c r="ABV36" s="217"/>
      <c r="ABW36" s="217"/>
      <c r="ABX36" s="217"/>
      <c r="ABY36" s="217"/>
      <c r="ABZ36" s="217"/>
      <c r="ACA36" s="217"/>
      <c r="ACB36" s="217"/>
      <c r="ACC36" s="217"/>
      <c r="ACD36" s="217"/>
      <c r="ACE36" s="217"/>
      <c r="ACF36" s="217"/>
      <c r="ACG36" s="217"/>
      <c r="ACH36" s="217"/>
      <c r="ACI36" s="217"/>
      <c r="ACJ36" s="217"/>
      <c r="ACK36" s="217"/>
      <c r="ACL36" s="217"/>
      <c r="ACM36" s="217"/>
      <c r="ACN36" s="217"/>
      <c r="ACO36" s="217"/>
      <c r="ACP36" s="217"/>
      <c r="ACQ36" s="217"/>
      <c r="ACR36" s="217"/>
      <c r="ACS36" s="217"/>
      <c r="ACT36" s="217"/>
      <c r="ACU36" s="217"/>
      <c r="ACV36" s="217"/>
      <c r="ACW36" s="217"/>
      <c r="ACX36" s="217"/>
      <c r="ACY36" s="217"/>
      <c r="ACZ36" s="217"/>
      <c r="ADA36" s="217"/>
      <c r="ADB36" s="217"/>
      <c r="ADC36" s="217"/>
      <c r="ADD36" s="217"/>
      <c r="ADE36" s="217"/>
      <c r="ADF36" s="217"/>
      <c r="ADG36" s="217"/>
      <c r="ADH36" s="217"/>
      <c r="ADI36" s="217"/>
      <c r="ADJ36" s="217"/>
      <c r="ADK36" s="217"/>
      <c r="ADL36" s="217"/>
      <c r="ADM36" s="217"/>
      <c r="ADN36" s="217"/>
      <c r="ADO36" s="217"/>
      <c r="ADP36" s="217"/>
      <c r="ADQ36" s="217"/>
      <c r="ADR36" s="217"/>
      <c r="ADS36" s="217"/>
      <c r="ADT36" s="217"/>
      <c r="ADU36" s="217"/>
      <c r="ADV36" s="217"/>
      <c r="ADW36" s="217"/>
      <c r="ADX36" s="217"/>
      <c r="ADY36" s="217"/>
      <c r="ADZ36" s="217"/>
      <c r="AEA36" s="217"/>
      <c r="AEB36" s="217"/>
      <c r="AEC36" s="217"/>
      <c r="AED36" s="217"/>
      <c r="AEE36" s="217"/>
      <c r="AEF36" s="217"/>
      <c r="AEG36" s="217"/>
      <c r="AEH36" s="217"/>
      <c r="AEI36" s="217"/>
      <c r="AEJ36" s="217"/>
      <c r="AEK36" s="217"/>
      <c r="AEL36" s="217"/>
      <c r="AEM36" s="217"/>
      <c r="AEN36" s="217"/>
      <c r="AEO36" s="217"/>
      <c r="AEP36" s="217"/>
      <c r="AEQ36" s="217"/>
      <c r="AER36" s="217"/>
      <c r="AES36" s="217"/>
      <c r="AET36" s="217"/>
      <c r="AEU36" s="217"/>
      <c r="AEV36" s="217"/>
      <c r="AEW36" s="217"/>
      <c r="AEX36" s="217"/>
      <c r="AEY36" s="217"/>
      <c r="AEZ36" s="217"/>
      <c r="AFA36" s="217"/>
      <c r="AFB36" s="217"/>
      <c r="AFC36" s="217"/>
      <c r="AFD36" s="217"/>
      <c r="AFE36" s="217"/>
      <c r="AFF36" s="217"/>
      <c r="AFG36" s="217"/>
      <c r="AFH36" s="217"/>
      <c r="AFI36" s="217"/>
      <c r="AFJ36" s="217"/>
      <c r="AFK36" s="217"/>
      <c r="AFL36" s="217"/>
      <c r="AFM36" s="217"/>
      <c r="AFN36" s="217"/>
      <c r="AFO36" s="217"/>
      <c r="AFP36" s="217"/>
      <c r="AFQ36" s="217"/>
      <c r="AFR36" s="217"/>
      <c r="AFS36" s="217"/>
      <c r="AFT36" s="217"/>
      <c r="AFU36" s="217"/>
      <c r="AFV36" s="217"/>
      <c r="AFW36" s="217"/>
      <c r="AFX36" s="217"/>
      <c r="AFY36" s="217"/>
      <c r="AFZ36" s="217"/>
      <c r="AGA36" s="217"/>
      <c r="AGB36" s="217"/>
      <c r="AGC36" s="217"/>
      <c r="AGD36" s="217"/>
      <c r="AGE36" s="217"/>
      <c r="AGF36" s="217"/>
      <c r="AGG36" s="217"/>
      <c r="AGH36" s="217"/>
      <c r="AGI36" s="217"/>
      <c r="AGJ36" s="217"/>
      <c r="AGK36" s="217"/>
      <c r="AGL36" s="217"/>
      <c r="AGM36" s="217"/>
      <c r="AGN36" s="217"/>
      <c r="AGO36" s="217"/>
      <c r="AGP36" s="217"/>
      <c r="AGQ36" s="217"/>
      <c r="AGR36" s="217"/>
      <c r="AGS36" s="217"/>
      <c r="AGT36" s="217"/>
      <c r="AGU36" s="217"/>
      <c r="AGV36" s="217"/>
      <c r="AGW36" s="217"/>
      <c r="AGX36" s="217"/>
      <c r="AGY36" s="217"/>
      <c r="AGZ36" s="217"/>
      <c r="AHA36" s="217"/>
      <c r="AHB36" s="217"/>
      <c r="AHC36" s="217"/>
      <c r="AHD36" s="217"/>
      <c r="AHE36" s="217"/>
      <c r="AHF36" s="217"/>
      <c r="AHG36" s="217"/>
      <c r="AHH36" s="217"/>
      <c r="AHI36" s="217"/>
      <c r="AHJ36" s="217"/>
      <c r="AHK36" s="217"/>
      <c r="AHL36" s="217"/>
      <c r="AHM36" s="217"/>
      <c r="AHN36" s="217"/>
      <c r="AHO36" s="217"/>
      <c r="AHP36" s="217"/>
      <c r="AHQ36" s="217"/>
      <c r="AHR36" s="217"/>
      <c r="AHS36" s="217"/>
      <c r="AHT36" s="217"/>
      <c r="AHU36" s="217"/>
      <c r="AHV36" s="217"/>
      <c r="AHW36" s="217"/>
      <c r="AHX36" s="217"/>
      <c r="AHY36" s="217"/>
      <c r="AHZ36" s="217"/>
      <c r="AIA36" s="217"/>
      <c r="AIB36" s="217"/>
      <c r="AIC36" s="217"/>
      <c r="AID36" s="217"/>
      <c r="AIE36" s="217"/>
      <c r="AIF36" s="217"/>
      <c r="AIG36" s="217"/>
      <c r="AIH36" s="217"/>
      <c r="AII36" s="217"/>
      <c r="AIJ36" s="217"/>
      <c r="AIK36" s="217"/>
      <c r="AIL36" s="217"/>
      <c r="AIM36" s="217"/>
      <c r="AIN36" s="217"/>
      <c r="AIO36" s="217"/>
      <c r="AIP36" s="217"/>
      <c r="AIQ36" s="217"/>
      <c r="AIR36" s="217"/>
      <c r="AIS36" s="217"/>
      <c r="AIT36" s="217"/>
      <c r="AIU36" s="217"/>
      <c r="AIV36" s="217"/>
      <c r="AIW36" s="217"/>
      <c r="AIX36" s="217"/>
      <c r="AIY36" s="217"/>
      <c r="AIZ36" s="217"/>
      <c r="AJA36" s="217"/>
      <c r="AJB36" s="217"/>
      <c r="AJC36" s="217"/>
      <c r="AJD36" s="217"/>
      <c r="AJE36" s="217"/>
      <c r="AJF36" s="217"/>
      <c r="AJG36" s="217"/>
      <c r="AJH36" s="217"/>
      <c r="AJI36" s="217"/>
      <c r="AJJ36" s="217"/>
      <c r="AJK36" s="217"/>
      <c r="AJL36" s="217"/>
      <c r="AJM36" s="217"/>
      <c r="AJN36" s="217"/>
      <c r="AJO36" s="217"/>
      <c r="AJP36" s="217"/>
      <c r="AJQ36" s="217"/>
      <c r="AJR36" s="217"/>
      <c r="AJS36" s="217"/>
      <c r="AJT36" s="217"/>
      <c r="AJU36" s="217"/>
      <c r="AJV36" s="217"/>
      <c r="AJW36" s="217"/>
      <c r="AJX36" s="217"/>
      <c r="AJY36" s="217"/>
      <c r="AJZ36" s="217"/>
      <c r="AKA36" s="217"/>
      <c r="AKB36" s="217"/>
      <c r="AKC36" s="217"/>
      <c r="AKD36" s="217"/>
      <c r="AKE36" s="217"/>
      <c r="AKF36" s="217"/>
      <c r="AKG36" s="217"/>
      <c r="AKH36" s="217"/>
      <c r="AKI36" s="217"/>
      <c r="AKJ36" s="217"/>
      <c r="AKK36" s="217"/>
      <c r="AKL36" s="217"/>
      <c r="AKM36" s="217"/>
      <c r="AKN36" s="217"/>
      <c r="AKO36" s="217"/>
      <c r="AKP36" s="217"/>
      <c r="AKQ36" s="217"/>
      <c r="AKR36" s="217"/>
      <c r="AKS36" s="217"/>
      <c r="AKT36" s="217"/>
      <c r="AKU36" s="217"/>
      <c r="AKV36" s="217"/>
      <c r="AKW36" s="217"/>
      <c r="AKX36" s="217"/>
      <c r="AKY36" s="217"/>
      <c r="AKZ36" s="217"/>
      <c r="ALA36" s="217"/>
      <c r="ALB36" s="217"/>
      <c r="ALC36" s="217"/>
      <c r="ALD36" s="217"/>
      <c r="ALE36" s="217"/>
      <c r="ALF36" s="217"/>
      <c r="ALG36" s="217"/>
      <c r="ALH36" s="217"/>
      <c r="ALI36" s="217"/>
      <c r="ALJ36" s="217"/>
      <c r="ALK36" s="217"/>
      <c r="ALL36" s="217"/>
      <c r="ALM36" s="217"/>
      <c r="ALN36" s="217"/>
      <c r="ALO36" s="217"/>
      <c r="ALP36" s="217"/>
      <c r="ALQ36" s="217"/>
      <c r="ALR36" s="217"/>
      <c r="ALS36" s="217"/>
      <c r="ALT36" s="217"/>
      <c r="ALU36" s="217"/>
      <c r="ALV36" s="217"/>
      <c r="ALW36" s="217"/>
      <c r="ALX36" s="217"/>
      <c r="ALY36" s="217"/>
      <c r="ALZ36" s="217"/>
      <c r="AMA36" s="217"/>
      <c r="AMB36" s="217"/>
      <c r="AMC36" s="217"/>
      <c r="AMD36" s="217"/>
      <c r="AME36" s="217"/>
      <c r="AMF36" s="217"/>
      <c r="AMG36" s="217"/>
      <c r="AMH36" s="217"/>
      <c r="AMI36" s="217"/>
      <c r="AMJ36" s="217"/>
      <c r="AMK36" s="217"/>
      <c r="AML36" s="217"/>
      <c r="AMM36" s="217"/>
      <c r="AMN36" s="217"/>
      <c r="AMO36" s="217"/>
      <c r="AMP36" s="217"/>
      <c r="AMQ36" s="217"/>
      <c r="AMR36" s="217"/>
      <c r="AMS36" s="217"/>
      <c r="AMT36" s="217"/>
      <c r="AMU36" s="217"/>
      <c r="AMV36" s="217"/>
      <c r="AMW36" s="217"/>
      <c r="AMX36" s="217"/>
      <c r="AMY36" s="217"/>
      <c r="AMZ36" s="217"/>
      <c r="ANA36" s="217"/>
      <c r="ANB36" s="217"/>
      <c r="ANC36" s="217"/>
      <c r="AND36" s="217"/>
      <c r="ANE36" s="217"/>
      <c r="ANF36" s="217"/>
      <c r="ANG36" s="217"/>
      <c r="ANH36" s="217"/>
      <c r="ANI36" s="217"/>
      <c r="ANJ36" s="217"/>
      <c r="ANK36" s="217"/>
      <c r="ANL36" s="217"/>
      <c r="ANM36" s="217"/>
      <c r="ANN36" s="217"/>
      <c r="ANO36" s="217"/>
      <c r="ANP36" s="217"/>
      <c r="ANQ36" s="217"/>
      <c r="ANR36" s="217"/>
      <c r="ANS36" s="217"/>
      <c r="ANT36" s="217"/>
      <c r="ANU36" s="217"/>
      <c r="ANV36" s="217"/>
      <c r="ANW36" s="217"/>
      <c r="ANX36" s="217"/>
      <c r="ANY36" s="217"/>
      <c r="ANZ36" s="217"/>
      <c r="AOA36" s="217"/>
      <c r="AOB36" s="217"/>
      <c r="AOC36" s="217"/>
      <c r="AOD36" s="217"/>
      <c r="AOE36" s="217"/>
      <c r="AOF36" s="217"/>
      <c r="AOG36" s="217"/>
      <c r="AOH36" s="217"/>
      <c r="AOI36" s="217"/>
      <c r="AOJ36" s="217"/>
      <c r="AOK36" s="217"/>
      <c r="AOL36" s="217"/>
      <c r="AOM36" s="217"/>
      <c r="AON36" s="217"/>
      <c r="AOO36" s="217"/>
      <c r="AOP36" s="217"/>
      <c r="AOQ36" s="217"/>
      <c r="AOR36" s="217"/>
      <c r="AOS36" s="217"/>
      <c r="AOT36" s="217"/>
      <c r="AOU36" s="217"/>
      <c r="AOV36" s="217"/>
      <c r="AOW36" s="217"/>
      <c r="AOX36" s="217"/>
      <c r="AOY36" s="217"/>
      <c r="AOZ36" s="217"/>
      <c r="APA36" s="217"/>
      <c r="APB36" s="217"/>
      <c r="APC36" s="217"/>
      <c r="APD36" s="217"/>
      <c r="APE36" s="217"/>
      <c r="APF36" s="217"/>
      <c r="APG36" s="217"/>
      <c r="APH36" s="217"/>
      <c r="API36" s="217"/>
      <c r="APJ36" s="217"/>
      <c r="APK36" s="217"/>
      <c r="APL36" s="217"/>
      <c r="APM36" s="217"/>
      <c r="APN36" s="217"/>
      <c r="APO36" s="217"/>
      <c r="APP36" s="217"/>
      <c r="APQ36" s="217"/>
      <c r="APR36" s="217"/>
      <c r="APS36" s="217"/>
      <c r="APT36" s="217"/>
      <c r="APU36" s="217"/>
      <c r="APV36" s="217"/>
      <c r="APW36" s="217"/>
      <c r="APX36" s="217"/>
      <c r="APY36" s="217"/>
      <c r="APZ36" s="217"/>
      <c r="AQA36" s="217"/>
      <c r="AQB36" s="217"/>
      <c r="AQC36" s="217"/>
      <c r="AQD36" s="217"/>
      <c r="AQE36" s="217"/>
      <c r="AQF36" s="217"/>
      <c r="AQG36" s="217"/>
      <c r="AQH36" s="217"/>
      <c r="AQI36" s="217"/>
      <c r="AQJ36" s="217"/>
      <c r="AQK36" s="217"/>
      <c r="AQL36" s="217"/>
      <c r="AQM36" s="217"/>
      <c r="AQN36" s="217"/>
      <c r="AQO36" s="217"/>
      <c r="AQP36" s="217"/>
      <c r="AQQ36" s="217"/>
      <c r="AQR36" s="217"/>
      <c r="AQS36" s="217"/>
      <c r="AQT36" s="217"/>
      <c r="AQU36" s="217"/>
      <c r="AQV36" s="217"/>
      <c r="AQW36" s="217"/>
      <c r="AQX36" s="217"/>
      <c r="AQY36" s="217"/>
      <c r="AQZ36" s="217"/>
      <c r="ARA36" s="217"/>
      <c r="ARB36" s="217"/>
      <c r="ARC36" s="217"/>
      <c r="ARD36" s="217"/>
      <c r="ARE36" s="217"/>
      <c r="ARF36" s="217"/>
      <c r="ARG36" s="217"/>
      <c r="ARH36" s="217"/>
      <c r="ARI36" s="217"/>
      <c r="ARJ36" s="217"/>
      <c r="ARK36" s="217"/>
      <c r="ARL36" s="217"/>
      <c r="ARM36" s="217"/>
      <c r="ARN36" s="217"/>
      <c r="ARO36" s="217"/>
      <c r="ARP36" s="217"/>
      <c r="ARQ36" s="217"/>
      <c r="ARR36" s="217"/>
      <c r="ARS36" s="217"/>
      <c r="ART36" s="217"/>
      <c r="ARU36" s="217"/>
      <c r="ARV36" s="217"/>
      <c r="ARW36" s="217"/>
      <c r="ARX36" s="217"/>
      <c r="ARY36" s="217"/>
      <c r="ARZ36" s="217"/>
      <c r="ASA36" s="217"/>
      <c r="ASB36" s="217"/>
      <c r="ASC36" s="217"/>
      <c r="ASD36" s="217"/>
      <c r="ASE36" s="217"/>
      <c r="ASF36" s="217"/>
      <c r="ASG36" s="217"/>
      <c r="ASH36" s="217"/>
      <c r="ASI36" s="217"/>
      <c r="ASJ36" s="217"/>
      <c r="ASK36" s="217"/>
      <c r="ASL36" s="217"/>
      <c r="ASM36" s="217"/>
      <c r="ASN36" s="217"/>
      <c r="ASO36" s="217"/>
      <c r="ASP36" s="217"/>
      <c r="ASQ36" s="217"/>
      <c r="ASR36" s="217"/>
      <c r="ASS36" s="217"/>
      <c r="AST36" s="217"/>
      <c r="ASU36" s="217"/>
      <c r="ASV36" s="217"/>
      <c r="ASW36" s="217"/>
      <c r="ASX36" s="217"/>
      <c r="ASY36" s="217"/>
      <c r="ASZ36" s="217"/>
      <c r="ATA36" s="217"/>
      <c r="ATB36" s="217"/>
      <c r="ATC36" s="217"/>
      <c r="ATD36" s="217"/>
      <c r="ATE36" s="217"/>
      <c r="ATF36" s="217"/>
      <c r="ATG36" s="217"/>
      <c r="ATH36" s="217"/>
      <c r="ATI36" s="217"/>
      <c r="ATJ36" s="217"/>
      <c r="ATK36" s="217"/>
      <c r="ATL36" s="217"/>
      <c r="ATM36" s="217"/>
      <c r="ATN36" s="217"/>
      <c r="ATO36" s="217"/>
      <c r="ATP36" s="217"/>
      <c r="ATQ36" s="217"/>
      <c r="ATR36" s="217"/>
      <c r="ATS36" s="217"/>
      <c r="ATT36" s="217"/>
      <c r="ATU36" s="217"/>
      <c r="ATV36" s="217"/>
      <c r="ATW36" s="217"/>
      <c r="ATX36" s="217"/>
      <c r="ATY36" s="217"/>
      <c r="ATZ36" s="217"/>
      <c r="AUA36" s="217"/>
      <c r="AUB36" s="217"/>
      <c r="AUC36" s="217"/>
      <c r="AUD36" s="217"/>
      <c r="AUE36" s="217"/>
      <c r="AUF36" s="217"/>
      <c r="AUG36" s="217"/>
      <c r="AUH36" s="217"/>
      <c r="AUI36" s="217"/>
      <c r="AUJ36" s="217"/>
      <c r="AUK36" s="217"/>
      <c r="AUL36" s="217"/>
      <c r="AUM36" s="217"/>
      <c r="AUN36" s="217"/>
      <c r="AUO36" s="217"/>
      <c r="AUP36" s="217"/>
      <c r="AUQ36" s="217"/>
      <c r="AUR36" s="217"/>
      <c r="AUS36" s="217"/>
      <c r="AUT36" s="217"/>
      <c r="AUU36" s="217"/>
      <c r="AUV36" s="217"/>
      <c r="AUW36" s="217"/>
      <c r="AUX36" s="217"/>
      <c r="AUY36" s="217"/>
      <c r="AUZ36" s="217"/>
      <c r="AVA36" s="217"/>
      <c r="AVB36" s="217"/>
      <c r="AVC36" s="217"/>
      <c r="AVD36" s="217"/>
      <c r="AVE36" s="217"/>
      <c r="AVF36" s="217"/>
      <c r="AVG36" s="217"/>
      <c r="AVH36" s="217"/>
      <c r="AVI36" s="217"/>
      <c r="AVJ36" s="217"/>
      <c r="AVK36" s="217"/>
      <c r="AVL36" s="217"/>
      <c r="AVM36" s="217"/>
      <c r="AVN36" s="217"/>
      <c r="AVO36" s="217"/>
      <c r="AVP36" s="217"/>
      <c r="AVQ36" s="217"/>
      <c r="AVR36" s="217"/>
      <c r="AVS36" s="217"/>
      <c r="AVT36" s="217"/>
      <c r="AVU36" s="217"/>
      <c r="AVV36" s="217"/>
      <c r="AVW36" s="217"/>
      <c r="AVX36" s="217"/>
      <c r="AVY36" s="217"/>
      <c r="AVZ36" s="217"/>
      <c r="AWA36" s="217"/>
      <c r="AWB36" s="217"/>
      <c r="AWC36" s="217"/>
      <c r="AWD36" s="217"/>
      <c r="AWE36" s="217"/>
      <c r="AWF36" s="217"/>
      <c r="AWG36" s="217"/>
      <c r="AWH36" s="217"/>
      <c r="AWI36" s="217"/>
      <c r="AWJ36" s="217"/>
      <c r="AWK36" s="217"/>
      <c r="AWL36" s="217"/>
      <c r="AWM36" s="217"/>
      <c r="AWN36" s="217"/>
      <c r="AWO36" s="217"/>
      <c r="AWP36" s="217"/>
      <c r="AWQ36" s="217"/>
      <c r="AWR36" s="217"/>
      <c r="AWS36" s="217"/>
      <c r="AWT36" s="217"/>
      <c r="AWU36" s="217"/>
      <c r="AWV36" s="217"/>
      <c r="AWW36" s="217"/>
      <c r="AWX36" s="217"/>
      <c r="AWY36" s="217"/>
      <c r="AWZ36" s="217"/>
      <c r="AXA36" s="217"/>
      <c r="AXB36" s="217"/>
      <c r="AXC36" s="217"/>
      <c r="AXD36" s="217"/>
      <c r="AXE36" s="217"/>
      <c r="AXF36" s="217"/>
      <c r="AXG36" s="217"/>
      <c r="AXH36" s="217"/>
      <c r="AXI36" s="217"/>
      <c r="AXJ36" s="217"/>
      <c r="AXK36" s="217"/>
      <c r="AXL36" s="217"/>
      <c r="AXM36" s="217"/>
      <c r="AXN36" s="217"/>
      <c r="AXO36" s="217"/>
      <c r="AXP36" s="217"/>
      <c r="AXQ36" s="217"/>
      <c r="AXR36" s="217"/>
      <c r="AXS36" s="217"/>
      <c r="AXT36" s="217"/>
      <c r="AXU36" s="217"/>
      <c r="AXV36" s="217"/>
      <c r="AXW36" s="217"/>
      <c r="AXX36" s="217"/>
      <c r="AXY36" s="217"/>
      <c r="AXZ36" s="217"/>
      <c r="AYA36" s="217"/>
      <c r="AYB36" s="217"/>
      <c r="AYC36" s="217"/>
      <c r="AYD36" s="217"/>
      <c r="AYE36" s="217"/>
      <c r="AYF36" s="217"/>
      <c r="AYG36" s="217"/>
      <c r="AYH36" s="217"/>
      <c r="AYI36" s="217"/>
      <c r="AYJ36" s="217"/>
      <c r="AYK36" s="217"/>
      <c r="AYL36" s="217"/>
      <c r="AYM36" s="217"/>
      <c r="AYN36" s="217"/>
      <c r="AYO36" s="217"/>
      <c r="AYP36" s="217"/>
      <c r="AYQ36" s="217"/>
      <c r="AYR36" s="217"/>
      <c r="AYS36" s="217"/>
      <c r="AYT36" s="217"/>
      <c r="AYU36" s="217"/>
      <c r="AYV36" s="217"/>
      <c r="AYW36" s="217"/>
      <c r="AYX36" s="217"/>
      <c r="AYY36" s="217"/>
      <c r="AYZ36" s="217"/>
      <c r="AZA36" s="217"/>
      <c r="AZB36" s="217"/>
      <c r="AZC36" s="217"/>
      <c r="AZD36" s="217"/>
      <c r="AZE36" s="217"/>
      <c r="AZF36" s="217"/>
      <c r="AZG36" s="217"/>
      <c r="AZH36" s="217"/>
      <c r="AZI36" s="217"/>
      <c r="AZJ36" s="217"/>
      <c r="AZK36" s="217"/>
      <c r="AZL36" s="217"/>
      <c r="AZM36" s="217"/>
      <c r="AZN36" s="217"/>
      <c r="AZO36" s="217"/>
      <c r="AZP36" s="217"/>
      <c r="AZQ36" s="217"/>
      <c r="AZR36" s="217"/>
      <c r="AZS36" s="217"/>
      <c r="AZT36" s="217"/>
      <c r="AZU36" s="217"/>
      <c r="AZV36" s="217"/>
      <c r="AZW36" s="217"/>
      <c r="AZX36" s="217"/>
      <c r="AZY36" s="217"/>
      <c r="AZZ36" s="217"/>
      <c r="BAA36" s="217"/>
      <c r="BAB36" s="217"/>
      <c r="BAC36" s="217"/>
      <c r="BAD36" s="217"/>
      <c r="BAE36" s="217"/>
      <c r="BAF36" s="217"/>
      <c r="BAG36" s="217"/>
      <c r="BAH36" s="217"/>
      <c r="BAI36" s="217"/>
      <c r="BAJ36" s="217"/>
      <c r="BAK36" s="217"/>
      <c r="BAL36" s="217"/>
      <c r="BAM36" s="217"/>
      <c r="BAN36" s="217"/>
      <c r="BAO36" s="217"/>
      <c r="BAP36" s="217"/>
      <c r="BAQ36" s="217"/>
      <c r="BAR36" s="217"/>
      <c r="BAS36" s="217"/>
      <c r="BAT36" s="217"/>
      <c r="BAU36" s="217"/>
      <c r="BAV36" s="217"/>
      <c r="BAW36" s="217"/>
      <c r="BAX36" s="217"/>
      <c r="BAY36" s="217"/>
      <c r="BAZ36" s="217"/>
      <c r="BBA36" s="217"/>
      <c r="BBB36" s="217"/>
      <c r="BBC36" s="217"/>
      <c r="BBD36" s="217"/>
      <c r="BBE36" s="217"/>
      <c r="BBF36" s="217"/>
      <c r="BBG36" s="217"/>
      <c r="BBH36" s="217"/>
      <c r="BBI36" s="217"/>
      <c r="BBJ36" s="217"/>
      <c r="BBK36" s="217"/>
      <c r="BBL36" s="217"/>
      <c r="BBM36" s="217"/>
      <c r="BBN36" s="217"/>
      <c r="BBO36" s="217"/>
      <c r="BBP36" s="217"/>
      <c r="BBQ36" s="217"/>
      <c r="BBR36" s="217"/>
      <c r="BBS36" s="217"/>
      <c r="BBT36" s="217"/>
      <c r="BBU36" s="217"/>
      <c r="BBV36" s="217"/>
      <c r="BBW36" s="217"/>
      <c r="BBX36" s="217"/>
      <c r="BBY36" s="217"/>
      <c r="BBZ36" s="217"/>
      <c r="BCA36" s="217"/>
      <c r="BCB36" s="217"/>
      <c r="BCC36" s="217"/>
      <c r="BCD36" s="217"/>
      <c r="BCE36" s="217"/>
      <c r="BCF36" s="217"/>
      <c r="BCG36" s="217"/>
      <c r="BCH36" s="217"/>
      <c r="BCI36" s="217"/>
      <c r="BCJ36" s="217"/>
      <c r="BCK36" s="217"/>
      <c r="BCL36" s="217"/>
      <c r="BCM36" s="217"/>
      <c r="BCN36" s="217"/>
      <c r="BCO36" s="217"/>
      <c r="BCP36" s="217"/>
      <c r="BCQ36" s="217"/>
      <c r="BCR36" s="217"/>
      <c r="BCS36" s="217"/>
      <c r="BCT36" s="217"/>
      <c r="BCU36" s="217"/>
      <c r="BCV36" s="217"/>
      <c r="BCW36" s="217"/>
      <c r="BCX36" s="217"/>
      <c r="BCY36" s="217"/>
      <c r="BCZ36" s="217"/>
      <c r="BDA36" s="217"/>
      <c r="BDB36" s="217"/>
      <c r="BDC36" s="217"/>
      <c r="BDD36" s="217"/>
      <c r="BDE36" s="217"/>
      <c r="BDF36" s="217"/>
      <c r="BDG36" s="217"/>
      <c r="BDH36" s="217"/>
      <c r="BDI36" s="217"/>
      <c r="BDJ36" s="217"/>
      <c r="BDK36" s="217"/>
      <c r="BDL36" s="217"/>
      <c r="BDM36" s="217"/>
      <c r="BDN36" s="217"/>
      <c r="BDO36" s="217"/>
      <c r="BDP36" s="217"/>
      <c r="BDQ36" s="217"/>
      <c r="BDR36" s="217"/>
      <c r="BDS36" s="217"/>
      <c r="BDT36" s="217"/>
      <c r="BDU36" s="217"/>
      <c r="BDV36" s="217"/>
      <c r="BDW36" s="217"/>
      <c r="BDX36" s="217"/>
      <c r="BDY36" s="217"/>
      <c r="BDZ36" s="217"/>
      <c r="BEA36" s="217"/>
      <c r="BEB36" s="217"/>
      <c r="BEC36" s="217"/>
      <c r="BED36" s="217"/>
      <c r="BEE36" s="217"/>
      <c r="BEF36" s="217"/>
      <c r="BEG36" s="217"/>
      <c r="BEH36" s="217"/>
      <c r="BEI36" s="217"/>
      <c r="BEJ36" s="217"/>
      <c r="BEK36" s="217"/>
      <c r="BEL36" s="217"/>
      <c r="BEM36" s="217"/>
      <c r="BEN36" s="217"/>
      <c r="BEO36" s="217"/>
      <c r="BEP36" s="217"/>
      <c r="BEQ36" s="217"/>
      <c r="BER36" s="217"/>
      <c r="BES36" s="217"/>
      <c r="BET36" s="217"/>
      <c r="BEU36" s="217"/>
      <c r="BEV36" s="217"/>
      <c r="BEW36" s="217"/>
      <c r="BEX36" s="217"/>
      <c r="BEY36" s="217"/>
      <c r="BEZ36" s="217"/>
      <c r="BFA36" s="217"/>
      <c r="BFB36" s="217"/>
      <c r="BFC36" s="217"/>
      <c r="BFD36" s="217"/>
      <c r="BFE36" s="217"/>
      <c r="BFF36" s="217"/>
      <c r="BFG36" s="217"/>
      <c r="BFH36" s="217"/>
      <c r="BFI36" s="217"/>
      <c r="BFJ36" s="217"/>
      <c r="BFK36" s="217"/>
      <c r="BFL36" s="217"/>
      <c r="BFM36" s="217"/>
      <c r="BFN36" s="217"/>
      <c r="BFO36" s="217"/>
      <c r="BFP36" s="217"/>
      <c r="BFQ36" s="217"/>
      <c r="BFR36" s="217"/>
      <c r="BFS36" s="217"/>
      <c r="BFT36" s="217"/>
      <c r="BFU36" s="217"/>
      <c r="BFV36" s="217"/>
      <c r="BFW36" s="217"/>
      <c r="BFX36" s="217"/>
      <c r="BFY36" s="217"/>
      <c r="BFZ36" s="217"/>
      <c r="BGA36" s="217"/>
      <c r="BGB36" s="217"/>
      <c r="BGC36" s="217"/>
      <c r="BGD36" s="217"/>
      <c r="BGE36" s="217"/>
      <c r="BGF36" s="217"/>
      <c r="BGG36" s="217"/>
      <c r="BGH36" s="217"/>
      <c r="BGI36" s="217"/>
      <c r="BGJ36" s="217"/>
      <c r="BGK36" s="217"/>
      <c r="BGL36" s="217"/>
      <c r="BGM36" s="217"/>
      <c r="BGN36" s="217"/>
      <c r="BGO36" s="217"/>
      <c r="BGP36" s="217"/>
      <c r="BGQ36" s="217"/>
      <c r="BGR36" s="217"/>
      <c r="BGS36" s="217"/>
      <c r="BGT36" s="217"/>
      <c r="BGU36" s="217"/>
      <c r="BGV36" s="217"/>
      <c r="BGW36" s="217"/>
      <c r="BGX36" s="217"/>
      <c r="BGY36" s="217"/>
      <c r="BGZ36" s="217"/>
      <c r="BHA36" s="217"/>
      <c r="BHB36" s="217"/>
      <c r="BHC36" s="217"/>
      <c r="BHD36" s="217"/>
      <c r="BHE36" s="217"/>
      <c r="BHF36" s="217"/>
      <c r="BHG36" s="217"/>
      <c r="BHH36" s="217"/>
      <c r="BHI36" s="217"/>
      <c r="BHJ36" s="217"/>
      <c r="BHK36" s="217"/>
      <c r="BHL36" s="217"/>
      <c r="BHM36" s="217"/>
      <c r="BHN36" s="217"/>
      <c r="BHO36" s="217"/>
      <c r="BHP36" s="217"/>
      <c r="BHQ36" s="217"/>
      <c r="BHR36" s="217"/>
      <c r="BHS36" s="217"/>
      <c r="BHT36" s="217"/>
      <c r="BHU36" s="217"/>
      <c r="BHV36" s="217"/>
      <c r="BHW36" s="217"/>
      <c r="BHX36" s="217"/>
      <c r="BHY36" s="217"/>
      <c r="BHZ36" s="217"/>
      <c r="BIA36" s="217"/>
      <c r="BIB36" s="217"/>
      <c r="BIC36" s="217"/>
      <c r="BID36" s="217"/>
      <c r="BIE36" s="217"/>
      <c r="BIF36" s="217"/>
      <c r="BIG36" s="217"/>
      <c r="BIH36" s="217"/>
      <c r="BII36" s="217"/>
      <c r="BIJ36" s="217"/>
      <c r="BIK36" s="217"/>
      <c r="BIL36" s="217"/>
      <c r="BIM36" s="217"/>
      <c r="BIN36" s="217"/>
      <c r="BIO36" s="217"/>
      <c r="BIP36" s="217"/>
      <c r="BIQ36" s="217"/>
      <c r="BIR36" s="217"/>
      <c r="BIS36" s="217"/>
      <c r="BIT36" s="217"/>
      <c r="BIU36" s="217"/>
      <c r="BIV36" s="217"/>
      <c r="BIW36" s="217"/>
      <c r="BIX36" s="217"/>
      <c r="BIY36" s="217"/>
      <c r="BIZ36" s="217"/>
      <c r="BJA36" s="217"/>
      <c r="BJB36" s="217"/>
      <c r="BJC36" s="217"/>
      <c r="BJD36" s="217"/>
      <c r="BJE36" s="217"/>
      <c r="BJF36" s="217"/>
      <c r="BJG36" s="217"/>
      <c r="BJH36" s="217"/>
      <c r="BJI36" s="217"/>
      <c r="BJJ36" s="217"/>
      <c r="BJK36" s="217"/>
      <c r="BJL36" s="217"/>
      <c r="BJM36" s="217"/>
      <c r="BJN36" s="217"/>
      <c r="BJO36" s="217"/>
      <c r="BJP36" s="217"/>
      <c r="BJQ36" s="217"/>
      <c r="BJR36" s="217"/>
      <c r="BJS36" s="217"/>
      <c r="BJT36" s="217"/>
      <c r="BJU36" s="217"/>
      <c r="BJV36" s="217"/>
      <c r="BJW36" s="217"/>
      <c r="BJX36" s="217"/>
      <c r="BJY36" s="217"/>
      <c r="BJZ36" s="217"/>
      <c r="BKA36" s="217"/>
      <c r="BKB36" s="217"/>
      <c r="BKC36" s="217"/>
      <c r="BKD36" s="217"/>
      <c r="BKE36" s="217"/>
      <c r="BKF36" s="217"/>
      <c r="BKG36" s="217"/>
      <c r="BKH36" s="217"/>
      <c r="BKI36" s="217"/>
      <c r="BKJ36" s="217"/>
      <c r="BKK36" s="217"/>
      <c r="BKL36" s="217"/>
      <c r="BKM36" s="217"/>
      <c r="BKN36" s="217"/>
      <c r="BKO36" s="217"/>
      <c r="BKP36" s="217"/>
      <c r="BKQ36" s="217"/>
      <c r="BKR36" s="217"/>
      <c r="BKS36" s="217"/>
      <c r="BKT36" s="217"/>
      <c r="BKU36" s="217"/>
      <c r="BKV36" s="217"/>
      <c r="BKW36" s="217"/>
      <c r="BKX36" s="217"/>
      <c r="BKY36" s="217"/>
      <c r="BKZ36" s="217"/>
      <c r="BLA36" s="217"/>
      <c r="BLB36" s="217"/>
      <c r="BLC36" s="217"/>
      <c r="BLD36" s="217"/>
      <c r="BLE36" s="217"/>
      <c r="BLF36" s="217"/>
      <c r="BLG36" s="217"/>
      <c r="BLH36" s="217"/>
      <c r="BLI36" s="217"/>
      <c r="BLJ36" s="217"/>
      <c r="BLK36" s="217"/>
      <c r="BLL36" s="217"/>
      <c r="BLM36" s="217"/>
      <c r="BLN36" s="217"/>
      <c r="BLO36" s="217"/>
      <c r="BLP36" s="217"/>
      <c r="BLQ36" s="217"/>
      <c r="BLR36" s="217"/>
      <c r="BLS36" s="217"/>
      <c r="BLT36" s="217"/>
      <c r="BLU36" s="217"/>
      <c r="BLV36" s="217"/>
      <c r="BLW36" s="217"/>
      <c r="BLX36" s="217"/>
      <c r="BLY36" s="217"/>
      <c r="BLZ36" s="217"/>
      <c r="BMA36" s="217"/>
      <c r="BMB36" s="217"/>
      <c r="BMC36" s="217"/>
      <c r="BMD36" s="217"/>
      <c r="BME36" s="217"/>
      <c r="BMF36" s="217"/>
      <c r="BMG36" s="217"/>
      <c r="BMH36" s="217"/>
      <c r="BMI36" s="217"/>
      <c r="BMJ36" s="217"/>
      <c r="BMK36" s="217"/>
      <c r="BML36" s="217"/>
      <c r="BMM36" s="217"/>
      <c r="BMN36" s="217"/>
      <c r="BMO36" s="217"/>
      <c r="BMP36" s="217"/>
      <c r="BMQ36" s="217"/>
      <c r="BMR36" s="217"/>
      <c r="BMS36" s="217"/>
      <c r="BMT36" s="217"/>
      <c r="BMU36" s="217"/>
      <c r="BMV36" s="217"/>
      <c r="BMW36" s="217"/>
      <c r="BMX36" s="217"/>
      <c r="BMY36" s="217"/>
      <c r="BMZ36" s="217"/>
      <c r="BNA36" s="217"/>
      <c r="BNB36" s="217"/>
      <c r="BNC36" s="217"/>
      <c r="BND36" s="217"/>
      <c r="BNE36" s="217"/>
      <c r="BNF36" s="217"/>
      <c r="BNG36" s="217"/>
      <c r="BNH36" s="217"/>
      <c r="BNI36" s="217"/>
      <c r="BNJ36" s="217"/>
      <c r="BNK36" s="217"/>
      <c r="BNL36" s="217"/>
      <c r="BNM36" s="217"/>
      <c r="BNN36" s="217"/>
      <c r="BNO36" s="217"/>
      <c r="BNP36" s="217"/>
      <c r="BNQ36" s="217"/>
      <c r="BNR36" s="217"/>
      <c r="BNS36" s="217"/>
      <c r="BNT36" s="217"/>
      <c r="BNU36" s="217"/>
      <c r="BNV36" s="217"/>
      <c r="BNW36" s="217"/>
      <c r="BNX36" s="217"/>
      <c r="BNY36" s="217"/>
      <c r="BNZ36" s="217"/>
      <c r="BOA36" s="217"/>
      <c r="BOB36" s="217"/>
      <c r="BOC36" s="217"/>
      <c r="BOD36" s="217"/>
      <c r="BOE36" s="217"/>
      <c r="BOF36" s="217"/>
      <c r="BOG36" s="217"/>
      <c r="BOH36" s="217"/>
      <c r="BOI36" s="217"/>
      <c r="BOJ36" s="217"/>
      <c r="BOK36" s="217"/>
      <c r="BOL36" s="217"/>
      <c r="BOM36" s="217"/>
      <c r="BON36" s="217"/>
      <c r="BOO36" s="217"/>
      <c r="BOP36" s="217"/>
      <c r="BOQ36" s="217"/>
      <c r="BOR36" s="217"/>
      <c r="BOS36" s="217"/>
      <c r="BOT36" s="217"/>
      <c r="BOU36" s="217"/>
      <c r="BOV36" s="217"/>
      <c r="BOW36" s="217"/>
      <c r="BOX36" s="217"/>
      <c r="BOY36" s="217"/>
      <c r="BOZ36" s="217"/>
      <c r="BPA36" s="217"/>
      <c r="BPB36" s="217"/>
      <c r="BPC36" s="217"/>
      <c r="BPD36" s="217"/>
      <c r="BPE36" s="217"/>
      <c r="BPF36" s="217"/>
      <c r="BPG36" s="217"/>
      <c r="BPH36" s="217"/>
      <c r="BPI36" s="217"/>
      <c r="BPJ36" s="217"/>
      <c r="BPK36" s="217"/>
      <c r="BPL36" s="217"/>
      <c r="BPM36" s="217"/>
      <c r="BPN36" s="217"/>
      <c r="BPO36" s="217"/>
      <c r="BPP36" s="217"/>
      <c r="BPQ36" s="217"/>
      <c r="BPR36" s="217"/>
      <c r="BPS36" s="217"/>
      <c r="BPT36" s="217"/>
      <c r="BPU36" s="217"/>
      <c r="BPV36" s="217"/>
      <c r="BPW36" s="217"/>
      <c r="BPX36" s="217"/>
      <c r="BPY36" s="217"/>
      <c r="BPZ36" s="217"/>
      <c r="BQA36" s="217"/>
      <c r="BQB36" s="217"/>
      <c r="BQC36" s="217"/>
      <c r="BQD36" s="217"/>
      <c r="BQE36" s="217"/>
      <c r="BQF36" s="217"/>
      <c r="BQG36" s="217"/>
      <c r="BQH36" s="217"/>
      <c r="BQI36" s="217"/>
      <c r="BQJ36" s="217"/>
      <c r="BQK36" s="217"/>
      <c r="BQL36" s="217"/>
      <c r="BQM36" s="217"/>
      <c r="BQN36" s="217"/>
      <c r="BQO36" s="217"/>
      <c r="BQP36" s="217"/>
      <c r="BQQ36" s="217"/>
      <c r="BQR36" s="217"/>
      <c r="BQS36" s="217"/>
      <c r="BQT36" s="217"/>
      <c r="BQU36" s="217"/>
      <c r="BQV36" s="217"/>
      <c r="BQW36" s="217"/>
      <c r="BQX36" s="217"/>
      <c r="BQY36" s="217"/>
      <c r="BQZ36" s="217"/>
      <c r="BRA36" s="217"/>
      <c r="BRB36" s="217"/>
      <c r="BRC36" s="217"/>
      <c r="BRD36" s="217"/>
      <c r="BRE36" s="217"/>
      <c r="BRF36" s="217"/>
      <c r="BRG36" s="217"/>
      <c r="BRH36" s="217"/>
      <c r="BRI36" s="217"/>
      <c r="BRJ36" s="217"/>
      <c r="BRK36" s="217"/>
      <c r="BRL36" s="217"/>
      <c r="BRM36" s="217"/>
      <c r="BRN36" s="217"/>
      <c r="BRO36" s="217"/>
      <c r="BRP36" s="217"/>
      <c r="BRQ36" s="217"/>
      <c r="BRR36" s="217"/>
      <c r="BRS36" s="217"/>
      <c r="BRT36" s="217"/>
      <c r="BRU36" s="217"/>
      <c r="BRV36" s="217"/>
      <c r="BRW36" s="217"/>
      <c r="BRX36" s="217"/>
      <c r="BRY36" s="217"/>
      <c r="BRZ36" s="217"/>
      <c r="BSA36" s="217"/>
      <c r="BSB36" s="217"/>
      <c r="BSC36" s="217"/>
      <c r="BSD36" s="217"/>
      <c r="BSE36" s="217"/>
      <c r="BSF36" s="217"/>
      <c r="BSG36" s="217"/>
      <c r="BSH36" s="217"/>
      <c r="BSI36" s="217"/>
      <c r="BSJ36" s="217"/>
      <c r="BSK36" s="217"/>
      <c r="BSL36" s="217"/>
      <c r="BSM36" s="217"/>
      <c r="BSN36" s="217"/>
      <c r="BSO36" s="217"/>
      <c r="BSP36" s="217"/>
      <c r="BSQ36" s="217"/>
      <c r="BSR36" s="217"/>
      <c r="BSS36" s="217"/>
      <c r="BST36" s="217"/>
      <c r="BSU36" s="217"/>
      <c r="BSV36" s="217"/>
      <c r="BSW36" s="217"/>
      <c r="BSX36" s="217"/>
      <c r="BSY36" s="217"/>
      <c r="BSZ36" s="217"/>
      <c r="BTA36" s="217"/>
      <c r="BTB36" s="217"/>
      <c r="BTC36" s="217"/>
      <c r="BTD36" s="217"/>
      <c r="BTE36" s="217"/>
      <c r="BTF36" s="217"/>
      <c r="BTG36" s="217"/>
      <c r="BTH36" s="217"/>
      <c r="BTI36" s="217"/>
      <c r="BTJ36" s="217"/>
      <c r="BTK36" s="217"/>
      <c r="BTL36" s="217"/>
      <c r="BTM36" s="217"/>
      <c r="BTN36" s="217"/>
      <c r="BTO36" s="217"/>
      <c r="BTP36" s="217"/>
      <c r="BTQ36" s="217"/>
      <c r="BTR36" s="217"/>
      <c r="BTS36" s="217"/>
      <c r="BTT36" s="217"/>
      <c r="BTU36" s="217"/>
      <c r="BTV36" s="217"/>
      <c r="BTW36" s="217"/>
      <c r="BTX36" s="217"/>
      <c r="BTY36" s="217"/>
      <c r="BTZ36" s="217"/>
      <c r="BUA36" s="217"/>
      <c r="BUB36" s="217"/>
      <c r="BUC36" s="217"/>
      <c r="BUD36" s="217"/>
      <c r="BUE36" s="217"/>
      <c r="BUF36" s="217"/>
      <c r="BUG36" s="217"/>
      <c r="BUH36" s="217"/>
      <c r="BUI36" s="217"/>
      <c r="BUJ36" s="217"/>
      <c r="BUK36" s="217"/>
      <c r="BUL36" s="217"/>
      <c r="BUM36" s="217"/>
      <c r="BUN36" s="217"/>
      <c r="BUO36" s="217"/>
      <c r="BUP36" s="217"/>
      <c r="BUQ36" s="217"/>
      <c r="BUR36" s="217"/>
      <c r="BUS36" s="217"/>
      <c r="BUT36" s="217"/>
      <c r="BUU36" s="217"/>
      <c r="BUV36" s="217"/>
      <c r="BUW36" s="217"/>
      <c r="BUX36" s="217"/>
      <c r="BUY36" s="217"/>
      <c r="BUZ36" s="217"/>
      <c r="BVA36" s="217"/>
      <c r="BVB36" s="217"/>
      <c r="BVC36" s="217"/>
      <c r="BVD36" s="217"/>
      <c r="BVE36" s="217"/>
      <c r="BVF36" s="217"/>
      <c r="BVG36" s="217"/>
      <c r="BVH36" s="217"/>
      <c r="BVI36" s="217"/>
      <c r="BVJ36" s="217"/>
      <c r="BVK36" s="217"/>
      <c r="BVL36" s="217"/>
      <c r="BVM36" s="217"/>
      <c r="BVN36" s="217"/>
      <c r="BVO36" s="217"/>
      <c r="BVP36" s="217"/>
      <c r="BVQ36" s="217"/>
      <c r="BVR36" s="217"/>
      <c r="BVS36" s="217"/>
      <c r="BVT36" s="217"/>
      <c r="BVU36" s="217"/>
      <c r="BVV36" s="217"/>
      <c r="BVW36" s="217"/>
      <c r="BVX36" s="217"/>
      <c r="BVY36" s="217"/>
      <c r="BVZ36" s="217"/>
      <c r="BWA36" s="217"/>
      <c r="BWB36" s="217"/>
      <c r="BWC36" s="217"/>
      <c r="BWD36" s="217"/>
      <c r="BWE36" s="217"/>
      <c r="BWF36" s="217"/>
      <c r="BWG36" s="217"/>
      <c r="BWH36" s="217"/>
      <c r="BWI36" s="217"/>
      <c r="BWJ36" s="217"/>
      <c r="BWK36" s="217"/>
      <c r="BWL36" s="217"/>
      <c r="BWM36" s="217"/>
      <c r="BWN36" s="217"/>
      <c r="BWO36" s="217"/>
      <c r="BWP36" s="217"/>
      <c r="BWQ36" s="217"/>
      <c r="BWR36" s="217"/>
      <c r="BWS36" s="217"/>
      <c r="BWT36" s="217"/>
      <c r="BWU36" s="217"/>
      <c r="BWV36" s="217"/>
      <c r="BWW36" s="217"/>
      <c r="BWX36" s="217"/>
      <c r="BWY36" s="217"/>
      <c r="BWZ36" s="217"/>
      <c r="BXA36" s="217"/>
      <c r="BXB36" s="217"/>
      <c r="BXC36" s="217"/>
      <c r="BXD36" s="217"/>
      <c r="BXE36" s="217"/>
      <c r="BXF36" s="217"/>
      <c r="BXG36" s="217"/>
      <c r="BXH36" s="217"/>
      <c r="BXI36" s="217"/>
      <c r="BXJ36" s="217"/>
      <c r="BXK36" s="217"/>
      <c r="BXL36" s="217"/>
      <c r="BXM36" s="217"/>
      <c r="BXN36" s="217"/>
      <c r="BXO36" s="217"/>
      <c r="BXP36" s="217"/>
      <c r="BXQ36" s="217"/>
      <c r="BXR36" s="217"/>
      <c r="BXS36" s="217"/>
      <c r="BXT36" s="217"/>
      <c r="BXU36" s="217"/>
      <c r="BXV36" s="217"/>
      <c r="BXW36" s="217"/>
      <c r="BXX36" s="217"/>
      <c r="BXY36" s="217"/>
      <c r="BXZ36" s="217"/>
      <c r="BYA36" s="217"/>
      <c r="BYB36" s="217"/>
      <c r="BYC36" s="217"/>
      <c r="BYD36" s="217"/>
      <c r="BYE36" s="217"/>
      <c r="BYF36" s="217"/>
      <c r="BYG36" s="217"/>
    </row>
    <row r="37" spans="1:2009" s="100" customFormat="1" ht="13.5" hidden="1" customHeight="1" thickBot="1" x14ac:dyDescent="0.3">
      <c r="A37" s="97"/>
      <c r="B37" s="97"/>
      <c r="C37" s="169"/>
      <c r="D37" s="169"/>
      <c r="E37" s="169"/>
      <c r="F37" s="169"/>
      <c r="G37" s="643"/>
      <c r="H37" s="98"/>
      <c r="I37" s="751"/>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47</v>
      </c>
      <c r="B38" s="144"/>
      <c r="C38" s="186"/>
      <c r="D38" s="186"/>
      <c r="E38" s="187"/>
      <c r="F38" s="187"/>
      <c r="G38" s="655"/>
      <c r="H38" s="98"/>
      <c r="I38" s="751"/>
      <c r="J38" s="98"/>
      <c r="K38" s="98"/>
      <c r="L38" s="98"/>
      <c r="M38" s="98"/>
      <c r="N38" s="206"/>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139</v>
      </c>
      <c r="C39" s="188">
        <f>3791.67-0.1</f>
        <v>3791.57</v>
      </c>
      <c r="D39" s="188">
        <f>3791.67-0.01</f>
        <v>3791.66</v>
      </c>
      <c r="E39" s="189"/>
      <c r="F39" s="189"/>
      <c r="G39" s="656">
        <f>ROUND(SUM(C39:F39),5)</f>
        <v>7583.23</v>
      </c>
      <c r="H39" s="98"/>
      <c r="I39" s="751"/>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335</v>
      </c>
      <c r="C40" s="188">
        <v>4500</v>
      </c>
      <c r="D40" s="188"/>
      <c r="E40" s="189"/>
      <c r="F40" s="189"/>
      <c r="G40" s="656">
        <f>ROUND(SUM(C40:F40),5)</f>
        <v>4500</v>
      </c>
      <c r="H40" s="98"/>
      <c r="I40" s="751"/>
      <c r="J40" s="98"/>
      <c r="K40" s="98"/>
      <c r="L40" s="98"/>
      <c r="M40" s="98"/>
      <c r="N40" s="206"/>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540</v>
      </c>
      <c r="C41" s="188"/>
      <c r="D41" s="188"/>
      <c r="E41" s="189"/>
      <c r="F41" s="189">
        <v>190.32</v>
      </c>
      <c r="G41" s="656">
        <f>ROUND(SUM(C41:F41),5)</f>
        <v>190.32</v>
      </c>
      <c r="H41" s="98"/>
      <c r="I41" s="751"/>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345</v>
      </c>
      <c r="C42" s="188"/>
      <c r="D42" s="188"/>
      <c r="E42" s="189"/>
      <c r="F42" s="189"/>
      <c r="G42" s="656">
        <f>ROUND(SUM(C42:F42),5)</f>
        <v>0</v>
      </c>
      <c r="H42" s="98"/>
      <c r="I42" s="751"/>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48</v>
      </c>
      <c r="C43" s="188">
        <v>9063</v>
      </c>
      <c r="D43" s="188">
        <v>6728.16</v>
      </c>
      <c r="E43" s="189"/>
      <c r="F43" s="189"/>
      <c r="G43" s="656">
        <f>ROUND(SUM(C43:F43),5)</f>
        <v>15791.16</v>
      </c>
      <c r="H43" s="98"/>
      <c r="I43" s="751"/>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3" customFormat="1" ht="24.95" customHeight="1" thickBot="1" x14ac:dyDescent="0.3">
      <c r="A44" s="220"/>
      <c r="B44" s="221" t="s">
        <v>49</v>
      </c>
      <c r="C44" s="222">
        <f>SUM(C39:C43)</f>
        <v>17354.57</v>
      </c>
      <c r="D44" s="222">
        <f>SUM(D39:D43)</f>
        <v>10519.82</v>
      </c>
      <c r="E44" s="222"/>
      <c r="F44" s="222">
        <f>SUM(F39:F43)</f>
        <v>190.32</v>
      </c>
      <c r="G44" s="657">
        <f>SUM(G39:G43)</f>
        <v>28064.71</v>
      </c>
      <c r="H44" s="206"/>
      <c r="I44" s="751"/>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c r="MS44" s="207"/>
      <c r="MT44" s="207"/>
      <c r="MU44" s="207"/>
      <c r="MV44" s="207"/>
      <c r="MW44" s="207"/>
      <c r="MX44" s="207"/>
      <c r="MY44" s="207"/>
      <c r="MZ44" s="207"/>
      <c r="NA44" s="207"/>
      <c r="NB44" s="207"/>
      <c r="NC44" s="207"/>
      <c r="ND44" s="207"/>
      <c r="NE44" s="207"/>
      <c r="NF44" s="207"/>
      <c r="NG44" s="207"/>
      <c r="NH44" s="207"/>
      <c r="NI44" s="207"/>
      <c r="NJ44" s="207"/>
      <c r="NK44" s="207"/>
      <c r="NL44" s="207"/>
      <c r="NM44" s="207"/>
      <c r="NN44" s="207"/>
      <c r="NO44" s="207"/>
      <c r="NP44" s="207"/>
      <c r="NQ44" s="207"/>
      <c r="NR44" s="207"/>
      <c r="NS44" s="207"/>
      <c r="NT44" s="207"/>
      <c r="NU44" s="207"/>
      <c r="NV44" s="207"/>
      <c r="NW44" s="207"/>
      <c r="NX44" s="207"/>
      <c r="NY44" s="207"/>
      <c r="NZ44" s="207"/>
      <c r="OA44" s="207"/>
      <c r="OB44" s="207"/>
      <c r="OC44" s="207"/>
      <c r="OD44" s="207"/>
      <c r="OE44" s="207"/>
      <c r="OF44" s="207"/>
      <c r="OG44" s="207"/>
      <c r="OH44" s="207"/>
      <c r="OI44" s="207"/>
      <c r="OJ44" s="207"/>
      <c r="OK44" s="207"/>
      <c r="OL44" s="207"/>
      <c r="OM44" s="207"/>
      <c r="ON44" s="207"/>
      <c r="OO44" s="207"/>
      <c r="OP44" s="207"/>
      <c r="OQ44" s="207"/>
      <c r="OR44" s="207"/>
      <c r="OS44" s="207"/>
      <c r="OT44" s="207"/>
      <c r="OU44" s="207"/>
      <c r="OV44" s="207"/>
      <c r="OW44" s="207"/>
      <c r="OX44" s="207"/>
      <c r="OY44" s="207"/>
      <c r="OZ44" s="207"/>
      <c r="PA44" s="207"/>
      <c r="PB44" s="207"/>
      <c r="PC44" s="207"/>
      <c r="PD44" s="207"/>
      <c r="PE44" s="207"/>
      <c r="PF44" s="207"/>
      <c r="PG44" s="207"/>
      <c r="PH44" s="207"/>
      <c r="PI44" s="207"/>
      <c r="PJ44" s="207"/>
      <c r="PK44" s="207"/>
      <c r="PL44" s="207"/>
      <c r="PM44" s="207"/>
      <c r="PN44" s="207"/>
      <c r="PO44" s="207"/>
      <c r="PP44" s="207"/>
      <c r="PQ44" s="207"/>
      <c r="PR44" s="207"/>
      <c r="PS44" s="207"/>
      <c r="PT44" s="207"/>
      <c r="PU44" s="207"/>
      <c r="PV44" s="207"/>
      <c r="PW44" s="207"/>
      <c r="PX44" s="207"/>
      <c r="PY44" s="207"/>
      <c r="PZ44" s="207"/>
      <c r="QA44" s="207"/>
      <c r="QB44" s="207"/>
      <c r="QC44" s="207"/>
      <c r="QD44" s="207"/>
      <c r="QE44" s="207"/>
      <c r="QF44" s="207"/>
      <c r="QG44" s="207"/>
      <c r="QH44" s="207"/>
      <c r="QI44" s="207"/>
      <c r="QJ44" s="207"/>
      <c r="QK44" s="207"/>
      <c r="QL44" s="207"/>
      <c r="QM44" s="207"/>
      <c r="QN44" s="207"/>
      <c r="QO44" s="207"/>
      <c r="QP44" s="207"/>
      <c r="QQ44" s="207"/>
      <c r="QR44" s="207"/>
      <c r="QS44" s="207"/>
      <c r="QT44" s="207"/>
      <c r="QU44" s="207"/>
      <c r="QV44" s="207"/>
      <c r="QW44" s="207"/>
      <c r="QX44" s="207"/>
      <c r="QY44" s="207"/>
      <c r="QZ44" s="207"/>
      <c r="RA44" s="207"/>
      <c r="RB44" s="207"/>
      <c r="RC44" s="207"/>
      <c r="RD44" s="207"/>
      <c r="RE44" s="207"/>
      <c r="RF44" s="207"/>
      <c r="RG44" s="207"/>
      <c r="RH44" s="207"/>
      <c r="RI44" s="207"/>
      <c r="RJ44" s="207"/>
      <c r="RK44" s="207"/>
      <c r="RL44" s="207"/>
      <c r="RM44" s="207"/>
      <c r="RN44" s="207"/>
      <c r="RO44" s="207"/>
      <c r="RP44" s="207"/>
      <c r="RQ44" s="207"/>
      <c r="RR44" s="207"/>
      <c r="RS44" s="207"/>
      <c r="RT44" s="207"/>
      <c r="RU44" s="207"/>
      <c r="RV44" s="207"/>
      <c r="RW44" s="207"/>
      <c r="RX44" s="207"/>
      <c r="RY44" s="207"/>
      <c r="RZ44" s="207"/>
      <c r="SA44" s="207"/>
      <c r="SB44" s="207"/>
      <c r="SC44" s="207"/>
      <c r="SD44" s="207"/>
      <c r="SE44" s="207"/>
      <c r="SF44" s="207"/>
      <c r="SG44" s="207"/>
      <c r="SH44" s="207"/>
      <c r="SI44" s="207"/>
      <c r="SJ44" s="207"/>
      <c r="SK44" s="207"/>
      <c r="SL44" s="207"/>
      <c r="SM44" s="207"/>
      <c r="SN44" s="207"/>
      <c r="SO44" s="207"/>
      <c r="SP44" s="207"/>
      <c r="SQ44" s="207"/>
      <c r="SR44" s="207"/>
      <c r="SS44" s="207"/>
      <c r="ST44" s="207"/>
      <c r="SU44" s="207"/>
      <c r="SV44" s="207"/>
      <c r="SW44" s="207"/>
      <c r="SX44" s="207"/>
      <c r="SY44" s="207"/>
      <c r="SZ44" s="207"/>
      <c r="TA44" s="207"/>
      <c r="TB44" s="207"/>
      <c r="TC44" s="207"/>
      <c r="TD44" s="207"/>
      <c r="TE44" s="207"/>
      <c r="TF44" s="207"/>
      <c r="TG44" s="207"/>
      <c r="TH44" s="207"/>
      <c r="TI44" s="207"/>
      <c r="TJ44" s="207"/>
      <c r="TK44" s="207"/>
      <c r="TL44" s="207"/>
      <c r="TM44" s="207"/>
      <c r="TN44" s="207"/>
      <c r="TO44" s="207"/>
      <c r="TP44" s="207"/>
      <c r="TQ44" s="207"/>
      <c r="TR44" s="207"/>
      <c r="TS44" s="207"/>
      <c r="TT44" s="207"/>
      <c r="TU44" s="207"/>
      <c r="TV44" s="207"/>
      <c r="TW44" s="207"/>
      <c r="TX44" s="207"/>
      <c r="TY44" s="207"/>
      <c r="TZ44" s="207"/>
      <c r="UA44" s="207"/>
      <c r="UB44" s="207"/>
      <c r="UC44" s="207"/>
      <c r="UD44" s="207"/>
      <c r="UE44" s="207"/>
      <c r="UF44" s="207"/>
      <c r="UG44" s="207"/>
      <c r="UH44" s="207"/>
      <c r="UI44" s="207"/>
      <c r="UJ44" s="207"/>
      <c r="UK44" s="207"/>
      <c r="UL44" s="207"/>
      <c r="UM44" s="207"/>
      <c r="UN44" s="207"/>
      <c r="UO44" s="207"/>
      <c r="UP44" s="207"/>
      <c r="UQ44" s="207"/>
      <c r="UR44" s="207"/>
      <c r="US44" s="207"/>
      <c r="UT44" s="207"/>
      <c r="UU44" s="207"/>
      <c r="UV44" s="207"/>
      <c r="UW44" s="207"/>
      <c r="UX44" s="207"/>
      <c r="UY44" s="207"/>
      <c r="UZ44" s="207"/>
      <c r="VA44" s="207"/>
      <c r="VB44" s="207"/>
      <c r="VC44" s="207"/>
      <c r="VD44" s="207"/>
      <c r="VE44" s="207"/>
      <c r="VF44" s="207"/>
      <c r="VG44" s="207"/>
      <c r="VH44" s="207"/>
      <c r="VI44" s="207"/>
      <c r="VJ44" s="207"/>
      <c r="VK44" s="207"/>
      <c r="VL44" s="207"/>
      <c r="VM44" s="207"/>
      <c r="VN44" s="207"/>
      <c r="VO44" s="207"/>
      <c r="VP44" s="207"/>
      <c r="VQ44" s="207"/>
      <c r="VR44" s="207"/>
      <c r="VS44" s="207"/>
      <c r="VT44" s="207"/>
      <c r="VU44" s="207"/>
      <c r="VV44" s="207"/>
      <c r="VW44" s="207"/>
      <c r="VX44" s="207"/>
      <c r="VY44" s="207"/>
      <c r="VZ44" s="207"/>
      <c r="WA44" s="207"/>
      <c r="WB44" s="207"/>
      <c r="WC44" s="207"/>
      <c r="WD44" s="207"/>
      <c r="WE44" s="207"/>
      <c r="WF44" s="207"/>
      <c r="WG44" s="207"/>
      <c r="WH44" s="207"/>
      <c r="WI44" s="207"/>
      <c r="WJ44" s="207"/>
      <c r="WK44" s="207"/>
      <c r="WL44" s="207"/>
      <c r="WM44" s="207"/>
      <c r="WN44" s="207"/>
      <c r="WO44" s="207"/>
      <c r="WP44" s="207"/>
      <c r="WQ44" s="207"/>
      <c r="WR44" s="207"/>
      <c r="WS44" s="207"/>
      <c r="WT44" s="207"/>
      <c r="WU44" s="207"/>
      <c r="WV44" s="207"/>
      <c r="WW44" s="207"/>
      <c r="WX44" s="207"/>
      <c r="WY44" s="207"/>
      <c r="WZ44" s="207"/>
      <c r="XA44" s="207"/>
      <c r="XB44" s="207"/>
      <c r="XC44" s="207"/>
      <c r="XD44" s="207"/>
      <c r="XE44" s="207"/>
      <c r="XF44" s="207"/>
      <c r="XG44" s="207"/>
      <c r="XH44" s="207"/>
      <c r="XI44" s="207"/>
      <c r="XJ44" s="207"/>
      <c r="XK44" s="207"/>
      <c r="XL44" s="207"/>
      <c r="XM44" s="207"/>
      <c r="XN44" s="207"/>
      <c r="XO44" s="207"/>
      <c r="XP44" s="207"/>
      <c r="XQ44" s="207"/>
      <c r="XR44" s="207"/>
      <c r="XS44" s="207"/>
      <c r="XT44" s="207"/>
      <c r="XU44" s="207"/>
      <c r="XV44" s="207"/>
      <c r="XW44" s="207"/>
      <c r="XX44" s="207"/>
      <c r="XY44" s="207"/>
      <c r="XZ44" s="207"/>
      <c r="YA44" s="207"/>
      <c r="YB44" s="207"/>
      <c r="YC44" s="207"/>
      <c r="YD44" s="207"/>
      <c r="YE44" s="207"/>
      <c r="YF44" s="207"/>
      <c r="YG44" s="207"/>
      <c r="YH44" s="207"/>
      <c r="YI44" s="207"/>
      <c r="YJ44" s="207"/>
      <c r="YK44" s="207"/>
      <c r="YL44" s="207"/>
      <c r="YM44" s="207"/>
      <c r="YN44" s="207"/>
      <c r="YO44" s="207"/>
      <c r="YP44" s="207"/>
      <c r="YQ44" s="207"/>
      <c r="YR44" s="207"/>
      <c r="YS44" s="207"/>
      <c r="YT44" s="207"/>
      <c r="YU44" s="207"/>
      <c r="YV44" s="207"/>
      <c r="YW44" s="207"/>
      <c r="YX44" s="207"/>
      <c r="YY44" s="207"/>
      <c r="YZ44" s="207"/>
      <c r="ZA44" s="207"/>
      <c r="ZB44" s="207"/>
      <c r="ZC44" s="207"/>
      <c r="ZD44" s="207"/>
      <c r="ZE44" s="207"/>
      <c r="ZF44" s="207"/>
      <c r="ZG44" s="207"/>
      <c r="ZH44" s="207"/>
      <c r="ZI44" s="207"/>
      <c r="ZJ44" s="207"/>
      <c r="ZK44" s="207"/>
      <c r="ZL44" s="207"/>
      <c r="ZM44" s="207"/>
      <c r="ZN44" s="207"/>
      <c r="ZO44" s="207"/>
      <c r="ZP44" s="207"/>
      <c r="ZQ44" s="207"/>
      <c r="ZR44" s="207"/>
      <c r="ZS44" s="207"/>
      <c r="ZT44" s="207"/>
      <c r="ZU44" s="207"/>
      <c r="ZV44" s="207"/>
      <c r="ZW44" s="207"/>
      <c r="ZX44" s="207"/>
      <c r="ZY44" s="207"/>
      <c r="ZZ44" s="207"/>
      <c r="AAA44" s="207"/>
      <c r="AAB44" s="207"/>
      <c r="AAC44" s="207"/>
      <c r="AAD44" s="207"/>
      <c r="AAE44" s="207"/>
      <c r="AAF44" s="207"/>
      <c r="AAG44" s="207"/>
      <c r="AAH44" s="207"/>
      <c r="AAI44" s="207"/>
      <c r="AAJ44" s="207"/>
      <c r="AAK44" s="207"/>
      <c r="AAL44" s="207"/>
      <c r="AAM44" s="207"/>
      <c r="AAN44" s="207"/>
      <c r="AAO44" s="207"/>
      <c r="AAP44" s="207"/>
      <c r="AAQ44" s="207"/>
      <c r="AAR44" s="207"/>
      <c r="AAS44" s="207"/>
      <c r="AAT44" s="207"/>
      <c r="AAU44" s="207"/>
      <c r="AAV44" s="207"/>
      <c r="AAW44" s="207"/>
      <c r="AAX44" s="207"/>
      <c r="AAY44" s="207"/>
      <c r="AAZ44" s="207"/>
      <c r="ABA44" s="207"/>
      <c r="ABB44" s="207"/>
      <c r="ABC44" s="207"/>
      <c r="ABD44" s="207"/>
      <c r="ABE44" s="207"/>
      <c r="ABF44" s="207"/>
      <c r="ABG44" s="207"/>
      <c r="ABH44" s="207"/>
      <c r="ABI44" s="207"/>
      <c r="ABJ44" s="207"/>
      <c r="ABK44" s="207"/>
      <c r="ABL44" s="207"/>
      <c r="ABM44" s="207"/>
      <c r="ABN44" s="207"/>
      <c r="ABO44" s="207"/>
      <c r="ABP44" s="207"/>
      <c r="ABQ44" s="207"/>
      <c r="ABR44" s="207"/>
      <c r="ABS44" s="207"/>
      <c r="ABT44" s="207"/>
      <c r="ABU44" s="207"/>
      <c r="ABV44" s="207"/>
      <c r="ABW44" s="207"/>
      <c r="ABX44" s="207"/>
      <c r="ABY44" s="207"/>
      <c r="ABZ44" s="207"/>
      <c r="ACA44" s="207"/>
      <c r="ACB44" s="207"/>
      <c r="ACC44" s="207"/>
      <c r="ACD44" s="207"/>
      <c r="ACE44" s="207"/>
      <c r="ACF44" s="207"/>
      <c r="ACG44" s="207"/>
      <c r="ACH44" s="207"/>
      <c r="ACI44" s="207"/>
      <c r="ACJ44" s="207"/>
      <c r="ACK44" s="207"/>
      <c r="ACL44" s="207"/>
      <c r="ACM44" s="207"/>
      <c r="ACN44" s="207"/>
      <c r="ACO44" s="207"/>
      <c r="ACP44" s="207"/>
      <c r="ACQ44" s="207"/>
      <c r="ACR44" s="207"/>
      <c r="ACS44" s="207"/>
      <c r="ACT44" s="207"/>
      <c r="ACU44" s="207"/>
      <c r="ACV44" s="207"/>
      <c r="ACW44" s="207"/>
      <c r="ACX44" s="207"/>
      <c r="ACY44" s="207"/>
      <c r="ACZ44" s="207"/>
      <c r="ADA44" s="207"/>
      <c r="ADB44" s="207"/>
      <c r="ADC44" s="207"/>
      <c r="ADD44" s="207"/>
      <c r="ADE44" s="207"/>
      <c r="ADF44" s="207"/>
      <c r="ADG44" s="207"/>
      <c r="ADH44" s="207"/>
      <c r="ADI44" s="207"/>
      <c r="ADJ44" s="207"/>
      <c r="ADK44" s="207"/>
      <c r="ADL44" s="207"/>
      <c r="ADM44" s="207"/>
      <c r="ADN44" s="207"/>
      <c r="ADO44" s="207"/>
      <c r="ADP44" s="207"/>
      <c r="ADQ44" s="207"/>
      <c r="ADR44" s="207"/>
      <c r="ADS44" s="207"/>
      <c r="ADT44" s="207"/>
      <c r="ADU44" s="207"/>
      <c r="ADV44" s="207"/>
      <c r="ADW44" s="207"/>
      <c r="ADX44" s="207"/>
      <c r="ADY44" s="207"/>
      <c r="ADZ44" s="207"/>
      <c r="AEA44" s="207"/>
      <c r="AEB44" s="207"/>
      <c r="AEC44" s="207"/>
      <c r="AED44" s="207"/>
      <c r="AEE44" s="207"/>
      <c r="AEF44" s="207"/>
      <c r="AEG44" s="207"/>
      <c r="AEH44" s="207"/>
      <c r="AEI44" s="207"/>
      <c r="AEJ44" s="207"/>
      <c r="AEK44" s="207"/>
      <c r="AEL44" s="207"/>
      <c r="AEM44" s="207"/>
      <c r="AEN44" s="207"/>
      <c r="AEO44" s="207"/>
      <c r="AEP44" s="207"/>
      <c r="AEQ44" s="207"/>
      <c r="AER44" s="207"/>
      <c r="AES44" s="207"/>
      <c r="AET44" s="207"/>
      <c r="AEU44" s="207"/>
      <c r="AEV44" s="207"/>
      <c r="AEW44" s="207"/>
      <c r="AEX44" s="207"/>
      <c r="AEY44" s="207"/>
      <c r="AEZ44" s="207"/>
      <c r="AFA44" s="207"/>
      <c r="AFB44" s="207"/>
      <c r="AFC44" s="207"/>
      <c r="AFD44" s="207"/>
      <c r="AFE44" s="207"/>
      <c r="AFF44" s="207"/>
      <c r="AFG44" s="207"/>
      <c r="AFH44" s="207"/>
      <c r="AFI44" s="207"/>
      <c r="AFJ44" s="207"/>
      <c r="AFK44" s="207"/>
      <c r="AFL44" s="207"/>
      <c r="AFM44" s="207"/>
      <c r="AFN44" s="207"/>
      <c r="AFO44" s="207"/>
      <c r="AFP44" s="207"/>
      <c r="AFQ44" s="207"/>
      <c r="AFR44" s="207"/>
      <c r="AFS44" s="207"/>
      <c r="AFT44" s="207"/>
      <c r="AFU44" s="207"/>
      <c r="AFV44" s="207"/>
      <c r="AFW44" s="207"/>
      <c r="AFX44" s="207"/>
      <c r="AFY44" s="207"/>
      <c r="AFZ44" s="207"/>
      <c r="AGA44" s="207"/>
      <c r="AGB44" s="207"/>
      <c r="AGC44" s="207"/>
      <c r="AGD44" s="207"/>
      <c r="AGE44" s="207"/>
      <c r="AGF44" s="207"/>
      <c r="AGG44" s="207"/>
      <c r="AGH44" s="207"/>
      <c r="AGI44" s="207"/>
      <c r="AGJ44" s="207"/>
      <c r="AGK44" s="207"/>
      <c r="AGL44" s="207"/>
      <c r="AGM44" s="207"/>
      <c r="AGN44" s="207"/>
      <c r="AGO44" s="207"/>
      <c r="AGP44" s="207"/>
      <c r="AGQ44" s="207"/>
      <c r="AGR44" s="207"/>
      <c r="AGS44" s="207"/>
      <c r="AGT44" s="207"/>
      <c r="AGU44" s="207"/>
      <c r="AGV44" s="207"/>
      <c r="AGW44" s="207"/>
      <c r="AGX44" s="207"/>
      <c r="AGY44" s="207"/>
      <c r="AGZ44" s="207"/>
      <c r="AHA44" s="207"/>
      <c r="AHB44" s="207"/>
      <c r="AHC44" s="207"/>
      <c r="AHD44" s="207"/>
      <c r="AHE44" s="207"/>
      <c r="AHF44" s="207"/>
      <c r="AHG44" s="207"/>
      <c r="AHH44" s="207"/>
      <c r="AHI44" s="207"/>
      <c r="AHJ44" s="207"/>
      <c r="AHK44" s="207"/>
      <c r="AHL44" s="207"/>
      <c r="AHM44" s="207"/>
      <c r="AHN44" s="207"/>
      <c r="AHO44" s="207"/>
      <c r="AHP44" s="207"/>
      <c r="AHQ44" s="207"/>
      <c r="AHR44" s="207"/>
      <c r="AHS44" s="207"/>
      <c r="AHT44" s="207"/>
      <c r="AHU44" s="207"/>
      <c r="AHV44" s="207"/>
      <c r="AHW44" s="207"/>
      <c r="AHX44" s="207"/>
      <c r="AHY44" s="207"/>
      <c r="AHZ44" s="207"/>
      <c r="AIA44" s="207"/>
      <c r="AIB44" s="207"/>
      <c r="AIC44" s="207"/>
      <c r="AID44" s="207"/>
      <c r="AIE44" s="207"/>
      <c r="AIF44" s="207"/>
      <c r="AIG44" s="207"/>
      <c r="AIH44" s="207"/>
      <c r="AII44" s="207"/>
      <c r="AIJ44" s="207"/>
      <c r="AIK44" s="207"/>
      <c r="AIL44" s="207"/>
      <c r="AIM44" s="207"/>
      <c r="AIN44" s="207"/>
      <c r="AIO44" s="207"/>
      <c r="AIP44" s="207"/>
      <c r="AIQ44" s="207"/>
      <c r="AIR44" s="207"/>
      <c r="AIS44" s="207"/>
      <c r="AIT44" s="207"/>
      <c r="AIU44" s="207"/>
      <c r="AIV44" s="207"/>
      <c r="AIW44" s="207"/>
      <c r="AIX44" s="207"/>
      <c r="AIY44" s="207"/>
      <c r="AIZ44" s="207"/>
      <c r="AJA44" s="207"/>
      <c r="AJB44" s="207"/>
      <c r="AJC44" s="207"/>
      <c r="AJD44" s="207"/>
      <c r="AJE44" s="207"/>
      <c r="AJF44" s="207"/>
      <c r="AJG44" s="207"/>
      <c r="AJH44" s="207"/>
      <c r="AJI44" s="207"/>
      <c r="AJJ44" s="207"/>
      <c r="AJK44" s="207"/>
      <c r="AJL44" s="207"/>
      <c r="AJM44" s="207"/>
      <c r="AJN44" s="207"/>
      <c r="AJO44" s="207"/>
      <c r="AJP44" s="207"/>
      <c r="AJQ44" s="207"/>
      <c r="AJR44" s="207"/>
      <c r="AJS44" s="207"/>
      <c r="AJT44" s="207"/>
      <c r="AJU44" s="207"/>
      <c r="AJV44" s="207"/>
      <c r="AJW44" s="207"/>
      <c r="AJX44" s="207"/>
      <c r="AJY44" s="207"/>
      <c r="AJZ44" s="207"/>
      <c r="AKA44" s="207"/>
      <c r="AKB44" s="207"/>
      <c r="AKC44" s="207"/>
      <c r="AKD44" s="207"/>
      <c r="AKE44" s="207"/>
      <c r="AKF44" s="207"/>
      <c r="AKG44" s="207"/>
      <c r="AKH44" s="207"/>
      <c r="AKI44" s="207"/>
      <c r="AKJ44" s="207"/>
      <c r="AKK44" s="207"/>
      <c r="AKL44" s="207"/>
      <c r="AKM44" s="207"/>
      <c r="AKN44" s="207"/>
      <c r="AKO44" s="207"/>
      <c r="AKP44" s="207"/>
      <c r="AKQ44" s="207"/>
      <c r="AKR44" s="207"/>
      <c r="AKS44" s="207"/>
      <c r="AKT44" s="207"/>
      <c r="AKU44" s="207"/>
      <c r="AKV44" s="207"/>
      <c r="AKW44" s="207"/>
      <c r="AKX44" s="207"/>
      <c r="AKY44" s="207"/>
      <c r="AKZ44" s="207"/>
      <c r="ALA44" s="207"/>
      <c r="ALB44" s="207"/>
      <c r="ALC44" s="207"/>
      <c r="ALD44" s="207"/>
      <c r="ALE44" s="207"/>
      <c r="ALF44" s="207"/>
      <c r="ALG44" s="207"/>
      <c r="ALH44" s="207"/>
      <c r="ALI44" s="207"/>
      <c r="ALJ44" s="207"/>
      <c r="ALK44" s="207"/>
      <c r="ALL44" s="207"/>
      <c r="ALM44" s="207"/>
      <c r="ALN44" s="207"/>
      <c r="ALO44" s="207"/>
      <c r="ALP44" s="207"/>
      <c r="ALQ44" s="207"/>
      <c r="ALR44" s="207"/>
      <c r="ALS44" s="207"/>
      <c r="ALT44" s="207"/>
      <c r="ALU44" s="207"/>
      <c r="ALV44" s="207"/>
      <c r="ALW44" s="207"/>
      <c r="ALX44" s="207"/>
      <c r="ALY44" s="207"/>
      <c r="ALZ44" s="207"/>
      <c r="AMA44" s="207"/>
      <c r="AMB44" s="207"/>
      <c r="AMC44" s="207"/>
      <c r="AMD44" s="207"/>
      <c r="AME44" s="207"/>
      <c r="AMF44" s="207"/>
      <c r="AMG44" s="207"/>
      <c r="AMH44" s="207"/>
      <c r="AMI44" s="207"/>
      <c r="AMJ44" s="207"/>
      <c r="AMK44" s="207"/>
      <c r="AML44" s="207"/>
      <c r="AMM44" s="207"/>
      <c r="AMN44" s="207"/>
      <c r="AMO44" s="207"/>
      <c r="AMP44" s="207"/>
      <c r="AMQ44" s="207"/>
      <c r="AMR44" s="207"/>
      <c r="AMS44" s="207"/>
      <c r="AMT44" s="207"/>
      <c r="AMU44" s="207"/>
      <c r="AMV44" s="207"/>
      <c r="AMW44" s="207"/>
      <c r="AMX44" s="207"/>
      <c r="AMY44" s="207"/>
      <c r="AMZ44" s="207"/>
      <c r="ANA44" s="207"/>
      <c r="ANB44" s="207"/>
      <c r="ANC44" s="207"/>
      <c r="AND44" s="207"/>
      <c r="ANE44" s="207"/>
      <c r="ANF44" s="207"/>
      <c r="ANG44" s="207"/>
      <c r="ANH44" s="207"/>
      <c r="ANI44" s="207"/>
      <c r="ANJ44" s="207"/>
      <c r="ANK44" s="207"/>
      <c r="ANL44" s="207"/>
      <c r="ANM44" s="207"/>
      <c r="ANN44" s="207"/>
      <c r="ANO44" s="207"/>
      <c r="ANP44" s="207"/>
      <c r="ANQ44" s="207"/>
      <c r="ANR44" s="207"/>
      <c r="ANS44" s="207"/>
      <c r="ANT44" s="207"/>
      <c r="ANU44" s="207"/>
      <c r="ANV44" s="207"/>
      <c r="ANW44" s="207"/>
      <c r="ANX44" s="207"/>
      <c r="ANY44" s="207"/>
      <c r="ANZ44" s="207"/>
      <c r="AOA44" s="207"/>
      <c r="AOB44" s="207"/>
      <c r="AOC44" s="207"/>
      <c r="AOD44" s="207"/>
      <c r="AOE44" s="207"/>
      <c r="AOF44" s="207"/>
      <c r="AOG44" s="207"/>
      <c r="AOH44" s="207"/>
      <c r="AOI44" s="207"/>
      <c r="AOJ44" s="207"/>
      <c r="AOK44" s="207"/>
      <c r="AOL44" s="207"/>
      <c r="AOM44" s="207"/>
      <c r="AON44" s="207"/>
      <c r="AOO44" s="207"/>
      <c r="AOP44" s="207"/>
      <c r="AOQ44" s="207"/>
      <c r="AOR44" s="207"/>
      <c r="AOS44" s="207"/>
      <c r="AOT44" s="207"/>
      <c r="AOU44" s="207"/>
      <c r="AOV44" s="207"/>
      <c r="AOW44" s="207"/>
      <c r="AOX44" s="207"/>
      <c r="AOY44" s="207"/>
      <c r="AOZ44" s="207"/>
      <c r="APA44" s="207"/>
      <c r="APB44" s="207"/>
      <c r="APC44" s="207"/>
      <c r="APD44" s="207"/>
      <c r="APE44" s="207"/>
      <c r="APF44" s="207"/>
      <c r="APG44" s="207"/>
      <c r="APH44" s="207"/>
      <c r="API44" s="207"/>
      <c r="APJ44" s="207"/>
      <c r="APK44" s="207"/>
      <c r="APL44" s="207"/>
      <c r="APM44" s="207"/>
      <c r="APN44" s="207"/>
      <c r="APO44" s="207"/>
      <c r="APP44" s="207"/>
      <c r="APQ44" s="207"/>
      <c r="APR44" s="207"/>
      <c r="APS44" s="207"/>
      <c r="APT44" s="207"/>
      <c r="APU44" s="207"/>
      <c r="APV44" s="207"/>
      <c r="APW44" s="207"/>
      <c r="APX44" s="207"/>
      <c r="APY44" s="207"/>
      <c r="APZ44" s="207"/>
      <c r="AQA44" s="207"/>
      <c r="AQB44" s="207"/>
      <c r="AQC44" s="207"/>
      <c r="AQD44" s="207"/>
      <c r="AQE44" s="207"/>
      <c r="AQF44" s="207"/>
      <c r="AQG44" s="207"/>
      <c r="AQH44" s="207"/>
      <c r="AQI44" s="207"/>
      <c r="AQJ44" s="207"/>
      <c r="AQK44" s="207"/>
      <c r="AQL44" s="207"/>
      <c r="AQM44" s="207"/>
      <c r="AQN44" s="207"/>
      <c r="AQO44" s="207"/>
      <c r="AQP44" s="207"/>
      <c r="AQQ44" s="207"/>
      <c r="AQR44" s="207"/>
      <c r="AQS44" s="207"/>
      <c r="AQT44" s="207"/>
      <c r="AQU44" s="207"/>
      <c r="AQV44" s="207"/>
      <c r="AQW44" s="207"/>
      <c r="AQX44" s="207"/>
      <c r="AQY44" s="207"/>
      <c r="AQZ44" s="207"/>
      <c r="ARA44" s="207"/>
      <c r="ARB44" s="207"/>
      <c r="ARC44" s="207"/>
      <c r="ARD44" s="207"/>
      <c r="ARE44" s="207"/>
      <c r="ARF44" s="207"/>
      <c r="ARG44" s="207"/>
      <c r="ARH44" s="207"/>
      <c r="ARI44" s="207"/>
      <c r="ARJ44" s="207"/>
      <c r="ARK44" s="207"/>
      <c r="ARL44" s="207"/>
      <c r="ARM44" s="207"/>
      <c r="ARN44" s="207"/>
      <c r="ARO44" s="207"/>
      <c r="ARP44" s="207"/>
      <c r="ARQ44" s="207"/>
      <c r="ARR44" s="207"/>
      <c r="ARS44" s="207"/>
      <c r="ART44" s="207"/>
      <c r="ARU44" s="207"/>
      <c r="ARV44" s="207"/>
      <c r="ARW44" s="207"/>
      <c r="ARX44" s="207"/>
      <c r="ARY44" s="207"/>
      <c r="ARZ44" s="207"/>
      <c r="ASA44" s="207"/>
      <c r="ASB44" s="207"/>
      <c r="ASC44" s="207"/>
      <c r="ASD44" s="207"/>
      <c r="ASE44" s="207"/>
      <c r="ASF44" s="207"/>
      <c r="ASG44" s="207"/>
      <c r="ASH44" s="207"/>
      <c r="ASI44" s="207"/>
      <c r="ASJ44" s="207"/>
      <c r="ASK44" s="207"/>
      <c r="ASL44" s="207"/>
      <c r="ASM44" s="207"/>
      <c r="ASN44" s="207"/>
      <c r="ASO44" s="207"/>
      <c r="ASP44" s="207"/>
      <c r="ASQ44" s="207"/>
      <c r="ASR44" s="207"/>
      <c r="ASS44" s="207"/>
      <c r="AST44" s="207"/>
      <c r="ASU44" s="207"/>
      <c r="ASV44" s="207"/>
      <c r="ASW44" s="207"/>
      <c r="ASX44" s="207"/>
      <c r="ASY44" s="207"/>
      <c r="ASZ44" s="207"/>
      <c r="ATA44" s="207"/>
      <c r="ATB44" s="207"/>
      <c r="ATC44" s="207"/>
      <c r="ATD44" s="207"/>
      <c r="ATE44" s="207"/>
      <c r="ATF44" s="207"/>
      <c r="ATG44" s="207"/>
      <c r="ATH44" s="207"/>
      <c r="ATI44" s="207"/>
      <c r="ATJ44" s="207"/>
      <c r="ATK44" s="207"/>
      <c r="ATL44" s="207"/>
      <c r="ATM44" s="207"/>
      <c r="ATN44" s="207"/>
      <c r="ATO44" s="207"/>
      <c r="ATP44" s="207"/>
      <c r="ATQ44" s="207"/>
      <c r="ATR44" s="207"/>
      <c r="ATS44" s="207"/>
      <c r="ATT44" s="207"/>
      <c r="ATU44" s="207"/>
      <c r="ATV44" s="207"/>
      <c r="ATW44" s="207"/>
      <c r="ATX44" s="207"/>
      <c r="ATY44" s="207"/>
      <c r="ATZ44" s="207"/>
      <c r="AUA44" s="207"/>
      <c r="AUB44" s="207"/>
      <c r="AUC44" s="207"/>
      <c r="AUD44" s="207"/>
      <c r="AUE44" s="207"/>
      <c r="AUF44" s="207"/>
      <c r="AUG44" s="207"/>
      <c r="AUH44" s="207"/>
      <c r="AUI44" s="207"/>
      <c r="AUJ44" s="207"/>
      <c r="AUK44" s="207"/>
      <c r="AUL44" s="207"/>
      <c r="AUM44" s="207"/>
      <c r="AUN44" s="207"/>
      <c r="AUO44" s="207"/>
      <c r="AUP44" s="207"/>
      <c r="AUQ44" s="207"/>
      <c r="AUR44" s="207"/>
      <c r="AUS44" s="207"/>
      <c r="AUT44" s="207"/>
      <c r="AUU44" s="207"/>
      <c r="AUV44" s="207"/>
      <c r="AUW44" s="207"/>
      <c r="AUX44" s="207"/>
      <c r="AUY44" s="207"/>
      <c r="AUZ44" s="207"/>
      <c r="AVA44" s="207"/>
      <c r="AVB44" s="207"/>
      <c r="AVC44" s="207"/>
      <c r="AVD44" s="207"/>
      <c r="AVE44" s="207"/>
      <c r="AVF44" s="207"/>
      <c r="AVG44" s="207"/>
      <c r="AVH44" s="207"/>
      <c r="AVI44" s="207"/>
      <c r="AVJ44" s="207"/>
      <c r="AVK44" s="207"/>
      <c r="AVL44" s="207"/>
      <c r="AVM44" s="207"/>
      <c r="AVN44" s="207"/>
      <c r="AVO44" s="207"/>
      <c r="AVP44" s="207"/>
      <c r="AVQ44" s="207"/>
      <c r="AVR44" s="207"/>
      <c r="AVS44" s="207"/>
      <c r="AVT44" s="207"/>
      <c r="AVU44" s="207"/>
      <c r="AVV44" s="207"/>
      <c r="AVW44" s="207"/>
      <c r="AVX44" s="207"/>
      <c r="AVY44" s="207"/>
      <c r="AVZ44" s="207"/>
      <c r="AWA44" s="207"/>
      <c r="AWB44" s="207"/>
      <c r="AWC44" s="207"/>
      <c r="AWD44" s="207"/>
      <c r="AWE44" s="207"/>
      <c r="AWF44" s="207"/>
      <c r="AWG44" s="207"/>
      <c r="AWH44" s="207"/>
      <c r="AWI44" s="207"/>
      <c r="AWJ44" s="207"/>
      <c r="AWK44" s="207"/>
      <c r="AWL44" s="207"/>
      <c r="AWM44" s="207"/>
      <c r="AWN44" s="207"/>
      <c r="AWO44" s="207"/>
      <c r="AWP44" s="207"/>
      <c r="AWQ44" s="207"/>
      <c r="AWR44" s="207"/>
      <c r="AWS44" s="207"/>
      <c r="AWT44" s="207"/>
      <c r="AWU44" s="207"/>
      <c r="AWV44" s="207"/>
      <c r="AWW44" s="207"/>
      <c r="AWX44" s="207"/>
      <c r="AWY44" s="207"/>
      <c r="AWZ44" s="207"/>
      <c r="AXA44" s="207"/>
      <c r="AXB44" s="207"/>
      <c r="AXC44" s="207"/>
      <c r="AXD44" s="207"/>
      <c r="AXE44" s="207"/>
      <c r="AXF44" s="207"/>
      <c r="AXG44" s="207"/>
      <c r="AXH44" s="207"/>
      <c r="AXI44" s="207"/>
      <c r="AXJ44" s="207"/>
      <c r="AXK44" s="207"/>
      <c r="AXL44" s="207"/>
      <c r="AXM44" s="207"/>
      <c r="AXN44" s="207"/>
      <c r="AXO44" s="207"/>
      <c r="AXP44" s="207"/>
      <c r="AXQ44" s="207"/>
      <c r="AXR44" s="207"/>
      <c r="AXS44" s="207"/>
      <c r="AXT44" s="207"/>
      <c r="AXU44" s="207"/>
      <c r="AXV44" s="207"/>
      <c r="AXW44" s="207"/>
      <c r="AXX44" s="207"/>
      <c r="AXY44" s="207"/>
      <c r="AXZ44" s="207"/>
      <c r="AYA44" s="207"/>
      <c r="AYB44" s="207"/>
      <c r="AYC44" s="207"/>
      <c r="AYD44" s="207"/>
      <c r="AYE44" s="207"/>
      <c r="AYF44" s="207"/>
      <c r="AYG44" s="207"/>
      <c r="AYH44" s="207"/>
      <c r="AYI44" s="207"/>
      <c r="AYJ44" s="207"/>
      <c r="AYK44" s="207"/>
      <c r="AYL44" s="207"/>
      <c r="AYM44" s="207"/>
      <c r="AYN44" s="207"/>
      <c r="AYO44" s="207"/>
      <c r="AYP44" s="207"/>
      <c r="AYQ44" s="207"/>
      <c r="AYR44" s="207"/>
      <c r="AYS44" s="207"/>
      <c r="AYT44" s="207"/>
      <c r="AYU44" s="207"/>
      <c r="AYV44" s="207"/>
      <c r="AYW44" s="207"/>
      <c r="AYX44" s="207"/>
      <c r="AYY44" s="207"/>
      <c r="AYZ44" s="207"/>
      <c r="AZA44" s="207"/>
      <c r="AZB44" s="207"/>
      <c r="AZC44" s="207"/>
      <c r="AZD44" s="207"/>
      <c r="AZE44" s="207"/>
      <c r="AZF44" s="207"/>
      <c r="AZG44" s="207"/>
      <c r="AZH44" s="207"/>
      <c r="AZI44" s="207"/>
      <c r="AZJ44" s="207"/>
      <c r="AZK44" s="207"/>
      <c r="AZL44" s="207"/>
      <c r="AZM44" s="207"/>
      <c r="AZN44" s="207"/>
      <c r="AZO44" s="207"/>
      <c r="AZP44" s="207"/>
      <c r="AZQ44" s="207"/>
      <c r="AZR44" s="207"/>
      <c r="AZS44" s="207"/>
      <c r="AZT44" s="207"/>
      <c r="AZU44" s="207"/>
      <c r="AZV44" s="207"/>
      <c r="AZW44" s="207"/>
      <c r="AZX44" s="207"/>
      <c r="AZY44" s="207"/>
      <c r="AZZ44" s="207"/>
      <c r="BAA44" s="207"/>
      <c r="BAB44" s="207"/>
      <c r="BAC44" s="207"/>
      <c r="BAD44" s="207"/>
      <c r="BAE44" s="207"/>
      <c r="BAF44" s="207"/>
      <c r="BAG44" s="207"/>
      <c r="BAH44" s="207"/>
      <c r="BAI44" s="207"/>
      <c r="BAJ44" s="207"/>
      <c r="BAK44" s="207"/>
      <c r="BAL44" s="207"/>
      <c r="BAM44" s="207"/>
      <c r="BAN44" s="207"/>
      <c r="BAO44" s="207"/>
      <c r="BAP44" s="207"/>
      <c r="BAQ44" s="207"/>
      <c r="BAR44" s="207"/>
      <c r="BAS44" s="207"/>
      <c r="BAT44" s="207"/>
      <c r="BAU44" s="207"/>
      <c r="BAV44" s="207"/>
      <c r="BAW44" s="207"/>
      <c r="BAX44" s="207"/>
      <c r="BAY44" s="207"/>
      <c r="BAZ44" s="207"/>
      <c r="BBA44" s="207"/>
      <c r="BBB44" s="207"/>
      <c r="BBC44" s="207"/>
      <c r="BBD44" s="207"/>
      <c r="BBE44" s="207"/>
      <c r="BBF44" s="207"/>
      <c r="BBG44" s="207"/>
      <c r="BBH44" s="207"/>
      <c r="BBI44" s="207"/>
      <c r="BBJ44" s="207"/>
      <c r="BBK44" s="207"/>
      <c r="BBL44" s="207"/>
      <c r="BBM44" s="207"/>
      <c r="BBN44" s="207"/>
      <c r="BBO44" s="207"/>
      <c r="BBP44" s="207"/>
      <c r="BBQ44" s="207"/>
      <c r="BBR44" s="207"/>
      <c r="BBS44" s="207"/>
      <c r="BBT44" s="207"/>
      <c r="BBU44" s="207"/>
      <c r="BBV44" s="207"/>
      <c r="BBW44" s="207"/>
      <c r="BBX44" s="207"/>
      <c r="BBY44" s="207"/>
      <c r="BBZ44" s="207"/>
      <c r="BCA44" s="207"/>
      <c r="BCB44" s="207"/>
      <c r="BCC44" s="207"/>
      <c r="BCD44" s="207"/>
      <c r="BCE44" s="207"/>
      <c r="BCF44" s="207"/>
      <c r="BCG44" s="207"/>
      <c r="BCH44" s="207"/>
      <c r="BCI44" s="207"/>
      <c r="BCJ44" s="207"/>
      <c r="BCK44" s="207"/>
      <c r="BCL44" s="207"/>
      <c r="BCM44" s="207"/>
      <c r="BCN44" s="207"/>
      <c r="BCO44" s="207"/>
      <c r="BCP44" s="207"/>
      <c r="BCQ44" s="207"/>
      <c r="BCR44" s="207"/>
      <c r="BCS44" s="207"/>
      <c r="BCT44" s="207"/>
      <c r="BCU44" s="207"/>
      <c r="BCV44" s="207"/>
      <c r="BCW44" s="207"/>
      <c r="BCX44" s="207"/>
      <c r="BCY44" s="207"/>
      <c r="BCZ44" s="207"/>
      <c r="BDA44" s="207"/>
      <c r="BDB44" s="207"/>
      <c r="BDC44" s="207"/>
      <c r="BDD44" s="207"/>
      <c r="BDE44" s="207"/>
      <c r="BDF44" s="207"/>
      <c r="BDG44" s="207"/>
      <c r="BDH44" s="207"/>
      <c r="BDI44" s="207"/>
      <c r="BDJ44" s="207"/>
      <c r="BDK44" s="207"/>
      <c r="BDL44" s="207"/>
      <c r="BDM44" s="207"/>
      <c r="BDN44" s="207"/>
      <c r="BDO44" s="207"/>
      <c r="BDP44" s="207"/>
      <c r="BDQ44" s="207"/>
      <c r="BDR44" s="207"/>
      <c r="BDS44" s="207"/>
      <c r="BDT44" s="207"/>
      <c r="BDU44" s="207"/>
      <c r="BDV44" s="207"/>
      <c r="BDW44" s="207"/>
      <c r="BDX44" s="207"/>
      <c r="BDY44" s="207"/>
      <c r="BDZ44" s="207"/>
      <c r="BEA44" s="207"/>
      <c r="BEB44" s="207"/>
      <c r="BEC44" s="207"/>
      <c r="BED44" s="207"/>
      <c r="BEE44" s="207"/>
      <c r="BEF44" s="207"/>
      <c r="BEG44" s="207"/>
      <c r="BEH44" s="207"/>
      <c r="BEI44" s="207"/>
      <c r="BEJ44" s="207"/>
      <c r="BEK44" s="207"/>
      <c r="BEL44" s="207"/>
      <c r="BEM44" s="207"/>
      <c r="BEN44" s="207"/>
      <c r="BEO44" s="207"/>
      <c r="BEP44" s="207"/>
      <c r="BEQ44" s="207"/>
      <c r="BER44" s="207"/>
      <c r="BES44" s="207"/>
      <c r="BET44" s="207"/>
      <c r="BEU44" s="207"/>
      <c r="BEV44" s="207"/>
      <c r="BEW44" s="207"/>
      <c r="BEX44" s="207"/>
      <c r="BEY44" s="207"/>
      <c r="BEZ44" s="207"/>
      <c r="BFA44" s="207"/>
      <c r="BFB44" s="207"/>
      <c r="BFC44" s="207"/>
      <c r="BFD44" s="207"/>
      <c r="BFE44" s="207"/>
      <c r="BFF44" s="207"/>
      <c r="BFG44" s="207"/>
      <c r="BFH44" s="207"/>
      <c r="BFI44" s="207"/>
      <c r="BFJ44" s="207"/>
      <c r="BFK44" s="207"/>
      <c r="BFL44" s="207"/>
      <c r="BFM44" s="207"/>
      <c r="BFN44" s="207"/>
      <c r="BFO44" s="207"/>
      <c r="BFP44" s="207"/>
      <c r="BFQ44" s="207"/>
      <c r="BFR44" s="207"/>
      <c r="BFS44" s="207"/>
      <c r="BFT44" s="207"/>
      <c r="BFU44" s="207"/>
      <c r="BFV44" s="207"/>
      <c r="BFW44" s="207"/>
      <c r="BFX44" s="207"/>
      <c r="BFY44" s="207"/>
      <c r="BFZ44" s="207"/>
      <c r="BGA44" s="207"/>
      <c r="BGB44" s="207"/>
      <c r="BGC44" s="207"/>
      <c r="BGD44" s="207"/>
      <c r="BGE44" s="207"/>
      <c r="BGF44" s="207"/>
      <c r="BGG44" s="207"/>
      <c r="BGH44" s="207"/>
      <c r="BGI44" s="207"/>
      <c r="BGJ44" s="207"/>
      <c r="BGK44" s="207"/>
      <c r="BGL44" s="207"/>
      <c r="BGM44" s="207"/>
      <c r="BGN44" s="207"/>
      <c r="BGO44" s="207"/>
      <c r="BGP44" s="207"/>
      <c r="BGQ44" s="207"/>
      <c r="BGR44" s="207"/>
      <c r="BGS44" s="207"/>
      <c r="BGT44" s="207"/>
      <c r="BGU44" s="207"/>
      <c r="BGV44" s="207"/>
      <c r="BGW44" s="207"/>
      <c r="BGX44" s="207"/>
      <c r="BGY44" s="207"/>
      <c r="BGZ44" s="207"/>
      <c r="BHA44" s="207"/>
      <c r="BHB44" s="207"/>
      <c r="BHC44" s="207"/>
      <c r="BHD44" s="207"/>
      <c r="BHE44" s="207"/>
      <c r="BHF44" s="207"/>
      <c r="BHG44" s="207"/>
      <c r="BHH44" s="207"/>
      <c r="BHI44" s="207"/>
      <c r="BHJ44" s="207"/>
      <c r="BHK44" s="207"/>
      <c r="BHL44" s="207"/>
      <c r="BHM44" s="207"/>
      <c r="BHN44" s="207"/>
      <c r="BHO44" s="207"/>
      <c r="BHP44" s="207"/>
      <c r="BHQ44" s="207"/>
      <c r="BHR44" s="207"/>
      <c r="BHS44" s="207"/>
      <c r="BHT44" s="207"/>
      <c r="BHU44" s="207"/>
      <c r="BHV44" s="207"/>
      <c r="BHW44" s="207"/>
      <c r="BHX44" s="207"/>
      <c r="BHY44" s="207"/>
      <c r="BHZ44" s="207"/>
      <c r="BIA44" s="207"/>
      <c r="BIB44" s="207"/>
      <c r="BIC44" s="207"/>
      <c r="BID44" s="207"/>
      <c r="BIE44" s="207"/>
      <c r="BIF44" s="207"/>
      <c r="BIG44" s="207"/>
      <c r="BIH44" s="207"/>
      <c r="BII44" s="207"/>
      <c r="BIJ44" s="207"/>
      <c r="BIK44" s="207"/>
      <c r="BIL44" s="207"/>
      <c r="BIM44" s="207"/>
      <c r="BIN44" s="207"/>
      <c r="BIO44" s="207"/>
      <c r="BIP44" s="207"/>
      <c r="BIQ44" s="207"/>
      <c r="BIR44" s="207"/>
      <c r="BIS44" s="207"/>
      <c r="BIT44" s="207"/>
      <c r="BIU44" s="207"/>
      <c r="BIV44" s="207"/>
      <c r="BIW44" s="207"/>
      <c r="BIX44" s="207"/>
      <c r="BIY44" s="207"/>
      <c r="BIZ44" s="207"/>
      <c r="BJA44" s="207"/>
      <c r="BJB44" s="207"/>
      <c r="BJC44" s="207"/>
      <c r="BJD44" s="207"/>
      <c r="BJE44" s="207"/>
      <c r="BJF44" s="207"/>
      <c r="BJG44" s="207"/>
      <c r="BJH44" s="207"/>
      <c r="BJI44" s="207"/>
      <c r="BJJ44" s="207"/>
      <c r="BJK44" s="207"/>
      <c r="BJL44" s="207"/>
      <c r="BJM44" s="207"/>
      <c r="BJN44" s="207"/>
      <c r="BJO44" s="207"/>
      <c r="BJP44" s="207"/>
      <c r="BJQ44" s="207"/>
      <c r="BJR44" s="207"/>
      <c r="BJS44" s="207"/>
      <c r="BJT44" s="207"/>
      <c r="BJU44" s="207"/>
      <c r="BJV44" s="207"/>
      <c r="BJW44" s="207"/>
      <c r="BJX44" s="207"/>
      <c r="BJY44" s="207"/>
      <c r="BJZ44" s="207"/>
      <c r="BKA44" s="207"/>
      <c r="BKB44" s="207"/>
      <c r="BKC44" s="207"/>
      <c r="BKD44" s="207"/>
      <c r="BKE44" s="207"/>
      <c r="BKF44" s="207"/>
      <c r="BKG44" s="207"/>
      <c r="BKH44" s="207"/>
      <c r="BKI44" s="207"/>
      <c r="BKJ44" s="207"/>
      <c r="BKK44" s="207"/>
      <c r="BKL44" s="207"/>
      <c r="BKM44" s="207"/>
      <c r="BKN44" s="207"/>
      <c r="BKO44" s="207"/>
      <c r="BKP44" s="207"/>
      <c r="BKQ44" s="207"/>
      <c r="BKR44" s="207"/>
      <c r="BKS44" s="207"/>
      <c r="BKT44" s="207"/>
      <c r="BKU44" s="207"/>
      <c r="BKV44" s="207"/>
      <c r="BKW44" s="207"/>
      <c r="BKX44" s="207"/>
      <c r="BKY44" s="207"/>
      <c r="BKZ44" s="207"/>
      <c r="BLA44" s="207"/>
      <c r="BLB44" s="207"/>
      <c r="BLC44" s="207"/>
      <c r="BLD44" s="207"/>
      <c r="BLE44" s="207"/>
      <c r="BLF44" s="207"/>
      <c r="BLG44" s="207"/>
      <c r="BLH44" s="207"/>
      <c r="BLI44" s="207"/>
      <c r="BLJ44" s="207"/>
      <c r="BLK44" s="207"/>
      <c r="BLL44" s="207"/>
      <c r="BLM44" s="207"/>
      <c r="BLN44" s="207"/>
      <c r="BLO44" s="207"/>
      <c r="BLP44" s="207"/>
      <c r="BLQ44" s="207"/>
      <c r="BLR44" s="207"/>
      <c r="BLS44" s="207"/>
      <c r="BLT44" s="207"/>
      <c r="BLU44" s="207"/>
      <c r="BLV44" s="207"/>
      <c r="BLW44" s="207"/>
      <c r="BLX44" s="207"/>
      <c r="BLY44" s="207"/>
      <c r="BLZ44" s="207"/>
      <c r="BMA44" s="207"/>
      <c r="BMB44" s="207"/>
      <c r="BMC44" s="207"/>
      <c r="BMD44" s="207"/>
      <c r="BME44" s="207"/>
      <c r="BMF44" s="207"/>
      <c r="BMG44" s="207"/>
      <c r="BMH44" s="207"/>
      <c r="BMI44" s="207"/>
      <c r="BMJ44" s="207"/>
      <c r="BMK44" s="207"/>
      <c r="BML44" s="207"/>
      <c r="BMM44" s="207"/>
      <c r="BMN44" s="207"/>
      <c r="BMO44" s="207"/>
      <c r="BMP44" s="207"/>
      <c r="BMQ44" s="207"/>
      <c r="BMR44" s="207"/>
      <c r="BMS44" s="207"/>
      <c r="BMT44" s="207"/>
      <c r="BMU44" s="207"/>
      <c r="BMV44" s="207"/>
      <c r="BMW44" s="207"/>
      <c r="BMX44" s="207"/>
      <c r="BMY44" s="207"/>
      <c r="BMZ44" s="207"/>
      <c r="BNA44" s="207"/>
      <c r="BNB44" s="207"/>
      <c r="BNC44" s="207"/>
      <c r="BND44" s="207"/>
      <c r="BNE44" s="207"/>
      <c r="BNF44" s="207"/>
      <c r="BNG44" s="207"/>
      <c r="BNH44" s="207"/>
      <c r="BNI44" s="207"/>
      <c r="BNJ44" s="207"/>
      <c r="BNK44" s="207"/>
      <c r="BNL44" s="207"/>
      <c r="BNM44" s="207"/>
      <c r="BNN44" s="207"/>
      <c r="BNO44" s="207"/>
      <c r="BNP44" s="207"/>
      <c r="BNQ44" s="207"/>
      <c r="BNR44" s="207"/>
      <c r="BNS44" s="207"/>
      <c r="BNT44" s="207"/>
      <c r="BNU44" s="207"/>
      <c r="BNV44" s="207"/>
      <c r="BNW44" s="207"/>
      <c r="BNX44" s="207"/>
      <c r="BNY44" s="207"/>
      <c r="BNZ44" s="207"/>
      <c r="BOA44" s="207"/>
      <c r="BOB44" s="207"/>
      <c r="BOC44" s="207"/>
      <c r="BOD44" s="207"/>
      <c r="BOE44" s="207"/>
      <c r="BOF44" s="207"/>
      <c r="BOG44" s="207"/>
      <c r="BOH44" s="207"/>
      <c r="BOI44" s="207"/>
      <c r="BOJ44" s="207"/>
      <c r="BOK44" s="207"/>
      <c r="BOL44" s="207"/>
      <c r="BOM44" s="207"/>
      <c r="BON44" s="207"/>
      <c r="BOO44" s="207"/>
      <c r="BOP44" s="207"/>
      <c r="BOQ44" s="207"/>
      <c r="BOR44" s="207"/>
      <c r="BOS44" s="207"/>
      <c r="BOT44" s="207"/>
      <c r="BOU44" s="207"/>
      <c r="BOV44" s="207"/>
      <c r="BOW44" s="207"/>
      <c r="BOX44" s="207"/>
      <c r="BOY44" s="207"/>
      <c r="BOZ44" s="207"/>
      <c r="BPA44" s="207"/>
      <c r="BPB44" s="207"/>
      <c r="BPC44" s="207"/>
      <c r="BPD44" s="207"/>
      <c r="BPE44" s="207"/>
      <c r="BPF44" s="207"/>
      <c r="BPG44" s="207"/>
      <c r="BPH44" s="207"/>
      <c r="BPI44" s="207"/>
      <c r="BPJ44" s="207"/>
      <c r="BPK44" s="207"/>
      <c r="BPL44" s="207"/>
      <c r="BPM44" s="207"/>
      <c r="BPN44" s="207"/>
      <c r="BPO44" s="207"/>
      <c r="BPP44" s="207"/>
      <c r="BPQ44" s="207"/>
      <c r="BPR44" s="207"/>
      <c r="BPS44" s="207"/>
      <c r="BPT44" s="207"/>
      <c r="BPU44" s="207"/>
      <c r="BPV44" s="207"/>
      <c r="BPW44" s="207"/>
      <c r="BPX44" s="207"/>
      <c r="BPY44" s="207"/>
      <c r="BPZ44" s="207"/>
      <c r="BQA44" s="207"/>
      <c r="BQB44" s="207"/>
      <c r="BQC44" s="207"/>
      <c r="BQD44" s="207"/>
      <c r="BQE44" s="207"/>
      <c r="BQF44" s="207"/>
      <c r="BQG44" s="207"/>
      <c r="BQH44" s="207"/>
      <c r="BQI44" s="207"/>
      <c r="BQJ44" s="207"/>
      <c r="BQK44" s="207"/>
      <c r="BQL44" s="207"/>
      <c r="BQM44" s="207"/>
      <c r="BQN44" s="207"/>
      <c r="BQO44" s="207"/>
      <c r="BQP44" s="207"/>
      <c r="BQQ44" s="207"/>
      <c r="BQR44" s="207"/>
      <c r="BQS44" s="207"/>
      <c r="BQT44" s="207"/>
      <c r="BQU44" s="207"/>
      <c r="BQV44" s="207"/>
      <c r="BQW44" s="207"/>
      <c r="BQX44" s="207"/>
      <c r="BQY44" s="207"/>
      <c r="BQZ44" s="207"/>
      <c r="BRA44" s="207"/>
      <c r="BRB44" s="207"/>
      <c r="BRC44" s="207"/>
      <c r="BRD44" s="207"/>
      <c r="BRE44" s="207"/>
      <c r="BRF44" s="207"/>
      <c r="BRG44" s="207"/>
      <c r="BRH44" s="207"/>
      <c r="BRI44" s="207"/>
      <c r="BRJ44" s="207"/>
      <c r="BRK44" s="207"/>
      <c r="BRL44" s="207"/>
      <c r="BRM44" s="207"/>
      <c r="BRN44" s="207"/>
      <c r="BRO44" s="207"/>
      <c r="BRP44" s="207"/>
      <c r="BRQ44" s="207"/>
      <c r="BRR44" s="207"/>
      <c r="BRS44" s="207"/>
      <c r="BRT44" s="207"/>
      <c r="BRU44" s="207"/>
      <c r="BRV44" s="207"/>
      <c r="BRW44" s="207"/>
      <c r="BRX44" s="207"/>
      <c r="BRY44" s="207"/>
      <c r="BRZ44" s="207"/>
      <c r="BSA44" s="207"/>
      <c r="BSB44" s="207"/>
      <c r="BSC44" s="207"/>
      <c r="BSD44" s="207"/>
      <c r="BSE44" s="207"/>
      <c r="BSF44" s="207"/>
      <c r="BSG44" s="207"/>
      <c r="BSH44" s="207"/>
      <c r="BSI44" s="207"/>
      <c r="BSJ44" s="207"/>
      <c r="BSK44" s="207"/>
      <c r="BSL44" s="207"/>
      <c r="BSM44" s="207"/>
      <c r="BSN44" s="207"/>
      <c r="BSO44" s="207"/>
      <c r="BSP44" s="207"/>
      <c r="BSQ44" s="207"/>
      <c r="BSR44" s="207"/>
      <c r="BSS44" s="207"/>
      <c r="BST44" s="207"/>
      <c r="BSU44" s="207"/>
      <c r="BSV44" s="207"/>
      <c r="BSW44" s="207"/>
      <c r="BSX44" s="207"/>
      <c r="BSY44" s="207"/>
      <c r="BSZ44" s="207"/>
      <c r="BTA44" s="207"/>
      <c r="BTB44" s="207"/>
      <c r="BTC44" s="207"/>
      <c r="BTD44" s="207"/>
      <c r="BTE44" s="207"/>
      <c r="BTF44" s="207"/>
      <c r="BTG44" s="207"/>
      <c r="BTH44" s="207"/>
      <c r="BTI44" s="207"/>
      <c r="BTJ44" s="207"/>
      <c r="BTK44" s="207"/>
      <c r="BTL44" s="207"/>
      <c r="BTM44" s="207"/>
      <c r="BTN44" s="207"/>
      <c r="BTO44" s="207"/>
      <c r="BTP44" s="207"/>
      <c r="BTQ44" s="207"/>
      <c r="BTR44" s="207"/>
      <c r="BTS44" s="207"/>
      <c r="BTT44" s="207"/>
      <c r="BTU44" s="207"/>
      <c r="BTV44" s="207"/>
      <c r="BTW44" s="207"/>
      <c r="BTX44" s="207"/>
      <c r="BTY44" s="207"/>
      <c r="BTZ44" s="207"/>
      <c r="BUA44" s="207"/>
      <c r="BUB44" s="207"/>
      <c r="BUC44" s="207"/>
      <c r="BUD44" s="207"/>
      <c r="BUE44" s="207"/>
      <c r="BUF44" s="207"/>
      <c r="BUG44" s="207"/>
      <c r="BUH44" s="207"/>
      <c r="BUI44" s="207"/>
      <c r="BUJ44" s="207"/>
      <c r="BUK44" s="207"/>
      <c r="BUL44" s="207"/>
      <c r="BUM44" s="207"/>
      <c r="BUN44" s="207"/>
      <c r="BUO44" s="207"/>
      <c r="BUP44" s="207"/>
      <c r="BUQ44" s="207"/>
      <c r="BUR44" s="207"/>
      <c r="BUS44" s="207"/>
      <c r="BUT44" s="207"/>
      <c r="BUU44" s="207"/>
      <c r="BUV44" s="207"/>
      <c r="BUW44" s="207"/>
      <c r="BUX44" s="207"/>
      <c r="BUY44" s="207"/>
      <c r="BUZ44" s="207"/>
      <c r="BVA44" s="207"/>
      <c r="BVB44" s="207"/>
      <c r="BVC44" s="207"/>
      <c r="BVD44" s="207"/>
      <c r="BVE44" s="207"/>
      <c r="BVF44" s="207"/>
      <c r="BVG44" s="207"/>
      <c r="BVH44" s="207"/>
      <c r="BVI44" s="207"/>
      <c r="BVJ44" s="207"/>
      <c r="BVK44" s="207"/>
      <c r="BVL44" s="207"/>
      <c r="BVM44" s="207"/>
      <c r="BVN44" s="207"/>
      <c r="BVO44" s="207"/>
      <c r="BVP44" s="207"/>
      <c r="BVQ44" s="207"/>
      <c r="BVR44" s="207"/>
      <c r="BVS44" s="207"/>
      <c r="BVT44" s="207"/>
      <c r="BVU44" s="207"/>
      <c r="BVV44" s="207"/>
      <c r="BVW44" s="207"/>
      <c r="BVX44" s="207"/>
      <c r="BVY44" s="207"/>
      <c r="BVZ44" s="207"/>
      <c r="BWA44" s="207"/>
      <c r="BWB44" s="207"/>
      <c r="BWC44" s="207"/>
      <c r="BWD44" s="207"/>
      <c r="BWE44" s="207"/>
      <c r="BWF44" s="207"/>
      <c r="BWG44" s="207"/>
      <c r="BWH44" s="207"/>
      <c r="BWI44" s="207"/>
      <c r="BWJ44" s="207"/>
      <c r="BWK44" s="207"/>
      <c r="BWL44" s="207"/>
      <c r="BWM44" s="207"/>
      <c r="BWN44" s="207"/>
      <c r="BWO44" s="207"/>
      <c r="BWP44" s="207"/>
      <c r="BWQ44" s="207"/>
      <c r="BWR44" s="207"/>
      <c r="BWS44" s="207"/>
      <c r="BWT44" s="207"/>
      <c r="BWU44" s="207"/>
      <c r="BWV44" s="207"/>
      <c r="BWW44" s="207"/>
      <c r="BWX44" s="207"/>
      <c r="BWY44" s="207"/>
      <c r="BWZ44" s="207"/>
      <c r="BXA44" s="207"/>
      <c r="BXB44" s="207"/>
      <c r="BXC44" s="207"/>
      <c r="BXD44" s="207"/>
      <c r="BXE44" s="207"/>
      <c r="BXF44" s="207"/>
      <c r="BXG44" s="207"/>
      <c r="BXH44" s="207"/>
      <c r="BXI44" s="207"/>
      <c r="BXJ44" s="207"/>
      <c r="BXK44" s="207"/>
      <c r="BXL44" s="207"/>
      <c r="BXM44" s="207"/>
      <c r="BXN44" s="207"/>
      <c r="BXO44" s="207"/>
      <c r="BXP44" s="207"/>
      <c r="BXQ44" s="207"/>
      <c r="BXR44" s="207"/>
      <c r="BXS44" s="207"/>
      <c r="BXT44" s="207"/>
      <c r="BXU44" s="207"/>
      <c r="BXV44" s="207"/>
      <c r="BXW44" s="207"/>
      <c r="BXX44" s="207"/>
      <c r="BXY44" s="207"/>
      <c r="BXZ44" s="207"/>
      <c r="BYA44" s="207"/>
      <c r="BYB44" s="207"/>
      <c r="BYC44" s="207"/>
      <c r="BYD44" s="207"/>
      <c r="BYE44" s="207"/>
      <c r="BYF44" s="207"/>
      <c r="BYG44" s="207"/>
    </row>
    <row r="45" spans="1:2009" s="100" customFormat="1" ht="12.75" customHeight="1" thickBot="1" x14ac:dyDescent="0.3">
      <c r="A45" s="97"/>
      <c r="B45" s="128"/>
      <c r="C45" s="170"/>
      <c r="D45" s="170"/>
      <c r="E45" s="170"/>
      <c r="F45" s="170"/>
      <c r="G45" s="658"/>
      <c r="H45" s="98"/>
      <c r="I45" s="751"/>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273</v>
      </c>
      <c r="B46" s="424"/>
      <c r="C46" s="426"/>
      <c r="D46" s="426"/>
      <c r="E46" s="425"/>
      <c r="F46" s="426"/>
      <c r="G46" s="659"/>
      <c r="H46" s="98"/>
      <c r="I46" s="751"/>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1"/>
      <c r="B47" s="429" t="s">
        <v>423</v>
      </c>
      <c r="C47" s="520"/>
      <c r="D47" s="520"/>
      <c r="E47" s="431"/>
      <c r="F47" s="432"/>
      <c r="G47" s="660">
        <f>ROUND(SUM(C47:F47),5)</f>
        <v>0</v>
      </c>
      <c r="H47" s="98"/>
      <c r="I47" s="751"/>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71"/>
      <c r="B48" s="429" t="s">
        <v>474</v>
      </c>
      <c r="C48" s="520"/>
      <c r="D48" s="520"/>
      <c r="E48" s="454"/>
      <c r="F48" s="520"/>
      <c r="G48" s="660">
        <f>ROUND(SUM(C48:F48),5)</f>
        <v>0</v>
      </c>
      <c r="H48" s="98"/>
      <c r="I48" s="751"/>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1"/>
      <c r="B49" s="429" t="s">
        <v>422</v>
      </c>
      <c r="C49" s="520"/>
      <c r="D49" s="520"/>
      <c r="E49" s="454"/>
      <c r="F49" s="520"/>
      <c r="G49" s="660">
        <f>ROUND(SUM(C49:F49),5)</f>
        <v>0</v>
      </c>
      <c r="H49" s="98"/>
      <c r="I49" s="751"/>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2"/>
      <c r="B50" s="613" t="s">
        <v>503</v>
      </c>
      <c r="C50" s="614">
        <v>10473.75</v>
      </c>
      <c r="D50" s="614">
        <v>8201.5300000000007</v>
      </c>
      <c r="E50" s="455">
        <v>8696.3799999999992</v>
      </c>
      <c r="F50" s="853"/>
      <c r="G50" s="661">
        <f>ROUND(SUM(C50:F50),5)</f>
        <v>27371.66</v>
      </c>
      <c r="H50" s="98"/>
      <c r="I50" s="751"/>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5" customFormat="1" ht="24.95" customHeight="1" thickBot="1" x14ac:dyDescent="0.3">
      <c r="A51" s="224"/>
      <c r="B51" s="430" t="s">
        <v>538</v>
      </c>
      <c r="C51" s="843">
        <f>SUM(C46:C50)</f>
        <v>10473.75</v>
      </c>
      <c r="D51" s="843">
        <f t="shared" ref="D51:E51" si="1">SUM(D46:D50)</f>
        <v>8201.5300000000007</v>
      </c>
      <c r="E51" s="843">
        <f t="shared" si="1"/>
        <v>8696.3799999999992</v>
      </c>
      <c r="F51" s="843"/>
      <c r="G51" s="662">
        <f>ROUND(SUM(C51:F51),5)</f>
        <v>27371.66</v>
      </c>
      <c r="H51" s="196"/>
      <c r="I51" s="552"/>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c r="IV51" s="197"/>
      <c r="IW51" s="197"/>
      <c r="IX51" s="197"/>
      <c r="IY51" s="197"/>
      <c r="IZ51" s="197"/>
      <c r="JA51" s="197"/>
      <c r="JB51" s="197"/>
      <c r="JC51" s="197"/>
      <c r="JD51" s="197"/>
      <c r="JE51" s="197"/>
      <c r="JF51" s="197"/>
      <c r="JG51" s="197"/>
      <c r="JH51" s="197"/>
      <c r="JI51" s="197"/>
      <c r="JJ51" s="197"/>
      <c r="JK51" s="197"/>
      <c r="JL51" s="197"/>
      <c r="JM51" s="197"/>
      <c r="JN51" s="197"/>
      <c r="JO51" s="197"/>
      <c r="JP51" s="197"/>
      <c r="JQ51" s="197"/>
      <c r="JR51" s="197"/>
      <c r="JS51" s="197"/>
      <c r="JT51" s="197"/>
      <c r="JU51" s="197"/>
      <c r="JV51" s="197"/>
      <c r="JW51" s="197"/>
      <c r="JX51" s="197"/>
      <c r="JY51" s="197"/>
      <c r="JZ51" s="197"/>
      <c r="KA51" s="197"/>
      <c r="KB51" s="197"/>
      <c r="KC51" s="197"/>
      <c r="KD51" s="197"/>
      <c r="KE51" s="197"/>
      <c r="KF51" s="197"/>
      <c r="KG51" s="197"/>
      <c r="KH51" s="197"/>
      <c r="KI51" s="197"/>
      <c r="KJ51" s="197"/>
      <c r="KK51" s="197"/>
      <c r="KL51" s="197"/>
      <c r="KM51" s="197"/>
      <c r="KN51" s="197"/>
      <c r="KO51" s="197"/>
      <c r="KP51" s="197"/>
      <c r="KQ51" s="197"/>
      <c r="KR51" s="197"/>
      <c r="KS51" s="197"/>
      <c r="KT51" s="197"/>
      <c r="KU51" s="197"/>
      <c r="KV51" s="197"/>
      <c r="KW51" s="197"/>
      <c r="KX51" s="197"/>
      <c r="KY51" s="197"/>
      <c r="KZ51" s="197"/>
      <c r="LA51" s="197"/>
      <c r="LB51" s="197"/>
      <c r="LC51" s="197"/>
      <c r="LD51" s="197"/>
      <c r="LE51" s="197"/>
      <c r="LF51" s="197"/>
      <c r="LG51" s="197"/>
      <c r="LH51" s="197"/>
      <c r="LI51" s="197"/>
      <c r="LJ51" s="197"/>
      <c r="LK51" s="197"/>
      <c r="LL51" s="197"/>
      <c r="LM51" s="197"/>
      <c r="LN51" s="197"/>
      <c r="LO51" s="197"/>
      <c r="LP51" s="197"/>
      <c r="LQ51" s="197"/>
      <c r="LR51" s="197"/>
      <c r="LS51" s="197"/>
      <c r="LT51" s="197"/>
      <c r="LU51" s="197"/>
      <c r="LV51" s="197"/>
      <c r="LW51" s="197"/>
      <c r="LX51" s="197"/>
      <c r="LY51" s="197"/>
      <c r="LZ51" s="197"/>
      <c r="MA51" s="197"/>
      <c r="MB51" s="197"/>
      <c r="MC51" s="197"/>
      <c r="MD51" s="197"/>
      <c r="ME51" s="197"/>
      <c r="MF51" s="197"/>
      <c r="MG51" s="197"/>
      <c r="MH51" s="197"/>
      <c r="MI51" s="197"/>
      <c r="MJ51" s="197"/>
      <c r="MK51" s="197"/>
      <c r="ML51" s="197"/>
      <c r="MM51" s="197"/>
      <c r="MN51" s="197"/>
      <c r="MO51" s="197"/>
      <c r="MP51" s="197"/>
      <c r="MQ51" s="197"/>
      <c r="MR51" s="197"/>
      <c r="MS51" s="197"/>
      <c r="MT51" s="197"/>
      <c r="MU51" s="197"/>
      <c r="MV51" s="197"/>
      <c r="MW51" s="197"/>
      <c r="MX51" s="197"/>
      <c r="MY51" s="197"/>
      <c r="MZ51" s="197"/>
      <c r="NA51" s="197"/>
      <c r="NB51" s="197"/>
      <c r="NC51" s="197"/>
      <c r="ND51" s="197"/>
      <c r="NE51" s="197"/>
      <c r="NF51" s="197"/>
      <c r="NG51" s="197"/>
      <c r="NH51" s="197"/>
      <c r="NI51" s="197"/>
      <c r="NJ51" s="197"/>
      <c r="NK51" s="197"/>
      <c r="NL51" s="197"/>
      <c r="NM51" s="197"/>
      <c r="NN51" s="197"/>
      <c r="NO51" s="197"/>
      <c r="NP51" s="197"/>
      <c r="NQ51" s="197"/>
      <c r="NR51" s="197"/>
      <c r="NS51" s="197"/>
      <c r="NT51" s="197"/>
      <c r="NU51" s="197"/>
      <c r="NV51" s="197"/>
      <c r="NW51" s="197"/>
      <c r="NX51" s="197"/>
      <c r="NY51" s="197"/>
      <c r="NZ51" s="197"/>
      <c r="OA51" s="197"/>
      <c r="OB51" s="197"/>
      <c r="OC51" s="197"/>
      <c r="OD51" s="197"/>
      <c r="OE51" s="197"/>
      <c r="OF51" s="197"/>
      <c r="OG51" s="197"/>
      <c r="OH51" s="197"/>
      <c r="OI51" s="197"/>
      <c r="OJ51" s="197"/>
      <c r="OK51" s="197"/>
      <c r="OL51" s="197"/>
      <c r="OM51" s="197"/>
      <c r="ON51" s="197"/>
      <c r="OO51" s="197"/>
      <c r="OP51" s="197"/>
      <c r="OQ51" s="197"/>
      <c r="OR51" s="197"/>
      <c r="OS51" s="197"/>
      <c r="OT51" s="197"/>
      <c r="OU51" s="197"/>
      <c r="OV51" s="197"/>
      <c r="OW51" s="197"/>
      <c r="OX51" s="197"/>
      <c r="OY51" s="197"/>
      <c r="OZ51" s="197"/>
      <c r="PA51" s="197"/>
      <c r="PB51" s="197"/>
      <c r="PC51" s="197"/>
      <c r="PD51" s="197"/>
      <c r="PE51" s="197"/>
      <c r="PF51" s="197"/>
      <c r="PG51" s="197"/>
      <c r="PH51" s="197"/>
      <c r="PI51" s="197"/>
      <c r="PJ51" s="197"/>
      <c r="PK51" s="197"/>
      <c r="PL51" s="197"/>
      <c r="PM51" s="197"/>
      <c r="PN51" s="197"/>
      <c r="PO51" s="197"/>
      <c r="PP51" s="197"/>
      <c r="PQ51" s="197"/>
      <c r="PR51" s="197"/>
      <c r="PS51" s="197"/>
      <c r="PT51" s="197"/>
      <c r="PU51" s="197"/>
      <c r="PV51" s="197"/>
      <c r="PW51" s="197"/>
      <c r="PX51" s="197"/>
      <c r="PY51" s="197"/>
      <c r="PZ51" s="197"/>
      <c r="QA51" s="197"/>
      <c r="QB51" s="197"/>
      <c r="QC51" s="197"/>
      <c r="QD51" s="197"/>
      <c r="QE51" s="197"/>
      <c r="QF51" s="197"/>
      <c r="QG51" s="197"/>
      <c r="QH51" s="197"/>
      <c r="QI51" s="197"/>
      <c r="QJ51" s="197"/>
      <c r="QK51" s="197"/>
      <c r="QL51" s="197"/>
      <c r="QM51" s="197"/>
      <c r="QN51" s="197"/>
      <c r="QO51" s="197"/>
      <c r="QP51" s="197"/>
      <c r="QQ51" s="197"/>
      <c r="QR51" s="197"/>
      <c r="QS51" s="197"/>
      <c r="QT51" s="197"/>
      <c r="QU51" s="197"/>
      <c r="QV51" s="197"/>
      <c r="QW51" s="197"/>
      <c r="QX51" s="197"/>
      <c r="QY51" s="197"/>
      <c r="QZ51" s="197"/>
      <c r="RA51" s="197"/>
      <c r="RB51" s="197"/>
      <c r="RC51" s="197"/>
      <c r="RD51" s="197"/>
      <c r="RE51" s="197"/>
      <c r="RF51" s="197"/>
      <c r="RG51" s="197"/>
      <c r="RH51" s="197"/>
      <c r="RI51" s="197"/>
      <c r="RJ51" s="197"/>
      <c r="RK51" s="197"/>
      <c r="RL51" s="197"/>
      <c r="RM51" s="197"/>
      <c r="RN51" s="197"/>
      <c r="RO51" s="197"/>
      <c r="RP51" s="197"/>
      <c r="RQ51" s="197"/>
      <c r="RR51" s="197"/>
      <c r="RS51" s="197"/>
      <c r="RT51" s="197"/>
      <c r="RU51" s="197"/>
      <c r="RV51" s="197"/>
      <c r="RW51" s="197"/>
      <c r="RX51" s="197"/>
      <c r="RY51" s="197"/>
      <c r="RZ51" s="197"/>
      <c r="SA51" s="197"/>
      <c r="SB51" s="197"/>
      <c r="SC51" s="197"/>
      <c r="SD51" s="197"/>
      <c r="SE51" s="197"/>
      <c r="SF51" s="197"/>
      <c r="SG51" s="197"/>
      <c r="SH51" s="197"/>
      <c r="SI51" s="197"/>
      <c r="SJ51" s="197"/>
      <c r="SK51" s="197"/>
      <c r="SL51" s="197"/>
      <c r="SM51" s="197"/>
      <c r="SN51" s="197"/>
      <c r="SO51" s="197"/>
      <c r="SP51" s="197"/>
      <c r="SQ51" s="197"/>
      <c r="SR51" s="197"/>
      <c r="SS51" s="197"/>
      <c r="ST51" s="197"/>
      <c r="SU51" s="197"/>
      <c r="SV51" s="197"/>
      <c r="SW51" s="197"/>
      <c r="SX51" s="197"/>
      <c r="SY51" s="197"/>
      <c r="SZ51" s="197"/>
      <c r="TA51" s="197"/>
      <c r="TB51" s="197"/>
      <c r="TC51" s="197"/>
      <c r="TD51" s="197"/>
      <c r="TE51" s="197"/>
      <c r="TF51" s="197"/>
      <c r="TG51" s="197"/>
      <c r="TH51" s="197"/>
      <c r="TI51" s="197"/>
      <c r="TJ51" s="197"/>
      <c r="TK51" s="197"/>
      <c r="TL51" s="197"/>
      <c r="TM51" s="197"/>
      <c r="TN51" s="197"/>
      <c r="TO51" s="197"/>
      <c r="TP51" s="197"/>
      <c r="TQ51" s="197"/>
      <c r="TR51" s="197"/>
      <c r="TS51" s="197"/>
      <c r="TT51" s="197"/>
      <c r="TU51" s="197"/>
      <c r="TV51" s="197"/>
      <c r="TW51" s="197"/>
      <c r="TX51" s="197"/>
      <c r="TY51" s="197"/>
      <c r="TZ51" s="197"/>
      <c r="UA51" s="197"/>
      <c r="UB51" s="197"/>
      <c r="UC51" s="197"/>
      <c r="UD51" s="197"/>
      <c r="UE51" s="197"/>
      <c r="UF51" s="197"/>
      <c r="UG51" s="197"/>
      <c r="UH51" s="197"/>
      <c r="UI51" s="197"/>
      <c r="UJ51" s="197"/>
      <c r="UK51" s="197"/>
      <c r="UL51" s="197"/>
      <c r="UM51" s="197"/>
      <c r="UN51" s="197"/>
      <c r="UO51" s="197"/>
      <c r="UP51" s="197"/>
      <c r="UQ51" s="197"/>
      <c r="UR51" s="197"/>
      <c r="US51" s="197"/>
      <c r="UT51" s="197"/>
      <c r="UU51" s="197"/>
      <c r="UV51" s="197"/>
      <c r="UW51" s="197"/>
      <c r="UX51" s="197"/>
      <c r="UY51" s="197"/>
      <c r="UZ51" s="197"/>
      <c r="VA51" s="197"/>
      <c r="VB51" s="197"/>
      <c r="VC51" s="197"/>
      <c r="VD51" s="197"/>
      <c r="VE51" s="197"/>
      <c r="VF51" s="197"/>
      <c r="VG51" s="197"/>
      <c r="VH51" s="197"/>
      <c r="VI51" s="197"/>
      <c r="VJ51" s="197"/>
      <c r="VK51" s="197"/>
      <c r="VL51" s="197"/>
      <c r="VM51" s="197"/>
      <c r="VN51" s="197"/>
      <c r="VO51" s="197"/>
      <c r="VP51" s="197"/>
      <c r="VQ51" s="197"/>
      <c r="VR51" s="197"/>
      <c r="VS51" s="197"/>
      <c r="VT51" s="197"/>
      <c r="VU51" s="197"/>
      <c r="VV51" s="197"/>
      <c r="VW51" s="197"/>
      <c r="VX51" s="197"/>
      <c r="VY51" s="197"/>
      <c r="VZ51" s="197"/>
      <c r="WA51" s="197"/>
      <c r="WB51" s="197"/>
      <c r="WC51" s="197"/>
      <c r="WD51" s="197"/>
      <c r="WE51" s="197"/>
      <c r="WF51" s="197"/>
      <c r="WG51" s="197"/>
      <c r="WH51" s="197"/>
      <c r="WI51" s="197"/>
      <c r="WJ51" s="197"/>
      <c r="WK51" s="197"/>
      <c r="WL51" s="197"/>
      <c r="WM51" s="197"/>
      <c r="WN51" s="197"/>
      <c r="WO51" s="197"/>
      <c r="WP51" s="197"/>
      <c r="WQ51" s="197"/>
      <c r="WR51" s="197"/>
      <c r="WS51" s="197"/>
      <c r="WT51" s="197"/>
      <c r="WU51" s="197"/>
      <c r="WV51" s="197"/>
      <c r="WW51" s="197"/>
      <c r="WX51" s="197"/>
      <c r="WY51" s="197"/>
      <c r="WZ51" s="197"/>
      <c r="XA51" s="197"/>
      <c r="XB51" s="197"/>
      <c r="XC51" s="197"/>
      <c r="XD51" s="197"/>
      <c r="XE51" s="197"/>
      <c r="XF51" s="197"/>
      <c r="XG51" s="197"/>
      <c r="XH51" s="197"/>
      <c r="XI51" s="197"/>
      <c r="XJ51" s="197"/>
      <c r="XK51" s="197"/>
      <c r="XL51" s="197"/>
      <c r="XM51" s="197"/>
      <c r="XN51" s="197"/>
      <c r="XO51" s="197"/>
      <c r="XP51" s="197"/>
      <c r="XQ51" s="197"/>
      <c r="XR51" s="197"/>
      <c r="XS51" s="197"/>
      <c r="XT51" s="197"/>
      <c r="XU51" s="197"/>
      <c r="XV51" s="197"/>
      <c r="XW51" s="197"/>
      <c r="XX51" s="197"/>
      <c r="XY51" s="197"/>
      <c r="XZ51" s="197"/>
      <c r="YA51" s="197"/>
      <c r="YB51" s="197"/>
      <c r="YC51" s="197"/>
      <c r="YD51" s="197"/>
      <c r="YE51" s="197"/>
      <c r="YF51" s="197"/>
      <c r="YG51" s="197"/>
      <c r="YH51" s="197"/>
      <c r="YI51" s="197"/>
      <c r="YJ51" s="197"/>
      <c r="YK51" s="197"/>
      <c r="YL51" s="197"/>
      <c r="YM51" s="197"/>
      <c r="YN51" s="197"/>
      <c r="YO51" s="197"/>
      <c r="YP51" s="197"/>
      <c r="YQ51" s="197"/>
      <c r="YR51" s="197"/>
      <c r="YS51" s="197"/>
      <c r="YT51" s="197"/>
      <c r="YU51" s="197"/>
      <c r="YV51" s="197"/>
      <c r="YW51" s="197"/>
      <c r="YX51" s="197"/>
      <c r="YY51" s="197"/>
      <c r="YZ51" s="197"/>
      <c r="ZA51" s="197"/>
      <c r="ZB51" s="197"/>
      <c r="ZC51" s="197"/>
      <c r="ZD51" s="197"/>
      <c r="ZE51" s="197"/>
      <c r="ZF51" s="197"/>
      <c r="ZG51" s="197"/>
      <c r="ZH51" s="197"/>
      <c r="ZI51" s="197"/>
      <c r="ZJ51" s="197"/>
      <c r="ZK51" s="197"/>
      <c r="ZL51" s="197"/>
      <c r="ZM51" s="197"/>
      <c r="ZN51" s="197"/>
      <c r="ZO51" s="197"/>
      <c r="ZP51" s="197"/>
      <c r="ZQ51" s="197"/>
      <c r="ZR51" s="197"/>
      <c r="ZS51" s="197"/>
      <c r="ZT51" s="197"/>
      <c r="ZU51" s="197"/>
      <c r="ZV51" s="197"/>
      <c r="ZW51" s="197"/>
      <c r="ZX51" s="197"/>
      <c r="ZY51" s="197"/>
      <c r="ZZ51" s="197"/>
      <c r="AAA51" s="197"/>
      <c r="AAB51" s="197"/>
      <c r="AAC51" s="197"/>
      <c r="AAD51" s="197"/>
      <c r="AAE51" s="197"/>
      <c r="AAF51" s="197"/>
      <c r="AAG51" s="197"/>
      <c r="AAH51" s="197"/>
      <c r="AAI51" s="197"/>
      <c r="AAJ51" s="197"/>
      <c r="AAK51" s="197"/>
      <c r="AAL51" s="197"/>
      <c r="AAM51" s="197"/>
      <c r="AAN51" s="197"/>
      <c r="AAO51" s="197"/>
      <c r="AAP51" s="197"/>
      <c r="AAQ51" s="197"/>
      <c r="AAR51" s="197"/>
      <c r="AAS51" s="197"/>
      <c r="AAT51" s="197"/>
      <c r="AAU51" s="197"/>
      <c r="AAV51" s="197"/>
      <c r="AAW51" s="197"/>
      <c r="AAX51" s="197"/>
      <c r="AAY51" s="197"/>
      <c r="AAZ51" s="197"/>
      <c r="ABA51" s="197"/>
      <c r="ABB51" s="197"/>
      <c r="ABC51" s="197"/>
      <c r="ABD51" s="197"/>
      <c r="ABE51" s="197"/>
      <c r="ABF51" s="197"/>
      <c r="ABG51" s="197"/>
      <c r="ABH51" s="197"/>
      <c r="ABI51" s="197"/>
      <c r="ABJ51" s="197"/>
      <c r="ABK51" s="197"/>
      <c r="ABL51" s="197"/>
      <c r="ABM51" s="197"/>
      <c r="ABN51" s="197"/>
      <c r="ABO51" s="197"/>
      <c r="ABP51" s="197"/>
      <c r="ABQ51" s="197"/>
      <c r="ABR51" s="197"/>
      <c r="ABS51" s="197"/>
      <c r="ABT51" s="197"/>
      <c r="ABU51" s="197"/>
      <c r="ABV51" s="197"/>
      <c r="ABW51" s="197"/>
      <c r="ABX51" s="197"/>
      <c r="ABY51" s="197"/>
      <c r="ABZ51" s="197"/>
      <c r="ACA51" s="197"/>
      <c r="ACB51" s="197"/>
      <c r="ACC51" s="197"/>
      <c r="ACD51" s="197"/>
      <c r="ACE51" s="197"/>
      <c r="ACF51" s="197"/>
      <c r="ACG51" s="197"/>
      <c r="ACH51" s="197"/>
      <c r="ACI51" s="197"/>
      <c r="ACJ51" s="197"/>
      <c r="ACK51" s="197"/>
      <c r="ACL51" s="197"/>
      <c r="ACM51" s="197"/>
      <c r="ACN51" s="197"/>
      <c r="ACO51" s="197"/>
      <c r="ACP51" s="197"/>
      <c r="ACQ51" s="197"/>
      <c r="ACR51" s="197"/>
      <c r="ACS51" s="197"/>
      <c r="ACT51" s="197"/>
      <c r="ACU51" s="197"/>
      <c r="ACV51" s="197"/>
      <c r="ACW51" s="197"/>
      <c r="ACX51" s="197"/>
      <c r="ACY51" s="197"/>
      <c r="ACZ51" s="197"/>
      <c r="ADA51" s="197"/>
      <c r="ADB51" s="197"/>
      <c r="ADC51" s="197"/>
      <c r="ADD51" s="197"/>
      <c r="ADE51" s="197"/>
      <c r="ADF51" s="197"/>
      <c r="ADG51" s="197"/>
      <c r="ADH51" s="197"/>
      <c r="ADI51" s="197"/>
      <c r="ADJ51" s="197"/>
      <c r="ADK51" s="197"/>
      <c r="ADL51" s="197"/>
      <c r="ADM51" s="197"/>
      <c r="ADN51" s="197"/>
      <c r="ADO51" s="197"/>
      <c r="ADP51" s="197"/>
      <c r="ADQ51" s="197"/>
      <c r="ADR51" s="197"/>
      <c r="ADS51" s="197"/>
      <c r="ADT51" s="197"/>
      <c r="ADU51" s="197"/>
      <c r="ADV51" s="197"/>
      <c r="ADW51" s="197"/>
      <c r="ADX51" s="197"/>
      <c r="ADY51" s="197"/>
      <c r="ADZ51" s="197"/>
      <c r="AEA51" s="197"/>
      <c r="AEB51" s="197"/>
      <c r="AEC51" s="197"/>
      <c r="AED51" s="197"/>
      <c r="AEE51" s="197"/>
      <c r="AEF51" s="197"/>
      <c r="AEG51" s="197"/>
      <c r="AEH51" s="197"/>
      <c r="AEI51" s="197"/>
      <c r="AEJ51" s="197"/>
      <c r="AEK51" s="197"/>
      <c r="AEL51" s="197"/>
      <c r="AEM51" s="197"/>
      <c r="AEN51" s="197"/>
      <c r="AEO51" s="197"/>
      <c r="AEP51" s="197"/>
      <c r="AEQ51" s="197"/>
      <c r="AER51" s="197"/>
      <c r="AES51" s="197"/>
      <c r="AET51" s="197"/>
      <c r="AEU51" s="197"/>
      <c r="AEV51" s="197"/>
      <c r="AEW51" s="197"/>
      <c r="AEX51" s="197"/>
      <c r="AEY51" s="197"/>
      <c r="AEZ51" s="197"/>
      <c r="AFA51" s="197"/>
      <c r="AFB51" s="197"/>
      <c r="AFC51" s="197"/>
      <c r="AFD51" s="197"/>
      <c r="AFE51" s="197"/>
      <c r="AFF51" s="197"/>
      <c r="AFG51" s="197"/>
      <c r="AFH51" s="197"/>
      <c r="AFI51" s="197"/>
      <c r="AFJ51" s="197"/>
      <c r="AFK51" s="197"/>
      <c r="AFL51" s="197"/>
      <c r="AFM51" s="197"/>
      <c r="AFN51" s="197"/>
      <c r="AFO51" s="197"/>
      <c r="AFP51" s="197"/>
      <c r="AFQ51" s="197"/>
      <c r="AFR51" s="197"/>
      <c r="AFS51" s="197"/>
      <c r="AFT51" s="197"/>
      <c r="AFU51" s="197"/>
      <c r="AFV51" s="197"/>
      <c r="AFW51" s="197"/>
      <c r="AFX51" s="197"/>
      <c r="AFY51" s="197"/>
      <c r="AFZ51" s="197"/>
      <c r="AGA51" s="197"/>
      <c r="AGB51" s="197"/>
      <c r="AGC51" s="197"/>
      <c r="AGD51" s="197"/>
      <c r="AGE51" s="197"/>
      <c r="AGF51" s="197"/>
      <c r="AGG51" s="197"/>
      <c r="AGH51" s="197"/>
      <c r="AGI51" s="197"/>
      <c r="AGJ51" s="197"/>
      <c r="AGK51" s="197"/>
      <c r="AGL51" s="197"/>
      <c r="AGM51" s="197"/>
      <c r="AGN51" s="197"/>
      <c r="AGO51" s="197"/>
      <c r="AGP51" s="197"/>
      <c r="AGQ51" s="197"/>
      <c r="AGR51" s="197"/>
      <c r="AGS51" s="197"/>
      <c r="AGT51" s="197"/>
      <c r="AGU51" s="197"/>
      <c r="AGV51" s="197"/>
      <c r="AGW51" s="197"/>
      <c r="AGX51" s="197"/>
      <c r="AGY51" s="197"/>
      <c r="AGZ51" s="197"/>
      <c r="AHA51" s="197"/>
      <c r="AHB51" s="197"/>
      <c r="AHC51" s="197"/>
      <c r="AHD51" s="197"/>
      <c r="AHE51" s="197"/>
      <c r="AHF51" s="197"/>
      <c r="AHG51" s="197"/>
      <c r="AHH51" s="197"/>
      <c r="AHI51" s="197"/>
      <c r="AHJ51" s="197"/>
      <c r="AHK51" s="197"/>
      <c r="AHL51" s="197"/>
      <c r="AHM51" s="197"/>
      <c r="AHN51" s="197"/>
      <c r="AHO51" s="197"/>
      <c r="AHP51" s="197"/>
      <c r="AHQ51" s="197"/>
      <c r="AHR51" s="197"/>
      <c r="AHS51" s="197"/>
      <c r="AHT51" s="197"/>
      <c r="AHU51" s="197"/>
      <c r="AHV51" s="197"/>
      <c r="AHW51" s="197"/>
      <c r="AHX51" s="197"/>
      <c r="AHY51" s="197"/>
      <c r="AHZ51" s="197"/>
      <c r="AIA51" s="197"/>
      <c r="AIB51" s="197"/>
      <c r="AIC51" s="197"/>
      <c r="AID51" s="197"/>
      <c r="AIE51" s="197"/>
      <c r="AIF51" s="197"/>
      <c r="AIG51" s="197"/>
      <c r="AIH51" s="197"/>
      <c r="AII51" s="197"/>
      <c r="AIJ51" s="197"/>
      <c r="AIK51" s="197"/>
      <c r="AIL51" s="197"/>
      <c r="AIM51" s="197"/>
      <c r="AIN51" s="197"/>
      <c r="AIO51" s="197"/>
      <c r="AIP51" s="197"/>
      <c r="AIQ51" s="197"/>
      <c r="AIR51" s="197"/>
      <c r="AIS51" s="197"/>
      <c r="AIT51" s="197"/>
      <c r="AIU51" s="197"/>
      <c r="AIV51" s="197"/>
      <c r="AIW51" s="197"/>
      <c r="AIX51" s="197"/>
      <c r="AIY51" s="197"/>
      <c r="AIZ51" s="197"/>
      <c r="AJA51" s="197"/>
      <c r="AJB51" s="197"/>
      <c r="AJC51" s="197"/>
      <c r="AJD51" s="197"/>
      <c r="AJE51" s="197"/>
      <c r="AJF51" s="197"/>
      <c r="AJG51" s="197"/>
      <c r="AJH51" s="197"/>
      <c r="AJI51" s="197"/>
      <c r="AJJ51" s="197"/>
      <c r="AJK51" s="197"/>
      <c r="AJL51" s="197"/>
      <c r="AJM51" s="197"/>
      <c r="AJN51" s="197"/>
      <c r="AJO51" s="197"/>
      <c r="AJP51" s="197"/>
      <c r="AJQ51" s="197"/>
      <c r="AJR51" s="197"/>
      <c r="AJS51" s="197"/>
      <c r="AJT51" s="197"/>
      <c r="AJU51" s="197"/>
      <c r="AJV51" s="197"/>
      <c r="AJW51" s="197"/>
      <c r="AJX51" s="197"/>
      <c r="AJY51" s="197"/>
      <c r="AJZ51" s="197"/>
      <c r="AKA51" s="197"/>
      <c r="AKB51" s="197"/>
      <c r="AKC51" s="197"/>
      <c r="AKD51" s="197"/>
      <c r="AKE51" s="197"/>
      <c r="AKF51" s="197"/>
      <c r="AKG51" s="197"/>
      <c r="AKH51" s="197"/>
      <c r="AKI51" s="197"/>
      <c r="AKJ51" s="197"/>
      <c r="AKK51" s="197"/>
      <c r="AKL51" s="197"/>
      <c r="AKM51" s="197"/>
      <c r="AKN51" s="197"/>
      <c r="AKO51" s="197"/>
      <c r="AKP51" s="197"/>
      <c r="AKQ51" s="197"/>
      <c r="AKR51" s="197"/>
      <c r="AKS51" s="197"/>
      <c r="AKT51" s="197"/>
      <c r="AKU51" s="197"/>
      <c r="AKV51" s="197"/>
      <c r="AKW51" s="197"/>
      <c r="AKX51" s="197"/>
      <c r="AKY51" s="197"/>
      <c r="AKZ51" s="197"/>
      <c r="ALA51" s="197"/>
      <c r="ALB51" s="197"/>
      <c r="ALC51" s="197"/>
      <c r="ALD51" s="197"/>
      <c r="ALE51" s="197"/>
      <c r="ALF51" s="197"/>
      <c r="ALG51" s="197"/>
      <c r="ALH51" s="197"/>
      <c r="ALI51" s="197"/>
      <c r="ALJ51" s="197"/>
      <c r="ALK51" s="197"/>
      <c r="ALL51" s="197"/>
      <c r="ALM51" s="197"/>
      <c r="ALN51" s="197"/>
      <c r="ALO51" s="197"/>
      <c r="ALP51" s="197"/>
      <c r="ALQ51" s="197"/>
      <c r="ALR51" s="197"/>
      <c r="ALS51" s="197"/>
      <c r="ALT51" s="197"/>
      <c r="ALU51" s="197"/>
      <c r="ALV51" s="197"/>
      <c r="ALW51" s="197"/>
      <c r="ALX51" s="197"/>
      <c r="ALY51" s="197"/>
      <c r="ALZ51" s="197"/>
      <c r="AMA51" s="197"/>
      <c r="AMB51" s="197"/>
      <c r="AMC51" s="197"/>
      <c r="AMD51" s="197"/>
      <c r="AME51" s="197"/>
      <c r="AMF51" s="197"/>
      <c r="AMG51" s="197"/>
      <c r="AMH51" s="197"/>
      <c r="AMI51" s="197"/>
      <c r="AMJ51" s="197"/>
      <c r="AMK51" s="197"/>
      <c r="AML51" s="197"/>
      <c r="AMM51" s="197"/>
      <c r="AMN51" s="197"/>
      <c r="AMO51" s="197"/>
      <c r="AMP51" s="197"/>
      <c r="AMQ51" s="197"/>
      <c r="AMR51" s="197"/>
      <c r="AMS51" s="197"/>
      <c r="AMT51" s="197"/>
      <c r="AMU51" s="197"/>
      <c r="AMV51" s="197"/>
      <c r="AMW51" s="197"/>
      <c r="AMX51" s="197"/>
      <c r="AMY51" s="197"/>
      <c r="AMZ51" s="197"/>
      <c r="ANA51" s="197"/>
      <c r="ANB51" s="197"/>
      <c r="ANC51" s="197"/>
      <c r="AND51" s="197"/>
      <c r="ANE51" s="197"/>
      <c r="ANF51" s="197"/>
      <c r="ANG51" s="197"/>
      <c r="ANH51" s="197"/>
      <c r="ANI51" s="197"/>
      <c r="ANJ51" s="197"/>
      <c r="ANK51" s="197"/>
      <c r="ANL51" s="197"/>
      <c r="ANM51" s="197"/>
      <c r="ANN51" s="197"/>
      <c r="ANO51" s="197"/>
      <c r="ANP51" s="197"/>
      <c r="ANQ51" s="197"/>
      <c r="ANR51" s="197"/>
      <c r="ANS51" s="197"/>
      <c r="ANT51" s="197"/>
      <c r="ANU51" s="197"/>
      <c r="ANV51" s="197"/>
      <c r="ANW51" s="197"/>
      <c r="ANX51" s="197"/>
      <c r="ANY51" s="197"/>
      <c r="ANZ51" s="197"/>
      <c r="AOA51" s="197"/>
      <c r="AOB51" s="197"/>
      <c r="AOC51" s="197"/>
      <c r="AOD51" s="197"/>
      <c r="AOE51" s="197"/>
      <c r="AOF51" s="197"/>
      <c r="AOG51" s="197"/>
      <c r="AOH51" s="197"/>
      <c r="AOI51" s="197"/>
      <c r="AOJ51" s="197"/>
      <c r="AOK51" s="197"/>
      <c r="AOL51" s="197"/>
      <c r="AOM51" s="197"/>
      <c r="AON51" s="197"/>
      <c r="AOO51" s="197"/>
      <c r="AOP51" s="197"/>
      <c r="AOQ51" s="197"/>
      <c r="AOR51" s="197"/>
      <c r="AOS51" s="197"/>
      <c r="AOT51" s="197"/>
      <c r="AOU51" s="197"/>
      <c r="AOV51" s="197"/>
      <c r="AOW51" s="197"/>
      <c r="AOX51" s="197"/>
      <c r="AOY51" s="197"/>
      <c r="AOZ51" s="197"/>
      <c r="APA51" s="197"/>
      <c r="APB51" s="197"/>
      <c r="APC51" s="197"/>
      <c r="APD51" s="197"/>
      <c r="APE51" s="197"/>
      <c r="APF51" s="197"/>
      <c r="APG51" s="197"/>
      <c r="APH51" s="197"/>
      <c r="API51" s="197"/>
      <c r="APJ51" s="197"/>
      <c r="APK51" s="197"/>
      <c r="APL51" s="197"/>
      <c r="APM51" s="197"/>
      <c r="APN51" s="197"/>
      <c r="APO51" s="197"/>
      <c r="APP51" s="197"/>
      <c r="APQ51" s="197"/>
      <c r="APR51" s="197"/>
      <c r="APS51" s="197"/>
      <c r="APT51" s="197"/>
      <c r="APU51" s="197"/>
      <c r="APV51" s="197"/>
      <c r="APW51" s="197"/>
      <c r="APX51" s="197"/>
      <c r="APY51" s="197"/>
      <c r="APZ51" s="197"/>
      <c r="AQA51" s="197"/>
      <c r="AQB51" s="197"/>
      <c r="AQC51" s="197"/>
      <c r="AQD51" s="197"/>
      <c r="AQE51" s="197"/>
      <c r="AQF51" s="197"/>
      <c r="AQG51" s="197"/>
      <c r="AQH51" s="197"/>
      <c r="AQI51" s="197"/>
      <c r="AQJ51" s="197"/>
      <c r="AQK51" s="197"/>
      <c r="AQL51" s="197"/>
      <c r="AQM51" s="197"/>
      <c r="AQN51" s="197"/>
      <c r="AQO51" s="197"/>
      <c r="AQP51" s="197"/>
      <c r="AQQ51" s="197"/>
      <c r="AQR51" s="197"/>
      <c r="AQS51" s="197"/>
      <c r="AQT51" s="197"/>
      <c r="AQU51" s="197"/>
      <c r="AQV51" s="197"/>
      <c r="AQW51" s="197"/>
      <c r="AQX51" s="197"/>
      <c r="AQY51" s="197"/>
      <c r="AQZ51" s="197"/>
      <c r="ARA51" s="197"/>
      <c r="ARB51" s="197"/>
      <c r="ARC51" s="197"/>
      <c r="ARD51" s="197"/>
      <c r="ARE51" s="197"/>
      <c r="ARF51" s="197"/>
      <c r="ARG51" s="197"/>
      <c r="ARH51" s="197"/>
      <c r="ARI51" s="197"/>
      <c r="ARJ51" s="197"/>
      <c r="ARK51" s="197"/>
      <c r="ARL51" s="197"/>
      <c r="ARM51" s="197"/>
      <c r="ARN51" s="197"/>
      <c r="ARO51" s="197"/>
      <c r="ARP51" s="197"/>
      <c r="ARQ51" s="197"/>
      <c r="ARR51" s="197"/>
      <c r="ARS51" s="197"/>
      <c r="ART51" s="197"/>
      <c r="ARU51" s="197"/>
      <c r="ARV51" s="197"/>
      <c r="ARW51" s="197"/>
      <c r="ARX51" s="197"/>
      <c r="ARY51" s="197"/>
      <c r="ARZ51" s="197"/>
      <c r="ASA51" s="197"/>
      <c r="ASB51" s="197"/>
      <c r="ASC51" s="197"/>
      <c r="ASD51" s="197"/>
      <c r="ASE51" s="197"/>
      <c r="ASF51" s="197"/>
      <c r="ASG51" s="197"/>
      <c r="ASH51" s="197"/>
      <c r="ASI51" s="197"/>
      <c r="ASJ51" s="197"/>
      <c r="ASK51" s="197"/>
      <c r="ASL51" s="197"/>
      <c r="ASM51" s="197"/>
      <c r="ASN51" s="197"/>
      <c r="ASO51" s="197"/>
      <c r="ASP51" s="197"/>
      <c r="ASQ51" s="197"/>
      <c r="ASR51" s="197"/>
      <c r="ASS51" s="197"/>
      <c r="AST51" s="197"/>
      <c r="ASU51" s="197"/>
      <c r="ASV51" s="197"/>
      <c r="ASW51" s="197"/>
      <c r="ASX51" s="197"/>
      <c r="ASY51" s="197"/>
      <c r="ASZ51" s="197"/>
      <c r="ATA51" s="197"/>
      <c r="ATB51" s="197"/>
      <c r="ATC51" s="197"/>
      <c r="ATD51" s="197"/>
      <c r="ATE51" s="197"/>
      <c r="ATF51" s="197"/>
      <c r="ATG51" s="197"/>
      <c r="ATH51" s="197"/>
      <c r="ATI51" s="197"/>
      <c r="ATJ51" s="197"/>
      <c r="ATK51" s="197"/>
      <c r="ATL51" s="197"/>
      <c r="ATM51" s="197"/>
      <c r="ATN51" s="197"/>
      <c r="ATO51" s="197"/>
      <c r="ATP51" s="197"/>
      <c r="ATQ51" s="197"/>
      <c r="ATR51" s="197"/>
      <c r="ATS51" s="197"/>
      <c r="ATT51" s="197"/>
      <c r="ATU51" s="197"/>
      <c r="ATV51" s="197"/>
      <c r="ATW51" s="197"/>
      <c r="ATX51" s="197"/>
      <c r="ATY51" s="197"/>
      <c r="ATZ51" s="197"/>
      <c r="AUA51" s="197"/>
      <c r="AUB51" s="197"/>
      <c r="AUC51" s="197"/>
      <c r="AUD51" s="197"/>
      <c r="AUE51" s="197"/>
      <c r="AUF51" s="197"/>
      <c r="AUG51" s="197"/>
      <c r="AUH51" s="197"/>
      <c r="AUI51" s="197"/>
      <c r="AUJ51" s="197"/>
      <c r="AUK51" s="197"/>
      <c r="AUL51" s="197"/>
      <c r="AUM51" s="197"/>
      <c r="AUN51" s="197"/>
      <c r="AUO51" s="197"/>
      <c r="AUP51" s="197"/>
      <c r="AUQ51" s="197"/>
      <c r="AUR51" s="197"/>
      <c r="AUS51" s="197"/>
      <c r="AUT51" s="197"/>
      <c r="AUU51" s="197"/>
      <c r="AUV51" s="197"/>
      <c r="AUW51" s="197"/>
      <c r="AUX51" s="197"/>
      <c r="AUY51" s="197"/>
      <c r="AUZ51" s="197"/>
      <c r="AVA51" s="197"/>
      <c r="AVB51" s="197"/>
      <c r="AVC51" s="197"/>
      <c r="AVD51" s="197"/>
      <c r="AVE51" s="197"/>
      <c r="AVF51" s="197"/>
      <c r="AVG51" s="197"/>
      <c r="AVH51" s="197"/>
      <c r="AVI51" s="197"/>
      <c r="AVJ51" s="197"/>
      <c r="AVK51" s="197"/>
      <c r="AVL51" s="197"/>
      <c r="AVM51" s="197"/>
      <c r="AVN51" s="197"/>
      <c r="AVO51" s="197"/>
      <c r="AVP51" s="197"/>
      <c r="AVQ51" s="197"/>
      <c r="AVR51" s="197"/>
      <c r="AVS51" s="197"/>
      <c r="AVT51" s="197"/>
      <c r="AVU51" s="197"/>
      <c r="AVV51" s="197"/>
      <c r="AVW51" s="197"/>
      <c r="AVX51" s="197"/>
      <c r="AVY51" s="197"/>
      <c r="AVZ51" s="197"/>
      <c r="AWA51" s="197"/>
      <c r="AWB51" s="197"/>
      <c r="AWC51" s="197"/>
      <c r="AWD51" s="197"/>
      <c r="AWE51" s="197"/>
      <c r="AWF51" s="197"/>
      <c r="AWG51" s="197"/>
      <c r="AWH51" s="197"/>
      <c r="AWI51" s="197"/>
      <c r="AWJ51" s="197"/>
      <c r="AWK51" s="197"/>
      <c r="AWL51" s="197"/>
      <c r="AWM51" s="197"/>
      <c r="AWN51" s="197"/>
      <c r="AWO51" s="197"/>
      <c r="AWP51" s="197"/>
      <c r="AWQ51" s="197"/>
      <c r="AWR51" s="197"/>
      <c r="AWS51" s="197"/>
      <c r="AWT51" s="197"/>
      <c r="AWU51" s="197"/>
      <c r="AWV51" s="197"/>
      <c r="AWW51" s="197"/>
      <c r="AWX51" s="197"/>
      <c r="AWY51" s="197"/>
      <c r="AWZ51" s="197"/>
      <c r="AXA51" s="197"/>
      <c r="AXB51" s="197"/>
      <c r="AXC51" s="197"/>
      <c r="AXD51" s="197"/>
      <c r="AXE51" s="197"/>
      <c r="AXF51" s="197"/>
      <c r="AXG51" s="197"/>
      <c r="AXH51" s="197"/>
      <c r="AXI51" s="197"/>
      <c r="AXJ51" s="197"/>
      <c r="AXK51" s="197"/>
      <c r="AXL51" s="197"/>
      <c r="AXM51" s="197"/>
      <c r="AXN51" s="197"/>
      <c r="AXO51" s="197"/>
      <c r="AXP51" s="197"/>
      <c r="AXQ51" s="197"/>
      <c r="AXR51" s="197"/>
      <c r="AXS51" s="197"/>
      <c r="AXT51" s="197"/>
      <c r="AXU51" s="197"/>
      <c r="AXV51" s="197"/>
      <c r="AXW51" s="197"/>
      <c r="AXX51" s="197"/>
      <c r="AXY51" s="197"/>
      <c r="AXZ51" s="197"/>
      <c r="AYA51" s="197"/>
      <c r="AYB51" s="197"/>
      <c r="AYC51" s="197"/>
      <c r="AYD51" s="197"/>
      <c r="AYE51" s="197"/>
      <c r="AYF51" s="197"/>
      <c r="AYG51" s="197"/>
      <c r="AYH51" s="197"/>
      <c r="AYI51" s="197"/>
      <c r="AYJ51" s="197"/>
      <c r="AYK51" s="197"/>
      <c r="AYL51" s="197"/>
      <c r="AYM51" s="197"/>
      <c r="AYN51" s="197"/>
      <c r="AYO51" s="197"/>
      <c r="AYP51" s="197"/>
      <c r="AYQ51" s="197"/>
      <c r="AYR51" s="197"/>
      <c r="AYS51" s="197"/>
      <c r="AYT51" s="197"/>
      <c r="AYU51" s="197"/>
      <c r="AYV51" s="197"/>
      <c r="AYW51" s="197"/>
      <c r="AYX51" s="197"/>
      <c r="AYY51" s="197"/>
      <c r="AYZ51" s="197"/>
      <c r="AZA51" s="197"/>
      <c r="AZB51" s="197"/>
      <c r="AZC51" s="197"/>
      <c r="AZD51" s="197"/>
      <c r="AZE51" s="197"/>
      <c r="AZF51" s="197"/>
      <c r="AZG51" s="197"/>
      <c r="AZH51" s="197"/>
      <c r="AZI51" s="197"/>
      <c r="AZJ51" s="197"/>
      <c r="AZK51" s="197"/>
      <c r="AZL51" s="197"/>
      <c r="AZM51" s="197"/>
      <c r="AZN51" s="197"/>
      <c r="AZO51" s="197"/>
      <c r="AZP51" s="197"/>
      <c r="AZQ51" s="197"/>
      <c r="AZR51" s="197"/>
      <c r="AZS51" s="197"/>
      <c r="AZT51" s="197"/>
      <c r="AZU51" s="197"/>
      <c r="AZV51" s="197"/>
      <c r="AZW51" s="197"/>
      <c r="AZX51" s="197"/>
      <c r="AZY51" s="197"/>
      <c r="AZZ51" s="197"/>
      <c r="BAA51" s="197"/>
      <c r="BAB51" s="197"/>
      <c r="BAC51" s="197"/>
      <c r="BAD51" s="197"/>
      <c r="BAE51" s="197"/>
      <c r="BAF51" s="197"/>
      <c r="BAG51" s="197"/>
      <c r="BAH51" s="197"/>
      <c r="BAI51" s="197"/>
      <c r="BAJ51" s="197"/>
      <c r="BAK51" s="197"/>
      <c r="BAL51" s="197"/>
      <c r="BAM51" s="197"/>
      <c r="BAN51" s="197"/>
      <c r="BAO51" s="197"/>
      <c r="BAP51" s="197"/>
      <c r="BAQ51" s="197"/>
      <c r="BAR51" s="197"/>
      <c r="BAS51" s="197"/>
      <c r="BAT51" s="197"/>
      <c r="BAU51" s="197"/>
      <c r="BAV51" s="197"/>
      <c r="BAW51" s="197"/>
      <c r="BAX51" s="197"/>
      <c r="BAY51" s="197"/>
      <c r="BAZ51" s="197"/>
      <c r="BBA51" s="197"/>
      <c r="BBB51" s="197"/>
      <c r="BBC51" s="197"/>
      <c r="BBD51" s="197"/>
      <c r="BBE51" s="197"/>
      <c r="BBF51" s="197"/>
      <c r="BBG51" s="197"/>
      <c r="BBH51" s="197"/>
      <c r="BBI51" s="197"/>
      <c r="BBJ51" s="197"/>
      <c r="BBK51" s="197"/>
      <c r="BBL51" s="197"/>
      <c r="BBM51" s="197"/>
      <c r="BBN51" s="197"/>
      <c r="BBO51" s="197"/>
      <c r="BBP51" s="197"/>
      <c r="BBQ51" s="197"/>
      <c r="BBR51" s="197"/>
      <c r="BBS51" s="197"/>
      <c r="BBT51" s="197"/>
      <c r="BBU51" s="197"/>
      <c r="BBV51" s="197"/>
      <c r="BBW51" s="197"/>
      <c r="BBX51" s="197"/>
      <c r="BBY51" s="197"/>
      <c r="BBZ51" s="197"/>
      <c r="BCA51" s="197"/>
      <c r="BCB51" s="197"/>
      <c r="BCC51" s="197"/>
      <c r="BCD51" s="197"/>
      <c r="BCE51" s="197"/>
      <c r="BCF51" s="197"/>
      <c r="BCG51" s="197"/>
      <c r="BCH51" s="197"/>
      <c r="BCI51" s="197"/>
      <c r="BCJ51" s="197"/>
      <c r="BCK51" s="197"/>
      <c r="BCL51" s="197"/>
      <c r="BCM51" s="197"/>
      <c r="BCN51" s="197"/>
      <c r="BCO51" s="197"/>
      <c r="BCP51" s="197"/>
      <c r="BCQ51" s="197"/>
      <c r="BCR51" s="197"/>
      <c r="BCS51" s="197"/>
      <c r="BCT51" s="197"/>
      <c r="BCU51" s="197"/>
      <c r="BCV51" s="197"/>
      <c r="BCW51" s="197"/>
      <c r="BCX51" s="197"/>
      <c r="BCY51" s="197"/>
      <c r="BCZ51" s="197"/>
      <c r="BDA51" s="197"/>
      <c r="BDB51" s="197"/>
      <c r="BDC51" s="197"/>
      <c r="BDD51" s="197"/>
      <c r="BDE51" s="197"/>
      <c r="BDF51" s="197"/>
      <c r="BDG51" s="197"/>
      <c r="BDH51" s="197"/>
      <c r="BDI51" s="197"/>
      <c r="BDJ51" s="197"/>
      <c r="BDK51" s="197"/>
      <c r="BDL51" s="197"/>
      <c r="BDM51" s="197"/>
      <c r="BDN51" s="197"/>
      <c r="BDO51" s="197"/>
      <c r="BDP51" s="197"/>
      <c r="BDQ51" s="197"/>
      <c r="BDR51" s="197"/>
      <c r="BDS51" s="197"/>
      <c r="BDT51" s="197"/>
      <c r="BDU51" s="197"/>
      <c r="BDV51" s="197"/>
      <c r="BDW51" s="197"/>
      <c r="BDX51" s="197"/>
      <c r="BDY51" s="197"/>
      <c r="BDZ51" s="197"/>
      <c r="BEA51" s="197"/>
      <c r="BEB51" s="197"/>
      <c r="BEC51" s="197"/>
      <c r="BED51" s="197"/>
      <c r="BEE51" s="197"/>
      <c r="BEF51" s="197"/>
      <c r="BEG51" s="197"/>
      <c r="BEH51" s="197"/>
      <c r="BEI51" s="197"/>
      <c r="BEJ51" s="197"/>
      <c r="BEK51" s="197"/>
      <c r="BEL51" s="197"/>
      <c r="BEM51" s="197"/>
      <c r="BEN51" s="197"/>
      <c r="BEO51" s="197"/>
      <c r="BEP51" s="197"/>
      <c r="BEQ51" s="197"/>
      <c r="BER51" s="197"/>
      <c r="BES51" s="197"/>
      <c r="BET51" s="197"/>
      <c r="BEU51" s="197"/>
      <c r="BEV51" s="197"/>
      <c r="BEW51" s="197"/>
      <c r="BEX51" s="197"/>
      <c r="BEY51" s="197"/>
      <c r="BEZ51" s="197"/>
      <c r="BFA51" s="197"/>
      <c r="BFB51" s="197"/>
      <c r="BFC51" s="197"/>
      <c r="BFD51" s="197"/>
      <c r="BFE51" s="197"/>
      <c r="BFF51" s="197"/>
      <c r="BFG51" s="197"/>
      <c r="BFH51" s="197"/>
      <c r="BFI51" s="197"/>
      <c r="BFJ51" s="197"/>
      <c r="BFK51" s="197"/>
      <c r="BFL51" s="197"/>
      <c r="BFM51" s="197"/>
      <c r="BFN51" s="197"/>
      <c r="BFO51" s="197"/>
      <c r="BFP51" s="197"/>
      <c r="BFQ51" s="197"/>
      <c r="BFR51" s="197"/>
      <c r="BFS51" s="197"/>
      <c r="BFT51" s="197"/>
      <c r="BFU51" s="197"/>
      <c r="BFV51" s="197"/>
      <c r="BFW51" s="197"/>
      <c r="BFX51" s="197"/>
      <c r="BFY51" s="197"/>
      <c r="BFZ51" s="197"/>
      <c r="BGA51" s="197"/>
      <c r="BGB51" s="197"/>
      <c r="BGC51" s="197"/>
      <c r="BGD51" s="197"/>
      <c r="BGE51" s="197"/>
      <c r="BGF51" s="197"/>
      <c r="BGG51" s="197"/>
      <c r="BGH51" s="197"/>
      <c r="BGI51" s="197"/>
      <c r="BGJ51" s="197"/>
      <c r="BGK51" s="197"/>
      <c r="BGL51" s="197"/>
      <c r="BGM51" s="197"/>
      <c r="BGN51" s="197"/>
      <c r="BGO51" s="197"/>
      <c r="BGP51" s="197"/>
      <c r="BGQ51" s="197"/>
      <c r="BGR51" s="197"/>
      <c r="BGS51" s="197"/>
      <c r="BGT51" s="197"/>
      <c r="BGU51" s="197"/>
      <c r="BGV51" s="197"/>
      <c r="BGW51" s="197"/>
      <c r="BGX51" s="197"/>
      <c r="BGY51" s="197"/>
      <c r="BGZ51" s="197"/>
      <c r="BHA51" s="197"/>
      <c r="BHB51" s="197"/>
      <c r="BHC51" s="197"/>
      <c r="BHD51" s="197"/>
      <c r="BHE51" s="197"/>
      <c r="BHF51" s="197"/>
      <c r="BHG51" s="197"/>
      <c r="BHH51" s="197"/>
      <c r="BHI51" s="197"/>
      <c r="BHJ51" s="197"/>
      <c r="BHK51" s="197"/>
      <c r="BHL51" s="197"/>
      <c r="BHM51" s="197"/>
      <c r="BHN51" s="197"/>
      <c r="BHO51" s="197"/>
      <c r="BHP51" s="197"/>
      <c r="BHQ51" s="197"/>
      <c r="BHR51" s="197"/>
      <c r="BHS51" s="197"/>
      <c r="BHT51" s="197"/>
      <c r="BHU51" s="197"/>
      <c r="BHV51" s="197"/>
      <c r="BHW51" s="197"/>
      <c r="BHX51" s="197"/>
      <c r="BHY51" s="197"/>
      <c r="BHZ51" s="197"/>
      <c r="BIA51" s="197"/>
      <c r="BIB51" s="197"/>
      <c r="BIC51" s="197"/>
      <c r="BID51" s="197"/>
      <c r="BIE51" s="197"/>
      <c r="BIF51" s="197"/>
      <c r="BIG51" s="197"/>
      <c r="BIH51" s="197"/>
      <c r="BII51" s="197"/>
      <c r="BIJ51" s="197"/>
      <c r="BIK51" s="197"/>
      <c r="BIL51" s="197"/>
      <c r="BIM51" s="197"/>
      <c r="BIN51" s="197"/>
      <c r="BIO51" s="197"/>
      <c r="BIP51" s="197"/>
      <c r="BIQ51" s="197"/>
      <c r="BIR51" s="197"/>
      <c r="BIS51" s="197"/>
      <c r="BIT51" s="197"/>
      <c r="BIU51" s="197"/>
      <c r="BIV51" s="197"/>
      <c r="BIW51" s="197"/>
      <c r="BIX51" s="197"/>
      <c r="BIY51" s="197"/>
      <c r="BIZ51" s="197"/>
      <c r="BJA51" s="197"/>
      <c r="BJB51" s="197"/>
      <c r="BJC51" s="197"/>
      <c r="BJD51" s="197"/>
      <c r="BJE51" s="197"/>
      <c r="BJF51" s="197"/>
      <c r="BJG51" s="197"/>
      <c r="BJH51" s="197"/>
      <c r="BJI51" s="197"/>
      <c r="BJJ51" s="197"/>
      <c r="BJK51" s="197"/>
      <c r="BJL51" s="197"/>
      <c r="BJM51" s="197"/>
      <c r="BJN51" s="197"/>
      <c r="BJO51" s="197"/>
      <c r="BJP51" s="197"/>
      <c r="BJQ51" s="197"/>
      <c r="BJR51" s="197"/>
      <c r="BJS51" s="197"/>
      <c r="BJT51" s="197"/>
      <c r="BJU51" s="197"/>
      <c r="BJV51" s="197"/>
      <c r="BJW51" s="197"/>
      <c r="BJX51" s="197"/>
      <c r="BJY51" s="197"/>
      <c r="BJZ51" s="197"/>
      <c r="BKA51" s="197"/>
      <c r="BKB51" s="197"/>
      <c r="BKC51" s="197"/>
      <c r="BKD51" s="197"/>
      <c r="BKE51" s="197"/>
      <c r="BKF51" s="197"/>
      <c r="BKG51" s="197"/>
      <c r="BKH51" s="197"/>
      <c r="BKI51" s="197"/>
      <c r="BKJ51" s="197"/>
      <c r="BKK51" s="197"/>
      <c r="BKL51" s="197"/>
      <c r="BKM51" s="197"/>
      <c r="BKN51" s="197"/>
      <c r="BKO51" s="197"/>
      <c r="BKP51" s="197"/>
      <c r="BKQ51" s="197"/>
      <c r="BKR51" s="197"/>
      <c r="BKS51" s="197"/>
      <c r="BKT51" s="197"/>
      <c r="BKU51" s="197"/>
      <c r="BKV51" s="197"/>
      <c r="BKW51" s="197"/>
      <c r="BKX51" s="197"/>
      <c r="BKY51" s="197"/>
      <c r="BKZ51" s="197"/>
      <c r="BLA51" s="197"/>
      <c r="BLB51" s="197"/>
      <c r="BLC51" s="197"/>
      <c r="BLD51" s="197"/>
      <c r="BLE51" s="197"/>
      <c r="BLF51" s="197"/>
      <c r="BLG51" s="197"/>
      <c r="BLH51" s="197"/>
      <c r="BLI51" s="197"/>
      <c r="BLJ51" s="197"/>
      <c r="BLK51" s="197"/>
      <c r="BLL51" s="197"/>
      <c r="BLM51" s="197"/>
      <c r="BLN51" s="197"/>
      <c r="BLO51" s="197"/>
      <c r="BLP51" s="197"/>
      <c r="BLQ51" s="197"/>
      <c r="BLR51" s="197"/>
      <c r="BLS51" s="197"/>
      <c r="BLT51" s="197"/>
      <c r="BLU51" s="197"/>
      <c r="BLV51" s="197"/>
      <c r="BLW51" s="197"/>
      <c r="BLX51" s="197"/>
      <c r="BLY51" s="197"/>
      <c r="BLZ51" s="197"/>
      <c r="BMA51" s="197"/>
      <c r="BMB51" s="197"/>
      <c r="BMC51" s="197"/>
      <c r="BMD51" s="197"/>
      <c r="BME51" s="197"/>
      <c r="BMF51" s="197"/>
      <c r="BMG51" s="197"/>
      <c r="BMH51" s="197"/>
      <c r="BMI51" s="197"/>
      <c r="BMJ51" s="197"/>
      <c r="BMK51" s="197"/>
      <c r="BML51" s="197"/>
      <c r="BMM51" s="197"/>
      <c r="BMN51" s="197"/>
      <c r="BMO51" s="197"/>
      <c r="BMP51" s="197"/>
      <c r="BMQ51" s="197"/>
      <c r="BMR51" s="197"/>
      <c r="BMS51" s="197"/>
      <c r="BMT51" s="197"/>
      <c r="BMU51" s="197"/>
      <c r="BMV51" s="197"/>
      <c r="BMW51" s="197"/>
      <c r="BMX51" s="197"/>
      <c r="BMY51" s="197"/>
      <c r="BMZ51" s="197"/>
      <c r="BNA51" s="197"/>
      <c r="BNB51" s="197"/>
      <c r="BNC51" s="197"/>
      <c r="BND51" s="197"/>
      <c r="BNE51" s="197"/>
      <c r="BNF51" s="197"/>
      <c r="BNG51" s="197"/>
      <c r="BNH51" s="197"/>
      <c r="BNI51" s="197"/>
      <c r="BNJ51" s="197"/>
      <c r="BNK51" s="197"/>
      <c r="BNL51" s="197"/>
      <c r="BNM51" s="197"/>
      <c r="BNN51" s="197"/>
      <c r="BNO51" s="197"/>
      <c r="BNP51" s="197"/>
      <c r="BNQ51" s="197"/>
      <c r="BNR51" s="197"/>
      <c r="BNS51" s="197"/>
      <c r="BNT51" s="197"/>
      <c r="BNU51" s="197"/>
      <c r="BNV51" s="197"/>
      <c r="BNW51" s="197"/>
      <c r="BNX51" s="197"/>
      <c r="BNY51" s="197"/>
      <c r="BNZ51" s="197"/>
      <c r="BOA51" s="197"/>
      <c r="BOB51" s="197"/>
      <c r="BOC51" s="197"/>
      <c r="BOD51" s="197"/>
      <c r="BOE51" s="197"/>
      <c r="BOF51" s="197"/>
      <c r="BOG51" s="197"/>
      <c r="BOH51" s="197"/>
      <c r="BOI51" s="197"/>
      <c r="BOJ51" s="197"/>
      <c r="BOK51" s="197"/>
      <c r="BOL51" s="197"/>
      <c r="BOM51" s="197"/>
      <c r="BON51" s="197"/>
      <c r="BOO51" s="197"/>
      <c r="BOP51" s="197"/>
      <c r="BOQ51" s="197"/>
      <c r="BOR51" s="197"/>
      <c r="BOS51" s="197"/>
      <c r="BOT51" s="197"/>
      <c r="BOU51" s="197"/>
      <c r="BOV51" s="197"/>
      <c r="BOW51" s="197"/>
      <c r="BOX51" s="197"/>
      <c r="BOY51" s="197"/>
      <c r="BOZ51" s="197"/>
      <c r="BPA51" s="197"/>
      <c r="BPB51" s="197"/>
      <c r="BPC51" s="197"/>
      <c r="BPD51" s="197"/>
      <c r="BPE51" s="197"/>
      <c r="BPF51" s="197"/>
      <c r="BPG51" s="197"/>
      <c r="BPH51" s="197"/>
      <c r="BPI51" s="197"/>
      <c r="BPJ51" s="197"/>
      <c r="BPK51" s="197"/>
      <c r="BPL51" s="197"/>
      <c r="BPM51" s="197"/>
      <c r="BPN51" s="197"/>
      <c r="BPO51" s="197"/>
      <c r="BPP51" s="197"/>
      <c r="BPQ51" s="197"/>
      <c r="BPR51" s="197"/>
      <c r="BPS51" s="197"/>
      <c r="BPT51" s="197"/>
      <c r="BPU51" s="197"/>
      <c r="BPV51" s="197"/>
      <c r="BPW51" s="197"/>
      <c r="BPX51" s="197"/>
      <c r="BPY51" s="197"/>
      <c r="BPZ51" s="197"/>
      <c r="BQA51" s="197"/>
      <c r="BQB51" s="197"/>
      <c r="BQC51" s="197"/>
      <c r="BQD51" s="197"/>
      <c r="BQE51" s="197"/>
      <c r="BQF51" s="197"/>
      <c r="BQG51" s="197"/>
      <c r="BQH51" s="197"/>
      <c r="BQI51" s="197"/>
      <c r="BQJ51" s="197"/>
      <c r="BQK51" s="197"/>
      <c r="BQL51" s="197"/>
      <c r="BQM51" s="197"/>
      <c r="BQN51" s="197"/>
      <c r="BQO51" s="197"/>
      <c r="BQP51" s="197"/>
      <c r="BQQ51" s="197"/>
      <c r="BQR51" s="197"/>
      <c r="BQS51" s="197"/>
      <c r="BQT51" s="197"/>
      <c r="BQU51" s="197"/>
      <c r="BQV51" s="197"/>
      <c r="BQW51" s="197"/>
      <c r="BQX51" s="197"/>
      <c r="BQY51" s="197"/>
      <c r="BQZ51" s="197"/>
      <c r="BRA51" s="197"/>
      <c r="BRB51" s="197"/>
      <c r="BRC51" s="197"/>
      <c r="BRD51" s="197"/>
      <c r="BRE51" s="197"/>
      <c r="BRF51" s="197"/>
      <c r="BRG51" s="197"/>
      <c r="BRH51" s="197"/>
      <c r="BRI51" s="197"/>
      <c r="BRJ51" s="197"/>
      <c r="BRK51" s="197"/>
      <c r="BRL51" s="197"/>
      <c r="BRM51" s="197"/>
      <c r="BRN51" s="197"/>
      <c r="BRO51" s="197"/>
      <c r="BRP51" s="197"/>
      <c r="BRQ51" s="197"/>
      <c r="BRR51" s="197"/>
      <c r="BRS51" s="197"/>
      <c r="BRT51" s="197"/>
      <c r="BRU51" s="197"/>
      <c r="BRV51" s="197"/>
      <c r="BRW51" s="197"/>
      <c r="BRX51" s="197"/>
      <c r="BRY51" s="197"/>
      <c r="BRZ51" s="197"/>
      <c r="BSA51" s="197"/>
      <c r="BSB51" s="197"/>
      <c r="BSC51" s="197"/>
      <c r="BSD51" s="197"/>
      <c r="BSE51" s="197"/>
      <c r="BSF51" s="197"/>
      <c r="BSG51" s="197"/>
      <c r="BSH51" s="197"/>
      <c r="BSI51" s="197"/>
      <c r="BSJ51" s="197"/>
      <c r="BSK51" s="197"/>
      <c r="BSL51" s="197"/>
      <c r="BSM51" s="197"/>
      <c r="BSN51" s="197"/>
      <c r="BSO51" s="197"/>
      <c r="BSP51" s="197"/>
      <c r="BSQ51" s="197"/>
      <c r="BSR51" s="197"/>
      <c r="BSS51" s="197"/>
      <c r="BST51" s="197"/>
      <c r="BSU51" s="197"/>
      <c r="BSV51" s="197"/>
      <c r="BSW51" s="197"/>
      <c r="BSX51" s="197"/>
      <c r="BSY51" s="197"/>
      <c r="BSZ51" s="197"/>
      <c r="BTA51" s="197"/>
      <c r="BTB51" s="197"/>
      <c r="BTC51" s="197"/>
      <c r="BTD51" s="197"/>
      <c r="BTE51" s="197"/>
      <c r="BTF51" s="197"/>
      <c r="BTG51" s="197"/>
      <c r="BTH51" s="197"/>
      <c r="BTI51" s="197"/>
      <c r="BTJ51" s="197"/>
      <c r="BTK51" s="197"/>
      <c r="BTL51" s="197"/>
      <c r="BTM51" s="197"/>
      <c r="BTN51" s="197"/>
      <c r="BTO51" s="197"/>
      <c r="BTP51" s="197"/>
      <c r="BTQ51" s="197"/>
      <c r="BTR51" s="197"/>
      <c r="BTS51" s="197"/>
      <c r="BTT51" s="197"/>
      <c r="BTU51" s="197"/>
      <c r="BTV51" s="197"/>
      <c r="BTW51" s="197"/>
      <c r="BTX51" s="197"/>
      <c r="BTY51" s="197"/>
      <c r="BTZ51" s="197"/>
      <c r="BUA51" s="197"/>
      <c r="BUB51" s="197"/>
      <c r="BUC51" s="197"/>
      <c r="BUD51" s="197"/>
      <c r="BUE51" s="197"/>
      <c r="BUF51" s="197"/>
      <c r="BUG51" s="197"/>
      <c r="BUH51" s="197"/>
      <c r="BUI51" s="197"/>
      <c r="BUJ51" s="197"/>
      <c r="BUK51" s="197"/>
      <c r="BUL51" s="197"/>
      <c r="BUM51" s="197"/>
      <c r="BUN51" s="197"/>
      <c r="BUO51" s="197"/>
      <c r="BUP51" s="197"/>
      <c r="BUQ51" s="197"/>
      <c r="BUR51" s="197"/>
      <c r="BUS51" s="197"/>
      <c r="BUT51" s="197"/>
      <c r="BUU51" s="197"/>
      <c r="BUV51" s="197"/>
      <c r="BUW51" s="197"/>
      <c r="BUX51" s="197"/>
      <c r="BUY51" s="197"/>
      <c r="BUZ51" s="197"/>
      <c r="BVA51" s="197"/>
      <c r="BVB51" s="197"/>
      <c r="BVC51" s="197"/>
      <c r="BVD51" s="197"/>
      <c r="BVE51" s="197"/>
      <c r="BVF51" s="197"/>
      <c r="BVG51" s="197"/>
      <c r="BVH51" s="197"/>
      <c r="BVI51" s="197"/>
      <c r="BVJ51" s="197"/>
      <c r="BVK51" s="197"/>
      <c r="BVL51" s="197"/>
      <c r="BVM51" s="197"/>
      <c r="BVN51" s="197"/>
      <c r="BVO51" s="197"/>
      <c r="BVP51" s="197"/>
      <c r="BVQ51" s="197"/>
      <c r="BVR51" s="197"/>
      <c r="BVS51" s="197"/>
      <c r="BVT51" s="197"/>
      <c r="BVU51" s="197"/>
      <c r="BVV51" s="197"/>
      <c r="BVW51" s="197"/>
      <c r="BVX51" s="197"/>
      <c r="BVY51" s="197"/>
      <c r="BVZ51" s="197"/>
      <c r="BWA51" s="197"/>
      <c r="BWB51" s="197"/>
      <c r="BWC51" s="197"/>
      <c r="BWD51" s="197"/>
      <c r="BWE51" s="197"/>
      <c r="BWF51" s="197"/>
      <c r="BWG51" s="197"/>
      <c r="BWH51" s="197"/>
      <c r="BWI51" s="197"/>
      <c r="BWJ51" s="197"/>
      <c r="BWK51" s="197"/>
      <c r="BWL51" s="197"/>
      <c r="BWM51" s="197"/>
      <c r="BWN51" s="197"/>
      <c r="BWO51" s="197"/>
      <c r="BWP51" s="197"/>
      <c r="BWQ51" s="197"/>
      <c r="BWR51" s="197"/>
      <c r="BWS51" s="197"/>
      <c r="BWT51" s="197"/>
      <c r="BWU51" s="197"/>
      <c r="BWV51" s="197"/>
      <c r="BWW51" s="197"/>
      <c r="BWX51" s="197"/>
      <c r="BWY51" s="197"/>
      <c r="BWZ51" s="197"/>
      <c r="BXA51" s="197"/>
      <c r="BXB51" s="197"/>
      <c r="BXC51" s="197"/>
      <c r="BXD51" s="197"/>
      <c r="BXE51" s="197"/>
      <c r="BXF51" s="197"/>
      <c r="BXG51" s="197"/>
      <c r="BXH51" s="197"/>
      <c r="BXI51" s="197"/>
      <c r="BXJ51" s="197"/>
      <c r="BXK51" s="197"/>
      <c r="BXL51" s="197"/>
      <c r="BXM51" s="197"/>
      <c r="BXN51" s="197"/>
      <c r="BXO51" s="197"/>
      <c r="BXP51" s="197"/>
      <c r="BXQ51" s="197"/>
      <c r="BXR51" s="197"/>
      <c r="BXS51" s="197"/>
      <c r="BXT51" s="197"/>
      <c r="BXU51" s="197"/>
      <c r="BXV51" s="197"/>
      <c r="BXW51" s="197"/>
      <c r="BXX51" s="197"/>
      <c r="BXY51" s="197"/>
      <c r="BXZ51" s="197"/>
      <c r="BYA51" s="197"/>
      <c r="BYB51" s="197"/>
      <c r="BYC51" s="197"/>
      <c r="BYD51" s="197"/>
      <c r="BYE51" s="197"/>
      <c r="BYF51" s="197"/>
      <c r="BYG51" s="197"/>
    </row>
    <row r="52" spans="1:2009" s="95" customFormat="1" ht="12.75" customHeight="1" x14ac:dyDescent="0.25">
      <c r="A52" s="118"/>
      <c r="B52" s="119"/>
      <c r="C52" s="170"/>
      <c r="D52" s="170"/>
      <c r="E52" s="170"/>
      <c r="F52" s="170"/>
      <c r="G52" s="658"/>
      <c r="H52" s="93"/>
      <c r="I52" s="552"/>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4" t="s">
        <v>179</v>
      </c>
      <c r="B53" s="345"/>
      <c r="C53" s="346"/>
      <c r="D53" s="356"/>
      <c r="E53" s="356"/>
      <c r="F53" s="356"/>
      <c r="G53" s="663"/>
      <c r="H53" s="93"/>
      <c r="I53" s="552"/>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7"/>
      <c r="B54" s="350" t="s">
        <v>215</v>
      </c>
      <c r="C54" s="456"/>
      <c r="D54" s="456"/>
      <c r="E54" s="456"/>
      <c r="F54" s="456"/>
      <c r="G54" s="664">
        <f>SUM(C54:F54)</f>
        <v>0</v>
      </c>
      <c r="H54" s="93"/>
      <c r="I54" s="552"/>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8"/>
      <c r="B55" s="351" t="s">
        <v>216</v>
      </c>
      <c r="C55" s="457"/>
      <c r="D55" s="457"/>
      <c r="E55" s="457"/>
      <c r="F55" s="457"/>
      <c r="G55" s="665">
        <f>SUM(C55:F55)</f>
        <v>0</v>
      </c>
      <c r="H55" s="93"/>
      <c r="I55" s="552"/>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39" t="s">
        <v>180</v>
      </c>
      <c r="B56" s="940"/>
      <c r="C56" s="349">
        <f t="shared" ref="C56" si="2">SUM(C53:C55)</f>
        <v>0</v>
      </c>
      <c r="D56" s="349"/>
      <c r="E56" s="349"/>
      <c r="F56" s="349"/>
      <c r="G56" s="666">
        <f t="shared" ref="G56" si="3">SUM(G53:G55)</f>
        <v>0</v>
      </c>
      <c r="H56" s="93"/>
      <c r="I56" s="552"/>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7"/>
      <c r="H57" s="93"/>
      <c r="I57" s="552"/>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4" t="s">
        <v>322</v>
      </c>
      <c r="B58" s="461"/>
      <c r="C58" s="462"/>
      <c r="D58" s="463"/>
      <c r="E58" s="463"/>
      <c r="F58" s="463"/>
      <c r="G58" s="667">
        <f>SUM(C58:F58)</f>
        <v>0</v>
      </c>
      <c r="H58" s="93"/>
      <c r="I58" s="552"/>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7"/>
      <c r="H59" s="93"/>
      <c r="I59" s="552"/>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4" t="s">
        <v>313</v>
      </c>
      <c r="B60" s="373"/>
      <c r="C60" s="374">
        <v>770.47</v>
      </c>
      <c r="D60" s="375"/>
      <c r="E60" s="374"/>
      <c r="F60" s="375"/>
      <c r="G60" s="668">
        <f>SUM(C60:F60)</f>
        <v>770.47</v>
      </c>
      <c r="H60" s="93"/>
      <c r="I60" s="552"/>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3"/>
      <c r="D61" s="175"/>
      <c r="E61" s="175"/>
      <c r="F61" s="175"/>
      <c r="G61" s="647"/>
      <c r="H61" s="93"/>
      <c r="I61" s="552"/>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60" t="s">
        <v>534</v>
      </c>
      <c r="B62" s="459"/>
      <c r="C62" s="434">
        <v>1000</v>
      </c>
      <c r="D62" s="435">
        <v>1000</v>
      </c>
      <c r="E62" s="435"/>
      <c r="F62" s="435"/>
      <c r="G62" s="669">
        <f>SUM(C62:F62)</f>
        <v>2000</v>
      </c>
      <c r="H62" s="93"/>
      <c r="I62" s="552"/>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73"/>
      <c r="B63" s="673"/>
      <c r="C63" s="433"/>
      <c r="D63" s="175"/>
      <c r="E63" s="175"/>
      <c r="F63" s="175"/>
      <c r="G63" s="647"/>
      <c r="H63" s="93"/>
      <c r="I63" s="552"/>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74" t="s">
        <v>346</v>
      </c>
      <c r="B64" s="675"/>
      <c r="C64" s="676">
        <v>5000</v>
      </c>
      <c r="D64" s="677"/>
      <c r="E64" s="677"/>
      <c r="F64" s="677"/>
      <c r="G64" s="678">
        <f>SUM(C64:F64)</f>
        <v>5000</v>
      </c>
      <c r="H64" s="93"/>
      <c r="I64" s="552"/>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73"/>
      <c r="B65" s="673"/>
      <c r="C65" s="433"/>
      <c r="D65" s="175"/>
      <c r="E65" s="175"/>
      <c r="F65" s="175"/>
      <c r="G65" s="647"/>
      <c r="H65" s="93"/>
      <c r="I65" s="552"/>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27" t="s">
        <v>475</v>
      </c>
      <c r="B66" s="728"/>
      <c r="C66" s="729">
        <f>4850.3</f>
        <v>4850.3</v>
      </c>
      <c r="D66" s="730"/>
      <c r="E66" s="730"/>
      <c r="F66" s="730"/>
      <c r="G66" s="731">
        <f>SUM(C66:F66)</f>
        <v>4850.3</v>
      </c>
      <c r="H66" s="93"/>
      <c r="I66" s="552"/>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73"/>
      <c r="B67" s="673"/>
      <c r="C67" s="433"/>
      <c r="D67" s="175"/>
      <c r="E67" s="175"/>
      <c r="F67" s="175"/>
      <c r="G67" s="647"/>
      <c r="H67" s="93"/>
      <c r="I67" s="552"/>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x14ac:dyDescent="0.25">
      <c r="A68" s="854" t="s">
        <v>536</v>
      </c>
      <c r="B68" s="855"/>
      <c r="C68" s="863">
        <v>11450</v>
      </c>
      <c r="D68" s="863"/>
      <c r="E68" s="863"/>
      <c r="F68" s="863"/>
      <c r="G68" s="856">
        <f>SUM(C68:F68)</f>
        <v>11450</v>
      </c>
      <c r="H68" s="93"/>
      <c r="I68" s="552"/>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customHeight="1" x14ac:dyDescent="0.25">
      <c r="A69" s="859" t="s">
        <v>424</v>
      </c>
      <c r="B69" s="860"/>
      <c r="C69" s="864">
        <v>9708.81</v>
      </c>
      <c r="D69" s="864">
        <v>8972.14</v>
      </c>
      <c r="E69" s="864"/>
      <c r="F69" s="864"/>
      <c r="G69" s="861">
        <f>SUM(C69:F69)</f>
        <v>18680.949999999997</v>
      </c>
      <c r="H69" s="93"/>
      <c r="I69" s="552"/>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thickBot="1" x14ac:dyDescent="0.3">
      <c r="A70" s="857"/>
      <c r="B70" s="862" t="s">
        <v>535</v>
      </c>
      <c r="C70" s="864">
        <f>C68+C69</f>
        <v>21158.809999999998</v>
      </c>
      <c r="D70" s="864">
        <f>D69</f>
        <v>8972.14</v>
      </c>
      <c r="E70" s="864"/>
      <c r="F70" s="864"/>
      <c r="G70" s="858">
        <f>SUM(C70:F70)</f>
        <v>30130.949999999997</v>
      </c>
      <c r="H70" s="93"/>
      <c r="I70" s="552"/>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5" customFormat="1" ht="12.75" customHeight="1" thickBot="1" x14ac:dyDescent="0.3">
      <c r="A71" s="119"/>
      <c r="B71" s="119"/>
      <c r="C71" s="170"/>
      <c r="D71" s="170"/>
      <c r="E71" s="170"/>
      <c r="F71" s="170"/>
      <c r="G71" s="658"/>
      <c r="H71" s="93"/>
      <c r="I71" s="552"/>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4"/>
      <c r="LR71" s="94"/>
      <c r="LS71" s="94"/>
      <c r="LT71" s="94"/>
      <c r="LU71" s="94"/>
      <c r="LV71" s="94"/>
      <c r="LW71" s="94"/>
      <c r="LX71" s="94"/>
      <c r="LY71" s="94"/>
      <c r="LZ71" s="94"/>
      <c r="MA71" s="94"/>
      <c r="MB71" s="94"/>
      <c r="MC71" s="94"/>
      <c r="MD71" s="94"/>
      <c r="ME71" s="94"/>
      <c r="MF71" s="94"/>
      <c r="MG71" s="94"/>
      <c r="MH71" s="94"/>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4"/>
      <c r="SD71" s="94"/>
      <c r="SE71" s="94"/>
      <c r="SF71" s="94"/>
      <c r="SG71" s="94"/>
      <c r="SH71" s="94"/>
      <c r="SI71" s="94"/>
      <c r="SJ71" s="94"/>
      <c r="SK71" s="94"/>
      <c r="SL71" s="94"/>
      <c r="SM71" s="94"/>
      <c r="SN71" s="94"/>
      <c r="SO71" s="94"/>
      <c r="SP71" s="94"/>
      <c r="SQ71" s="94"/>
      <c r="SR71" s="94"/>
      <c r="SS71" s="94"/>
      <c r="ST71" s="94"/>
      <c r="SU71" s="94"/>
      <c r="SV71" s="94"/>
      <c r="SW71" s="94"/>
      <c r="SX71" s="94"/>
      <c r="SY71" s="94"/>
      <c r="SZ71" s="94"/>
      <c r="TA71" s="94"/>
      <c r="TB71" s="94"/>
      <c r="TC71" s="94"/>
      <c r="TD71" s="94"/>
      <c r="TE71" s="94"/>
      <c r="TF71" s="94"/>
      <c r="TG71" s="94"/>
      <c r="TH71" s="94"/>
      <c r="TI71" s="94"/>
      <c r="TJ71" s="94"/>
      <c r="TK71" s="94"/>
      <c r="TL71" s="94"/>
      <c r="TM71" s="94"/>
      <c r="TN71" s="94"/>
      <c r="TO71" s="94"/>
      <c r="TP71" s="94"/>
      <c r="TQ71" s="94"/>
      <c r="TR71" s="94"/>
      <c r="TS71" s="94"/>
      <c r="TT71" s="94"/>
      <c r="TU71" s="94"/>
      <c r="TV71" s="94"/>
      <c r="TW71" s="94"/>
      <c r="TX71" s="94"/>
      <c r="TY71" s="94"/>
      <c r="TZ71" s="94"/>
      <c r="UA71" s="94"/>
      <c r="UB71" s="94"/>
      <c r="UC71" s="94"/>
      <c r="UD71" s="94"/>
      <c r="UE71" s="94"/>
      <c r="UF71" s="94"/>
      <c r="UG71" s="94"/>
      <c r="UH71" s="94"/>
      <c r="UI71" s="94"/>
      <c r="UJ71" s="94"/>
      <c r="UK71" s="94"/>
      <c r="UL71" s="94"/>
      <c r="UM71" s="94"/>
      <c r="UN71" s="94"/>
      <c r="UO71" s="94"/>
      <c r="UP71" s="94"/>
      <c r="UQ71" s="94"/>
      <c r="UR71" s="94"/>
      <c r="US71" s="94"/>
      <c r="UT71" s="94"/>
      <c r="UU71" s="94"/>
      <c r="UV71" s="94"/>
      <c r="UW71" s="94"/>
      <c r="UX71" s="94"/>
      <c r="UY71" s="94"/>
      <c r="UZ71" s="94"/>
      <c r="VA71" s="94"/>
      <c r="VB71" s="94"/>
      <c r="VC71" s="94"/>
      <c r="VD71" s="94"/>
      <c r="VE71" s="94"/>
      <c r="VF71" s="94"/>
      <c r="VG71" s="94"/>
      <c r="VH71" s="94"/>
      <c r="VI71" s="94"/>
      <c r="VJ71" s="94"/>
      <c r="VK71" s="94"/>
      <c r="VL71" s="94"/>
      <c r="VM71" s="94"/>
      <c r="VN71" s="94"/>
      <c r="VO71" s="94"/>
      <c r="VP71" s="94"/>
      <c r="VQ71" s="94"/>
      <c r="VR71" s="94"/>
      <c r="VS71" s="94"/>
      <c r="VT71" s="94"/>
      <c r="VU71" s="94"/>
      <c r="VV71" s="94"/>
      <c r="VW71" s="94"/>
      <c r="VX71" s="94"/>
      <c r="VY71" s="94"/>
      <c r="VZ71" s="94"/>
      <c r="WA71" s="94"/>
      <c r="WB71" s="94"/>
      <c r="WC71" s="94"/>
      <c r="WD71" s="94"/>
      <c r="WE71" s="94"/>
      <c r="WF71" s="94"/>
      <c r="WG71" s="94"/>
      <c r="WH71" s="94"/>
      <c r="WI71" s="94"/>
      <c r="WJ71" s="94"/>
      <c r="WK71" s="94"/>
      <c r="WL71" s="94"/>
      <c r="WM71" s="94"/>
      <c r="WN71" s="94"/>
      <c r="WO71" s="94"/>
      <c r="WP71" s="94"/>
      <c r="WQ71" s="94"/>
      <c r="WR71" s="94"/>
      <c r="WS71" s="94"/>
      <c r="WT71" s="94"/>
      <c r="WU71" s="94"/>
      <c r="WV71" s="94"/>
      <c r="WW71" s="94"/>
      <c r="WX71" s="94"/>
      <c r="WY71" s="94"/>
      <c r="WZ71" s="94"/>
      <c r="XA71" s="94"/>
      <c r="XB71" s="94"/>
      <c r="XC71" s="94"/>
      <c r="XD71" s="94"/>
      <c r="XE71" s="94"/>
      <c r="XF71" s="94"/>
      <c r="XG71" s="94"/>
      <c r="XH71" s="94"/>
      <c r="XI71" s="94"/>
      <c r="XJ71" s="94"/>
      <c r="XK71" s="94"/>
      <c r="XL71" s="94"/>
      <c r="XM71" s="94"/>
      <c r="XN71" s="94"/>
      <c r="XO71" s="94"/>
      <c r="XP71" s="94"/>
      <c r="XQ71" s="94"/>
      <c r="XR71" s="94"/>
      <c r="XS71" s="94"/>
      <c r="XT71" s="94"/>
      <c r="XU71" s="94"/>
      <c r="XV71" s="94"/>
      <c r="XW71" s="94"/>
      <c r="XX71" s="94"/>
      <c r="XY71" s="94"/>
      <c r="XZ71" s="94"/>
      <c r="YA71" s="94"/>
      <c r="YB71" s="94"/>
      <c r="YC71" s="94"/>
      <c r="YD71" s="94"/>
      <c r="YE71" s="94"/>
      <c r="YF71" s="94"/>
      <c r="YG71" s="94"/>
      <c r="YH71" s="94"/>
      <c r="YI71" s="94"/>
      <c r="YJ71" s="94"/>
      <c r="YK71" s="94"/>
      <c r="YL71" s="94"/>
      <c r="YM71" s="94"/>
      <c r="YN71" s="94"/>
      <c r="YO71" s="94"/>
      <c r="YP71" s="94"/>
      <c r="YQ71" s="94"/>
      <c r="YR71" s="94"/>
      <c r="YS71" s="94"/>
      <c r="YT71" s="94"/>
      <c r="YU71" s="94"/>
      <c r="YV71" s="94"/>
      <c r="YW71" s="94"/>
      <c r="YX71" s="94"/>
      <c r="YY71" s="94"/>
      <c r="YZ71" s="94"/>
      <c r="ZA71" s="94"/>
      <c r="ZB71" s="94"/>
      <c r="ZC71" s="94"/>
      <c r="ZD71" s="94"/>
      <c r="ZE71" s="94"/>
      <c r="ZF71" s="94"/>
      <c r="ZG71" s="94"/>
      <c r="ZH71" s="94"/>
      <c r="ZI71" s="94"/>
      <c r="ZJ71" s="94"/>
      <c r="ZK71" s="94"/>
      <c r="ZL71" s="94"/>
      <c r="ZM71" s="94"/>
      <c r="ZN71" s="94"/>
      <c r="ZO71" s="94"/>
      <c r="ZP71" s="94"/>
      <c r="ZQ71" s="94"/>
      <c r="ZR71" s="94"/>
      <c r="ZS71" s="94"/>
      <c r="ZT71" s="94"/>
      <c r="ZU71" s="94"/>
      <c r="ZV71" s="94"/>
      <c r="ZW71" s="94"/>
      <c r="ZX71" s="94"/>
      <c r="ZY71" s="94"/>
      <c r="ZZ71" s="94"/>
      <c r="AAA71" s="94"/>
      <c r="AAB71" s="94"/>
      <c r="AAC71" s="94"/>
      <c r="AAD71" s="94"/>
      <c r="AAE71" s="94"/>
      <c r="AAF71" s="94"/>
      <c r="AAG71" s="94"/>
      <c r="AAH71" s="94"/>
      <c r="AAI71" s="94"/>
      <c r="AAJ71" s="94"/>
      <c r="AAK71" s="94"/>
      <c r="AAL71" s="94"/>
      <c r="AAM71" s="94"/>
      <c r="AAN71" s="94"/>
      <c r="AAO71" s="94"/>
      <c r="AAP71" s="94"/>
      <c r="AAQ71" s="94"/>
      <c r="AAR71" s="94"/>
      <c r="AAS71" s="94"/>
      <c r="AAT71" s="94"/>
      <c r="AAU71" s="94"/>
      <c r="AAV71" s="94"/>
      <c r="AAW71" s="94"/>
      <c r="AAX71" s="94"/>
      <c r="AAY71" s="94"/>
      <c r="AAZ71" s="94"/>
      <c r="ABA71" s="94"/>
      <c r="ABB71" s="94"/>
      <c r="ABC71" s="94"/>
      <c r="ABD71" s="94"/>
      <c r="ABE71" s="94"/>
      <c r="ABF71" s="94"/>
      <c r="ABG71" s="94"/>
      <c r="ABH71" s="94"/>
      <c r="ABI71" s="94"/>
      <c r="ABJ71" s="94"/>
      <c r="ABK71" s="94"/>
      <c r="ABL71" s="94"/>
      <c r="ABM71" s="94"/>
      <c r="ABN71" s="94"/>
      <c r="ABO71" s="94"/>
      <c r="ABP71" s="94"/>
      <c r="ABQ71" s="94"/>
      <c r="ABR71" s="94"/>
      <c r="ABS71" s="94"/>
      <c r="ABT71" s="94"/>
      <c r="ABU71" s="94"/>
      <c r="ABV71" s="94"/>
      <c r="ABW71" s="94"/>
      <c r="ABX71" s="94"/>
      <c r="ABY71" s="94"/>
      <c r="ABZ71" s="94"/>
      <c r="ACA71" s="94"/>
      <c r="ACB71" s="94"/>
      <c r="ACC71" s="94"/>
      <c r="ACD71" s="94"/>
      <c r="ACE71" s="94"/>
      <c r="ACF71" s="94"/>
      <c r="ACG71" s="94"/>
      <c r="ACH71" s="94"/>
      <c r="ACI71" s="94"/>
      <c r="ACJ71" s="94"/>
      <c r="ACK71" s="94"/>
      <c r="ACL71" s="94"/>
      <c r="ACM71" s="94"/>
      <c r="ACN71" s="94"/>
      <c r="ACO71" s="94"/>
      <c r="ACP71" s="94"/>
      <c r="ACQ71" s="94"/>
      <c r="ACR71" s="94"/>
      <c r="ACS71" s="94"/>
      <c r="ACT71" s="94"/>
      <c r="ACU71" s="94"/>
      <c r="ACV71" s="94"/>
      <c r="ACW71" s="94"/>
      <c r="ACX71" s="94"/>
      <c r="ACY71" s="94"/>
      <c r="ACZ71" s="94"/>
      <c r="ADA71" s="94"/>
      <c r="ADB71" s="94"/>
      <c r="ADC71" s="94"/>
      <c r="ADD71" s="94"/>
      <c r="ADE71" s="94"/>
      <c r="ADF71" s="94"/>
      <c r="ADG71" s="94"/>
      <c r="ADH71" s="94"/>
      <c r="ADI71" s="94"/>
      <c r="ADJ71" s="94"/>
      <c r="ADK71" s="94"/>
      <c r="ADL71" s="94"/>
      <c r="ADM71" s="94"/>
      <c r="ADN71" s="94"/>
      <c r="ADO71" s="94"/>
      <c r="ADP71" s="94"/>
      <c r="ADQ71" s="94"/>
      <c r="ADR71" s="94"/>
      <c r="ADS71" s="94"/>
      <c r="ADT71" s="94"/>
      <c r="ADU71" s="94"/>
      <c r="ADV71" s="94"/>
      <c r="ADW71" s="94"/>
      <c r="ADX71" s="94"/>
      <c r="ADY71" s="94"/>
      <c r="ADZ71" s="94"/>
      <c r="AEA71" s="94"/>
      <c r="AEB71" s="94"/>
      <c r="AEC71" s="94"/>
      <c r="AED71" s="94"/>
      <c r="AEE71" s="94"/>
      <c r="AEF71" s="94"/>
      <c r="AEG71" s="94"/>
      <c r="AEH71" s="94"/>
      <c r="AEI71" s="94"/>
      <c r="AEJ71" s="94"/>
      <c r="AEK71" s="94"/>
      <c r="AEL71" s="94"/>
      <c r="AEM71" s="94"/>
      <c r="AEN71" s="94"/>
      <c r="AEO71" s="94"/>
      <c r="AEP71" s="94"/>
      <c r="AEQ71" s="94"/>
      <c r="AER71" s="94"/>
      <c r="AES71" s="94"/>
      <c r="AET71" s="94"/>
      <c r="AEU71" s="94"/>
      <c r="AEV71" s="94"/>
      <c r="AEW71" s="94"/>
      <c r="AEX71" s="94"/>
      <c r="AEY71" s="94"/>
      <c r="AEZ71" s="94"/>
      <c r="AFA71" s="94"/>
      <c r="AFB71" s="94"/>
      <c r="AFC71" s="94"/>
      <c r="AFD71" s="94"/>
      <c r="AFE71" s="94"/>
      <c r="AFF71" s="94"/>
      <c r="AFG71" s="94"/>
      <c r="AFH71" s="94"/>
      <c r="AFI71" s="94"/>
      <c r="AFJ71" s="94"/>
      <c r="AFK71" s="94"/>
      <c r="AFL71" s="94"/>
      <c r="AFM71" s="94"/>
      <c r="AFN71" s="94"/>
      <c r="AFO71" s="94"/>
      <c r="AFP71" s="94"/>
      <c r="AFQ71" s="94"/>
      <c r="AFR71" s="94"/>
      <c r="AFS71" s="94"/>
      <c r="AFT71" s="94"/>
      <c r="AFU71" s="94"/>
      <c r="AFV71" s="94"/>
      <c r="AFW71" s="94"/>
      <c r="AFX71" s="94"/>
      <c r="AFY71" s="94"/>
      <c r="AFZ71" s="94"/>
      <c r="AGA71" s="94"/>
      <c r="AGB71" s="94"/>
      <c r="AGC71" s="94"/>
      <c r="AGD71" s="94"/>
      <c r="AGE71" s="94"/>
      <c r="AGF71" s="94"/>
      <c r="AGG71" s="94"/>
      <c r="AGH71" s="94"/>
      <c r="AGI71" s="94"/>
      <c r="AGJ71" s="94"/>
      <c r="AGK71" s="94"/>
      <c r="AGL71" s="94"/>
      <c r="AGM71" s="94"/>
      <c r="AGN71" s="94"/>
      <c r="AGO71" s="94"/>
      <c r="AGP71" s="94"/>
      <c r="AGQ71" s="94"/>
      <c r="AGR71" s="94"/>
      <c r="AGS71" s="94"/>
      <c r="AGT71" s="94"/>
      <c r="AGU71" s="94"/>
      <c r="AGV71" s="94"/>
      <c r="AGW71" s="94"/>
      <c r="AGX71" s="94"/>
      <c r="AGY71" s="94"/>
      <c r="AGZ71" s="94"/>
      <c r="AHA71" s="94"/>
      <c r="AHB71" s="94"/>
      <c r="AHC71" s="94"/>
      <c r="AHD71" s="94"/>
      <c r="AHE71" s="94"/>
      <c r="AHF71" s="94"/>
      <c r="AHG71" s="94"/>
      <c r="AHH71" s="94"/>
      <c r="AHI71" s="94"/>
      <c r="AHJ71" s="94"/>
      <c r="AHK71" s="94"/>
      <c r="AHL71" s="94"/>
      <c r="AHM71" s="94"/>
      <c r="AHN71" s="94"/>
      <c r="AHO71" s="94"/>
      <c r="AHP71" s="94"/>
      <c r="AHQ71" s="94"/>
      <c r="AHR71" s="94"/>
      <c r="AHS71" s="94"/>
      <c r="AHT71" s="94"/>
      <c r="AHU71" s="94"/>
      <c r="AHV71" s="94"/>
      <c r="AHW71" s="94"/>
      <c r="AHX71" s="94"/>
      <c r="AHY71" s="94"/>
      <c r="AHZ71" s="94"/>
      <c r="AIA71" s="94"/>
      <c r="AIB71" s="94"/>
      <c r="AIC71" s="94"/>
      <c r="AID71" s="94"/>
      <c r="AIE71" s="94"/>
      <c r="AIF71" s="94"/>
      <c r="AIG71" s="94"/>
      <c r="AIH71" s="94"/>
      <c r="AII71" s="94"/>
      <c r="AIJ71" s="94"/>
      <c r="AIK71" s="94"/>
      <c r="AIL71" s="94"/>
      <c r="AIM71" s="94"/>
      <c r="AIN71" s="94"/>
      <c r="AIO71" s="94"/>
      <c r="AIP71" s="94"/>
      <c r="AIQ71" s="94"/>
      <c r="AIR71" s="94"/>
      <c r="AIS71" s="94"/>
      <c r="AIT71" s="94"/>
      <c r="AIU71" s="94"/>
      <c r="AIV71" s="94"/>
      <c r="AIW71" s="94"/>
      <c r="AIX71" s="94"/>
      <c r="AIY71" s="94"/>
      <c r="AIZ71" s="94"/>
      <c r="AJA71" s="94"/>
      <c r="AJB71" s="94"/>
      <c r="AJC71" s="94"/>
      <c r="AJD71" s="94"/>
      <c r="AJE71" s="94"/>
      <c r="AJF71" s="94"/>
      <c r="AJG71" s="94"/>
      <c r="AJH71" s="94"/>
      <c r="AJI71" s="94"/>
      <c r="AJJ71" s="94"/>
      <c r="AJK71" s="94"/>
      <c r="AJL71" s="94"/>
      <c r="AJM71" s="94"/>
      <c r="AJN71" s="94"/>
      <c r="AJO71" s="94"/>
      <c r="AJP71" s="94"/>
      <c r="AJQ71" s="94"/>
      <c r="AJR71" s="94"/>
      <c r="AJS71" s="94"/>
      <c r="AJT71" s="94"/>
      <c r="AJU71" s="94"/>
      <c r="AJV71" s="94"/>
      <c r="AJW71" s="94"/>
      <c r="AJX71" s="94"/>
      <c r="AJY71" s="94"/>
      <c r="AJZ71" s="94"/>
      <c r="AKA71" s="94"/>
      <c r="AKB71" s="94"/>
      <c r="AKC71" s="94"/>
      <c r="AKD71" s="94"/>
      <c r="AKE71" s="94"/>
      <c r="AKF71" s="94"/>
      <c r="AKG71" s="94"/>
      <c r="AKH71" s="94"/>
      <c r="AKI71" s="94"/>
      <c r="AKJ71" s="94"/>
      <c r="AKK71" s="94"/>
      <c r="AKL71" s="94"/>
      <c r="AKM71" s="94"/>
      <c r="AKN71" s="94"/>
      <c r="AKO71" s="94"/>
      <c r="AKP71" s="94"/>
      <c r="AKQ71" s="94"/>
      <c r="AKR71" s="94"/>
      <c r="AKS71" s="94"/>
      <c r="AKT71" s="94"/>
      <c r="AKU71" s="94"/>
      <c r="AKV71" s="94"/>
      <c r="AKW71" s="94"/>
      <c r="AKX71" s="94"/>
      <c r="AKY71" s="94"/>
      <c r="AKZ71" s="94"/>
      <c r="ALA71" s="94"/>
      <c r="ALB71" s="94"/>
      <c r="ALC71" s="94"/>
      <c r="ALD71" s="94"/>
      <c r="ALE71" s="94"/>
      <c r="ALF71" s="94"/>
      <c r="ALG71" s="94"/>
      <c r="ALH71" s="94"/>
      <c r="ALI71" s="94"/>
      <c r="ALJ71" s="94"/>
      <c r="ALK71" s="94"/>
      <c r="ALL71" s="94"/>
      <c r="ALM71" s="94"/>
      <c r="ALN71" s="94"/>
      <c r="ALO71" s="94"/>
      <c r="ALP71" s="94"/>
      <c r="ALQ71" s="94"/>
      <c r="ALR71" s="94"/>
      <c r="ALS71" s="94"/>
      <c r="ALT71" s="94"/>
      <c r="ALU71" s="94"/>
      <c r="ALV71" s="94"/>
      <c r="ALW71" s="94"/>
      <c r="ALX71" s="94"/>
      <c r="ALY71" s="94"/>
      <c r="ALZ71" s="94"/>
      <c r="AMA71" s="94"/>
      <c r="AMB71" s="94"/>
      <c r="AMC71" s="94"/>
      <c r="AMD71" s="94"/>
      <c r="AME71" s="94"/>
      <c r="AMF71" s="94"/>
      <c r="AMG71" s="94"/>
      <c r="AMH71" s="94"/>
      <c r="AMI71" s="94"/>
      <c r="AMJ71" s="94"/>
      <c r="AMK71" s="94"/>
      <c r="AML71" s="94"/>
      <c r="AMM71" s="94"/>
      <c r="AMN71" s="94"/>
      <c r="AMO71" s="94"/>
      <c r="AMP71" s="94"/>
      <c r="AMQ71" s="94"/>
      <c r="AMR71" s="94"/>
      <c r="AMS71" s="94"/>
      <c r="AMT71" s="94"/>
      <c r="AMU71" s="94"/>
      <c r="AMV71" s="94"/>
      <c r="AMW71" s="94"/>
      <c r="AMX71" s="94"/>
      <c r="AMY71" s="94"/>
      <c r="AMZ71" s="94"/>
      <c r="ANA71" s="94"/>
      <c r="ANB71" s="94"/>
      <c r="ANC71" s="94"/>
      <c r="AND71" s="94"/>
      <c r="ANE71" s="94"/>
      <c r="ANF71" s="94"/>
      <c r="ANG71" s="94"/>
      <c r="ANH71" s="94"/>
      <c r="ANI71" s="94"/>
      <c r="ANJ71" s="94"/>
      <c r="ANK71" s="94"/>
      <c r="ANL71" s="94"/>
      <c r="ANM71" s="94"/>
      <c r="ANN71" s="94"/>
      <c r="ANO71" s="94"/>
      <c r="ANP71" s="94"/>
      <c r="ANQ71" s="94"/>
      <c r="ANR71" s="94"/>
      <c r="ANS71" s="94"/>
      <c r="ANT71" s="94"/>
      <c r="ANU71" s="94"/>
      <c r="ANV71" s="94"/>
      <c r="ANW71" s="94"/>
      <c r="ANX71" s="94"/>
      <c r="ANY71" s="94"/>
      <c r="ANZ71" s="94"/>
      <c r="AOA71" s="94"/>
      <c r="AOB71" s="94"/>
      <c r="AOC71" s="94"/>
      <c r="AOD71" s="94"/>
      <c r="AOE71" s="94"/>
      <c r="AOF71" s="94"/>
      <c r="AOG71" s="94"/>
      <c r="AOH71" s="94"/>
      <c r="AOI71" s="94"/>
      <c r="AOJ71" s="94"/>
      <c r="AOK71" s="94"/>
      <c r="AOL71" s="94"/>
      <c r="AOM71" s="94"/>
      <c r="AON71" s="94"/>
      <c r="AOO71" s="94"/>
      <c r="AOP71" s="94"/>
      <c r="AOQ71" s="94"/>
      <c r="AOR71" s="94"/>
      <c r="AOS71" s="94"/>
      <c r="AOT71" s="94"/>
      <c r="AOU71" s="94"/>
      <c r="AOV71" s="94"/>
      <c r="AOW71" s="94"/>
      <c r="AOX71" s="94"/>
      <c r="AOY71" s="94"/>
      <c r="AOZ71" s="94"/>
      <c r="APA71" s="94"/>
      <c r="APB71" s="94"/>
      <c r="APC71" s="94"/>
      <c r="APD71" s="94"/>
      <c r="APE71" s="94"/>
      <c r="APF71" s="94"/>
      <c r="APG71" s="94"/>
      <c r="APH71" s="94"/>
      <c r="API71" s="94"/>
      <c r="APJ71" s="94"/>
      <c r="APK71" s="94"/>
      <c r="APL71" s="94"/>
      <c r="APM71" s="94"/>
      <c r="APN71" s="94"/>
      <c r="APO71" s="94"/>
      <c r="APP71" s="94"/>
      <c r="APQ71" s="94"/>
      <c r="APR71" s="94"/>
      <c r="APS71" s="94"/>
      <c r="APT71" s="94"/>
      <c r="APU71" s="94"/>
      <c r="APV71" s="94"/>
      <c r="APW71" s="94"/>
      <c r="APX71" s="94"/>
      <c r="APY71" s="94"/>
      <c r="APZ71" s="94"/>
      <c r="AQA71" s="94"/>
      <c r="AQB71" s="94"/>
      <c r="AQC71" s="94"/>
      <c r="AQD71" s="94"/>
      <c r="AQE71" s="94"/>
      <c r="AQF71" s="94"/>
      <c r="AQG71" s="94"/>
      <c r="AQH71" s="94"/>
      <c r="AQI71" s="94"/>
      <c r="AQJ71" s="94"/>
      <c r="AQK71" s="94"/>
      <c r="AQL71" s="94"/>
      <c r="AQM71" s="94"/>
      <c r="AQN71" s="94"/>
      <c r="AQO71" s="94"/>
      <c r="AQP71" s="94"/>
      <c r="AQQ71" s="94"/>
      <c r="AQR71" s="94"/>
      <c r="AQS71" s="94"/>
      <c r="AQT71" s="94"/>
      <c r="AQU71" s="94"/>
      <c r="AQV71" s="94"/>
      <c r="AQW71" s="94"/>
      <c r="AQX71" s="94"/>
      <c r="AQY71" s="94"/>
      <c r="AQZ71" s="94"/>
      <c r="ARA71" s="94"/>
      <c r="ARB71" s="94"/>
      <c r="ARC71" s="94"/>
      <c r="ARD71" s="94"/>
      <c r="ARE71" s="94"/>
      <c r="ARF71" s="94"/>
      <c r="ARG71" s="94"/>
      <c r="ARH71" s="94"/>
      <c r="ARI71" s="94"/>
      <c r="ARJ71" s="94"/>
      <c r="ARK71" s="94"/>
      <c r="ARL71" s="94"/>
      <c r="ARM71" s="94"/>
      <c r="ARN71" s="94"/>
      <c r="ARO71" s="94"/>
      <c r="ARP71" s="94"/>
      <c r="ARQ71" s="94"/>
      <c r="ARR71" s="94"/>
      <c r="ARS71" s="94"/>
      <c r="ART71" s="94"/>
      <c r="ARU71" s="94"/>
      <c r="ARV71" s="94"/>
      <c r="ARW71" s="94"/>
      <c r="ARX71" s="94"/>
      <c r="ARY71" s="94"/>
      <c r="ARZ71" s="94"/>
      <c r="ASA71" s="94"/>
      <c r="ASB71" s="94"/>
      <c r="ASC71" s="94"/>
      <c r="ASD71" s="94"/>
      <c r="ASE71" s="94"/>
      <c r="ASF71" s="94"/>
      <c r="ASG71" s="94"/>
      <c r="ASH71" s="94"/>
      <c r="ASI71" s="94"/>
      <c r="ASJ71" s="94"/>
      <c r="ASK71" s="94"/>
      <c r="ASL71" s="94"/>
      <c r="ASM71" s="94"/>
      <c r="ASN71" s="94"/>
      <c r="ASO71" s="94"/>
      <c r="ASP71" s="94"/>
      <c r="ASQ71" s="94"/>
      <c r="ASR71" s="94"/>
      <c r="ASS71" s="94"/>
      <c r="AST71" s="94"/>
      <c r="ASU71" s="94"/>
      <c r="ASV71" s="94"/>
      <c r="ASW71" s="94"/>
      <c r="ASX71" s="94"/>
      <c r="ASY71" s="94"/>
      <c r="ASZ71" s="94"/>
      <c r="ATA71" s="94"/>
      <c r="ATB71" s="94"/>
      <c r="ATC71" s="94"/>
      <c r="ATD71" s="94"/>
      <c r="ATE71" s="94"/>
      <c r="ATF71" s="94"/>
      <c r="ATG71" s="94"/>
      <c r="ATH71" s="94"/>
      <c r="ATI71" s="94"/>
      <c r="ATJ71" s="94"/>
      <c r="ATK71" s="94"/>
      <c r="ATL71" s="94"/>
      <c r="ATM71" s="94"/>
      <c r="ATN71" s="94"/>
      <c r="ATO71" s="94"/>
      <c r="ATP71" s="94"/>
      <c r="ATQ71" s="94"/>
      <c r="ATR71" s="94"/>
      <c r="ATS71" s="94"/>
      <c r="ATT71" s="94"/>
      <c r="ATU71" s="94"/>
      <c r="ATV71" s="94"/>
      <c r="ATW71" s="94"/>
      <c r="ATX71" s="94"/>
      <c r="ATY71" s="94"/>
      <c r="ATZ71" s="94"/>
      <c r="AUA71" s="94"/>
      <c r="AUB71" s="94"/>
      <c r="AUC71" s="94"/>
      <c r="AUD71" s="94"/>
      <c r="AUE71" s="94"/>
      <c r="AUF71" s="94"/>
      <c r="AUG71" s="94"/>
      <c r="AUH71" s="94"/>
      <c r="AUI71" s="94"/>
      <c r="AUJ71" s="94"/>
      <c r="AUK71" s="94"/>
      <c r="AUL71" s="94"/>
      <c r="AUM71" s="94"/>
      <c r="AUN71" s="94"/>
      <c r="AUO71" s="94"/>
      <c r="AUP71" s="94"/>
      <c r="AUQ71" s="94"/>
      <c r="AUR71" s="94"/>
      <c r="AUS71" s="94"/>
      <c r="AUT71" s="94"/>
      <c r="AUU71" s="94"/>
      <c r="AUV71" s="94"/>
      <c r="AUW71" s="94"/>
      <c r="AUX71" s="94"/>
      <c r="AUY71" s="94"/>
      <c r="AUZ71" s="94"/>
      <c r="AVA71" s="94"/>
      <c r="AVB71" s="94"/>
      <c r="AVC71" s="94"/>
      <c r="AVD71" s="94"/>
      <c r="AVE71" s="94"/>
      <c r="AVF71" s="94"/>
      <c r="AVG71" s="94"/>
      <c r="AVH71" s="94"/>
      <c r="AVI71" s="94"/>
      <c r="AVJ71" s="94"/>
      <c r="AVK71" s="94"/>
      <c r="AVL71" s="94"/>
      <c r="AVM71" s="94"/>
      <c r="AVN71" s="94"/>
      <c r="AVO71" s="94"/>
      <c r="AVP71" s="94"/>
      <c r="AVQ71" s="94"/>
      <c r="AVR71" s="94"/>
      <c r="AVS71" s="94"/>
      <c r="AVT71" s="94"/>
      <c r="AVU71" s="94"/>
      <c r="AVV71" s="94"/>
      <c r="AVW71" s="94"/>
      <c r="AVX71" s="94"/>
      <c r="AVY71" s="94"/>
      <c r="AVZ71" s="94"/>
      <c r="AWA71" s="94"/>
      <c r="AWB71" s="94"/>
      <c r="AWC71" s="94"/>
      <c r="AWD71" s="94"/>
      <c r="AWE71" s="94"/>
      <c r="AWF71" s="94"/>
      <c r="AWG71" s="94"/>
      <c r="AWH71" s="94"/>
      <c r="AWI71" s="94"/>
      <c r="AWJ71" s="94"/>
      <c r="AWK71" s="94"/>
      <c r="AWL71" s="94"/>
      <c r="AWM71" s="94"/>
      <c r="AWN71" s="94"/>
      <c r="AWO71" s="94"/>
      <c r="AWP71" s="94"/>
      <c r="AWQ71" s="94"/>
      <c r="AWR71" s="94"/>
      <c r="AWS71" s="94"/>
      <c r="AWT71" s="94"/>
      <c r="AWU71" s="94"/>
      <c r="AWV71" s="94"/>
      <c r="AWW71" s="94"/>
      <c r="AWX71" s="94"/>
      <c r="AWY71" s="94"/>
      <c r="AWZ71" s="94"/>
      <c r="AXA71" s="94"/>
      <c r="AXB71" s="94"/>
      <c r="AXC71" s="94"/>
      <c r="AXD71" s="94"/>
      <c r="AXE71" s="94"/>
      <c r="AXF71" s="94"/>
      <c r="AXG71" s="94"/>
      <c r="AXH71" s="94"/>
      <c r="AXI71" s="94"/>
      <c r="AXJ71" s="94"/>
      <c r="AXK71" s="94"/>
      <c r="AXL71" s="94"/>
      <c r="AXM71" s="94"/>
      <c r="AXN71" s="94"/>
      <c r="AXO71" s="94"/>
      <c r="AXP71" s="94"/>
      <c r="AXQ71" s="94"/>
      <c r="AXR71" s="94"/>
      <c r="AXS71" s="94"/>
      <c r="AXT71" s="94"/>
      <c r="AXU71" s="94"/>
      <c r="AXV71" s="94"/>
      <c r="AXW71" s="94"/>
      <c r="AXX71" s="94"/>
      <c r="AXY71" s="94"/>
      <c r="AXZ71" s="94"/>
      <c r="AYA71" s="94"/>
      <c r="AYB71" s="94"/>
      <c r="AYC71" s="94"/>
      <c r="AYD71" s="94"/>
      <c r="AYE71" s="94"/>
      <c r="AYF71" s="94"/>
      <c r="AYG71" s="94"/>
      <c r="AYH71" s="94"/>
      <c r="AYI71" s="94"/>
      <c r="AYJ71" s="94"/>
      <c r="AYK71" s="94"/>
      <c r="AYL71" s="94"/>
      <c r="AYM71" s="94"/>
      <c r="AYN71" s="94"/>
      <c r="AYO71" s="94"/>
      <c r="AYP71" s="94"/>
      <c r="AYQ71" s="94"/>
      <c r="AYR71" s="94"/>
      <c r="AYS71" s="94"/>
      <c r="AYT71" s="94"/>
      <c r="AYU71" s="94"/>
      <c r="AYV71" s="94"/>
      <c r="AYW71" s="94"/>
      <c r="AYX71" s="94"/>
      <c r="AYY71" s="94"/>
      <c r="AYZ71" s="94"/>
      <c r="AZA71" s="94"/>
      <c r="AZB71" s="94"/>
      <c r="AZC71" s="94"/>
      <c r="AZD71" s="94"/>
      <c r="AZE71" s="94"/>
      <c r="AZF71" s="94"/>
      <c r="AZG71" s="94"/>
      <c r="AZH71" s="94"/>
      <c r="AZI71" s="94"/>
      <c r="AZJ71" s="94"/>
      <c r="AZK71" s="94"/>
      <c r="AZL71" s="94"/>
      <c r="AZM71" s="94"/>
      <c r="AZN71" s="94"/>
      <c r="AZO71" s="94"/>
      <c r="AZP71" s="94"/>
      <c r="AZQ71" s="94"/>
      <c r="AZR71" s="94"/>
      <c r="AZS71" s="94"/>
      <c r="AZT71" s="94"/>
      <c r="AZU71" s="94"/>
      <c r="AZV71" s="94"/>
      <c r="AZW71" s="94"/>
      <c r="AZX71" s="94"/>
      <c r="AZY71" s="94"/>
      <c r="AZZ71" s="94"/>
      <c r="BAA71" s="94"/>
      <c r="BAB71" s="94"/>
      <c r="BAC71" s="94"/>
      <c r="BAD71" s="94"/>
      <c r="BAE71" s="94"/>
      <c r="BAF71" s="94"/>
      <c r="BAG71" s="94"/>
      <c r="BAH71" s="94"/>
      <c r="BAI71" s="94"/>
      <c r="BAJ71" s="94"/>
      <c r="BAK71" s="94"/>
      <c r="BAL71" s="94"/>
      <c r="BAM71" s="94"/>
      <c r="BAN71" s="94"/>
      <c r="BAO71" s="94"/>
      <c r="BAP71" s="94"/>
      <c r="BAQ71" s="94"/>
      <c r="BAR71" s="94"/>
      <c r="BAS71" s="94"/>
      <c r="BAT71" s="94"/>
      <c r="BAU71" s="94"/>
      <c r="BAV71" s="94"/>
      <c r="BAW71" s="94"/>
      <c r="BAX71" s="94"/>
      <c r="BAY71" s="94"/>
      <c r="BAZ71" s="94"/>
      <c r="BBA71" s="94"/>
      <c r="BBB71" s="94"/>
      <c r="BBC71" s="94"/>
      <c r="BBD71" s="94"/>
      <c r="BBE71" s="94"/>
      <c r="BBF71" s="94"/>
      <c r="BBG71" s="94"/>
      <c r="BBH71" s="94"/>
      <c r="BBI71" s="94"/>
      <c r="BBJ71" s="94"/>
      <c r="BBK71" s="94"/>
      <c r="BBL71" s="94"/>
      <c r="BBM71" s="94"/>
      <c r="BBN71" s="94"/>
      <c r="BBO71" s="94"/>
      <c r="BBP71" s="94"/>
      <c r="BBQ71" s="94"/>
      <c r="BBR71" s="94"/>
      <c r="BBS71" s="94"/>
      <c r="BBT71" s="94"/>
      <c r="BBU71" s="94"/>
      <c r="BBV71" s="94"/>
      <c r="BBW71" s="94"/>
      <c r="BBX71" s="94"/>
      <c r="BBY71" s="94"/>
      <c r="BBZ71" s="94"/>
      <c r="BCA71" s="94"/>
      <c r="BCB71" s="94"/>
      <c r="BCC71" s="94"/>
      <c r="BCD71" s="94"/>
      <c r="BCE71" s="94"/>
      <c r="BCF71" s="94"/>
      <c r="BCG71" s="94"/>
      <c r="BCH71" s="94"/>
      <c r="BCI71" s="94"/>
      <c r="BCJ71" s="94"/>
      <c r="BCK71" s="94"/>
      <c r="BCL71" s="94"/>
      <c r="BCM71" s="94"/>
      <c r="BCN71" s="94"/>
      <c r="BCO71" s="94"/>
      <c r="BCP71" s="94"/>
      <c r="BCQ71" s="94"/>
      <c r="BCR71" s="94"/>
      <c r="BCS71" s="94"/>
      <c r="BCT71" s="94"/>
      <c r="BCU71" s="94"/>
      <c r="BCV71" s="94"/>
      <c r="BCW71" s="94"/>
      <c r="BCX71" s="94"/>
      <c r="BCY71" s="94"/>
      <c r="BCZ71" s="94"/>
      <c r="BDA71" s="94"/>
      <c r="BDB71" s="94"/>
      <c r="BDC71" s="94"/>
      <c r="BDD71" s="94"/>
      <c r="BDE71" s="94"/>
      <c r="BDF71" s="94"/>
      <c r="BDG71" s="94"/>
      <c r="BDH71" s="94"/>
      <c r="BDI71" s="94"/>
      <c r="BDJ71" s="94"/>
      <c r="BDK71" s="94"/>
      <c r="BDL71" s="94"/>
      <c r="BDM71" s="94"/>
      <c r="BDN71" s="94"/>
      <c r="BDO71" s="94"/>
      <c r="BDP71" s="94"/>
      <c r="BDQ71" s="94"/>
      <c r="BDR71" s="94"/>
      <c r="BDS71" s="94"/>
      <c r="BDT71" s="94"/>
      <c r="BDU71" s="94"/>
      <c r="BDV71" s="94"/>
      <c r="BDW71" s="94"/>
      <c r="BDX71" s="94"/>
      <c r="BDY71" s="94"/>
      <c r="BDZ71" s="94"/>
      <c r="BEA71" s="94"/>
      <c r="BEB71" s="94"/>
      <c r="BEC71" s="94"/>
      <c r="BED71" s="94"/>
      <c r="BEE71" s="94"/>
      <c r="BEF71" s="94"/>
      <c r="BEG71" s="94"/>
      <c r="BEH71" s="94"/>
      <c r="BEI71" s="94"/>
      <c r="BEJ71" s="94"/>
      <c r="BEK71" s="94"/>
      <c r="BEL71" s="94"/>
      <c r="BEM71" s="94"/>
      <c r="BEN71" s="94"/>
      <c r="BEO71" s="94"/>
      <c r="BEP71" s="94"/>
      <c r="BEQ71" s="94"/>
      <c r="BER71" s="94"/>
      <c r="BES71" s="94"/>
      <c r="BET71" s="94"/>
      <c r="BEU71" s="94"/>
      <c r="BEV71" s="94"/>
      <c r="BEW71" s="94"/>
      <c r="BEX71" s="94"/>
      <c r="BEY71" s="94"/>
      <c r="BEZ71" s="94"/>
      <c r="BFA71" s="94"/>
      <c r="BFB71" s="94"/>
      <c r="BFC71" s="94"/>
      <c r="BFD71" s="94"/>
      <c r="BFE71" s="94"/>
      <c r="BFF71" s="94"/>
      <c r="BFG71" s="94"/>
      <c r="BFH71" s="94"/>
      <c r="BFI71" s="94"/>
      <c r="BFJ71" s="94"/>
      <c r="BFK71" s="94"/>
      <c r="BFL71" s="94"/>
      <c r="BFM71" s="94"/>
      <c r="BFN71" s="94"/>
      <c r="BFO71" s="94"/>
      <c r="BFP71" s="94"/>
      <c r="BFQ71" s="94"/>
      <c r="BFR71" s="94"/>
      <c r="BFS71" s="94"/>
      <c r="BFT71" s="94"/>
      <c r="BFU71" s="94"/>
      <c r="BFV71" s="94"/>
      <c r="BFW71" s="94"/>
      <c r="BFX71" s="94"/>
      <c r="BFY71" s="94"/>
      <c r="BFZ71" s="94"/>
      <c r="BGA71" s="94"/>
      <c r="BGB71" s="94"/>
      <c r="BGC71" s="94"/>
      <c r="BGD71" s="94"/>
      <c r="BGE71" s="94"/>
      <c r="BGF71" s="94"/>
      <c r="BGG71" s="94"/>
      <c r="BGH71" s="94"/>
      <c r="BGI71" s="94"/>
      <c r="BGJ71" s="94"/>
      <c r="BGK71" s="94"/>
      <c r="BGL71" s="94"/>
      <c r="BGM71" s="94"/>
      <c r="BGN71" s="94"/>
      <c r="BGO71" s="94"/>
      <c r="BGP71" s="94"/>
      <c r="BGQ71" s="94"/>
      <c r="BGR71" s="94"/>
      <c r="BGS71" s="94"/>
      <c r="BGT71" s="94"/>
      <c r="BGU71" s="94"/>
      <c r="BGV71" s="94"/>
      <c r="BGW71" s="94"/>
      <c r="BGX71" s="94"/>
      <c r="BGY71" s="94"/>
      <c r="BGZ71" s="94"/>
      <c r="BHA71" s="94"/>
      <c r="BHB71" s="94"/>
      <c r="BHC71" s="94"/>
      <c r="BHD71" s="94"/>
      <c r="BHE71" s="94"/>
      <c r="BHF71" s="94"/>
      <c r="BHG71" s="94"/>
      <c r="BHH71" s="94"/>
      <c r="BHI71" s="94"/>
      <c r="BHJ71" s="94"/>
      <c r="BHK71" s="94"/>
      <c r="BHL71" s="94"/>
      <c r="BHM71" s="94"/>
      <c r="BHN71" s="94"/>
      <c r="BHO71" s="94"/>
      <c r="BHP71" s="94"/>
      <c r="BHQ71" s="94"/>
      <c r="BHR71" s="94"/>
      <c r="BHS71" s="94"/>
      <c r="BHT71" s="94"/>
      <c r="BHU71" s="94"/>
      <c r="BHV71" s="94"/>
      <c r="BHW71" s="94"/>
      <c r="BHX71" s="94"/>
      <c r="BHY71" s="94"/>
      <c r="BHZ71" s="94"/>
      <c r="BIA71" s="94"/>
      <c r="BIB71" s="94"/>
      <c r="BIC71" s="94"/>
      <c r="BID71" s="94"/>
      <c r="BIE71" s="94"/>
      <c r="BIF71" s="94"/>
      <c r="BIG71" s="94"/>
      <c r="BIH71" s="94"/>
      <c r="BII71" s="94"/>
      <c r="BIJ71" s="94"/>
      <c r="BIK71" s="94"/>
      <c r="BIL71" s="94"/>
      <c r="BIM71" s="94"/>
      <c r="BIN71" s="94"/>
      <c r="BIO71" s="94"/>
      <c r="BIP71" s="94"/>
      <c r="BIQ71" s="94"/>
      <c r="BIR71" s="94"/>
      <c r="BIS71" s="94"/>
      <c r="BIT71" s="94"/>
      <c r="BIU71" s="94"/>
      <c r="BIV71" s="94"/>
      <c r="BIW71" s="94"/>
      <c r="BIX71" s="94"/>
      <c r="BIY71" s="94"/>
      <c r="BIZ71" s="94"/>
      <c r="BJA71" s="94"/>
      <c r="BJB71" s="94"/>
      <c r="BJC71" s="94"/>
      <c r="BJD71" s="94"/>
      <c r="BJE71" s="94"/>
      <c r="BJF71" s="94"/>
      <c r="BJG71" s="94"/>
      <c r="BJH71" s="94"/>
      <c r="BJI71" s="94"/>
      <c r="BJJ71" s="94"/>
      <c r="BJK71" s="94"/>
      <c r="BJL71" s="94"/>
      <c r="BJM71" s="94"/>
      <c r="BJN71" s="94"/>
      <c r="BJO71" s="94"/>
      <c r="BJP71" s="94"/>
      <c r="BJQ71" s="94"/>
      <c r="BJR71" s="94"/>
      <c r="BJS71" s="94"/>
      <c r="BJT71" s="94"/>
      <c r="BJU71" s="94"/>
      <c r="BJV71" s="94"/>
      <c r="BJW71" s="94"/>
      <c r="BJX71" s="94"/>
      <c r="BJY71" s="94"/>
      <c r="BJZ71" s="94"/>
      <c r="BKA71" s="94"/>
      <c r="BKB71" s="94"/>
      <c r="BKC71" s="94"/>
      <c r="BKD71" s="94"/>
      <c r="BKE71" s="94"/>
      <c r="BKF71" s="94"/>
      <c r="BKG71" s="94"/>
      <c r="BKH71" s="94"/>
      <c r="BKI71" s="94"/>
      <c r="BKJ71" s="94"/>
      <c r="BKK71" s="94"/>
      <c r="BKL71" s="94"/>
      <c r="BKM71" s="94"/>
      <c r="BKN71" s="94"/>
      <c r="BKO71" s="94"/>
      <c r="BKP71" s="94"/>
      <c r="BKQ71" s="94"/>
      <c r="BKR71" s="94"/>
      <c r="BKS71" s="94"/>
      <c r="BKT71" s="94"/>
      <c r="BKU71" s="94"/>
      <c r="BKV71" s="94"/>
      <c r="BKW71" s="94"/>
      <c r="BKX71" s="94"/>
      <c r="BKY71" s="94"/>
      <c r="BKZ71" s="94"/>
      <c r="BLA71" s="94"/>
      <c r="BLB71" s="94"/>
      <c r="BLC71" s="94"/>
      <c r="BLD71" s="94"/>
      <c r="BLE71" s="94"/>
      <c r="BLF71" s="94"/>
      <c r="BLG71" s="94"/>
      <c r="BLH71" s="94"/>
      <c r="BLI71" s="94"/>
      <c r="BLJ71" s="94"/>
      <c r="BLK71" s="94"/>
      <c r="BLL71" s="94"/>
      <c r="BLM71" s="94"/>
      <c r="BLN71" s="94"/>
      <c r="BLO71" s="94"/>
      <c r="BLP71" s="94"/>
      <c r="BLQ71" s="94"/>
      <c r="BLR71" s="94"/>
      <c r="BLS71" s="94"/>
      <c r="BLT71" s="94"/>
      <c r="BLU71" s="94"/>
      <c r="BLV71" s="94"/>
      <c r="BLW71" s="94"/>
      <c r="BLX71" s="94"/>
      <c r="BLY71" s="94"/>
      <c r="BLZ71" s="94"/>
      <c r="BMA71" s="94"/>
      <c r="BMB71" s="94"/>
      <c r="BMC71" s="94"/>
      <c r="BMD71" s="94"/>
      <c r="BME71" s="94"/>
      <c r="BMF71" s="94"/>
      <c r="BMG71" s="94"/>
      <c r="BMH71" s="94"/>
      <c r="BMI71" s="94"/>
      <c r="BMJ71" s="94"/>
      <c r="BMK71" s="94"/>
      <c r="BML71" s="94"/>
      <c r="BMM71" s="94"/>
      <c r="BMN71" s="94"/>
      <c r="BMO71" s="94"/>
      <c r="BMP71" s="94"/>
      <c r="BMQ71" s="94"/>
      <c r="BMR71" s="94"/>
      <c r="BMS71" s="94"/>
      <c r="BMT71" s="94"/>
      <c r="BMU71" s="94"/>
      <c r="BMV71" s="94"/>
      <c r="BMW71" s="94"/>
      <c r="BMX71" s="94"/>
      <c r="BMY71" s="94"/>
      <c r="BMZ71" s="94"/>
      <c r="BNA71" s="94"/>
      <c r="BNB71" s="94"/>
      <c r="BNC71" s="94"/>
      <c r="BND71" s="94"/>
      <c r="BNE71" s="94"/>
      <c r="BNF71" s="94"/>
      <c r="BNG71" s="94"/>
      <c r="BNH71" s="94"/>
      <c r="BNI71" s="94"/>
      <c r="BNJ71" s="94"/>
      <c r="BNK71" s="94"/>
      <c r="BNL71" s="94"/>
      <c r="BNM71" s="94"/>
      <c r="BNN71" s="94"/>
      <c r="BNO71" s="94"/>
      <c r="BNP71" s="94"/>
      <c r="BNQ71" s="94"/>
      <c r="BNR71" s="94"/>
      <c r="BNS71" s="94"/>
      <c r="BNT71" s="94"/>
      <c r="BNU71" s="94"/>
      <c r="BNV71" s="94"/>
      <c r="BNW71" s="94"/>
      <c r="BNX71" s="94"/>
      <c r="BNY71" s="94"/>
      <c r="BNZ71" s="94"/>
      <c r="BOA71" s="94"/>
      <c r="BOB71" s="94"/>
      <c r="BOC71" s="94"/>
      <c r="BOD71" s="94"/>
      <c r="BOE71" s="94"/>
      <c r="BOF71" s="94"/>
      <c r="BOG71" s="94"/>
      <c r="BOH71" s="94"/>
      <c r="BOI71" s="94"/>
      <c r="BOJ71" s="94"/>
      <c r="BOK71" s="94"/>
      <c r="BOL71" s="94"/>
      <c r="BOM71" s="94"/>
      <c r="BON71" s="94"/>
      <c r="BOO71" s="94"/>
      <c r="BOP71" s="94"/>
      <c r="BOQ71" s="94"/>
      <c r="BOR71" s="94"/>
      <c r="BOS71" s="94"/>
      <c r="BOT71" s="94"/>
      <c r="BOU71" s="94"/>
      <c r="BOV71" s="94"/>
      <c r="BOW71" s="94"/>
      <c r="BOX71" s="94"/>
      <c r="BOY71" s="94"/>
      <c r="BOZ71" s="94"/>
      <c r="BPA71" s="94"/>
      <c r="BPB71" s="94"/>
      <c r="BPC71" s="94"/>
      <c r="BPD71" s="94"/>
      <c r="BPE71" s="94"/>
      <c r="BPF71" s="94"/>
      <c r="BPG71" s="94"/>
      <c r="BPH71" s="94"/>
      <c r="BPI71" s="94"/>
      <c r="BPJ71" s="94"/>
      <c r="BPK71" s="94"/>
      <c r="BPL71" s="94"/>
      <c r="BPM71" s="94"/>
      <c r="BPN71" s="94"/>
      <c r="BPO71" s="94"/>
      <c r="BPP71" s="94"/>
      <c r="BPQ71" s="94"/>
      <c r="BPR71" s="94"/>
      <c r="BPS71" s="94"/>
      <c r="BPT71" s="94"/>
      <c r="BPU71" s="94"/>
      <c r="BPV71" s="94"/>
      <c r="BPW71" s="94"/>
      <c r="BPX71" s="94"/>
      <c r="BPY71" s="94"/>
      <c r="BPZ71" s="94"/>
      <c r="BQA71" s="94"/>
      <c r="BQB71" s="94"/>
      <c r="BQC71" s="94"/>
      <c r="BQD71" s="94"/>
      <c r="BQE71" s="94"/>
      <c r="BQF71" s="94"/>
      <c r="BQG71" s="94"/>
      <c r="BQH71" s="94"/>
      <c r="BQI71" s="94"/>
      <c r="BQJ71" s="94"/>
      <c r="BQK71" s="94"/>
      <c r="BQL71" s="94"/>
      <c r="BQM71" s="94"/>
      <c r="BQN71" s="94"/>
      <c r="BQO71" s="94"/>
      <c r="BQP71" s="94"/>
      <c r="BQQ71" s="94"/>
      <c r="BQR71" s="94"/>
      <c r="BQS71" s="94"/>
      <c r="BQT71" s="94"/>
      <c r="BQU71" s="94"/>
      <c r="BQV71" s="94"/>
      <c r="BQW71" s="94"/>
      <c r="BQX71" s="94"/>
      <c r="BQY71" s="94"/>
      <c r="BQZ71" s="94"/>
      <c r="BRA71" s="94"/>
      <c r="BRB71" s="94"/>
      <c r="BRC71" s="94"/>
      <c r="BRD71" s="94"/>
      <c r="BRE71" s="94"/>
      <c r="BRF71" s="94"/>
      <c r="BRG71" s="94"/>
      <c r="BRH71" s="94"/>
      <c r="BRI71" s="94"/>
      <c r="BRJ71" s="94"/>
      <c r="BRK71" s="94"/>
      <c r="BRL71" s="94"/>
      <c r="BRM71" s="94"/>
      <c r="BRN71" s="94"/>
      <c r="BRO71" s="94"/>
      <c r="BRP71" s="94"/>
      <c r="BRQ71" s="94"/>
      <c r="BRR71" s="94"/>
      <c r="BRS71" s="94"/>
      <c r="BRT71" s="94"/>
      <c r="BRU71" s="94"/>
      <c r="BRV71" s="94"/>
      <c r="BRW71" s="94"/>
      <c r="BRX71" s="94"/>
      <c r="BRY71" s="94"/>
      <c r="BRZ71" s="94"/>
      <c r="BSA71" s="94"/>
      <c r="BSB71" s="94"/>
      <c r="BSC71" s="94"/>
      <c r="BSD71" s="94"/>
      <c r="BSE71" s="94"/>
      <c r="BSF71" s="94"/>
      <c r="BSG71" s="94"/>
      <c r="BSH71" s="94"/>
      <c r="BSI71" s="94"/>
      <c r="BSJ71" s="94"/>
      <c r="BSK71" s="94"/>
      <c r="BSL71" s="94"/>
      <c r="BSM71" s="94"/>
      <c r="BSN71" s="94"/>
      <c r="BSO71" s="94"/>
      <c r="BSP71" s="94"/>
      <c r="BSQ71" s="94"/>
      <c r="BSR71" s="94"/>
      <c r="BSS71" s="94"/>
      <c r="BST71" s="94"/>
      <c r="BSU71" s="94"/>
      <c r="BSV71" s="94"/>
      <c r="BSW71" s="94"/>
      <c r="BSX71" s="94"/>
      <c r="BSY71" s="94"/>
      <c r="BSZ71" s="94"/>
      <c r="BTA71" s="94"/>
      <c r="BTB71" s="94"/>
      <c r="BTC71" s="94"/>
      <c r="BTD71" s="94"/>
      <c r="BTE71" s="94"/>
      <c r="BTF71" s="94"/>
      <c r="BTG71" s="94"/>
      <c r="BTH71" s="94"/>
      <c r="BTI71" s="94"/>
      <c r="BTJ71" s="94"/>
      <c r="BTK71" s="94"/>
      <c r="BTL71" s="94"/>
      <c r="BTM71" s="94"/>
      <c r="BTN71" s="94"/>
      <c r="BTO71" s="94"/>
      <c r="BTP71" s="94"/>
      <c r="BTQ71" s="94"/>
      <c r="BTR71" s="94"/>
      <c r="BTS71" s="94"/>
      <c r="BTT71" s="94"/>
      <c r="BTU71" s="94"/>
      <c r="BTV71" s="94"/>
      <c r="BTW71" s="94"/>
      <c r="BTX71" s="94"/>
      <c r="BTY71" s="94"/>
      <c r="BTZ71" s="94"/>
      <c r="BUA71" s="94"/>
      <c r="BUB71" s="94"/>
      <c r="BUC71" s="94"/>
      <c r="BUD71" s="94"/>
      <c r="BUE71" s="94"/>
      <c r="BUF71" s="94"/>
      <c r="BUG71" s="94"/>
      <c r="BUH71" s="94"/>
      <c r="BUI71" s="94"/>
      <c r="BUJ71" s="94"/>
      <c r="BUK71" s="94"/>
      <c r="BUL71" s="94"/>
      <c r="BUM71" s="94"/>
      <c r="BUN71" s="94"/>
      <c r="BUO71" s="94"/>
      <c r="BUP71" s="94"/>
      <c r="BUQ71" s="94"/>
      <c r="BUR71" s="94"/>
      <c r="BUS71" s="94"/>
      <c r="BUT71" s="94"/>
      <c r="BUU71" s="94"/>
      <c r="BUV71" s="94"/>
      <c r="BUW71" s="94"/>
      <c r="BUX71" s="94"/>
      <c r="BUY71" s="94"/>
      <c r="BUZ71" s="94"/>
      <c r="BVA71" s="94"/>
      <c r="BVB71" s="94"/>
      <c r="BVC71" s="94"/>
      <c r="BVD71" s="94"/>
      <c r="BVE71" s="94"/>
      <c r="BVF71" s="94"/>
      <c r="BVG71" s="94"/>
      <c r="BVH71" s="94"/>
      <c r="BVI71" s="94"/>
      <c r="BVJ71" s="94"/>
      <c r="BVK71" s="94"/>
      <c r="BVL71" s="94"/>
      <c r="BVM71" s="94"/>
      <c r="BVN71" s="94"/>
      <c r="BVO71" s="94"/>
      <c r="BVP71" s="94"/>
      <c r="BVQ71" s="94"/>
      <c r="BVR71" s="94"/>
      <c r="BVS71" s="94"/>
      <c r="BVT71" s="94"/>
      <c r="BVU71" s="94"/>
      <c r="BVV71" s="94"/>
      <c r="BVW71" s="94"/>
      <c r="BVX71" s="94"/>
      <c r="BVY71" s="94"/>
      <c r="BVZ71" s="94"/>
      <c r="BWA71" s="94"/>
      <c r="BWB71" s="94"/>
      <c r="BWC71" s="94"/>
      <c r="BWD71" s="94"/>
      <c r="BWE71" s="94"/>
      <c r="BWF71" s="94"/>
      <c r="BWG71" s="94"/>
      <c r="BWH71" s="94"/>
      <c r="BWI71" s="94"/>
      <c r="BWJ71" s="94"/>
      <c r="BWK71" s="94"/>
      <c r="BWL71" s="94"/>
      <c r="BWM71" s="94"/>
      <c r="BWN71" s="94"/>
      <c r="BWO71" s="94"/>
      <c r="BWP71" s="94"/>
      <c r="BWQ71" s="94"/>
      <c r="BWR71" s="94"/>
      <c r="BWS71" s="94"/>
      <c r="BWT71" s="94"/>
      <c r="BWU71" s="94"/>
      <c r="BWV71" s="94"/>
      <c r="BWW71" s="94"/>
      <c r="BWX71" s="94"/>
      <c r="BWY71" s="94"/>
      <c r="BWZ71" s="94"/>
      <c r="BXA71" s="94"/>
      <c r="BXB71" s="94"/>
      <c r="BXC71" s="94"/>
      <c r="BXD71" s="94"/>
      <c r="BXE71" s="94"/>
      <c r="BXF71" s="94"/>
      <c r="BXG71" s="94"/>
      <c r="BXH71" s="94"/>
      <c r="BXI71" s="94"/>
      <c r="BXJ71" s="94"/>
      <c r="BXK71" s="94"/>
      <c r="BXL71" s="94"/>
      <c r="BXM71" s="94"/>
      <c r="BXN71" s="94"/>
      <c r="BXO71" s="94"/>
      <c r="BXP71" s="94"/>
      <c r="BXQ71" s="94"/>
      <c r="BXR71" s="94"/>
      <c r="BXS71" s="94"/>
      <c r="BXT71" s="94"/>
      <c r="BXU71" s="94"/>
      <c r="BXV71" s="94"/>
      <c r="BXW71" s="94"/>
      <c r="BXX71" s="94"/>
      <c r="BXY71" s="94"/>
      <c r="BXZ71" s="94"/>
      <c r="BYA71" s="94"/>
      <c r="BYB71" s="94"/>
      <c r="BYC71" s="94"/>
      <c r="BYD71" s="94"/>
      <c r="BYE71" s="94"/>
      <c r="BYF71" s="94"/>
      <c r="BYG71" s="94"/>
    </row>
    <row r="72" spans="1:2009" s="227" customFormat="1" ht="24.95" customHeight="1" thickBot="1" x14ac:dyDescent="0.3">
      <c r="A72" s="226"/>
      <c r="B72" s="458" t="s">
        <v>537</v>
      </c>
      <c r="C72" s="279">
        <f>SUM(C8+C14+C23+C27+C32+C44+C56)+C36+C51+C60+C62+C58+C66+C64+C70</f>
        <v>167654.57999999999</v>
      </c>
      <c r="D72" s="279">
        <f>SUM(D8+D14+D23+D27+D32+D44+D56)+D36+D51+D60+D58+D62+D64+D70</f>
        <v>59976.54</v>
      </c>
      <c r="E72" s="279">
        <f>SUM(E8+E14+E23+E27+E32+E44+E56)+E36+E51+E60+E62+E64+E70</f>
        <v>21191.239999999998</v>
      </c>
      <c r="F72" s="279">
        <f>SUM(F8+F14+F23+F27+F32+F44+F56)+F36+F51+F60+F64+F70</f>
        <v>190.32</v>
      </c>
      <c r="G72" s="672">
        <f>SUM(G8+G14+G23+G27+G32+G44+G56)+G36+G51+G60+G62+G58+G66+G64+G70</f>
        <v>249012.68</v>
      </c>
      <c r="H72" s="196"/>
      <c r="I72" s="552"/>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c r="IV72" s="197"/>
      <c r="IW72" s="197"/>
      <c r="IX72" s="197"/>
      <c r="IY72" s="197"/>
      <c r="IZ72" s="197"/>
      <c r="JA72" s="197"/>
      <c r="JB72" s="197"/>
      <c r="JC72" s="197"/>
      <c r="JD72" s="197"/>
      <c r="JE72" s="197"/>
      <c r="JF72" s="197"/>
      <c r="JG72" s="197"/>
      <c r="JH72" s="197"/>
      <c r="JI72" s="197"/>
      <c r="JJ72" s="197"/>
      <c r="JK72" s="197"/>
      <c r="JL72" s="197"/>
      <c r="JM72" s="197"/>
      <c r="JN72" s="197"/>
      <c r="JO72" s="197"/>
      <c r="JP72" s="197"/>
      <c r="JQ72" s="197"/>
      <c r="JR72" s="197"/>
      <c r="JS72" s="197"/>
      <c r="JT72" s="197"/>
      <c r="JU72" s="197"/>
      <c r="JV72" s="197"/>
      <c r="JW72" s="197"/>
      <c r="JX72" s="197"/>
      <c r="JY72" s="197"/>
      <c r="JZ72" s="197"/>
      <c r="KA72" s="197"/>
      <c r="KB72" s="197"/>
      <c r="KC72" s="197"/>
      <c r="KD72" s="197"/>
      <c r="KE72" s="197"/>
      <c r="KF72" s="197"/>
      <c r="KG72" s="197"/>
      <c r="KH72" s="197"/>
      <c r="KI72" s="197"/>
      <c r="KJ72" s="197"/>
      <c r="KK72" s="197"/>
      <c r="KL72" s="197"/>
      <c r="KM72" s="197"/>
      <c r="KN72" s="197"/>
      <c r="KO72" s="197"/>
      <c r="KP72" s="197"/>
      <c r="KQ72" s="197"/>
      <c r="KR72" s="197"/>
      <c r="KS72" s="197"/>
      <c r="KT72" s="197"/>
      <c r="KU72" s="197"/>
      <c r="KV72" s="197"/>
      <c r="KW72" s="197"/>
      <c r="KX72" s="197"/>
      <c r="KY72" s="197"/>
      <c r="KZ72" s="197"/>
      <c r="LA72" s="197"/>
      <c r="LB72" s="197"/>
      <c r="LC72" s="197"/>
      <c r="LD72" s="197"/>
      <c r="LE72" s="197"/>
      <c r="LF72" s="197"/>
      <c r="LG72" s="197"/>
      <c r="LH72" s="197"/>
      <c r="LI72" s="197"/>
      <c r="LJ72" s="197"/>
      <c r="LK72" s="197"/>
      <c r="LL72" s="197"/>
      <c r="LM72" s="197"/>
      <c r="LN72" s="197"/>
      <c r="LO72" s="197"/>
      <c r="LP72" s="197"/>
      <c r="LQ72" s="197"/>
      <c r="LR72" s="197"/>
      <c r="LS72" s="197"/>
      <c r="LT72" s="197"/>
      <c r="LU72" s="197"/>
      <c r="LV72" s="197"/>
      <c r="LW72" s="197"/>
      <c r="LX72" s="197"/>
      <c r="LY72" s="197"/>
      <c r="LZ72" s="197"/>
      <c r="MA72" s="197"/>
      <c r="MB72" s="197"/>
      <c r="MC72" s="197"/>
      <c r="MD72" s="197"/>
      <c r="ME72" s="197"/>
      <c r="MF72" s="197"/>
      <c r="MG72" s="197"/>
      <c r="MH72" s="197"/>
      <c r="MI72" s="197"/>
      <c r="MJ72" s="197"/>
      <c r="MK72" s="197"/>
      <c r="ML72" s="197"/>
      <c r="MM72" s="197"/>
      <c r="MN72" s="197"/>
      <c r="MO72" s="197"/>
      <c r="MP72" s="197"/>
      <c r="MQ72" s="197"/>
      <c r="MR72" s="197"/>
      <c r="MS72" s="197"/>
      <c r="MT72" s="197"/>
      <c r="MU72" s="197"/>
      <c r="MV72" s="197"/>
      <c r="MW72" s="197"/>
      <c r="MX72" s="197"/>
      <c r="MY72" s="197"/>
      <c r="MZ72" s="197"/>
      <c r="NA72" s="197"/>
      <c r="NB72" s="197"/>
      <c r="NC72" s="197"/>
      <c r="ND72" s="197"/>
      <c r="NE72" s="197"/>
      <c r="NF72" s="197"/>
      <c r="NG72" s="197"/>
      <c r="NH72" s="197"/>
      <c r="NI72" s="197"/>
      <c r="NJ72" s="197"/>
      <c r="NK72" s="197"/>
      <c r="NL72" s="197"/>
      <c r="NM72" s="197"/>
      <c r="NN72" s="197"/>
      <c r="NO72" s="197"/>
      <c r="NP72" s="197"/>
      <c r="NQ72" s="197"/>
      <c r="NR72" s="197"/>
      <c r="NS72" s="197"/>
      <c r="NT72" s="197"/>
      <c r="NU72" s="197"/>
      <c r="NV72" s="197"/>
      <c r="NW72" s="197"/>
      <c r="NX72" s="197"/>
      <c r="NY72" s="197"/>
      <c r="NZ72" s="197"/>
      <c r="OA72" s="197"/>
      <c r="OB72" s="197"/>
      <c r="OC72" s="197"/>
      <c r="OD72" s="197"/>
      <c r="OE72" s="197"/>
      <c r="OF72" s="197"/>
      <c r="OG72" s="197"/>
      <c r="OH72" s="197"/>
      <c r="OI72" s="197"/>
      <c r="OJ72" s="197"/>
      <c r="OK72" s="197"/>
      <c r="OL72" s="197"/>
      <c r="OM72" s="197"/>
      <c r="ON72" s="197"/>
      <c r="OO72" s="197"/>
      <c r="OP72" s="197"/>
      <c r="OQ72" s="197"/>
      <c r="OR72" s="197"/>
      <c r="OS72" s="197"/>
      <c r="OT72" s="197"/>
      <c r="OU72" s="197"/>
      <c r="OV72" s="197"/>
      <c r="OW72" s="197"/>
      <c r="OX72" s="197"/>
      <c r="OY72" s="197"/>
      <c r="OZ72" s="197"/>
      <c r="PA72" s="197"/>
      <c r="PB72" s="197"/>
      <c r="PC72" s="197"/>
      <c r="PD72" s="197"/>
      <c r="PE72" s="197"/>
      <c r="PF72" s="197"/>
      <c r="PG72" s="197"/>
      <c r="PH72" s="197"/>
      <c r="PI72" s="197"/>
      <c r="PJ72" s="197"/>
      <c r="PK72" s="197"/>
      <c r="PL72" s="197"/>
      <c r="PM72" s="197"/>
      <c r="PN72" s="197"/>
      <c r="PO72" s="197"/>
      <c r="PP72" s="197"/>
      <c r="PQ72" s="197"/>
      <c r="PR72" s="197"/>
      <c r="PS72" s="197"/>
      <c r="PT72" s="197"/>
      <c r="PU72" s="197"/>
      <c r="PV72" s="197"/>
      <c r="PW72" s="197"/>
      <c r="PX72" s="197"/>
      <c r="PY72" s="197"/>
      <c r="PZ72" s="197"/>
      <c r="QA72" s="197"/>
      <c r="QB72" s="197"/>
      <c r="QC72" s="197"/>
      <c r="QD72" s="197"/>
      <c r="QE72" s="197"/>
      <c r="QF72" s="197"/>
      <c r="QG72" s="197"/>
      <c r="QH72" s="197"/>
      <c r="QI72" s="197"/>
      <c r="QJ72" s="197"/>
      <c r="QK72" s="197"/>
      <c r="QL72" s="197"/>
      <c r="QM72" s="197"/>
      <c r="QN72" s="197"/>
      <c r="QO72" s="197"/>
      <c r="QP72" s="197"/>
      <c r="QQ72" s="197"/>
      <c r="QR72" s="197"/>
      <c r="QS72" s="197"/>
      <c r="QT72" s="197"/>
      <c r="QU72" s="197"/>
      <c r="QV72" s="197"/>
      <c r="QW72" s="197"/>
      <c r="QX72" s="197"/>
      <c r="QY72" s="197"/>
      <c r="QZ72" s="197"/>
      <c r="RA72" s="197"/>
      <c r="RB72" s="197"/>
      <c r="RC72" s="197"/>
      <c r="RD72" s="197"/>
      <c r="RE72" s="197"/>
      <c r="RF72" s="197"/>
      <c r="RG72" s="197"/>
      <c r="RH72" s="197"/>
      <c r="RI72" s="197"/>
      <c r="RJ72" s="197"/>
      <c r="RK72" s="197"/>
      <c r="RL72" s="197"/>
      <c r="RM72" s="197"/>
      <c r="RN72" s="197"/>
      <c r="RO72" s="197"/>
      <c r="RP72" s="197"/>
      <c r="RQ72" s="197"/>
      <c r="RR72" s="197"/>
      <c r="RS72" s="197"/>
      <c r="RT72" s="197"/>
      <c r="RU72" s="197"/>
      <c r="RV72" s="197"/>
      <c r="RW72" s="197"/>
      <c r="RX72" s="197"/>
      <c r="RY72" s="197"/>
      <c r="RZ72" s="197"/>
      <c r="SA72" s="197"/>
      <c r="SB72" s="197"/>
      <c r="SC72" s="197"/>
      <c r="SD72" s="197"/>
      <c r="SE72" s="197"/>
      <c r="SF72" s="197"/>
      <c r="SG72" s="197"/>
      <c r="SH72" s="197"/>
      <c r="SI72" s="197"/>
      <c r="SJ72" s="197"/>
      <c r="SK72" s="197"/>
      <c r="SL72" s="197"/>
      <c r="SM72" s="197"/>
      <c r="SN72" s="197"/>
      <c r="SO72" s="197"/>
      <c r="SP72" s="197"/>
      <c r="SQ72" s="197"/>
      <c r="SR72" s="197"/>
      <c r="SS72" s="197"/>
      <c r="ST72" s="197"/>
      <c r="SU72" s="197"/>
      <c r="SV72" s="197"/>
      <c r="SW72" s="197"/>
      <c r="SX72" s="197"/>
      <c r="SY72" s="197"/>
      <c r="SZ72" s="197"/>
      <c r="TA72" s="197"/>
      <c r="TB72" s="197"/>
      <c r="TC72" s="197"/>
      <c r="TD72" s="197"/>
      <c r="TE72" s="197"/>
      <c r="TF72" s="197"/>
      <c r="TG72" s="197"/>
      <c r="TH72" s="197"/>
      <c r="TI72" s="197"/>
      <c r="TJ72" s="197"/>
      <c r="TK72" s="197"/>
      <c r="TL72" s="197"/>
      <c r="TM72" s="197"/>
      <c r="TN72" s="197"/>
      <c r="TO72" s="197"/>
      <c r="TP72" s="197"/>
      <c r="TQ72" s="197"/>
      <c r="TR72" s="197"/>
      <c r="TS72" s="197"/>
      <c r="TT72" s="197"/>
      <c r="TU72" s="197"/>
      <c r="TV72" s="197"/>
      <c r="TW72" s="197"/>
      <c r="TX72" s="197"/>
      <c r="TY72" s="197"/>
      <c r="TZ72" s="197"/>
      <c r="UA72" s="197"/>
      <c r="UB72" s="197"/>
      <c r="UC72" s="197"/>
      <c r="UD72" s="197"/>
      <c r="UE72" s="197"/>
      <c r="UF72" s="197"/>
      <c r="UG72" s="197"/>
      <c r="UH72" s="197"/>
      <c r="UI72" s="197"/>
      <c r="UJ72" s="197"/>
      <c r="UK72" s="197"/>
      <c r="UL72" s="197"/>
      <c r="UM72" s="197"/>
      <c r="UN72" s="197"/>
      <c r="UO72" s="197"/>
      <c r="UP72" s="197"/>
      <c r="UQ72" s="197"/>
      <c r="UR72" s="197"/>
      <c r="US72" s="197"/>
      <c r="UT72" s="197"/>
      <c r="UU72" s="197"/>
      <c r="UV72" s="197"/>
      <c r="UW72" s="197"/>
      <c r="UX72" s="197"/>
      <c r="UY72" s="197"/>
      <c r="UZ72" s="197"/>
      <c r="VA72" s="197"/>
      <c r="VB72" s="197"/>
      <c r="VC72" s="197"/>
      <c r="VD72" s="197"/>
      <c r="VE72" s="197"/>
      <c r="VF72" s="197"/>
      <c r="VG72" s="197"/>
      <c r="VH72" s="197"/>
      <c r="VI72" s="197"/>
      <c r="VJ72" s="197"/>
      <c r="VK72" s="197"/>
      <c r="VL72" s="197"/>
      <c r="VM72" s="197"/>
      <c r="VN72" s="197"/>
      <c r="VO72" s="197"/>
      <c r="VP72" s="197"/>
      <c r="VQ72" s="197"/>
      <c r="VR72" s="197"/>
      <c r="VS72" s="197"/>
      <c r="VT72" s="197"/>
      <c r="VU72" s="197"/>
      <c r="VV72" s="197"/>
      <c r="VW72" s="197"/>
      <c r="VX72" s="197"/>
      <c r="VY72" s="197"/>
      <c r="VZ72" s="197"/>
      <c r="WA72" s="197"/>
      <c r="WB72" s="197"/>
      <c r="WC72" s="197"/>
      <c r="WD72" s="197"/>
      <c r="WE72" s="197"/>
      <c r="WF72" s="197"/>
      <c r="WG72" s="197"/>
      <c r="WH72" s="197"/>
      <c r="WI72" s="197"/>
      <c r="WJ72" s="197"/>
      <c r="WK72" s="197"/>
      <c r="WL72" s="197"/>
      <c r="WM72" s="197"/>
      <c r="WN72" s="197"/>
      <c r="WO72" s="197"/>
      <c r="WP72" s="197"/>
      <c r="WQ72" s="197"/>
      <c r="WR72" s="197"/>
      <c r="WS72" s="197"/>
      <c r="WT72" s="197"/>
      <c r="WU72" s="197"/>
      <c r="WV72" s="197"/>
      <c r="WW72" s="197"/>
      <c r="WX72" s="197"/>
      <c r="WY72" s="197"/>
      <c r="WZ72" s="197"/>
      <c r="XA72" s="197"/>
      <c r="XB72" s="197"/>
      <c r="XC72" s="197"/>
      <c r="XD72" s="197"/>
      <c r="XE72" s="197"/>
      <c r="XF72" s="197"/>
      <c r="XG72" s="197"/>
      <c r="XH72" s="197"/>
      <c r="XI72" s="197"/>
      <c r="XJ72" s="197"/>
      <c r="XK72" s="197"/>
      <c r="XL72" s="197"/>
      <c r="XM72" s="197"/>
      <c r="XN72" s="197"/>
      <c r="XO72" s="197"/>
      <c r="XP72" s="197"/>
      <c r="XQ72" s="197"/>
      <c r="XR72" s="197"/>
      <c r="XS72" s="197"/>
      <c r="XT72" s="197"/>
      <c r="XU72" s="197"/>
      <c r="XV72" s="197"/>
      <c r="XW72" s="197"/>
      <c r="XX72" s="197"/>
      <c r="XY72" s="197"/>
      <c r="XZ72" s="197"/>
      <c r="YA72" s="197"/>
      <c r="YB72" s="197"/>
      <c r="YC72" s="197"/>
      <c r="YD72" s="197"/>
      <c r="YE72" s="197"/>
      <c r="YF72" s="197"/>
      <c r="YG72" s="197"/>
      <c r="YH72" s="197"/>
      <c r="YI72" s="197"/>
      <c r="YJ72" s="197"/>
      <c r="YK72" s="197"/>
      <c r="YL72" s="197"/>
      <c r="YM72" s="197"/>
      <c r="YN72" s="197"/>
      <c r="YO72" s="197"/>
      <c r="YP72" s="197"/>
      <c r="YQ72" s="197"/>
      <c r="YR72" s="197"/>
      <c r="YS72" s="197"/>
      <c r="YT72" s="197"/>
      <c r="YU72" s="197"/>
      <c r="YV72" s="197"/>
      <c r="YW72" s="197"/>
      <c r="YX72" s="197"/>
      <c r="YY72" s="197"/>
      <c r="YZ72" s="197"/>
      <c r="ZA72" s="197"/>
      <c r="ZB72" s="197"/>
      <c r="ZC72" s="197"/>
      <c r="ZD72" s="197"/>
      <c r="ZE72" s="197"/>
      <c r="ZF72" s="197"/>
      <c r="ZG72" s="197"/>
      <c r="ZH72" s="197"/>
      <c r="ZI72" s="197"/>
      <c r="ZJ72" s="197"/>
      <c r="ZK72" s="197"/>
      <c r="ZL72" s="197"/>
      <c r="ZM72" s="197"/>
      <c r="ZN72" s="197"/>
      <c r="ZO72" s="197"/>
      <c r="ZP72" s="197"/>
      <c r="ZQ72" s="197"/>
      <c r="ZR72" s="197"/>
      <c r="ZS72" s="197"/>
      <c r="ZT72" s="197"/>
      <c r="ZU72" s="197"/>
      <c r="ZV72" s="197"/>
      <c r="ZW72" s="197"/>
      <c r="ZX72" s="197"/>
      <c r="ZY72" s="197"/>
      <c r="ZZ72" s="197"/>
      <c r="AAA72" s="197"/>
      <c r="AAB72" s="197"/>
      <c r="AAC72" s="197"/>
      <c r="AAD72" s="197"/>
      <c r="AAE72" s="197"/>
      <c r="AAF72" s="197"/>
      <c r="AAG72" s="197"/>
      <c r="AAH72" s="197"/>
      <c r="AAI72" s="197"/>
      <c r="AAJ72" s="197"/>
      <c r="AAK72" s="197"/>
      <c r="AAL72" s="197"/>
      <c r="AAM72" s="197"/>
      <c r="AAN72" s="197"/>
      <c r="AAO72" s="197"/>
      <c r="AAP72" s="197"/>
      <c r="AAQ72" s="197"/>
      <c r="AAR72" s="197"/>
      <c r="AAS72" s="197"/>
      <c r="AAT72" s="197"/>
      <c r="AAU72" s="197"/>
      <c r="AAV72" s="197"/>
      <c r="AAW72" s="197"/>
      <c r="AAX72" s="197"/>
      <c r="AAY72" s="197"/>
      <c r="AAZ72" s="197"/>
      <c r="ABA72" s="197"/>
      <c r="ABB72" s="197"/>
      <c r="ABC72" s="197"/>
      <c r="ABD72" s="197"/>
      <c r="ABE72" s="197"/>
      <c r="ABF72" s="197"/>
      <c r="ABG72" s="197"/>
      <c r="ABH72" s="197"/>
      <c r="ABI72" s="197"/>
      <c r="ABJ72" s="197"/>
      <c r="ABK72" s="197"/>
      <c r="ABL72" s="197"/>
      <c r="ABM72" s="197"/>
      <c r="ABN72" s="197"/>
      <c r="ABO72" s="197"/>
      <c r="ABP72" s="197"/>
      <c r="ABQ72" s="197"/>
      <c r="ABR72" s="197"/>
      <c r="ABS72" s="197"/>
      <c r="ABT72" s="197"/>
      <c r="ABU72" s="197"/>
      <c r="ABV72" s="197"/>
      <c r="ABW72" s="197"/>
      <c r="ABX72" s="197"/>
      <c r="ABY72" s="197"/>
      <c r="ABZ72" s="197"/>
      <c r="ACA72" s="197"/>
      <c r="ACB72" s="197"/>
      <c r="ACC72" s="197"/>
      <c r="ACD72" s="197"/>
      <c r="ACE72" s="197"/>
      <c r="ACF72" s="197"/>
      <c r="ACG72" s="197"/>
      <c r="ACH72" s="197"/>
      <c r="ACI72" s="197"/>
      <c r="ACJ72" s="197"/>
      <c r="ACK72" s="197"/>
      <c r="ACL72" s="197"/>
      <c r="ACM72" s="197"/>
      <c r="ACN72" s="197"/>
      <c r="ACO72" s="197"/>
      <c r="ACP72" s="197"/>
      <c r="ACQ72" s="197"/>
      <c r="ACR72" s="197"/>
      <c r="ACS72" s="197"/>
      <c r="ACT72" s="197"/>
      <c r="ACU72" s="197"/>
      <c r="ACV72" s="197"/>
      <c r="ACW72" s="197"/>
      <c r="ACX72" s="197"/>
      <c r="ACY72" s="197"/>
      <c r="ACZ72" s="197"/>
      <c r="ADA72" s="197"/>
      <c r="ADB72" s="197"/>
      <c r="ADC72" s="197"/>
      <c r="ADD72" s="197"/>
      <c r="ADE72" s="197"/>
      <c r="ADF72" s="197"/>
      <c r="ADG72" s="197"/>
      <c r="ADH72" s="197"/>
      <c r="ADI72" s="197"/>
      <c r="ADJ72" s="197"/>
      <c r="ADK72" s="197"/>
      <c r="ADL72" s="197"/>
      <c r="ADM72" s="197"/>
      <c r="ADN72" s="197"/>
      <c r="ADO72" s="197"/>
      <c r="ADP72" s="197"/>
      <c r="ADQ72" s="197"/>
      <c r="ADR72" s="197"/>
      <c r="ADS72" s="197"/>
      <c r="ADT72" s="197"/>
      <c r="ADU72" s="197"/>
      <c r="ADV72" s="197"/>
      <c r="ADW72" s="197"/>
      <c r="ADX72" s="197"/>
      <c r="ADY72" s="197"/>
      <c r="ADZ72" s="197"/>
      <c r="AEA72" s="197"/>
      <c r="AEB72" s="197"/>
      <c r="AEC72" s="197"/>
      <c r="AED72" s="197"/>
      <c r="AEE72" s="197"/>
      <c r="AEF72" s="197"/>
      <c r="AEG72" s="197"/>
      <c r="AEH72" s="197"/>
      <c r="AEI72" s="197"/>
      <c r="AEJ72" s="197"/>
      <c r="AEK72" s="197"/>
      <c r="AEL72" s="197"/>
      <c r="AEM72" s="197"/>
      <c r="AEN72" s="197"/>
      <c r="AEO72" s="197"/>
      <c r="AEP72" s="197"/>
      <c r="AEQ72" s="197"/>
      <c r="AER72" s="197"/>
      <c r="AES72" s="197"/>
      <c r="AET72" s="197"/>
      <c r="AEU72" s="197"/>
      <c r="AEV72" s="197"/>
      <c r="AEW72" s="197"/>
      <c r="AEX72" s="197"/>
      <c r="AEY72" s="197"/>
      <c r="AEZ72" s="197"/>
      <c r="AFA72" s="197"/>
      <c r="AFB72" s="197"/>
      <c r="AFC72" s="197"/>
      <c r="AFD72" s="197"/>
      <c r="AFE72" s="197"/>
      <c r="AFF72" s="197"/>
      <c r="AFG72" s="197"/>
      <c r="AFH72" s="197"/>
      <c r="AFI72" s="197"/>
      <c r="AFJ72" s="197"/>
      <c r="AFK72" s="197"/>
      <c r="AFL72" s="197"/>
      <c r="AFM72" s="197"/>
      <c r="AFN72" s="197"/>
      <c r="AFO72" s="197"/>
      <c r="AFP72" s="197"/>
      <c r="AFQ72" s="197"/>
      <c r="AFR72" s="197"/>
      <c r="AFS72" s="197"/>
      <c r="AFT72" s="197"/>
      <c r="AFU72" s="197"/>
      <c r="AFV72" s="197"/>
      <c r="AFW72" s="197"/>
      <c r="AFX72" s="197"/>
      <c r="AFY72" s="197"/>
      <c r="AFZ72" s="197"/>
      <c r="AGA72" s="197"/>
      <c r="AGB72" s="197"/>
      <c r="AGC72" s="197"/>
      <c r="AGD72" s="197"/>
      <c r="AGE72" s="197"/>
      <c r="AGF72" s="197"/>
      <c r="AGG72" s="197"/>
      <c r="AGH72" s="197"/>
      <c r="AGI72" s="197"/>
      <c r="AGJ72" s="197"/>
      <c r="AGK72" s="197"/>
      <c r="AGL72" s="197"/>
      <c r="AGM72" s="197"/>
      <c r="AGN72" s="197"/>
      <c r="AGO72" s="197"/>
      <c r="AGP72" s="197"/>
      <c r="AGQ72" s="197"/>
      <c r="AGR72" s="197"/>
      <c r="AGS72" s="197"/>
      <c r="AGT72" s="197"/>
      <c r="AGU72" s="197"/>
      <c r="AGV72" s="197"/>
      <c r="AGW72" s="197"/>
      <c r="AGX72" s="197"/>
      <c r="AGY72" s="197"/>
      <c r="AGZ72" s="197"/>
      <c r="AHA72" s="197"/>
      <c r="AHB72" s="197"/>
      <c r="AHC72" s="197"/>
      <c r="AHD72" s="197"/>
      <c r="AHE72" s="197"/>
      <c r="AHF72" s="197"/>
      <c r="AHG72" s="197"/>
      <c r="AHH72" s="197"/>
      <c r="AHI72" s="197"/>
      <c r="AHJ72" s="197"/>
      <c r="AHK72" s="197"/>
      <c r="AHL72" s="197"/>
      <c r="AHM72" s="197"/>
      <c r="AHN72" s="197"/>
      <c r="AHO72" s="197"/>
      <c r="AHP72" s="197"/>
      <c r="AHQ72" s="197"/>
      <c r="AHR72" s="197"/>
      <c r="AHS72" s="197"/>
      <c r="AHT72" s="197"/>
      <c r="AHU72" s="197"/>
      <c r="AHV72" s="197"/>
      <c r="AHW72" s="197"/>
      <c r="AHX72" s="197"/>
      <c r="AHY72" s="197"/>
      <c r="AHZ72" s="197"/>
      <c r="AIA72" s="197"/>
      <c r="AIB72" s="197"/>
      <c r="AIC72" s="197"/>
      <c r="AID72" s="197"/>
      <c r="AIE72" s="197"/>
      <c r="AIF72" s="197"/>
      <c r="AIG72" s="197"/>
      <c r="AIH72" s="197"/>
      <c r="AII72" s="197"/>
      <c r="AIJ72" s="197"/>
      <c r="AIK72" s="197"/>
      <c r="AIL72" s="197"/>
      <c r="AIM72" s="197"/>
      <c r="AIN72" s="197"/>
      <c r="AIO72" s="197"/>
      <c r="AIP72" s="197"/>
      <c r="AIQ72" s="197"/>
      <c r="AIR72" s="197"/>
      <c r="AIS72" s="197"/>
      <c r="AIT72" s="197"/>
      <c r="AIU72" s="197"/>
      <c r="AIV72" s="197"/>
      <c r="AIW72" s="197"/>
      <c r="AIX72" s="197"/>
      <c r="AIY72" s="197"/>
      <c r="AIZ72" s="197"/>
      <c r="AJA72" s="197"/>
      <c r="AJB72" s="197"/>
      <c r="AJC72" s="197"/>
      <c r="AJD72" s="197"/>
      <c r="AJE72" s="197"/>
      <c r="AJF72" s="197"/>
      <c r="AJG72" s="197"/>
      <c r="AJH72" s="197"/>
      <c r="AJI72" s="197"/>
      <c r="AJJ72" s="197"/>
      <c r="AJK72" s="197"/>
      <c r="AJL72" s="197"/>
      <c r="AJM72" s="197"/>
      <c r="AJN72" s="197"/>
      <c r="AJO72" s="197"/>
      <c r="AJP72" s="197"/>
      <c r="AJQ72" s="197"/>
      <c r="AJR72" s="197"/>
      <c r="AJS72" s="197"/>
      <c r="AJT72" s="197"/>
      <c r="AJU72" s="197"/>
      <c r="AJV72" s="197"/>
      <c r="AJW72" s="197"/>
      <c r="AJX72" s="197"/>
      <c r="AJY72" s="197"/>
      <c r="AJZ72" s="197"/>
      <c r="AKA72" s="197"/>
      <c r="AKB72" s="197"/>
      <c r="AKC72" s="197"/>
      <c r="AKD72" s="197"/>
      <c r="AKE72" s="197"/>
      <c r="AKF72" s="197"/>
      <c r="AKG72" s="197"/>
      <c r="AKH72" s="197"/>
      <c r="AKI72" s="197"/>
      <c r="AKJ72" s="197"/>
      <c r="AKK72" s="197"/>
      <c r="AKL72" s="197"/>
      <c r="AKM72" s="197"/>
      <c r="AKN72" s="197"/>
      <c r="AKO72" s="197"/>
      <c r="AKP72" s="197"/>
      <c r="AKQ72" s="197"/>
      <c r="AKR72" s="197"/>
      <c r="AKS72" s="197"/>
      <c r="AKT72" s="197"/>
      <c r="AKU72" s="197"/>
      <c r="AKV72" s="197"/>
      <c r="AKW72" s="197"/>
      <c r="AKX72" s="197"/>
      <c r="AKY72" s="197"/>
      <c r="AKZ72" s="197"/>
      <c r="ALA72" s="197"/>
      <c r="ALB72" s="197"/>
      <c r="ALC72" s="197"/>
      <c r="ALD72" s="197"/>
      <c r="ALE72" s="197"/>
      <c r="ALF72" s="197"/>
      <c r="ALG72" s="197"/>
      <c r="ALH72" s="197"/>
      <c r="ALI72" s="197"/>
      <c r="ALJ72" s="197"/>
      <c r="ALK72" s="197"/>
      <c r="ALL72" s="197"/>
      <c r="ALM72" s="197"/>
      <c r="ALN72" s="197"/>
      <c r="ALO72" s="197"/>
      <c r="ALP72" s="197"/>
      <c r="ALQ72" s="197"/>
      <c r="ALR72" s="197"/>
      <c r="ALS72" s="197"/>
      <c r="ALT72" s="197"/>
      <c r="ALU72" s="197"/>
      <c r="ALV72" s="197"/>
      <c r="ALW72" s="197"/>
      <c r="ALX72" s="197"/>
      <c r="ALY72" s="197"/>
      <c r="ALZ72" s="197"/>
      <c r="AMA72" s="197"/>
      <c r="AMB72" s="197"/>
      <c r="AMC72" s="197"/>
      <c r="AMD72" s="197"/>
      <c r="AME72" s="197"/>
      <c r="AMF72" s="197"/>
      <c r="AMG72" s="197"/>
      <c r="AMH72" s="197"/>
      <c r="AMI72" s="197"/>
      <c r="AMJ72" s="197"/>
      <c r="AMK72" s="197"/>
      <c r="AML72" s="197"/>
      <c r="AMM72" s="197"/>
      <c r="AMN72" s="197"/>
      <c r="AMO72" s="197"/>
      <c r="AMP72" s="197"/>
      <c r="AMQ72" s="197"/>
      <c r="AMR72" s="197"/>
      <c r="AMS72" s="197"/>
      <c r="AMT72" s="197"/>
      <c r="AMU72" s="197"/>
      <c r="AMV72" s="197"/>
      <c r="AMW72" s="197"/>
      <c r="AMX72" s="197"/>
      <c r="AMY72" s="197"/>
      <c r="AMZ72" s="197"/>
      <c r="ANA72" s="197"/>
      <c r="ANB72" s="197"/>
      <c r="ANC72" s="197"/>
      <c r="AND72" s="197"/>
      <c r="ANE72" s="197"/>
      <c r="ANF72" s="197"/>
      <c r="ANG72" s="197"/>
      <c r="ANH72" s="197"/>
      <c r="ANI72" s="197"/>
      <c r="ANJ72" s="197"/>
      <c r="ANK72" s="197"/>
      <c r="ANL72" s="197"/>
      <c r="ANM72" s="197"/>
      <c r="ANN72" s="197"/>
      <c r="ANO72" s="197"/>
      <c r="ANP72" s="197"/>
      <c r="ANQ72" s="197"/>
      <c r="ANR72" s="197"/>
      <c r="ANS72" s="197"/>
      <c r="ANT72" s="197"/>
      <c r="ANU72" s="197"/>
      <c r="ANV72" s="197"/>
      <c r="ANW72" s="197"/>
      <c r="ANX72" s="197"/>
      <c r="ANY72" s="197"/>
      <c r="ANZ72" s="197"/>
      <c r="AOA72" s="197"/>
      <c r="AOB72" s="197"/>
      <c r="AOC72" s="197"/>
      <c r="AOD72" s="197"/>
      <c r="AOE72" s="197"/>
      <c r="AOF72" s="197"/>
      <c r="AOG72" s="197"/>
      <c r="AOH72" s="197"/>
      <c r="AOI72" s="197"/>
      <c r="AOJ72" s="197"/>
      <c r="AOK72" s="197"/>
      <c r="AOL72" s="197"/>
      <c r="AOM72" s="197"/>
      <c r="AON72" s="197"/>
      <c r="AOO72" s="197"/>
      <c r="AOP72" s="197"/>
      <c r="AOQ72" s="197"/>
      <c r="AOR72" s="197"/>
      <c r="AOS72" s="197"/>
      <c r="AOT72" s="197"/>
      <c r="AOU72" s="197"/>
      <c r="AOV72" s="197"/>
      <c r="AOW72" s="197"/>
      <c r="AOX72" s="197"/>
      <c r="AOY72" s="197"/>
      <c r="AOZ72" s="197"/>
      <c r="APA72" s="197"/>
      <c r="APB72" s="197"/>
      <c r="APC72" s="197"/>
      <c r="APD72" s="197"/>
      <c r="APE72" s="197"/>
      <c r="APF72" s="197"/>
      <c r="APG72" s="197"/>
      <c r="APH72" s="197"/>
      <c r="API72" s="197"/>
      <c r="APJ72" s="197"/>
      <c r="APK72" s="197"/>
      <c r="APL72" s="197"/>
      <c r="APM72" s="197"/>
      <c r="APN72" s="197"/>
      <c r="APO72" s="197"/>
      <c r="APP72" s="197"/>
      <c r="APQ72" s="197"/>
      <c r="APR72" s="197"/>
      <c r="APS72" s="197"/>
      <c r="APT72" s="197"/>
      <c r="APU72" s="197"/>
      <c r="APV72" s="197"/>
      <c r="APW72" s="197"/>
      <c r="APX72" s="197"/>
      <c r="APY72" s="197"/>
      <c r="APZ72" s="197"/>
      <c r="AQA72" s="197"/>
      <c r="AQB72" s="197"/>
      <c r="AQC72" s="197"/>
      <c r="AQD72" s="197"/>
      <c r="AQE72" s="197"/>
      <c r="AQF72" s="197"/>
      <c r="AQG72" s="197"/>
      <c r="AQH72" s="197"/>
      <c r="AQI72" s="197"/>
      <c r="AQJ72" s="197"/>
      <c r="AQK72" s="197"/>
      <c r="AQL72" s="197"/>
      <c r="AQM72" s="197"/>
      <c r="AQN72" s="197"/>
      <c r="AQO72" s="197"/>
      <c r="AQP72" s="197"/>
      <c r="AQQ72" s="197"/>
      <c r="AQR72" s="197"/>
      <c r="AQS72" s="197"/>
      <c r="AQT72" s="197"/>
      <c r="AQU72" s="197"/>
      <c r="AQV72" s="197"/>
      <c r="AQW72" s="197"/>
      <c r="AQX72" s="197"/>
      <c r="AQY72" s="197"/>
      <c r="AQZ72" s="197"/>
      <c r="ARA72" s="197"/>
      <c r="ARB72" s="197"/>
      <c r="ARC72" s="197"/>
      <c r="ARD72" s="197"/>
      <c r="ARE72" s="197"/>
      <c r="ARF72" s="197"/>
      <c r="ARG72" s="197"/>
      <c r="ARH72" s="197"/>
      <c r="ARI72" s="197"/>
      <c r="ARJ72" s="197"/>
      <c r="ARK72" s="197"/>
      <c r="ARL72" s="197"/>
      <c r="ARM72" s="197"/>
      <c r="ARN72" s="197"/>
      <c r="ARO72" s="197"/>
      <c r="ARP72" s="197"/>
      <c r="ARQ72" s="197"/>
      <c r="ARR72" s="197"/>
      <c r="ARS72" s="197"/>
      <c r="ART72" s="197"/>
      <c r="ARU72" s="197"/>
      <c r="ARV72" s="197"/>
      <c r="ARW72" s="197"/>
      <c r="ARX72" s="197"/>
      <c r="ARY72" s="197"/>
      <c r="ARZ72" s="197"/>
      <c r="ASA72" s="197"/>
      <c r="ASB72" s="197"/>
      <c r="ASC72" s="197"/>
      <c r="ASD72" s="197"/>
      <c r="ASE72" s="197"/>
      <c r="ASF72" s="197"/>
      <c r="ASG72" s="197"/>
      <c r="ASH72" s="197"/>
      <c r="ASI72" s="197"/>
      <c r="ASJ72" s="197"/>
      <c r="ASK72" s="197"/>
      <c r="ASL72" s="197"/>
      <c r="ASM72" s="197"/>
      <c r="ASN72" s="197"/>
      <c r="ASO72" s="197"/>
      <c r="ASP72" s="197"/>
      <c r="ASQ72" s="197"/>
      <c r="ASR72" s="197"/>
      <c r="ASS72" s="197"/>
      <c r="AST72" s="197"/>
      <c r="ASU72" s="197"/>
      <c r="ASV72" s="197"/>
      <c r="ASW72" s="197"/>
      <c r="ASX72" s="197"/>
      <c r="ASY72" s="197"/>
      <c r="ASZ72" s="197"/>
      <c r="ATA72" s="197"/>
      <c r="ATB72" s="197"/>
      <c r="ATC72" s="197"/>
      <c r="ATD72" s="197"/>
      <c r="ATE72" s="197"/>
      <c r="ATF72" s="197"/>
      <c r="ATG72" s="197"/>
      <c r="ATH72" s="197"/>
      <c r="ATI72" s="197"/>
      <c r="ATJ72" s="197"/>
      <c r="ATK72" s="197"/>
      <c r="ATL72" s="197"/>
      <c r="ATM72" s="197"/>
      <c r="ATN72" s="197"/>
      <c r="ATO72" s="197"/>
      <c r="ATP72" s="197"/>
      <c r="ATQ72" s="197"/>
      <c r="ATR72" s="197"/>
      <c r="ATS72" s="197"/>
      <c r="ATT72" s="197"/>
      <c r="ATU72" s="197"/>
      <c r="ATV72" s="197"/>
      <c r="ATW72" s="197"/>
      <c r="ATX72" s="197"/>
      <c r="ATY72" s="197"/>
      <c r="ATZ72" s="197"/>
      <c r="AUA72" s="197"/>
      <c r="AUB72" s="197"/>
      <c r="AUC72" s="197"/>
      <c r="AUD72" s="197"/>
      <c r="AUE72" s="197"/>
      <c r="AUF72" s="197"/>
      <c r="AUG72" s="197"/>
      <c r="AUH72" s="197"/>
      <c r="AUI72" s="197"/>
      <c r="AUJ72" s="197"/>
      <c r="AUK72" s="197"/>
      <c r="AUL72" s="197"/>
      <c r="AUM72" s="197"/>
      <c r="AUN72" s="197"/>
      <c r="AUO72" s="197"/>
      <c r="AUP72" s="197"/>
      <c r="AUQ72" s="197"/>
      <c r="AUR72" s="197"/>
      <c r="AUS72" s="197"/>
      <c r="AUT72" s="197"/>
      <c r="AUU72" s="197"/>
      <c r="AUV72" s="197"/>
      <c r="AUW72" s="197"/>
      <c r="AUX72" s="197"/>
      <c r="AUY72" s="197"/>
      <c r="AUZ72" s="197"/>
      <c r="AVA72" s="197"/>
      <c r="AVB72" s="197"/>
      <c r="AVC72" s="197"/>
      <c r="AVD72" s="197"/>
      <c r="AVE72" s="197"/>
      <c r="AVF72" s="197"/>
      <c r="AVG72" s="197"/>
      <c r="AVH72" s="197"/>
      <c r="AVI72" s="197"/>
      <c r="AVJ72" s="197"/>
      <c r="AVK72" s="197"/>
      <c r="AVL72" s="197"/>
      <c r="AVM72" s="197"/>
      <c r="AVN72" s="197"/>
      <c r="AVO72" s="197"/>
      <c r="AVP72" s="197"/>
      <c r="AVQ72" s="197"/>
      <c r="AVR72" s="197"/>
      <c r="AVS72" s="197"/>
      <c r="AVT72" s="197"/>
      <c r="AVU72" s="197"/>
      <c r="AVV72" s="197"/>
      <c r="AVW72" s="197"/>
      <c r="AVX72" s="197"/>
      <c r="AVY72" s="197"/>
      <c r="AVZ72" s="197"/>
      <c r="AWA72" s="197"/>
      <c r="AWB72" s="197"/>
      <c r="AWC72" s="197"/>
      <c r="AWD72" s="197"/>
      <c r="AWE72" s="197"/>
      <c r="AWF72" s="197"/>
      <c r="AWG72" s="197"/>
      <c r="AWH72" s="197"/>
      <c r="AWI72" s="197"/>
      <c r="AWJ72" s="197"/>
      <c r="AWK72" s="197"/>
      <c r="AWL72" s="197"/>
      <c r="AWM72" s="197"/>
      <c r="AWN72" s="197"/>
      <c r="AWO72" s="197"/>
      <c r="AWP72" s="197"/>
      <c r="AWQ72" s="197"/>
      <c r="AWR72" s="197"/>
      <c r="AWS72" s="197"/>
      <c r="AWT72" s="197"/>
      <c r="AWU72" s="197"/>
      <c r="AWV72" s="197"/>
      <c r="AWW72" s="197"/>
      <c r="AWX72" s="197"/>
      <c r="AWY72" s="197"/>
      <c r="AWZ72" s="197"/>
      <c r="AXA72" s="197"/>
      <c r="AXB72" s="197"/>
      <c r="AXC72" s="197"/>
      <c r="AXD72" s="197"/>
      <c r="AXE72" s="197"/>
      <c r="AXF72" s="197"/>
      <c r="AXG72" s="197"/>
      <c r="AXH72" s="197"/>
      <c r="AXI72" s="197"/>
      <c r="AXJ72" s="197"/>
      <c r="AXK72" s="197"/>
      <c r="AXL72" s="197"/>
      <c r="AXM72" s="197"/>
      <c r="AXN72" s="197"/>
      <c r="AXO72" s="197"/>
      <c r="AXP72" s="197"/>
      <c r="AXQ72" s="197"/>
      <c r="AXR72" s="197"/>
      <c r="AXS72" s="197"/>
      <c r="AXT72" s="197"/>
      <c r="AXU72" s="197"/>
      <c r="AXV72" s="197"/>
      <c r="AXW72" s="197"/>
      <c r="AXX72" s="197"/>
      <c r="AXY72" s="197"/>
      <c r="AXZ72" s="197"/>
      <c r="AYA72" s="197"/>
      <c r="AYB72" s="197"/>
      <c r="AYC72" s="197"/>
      <c r="AYD72" s="197"/>
      <c r="AYE72" s="197"/>
      <c r="AYF72" s="197"/>
      <c r="AYG72" s="197"/>
      <c r="AYH72" s="197"/>
      <c r="AYI72" s="197"/>
      <c r="AYJ72" s="197"/>
      <c r="AYK72" s="197"/>
      <c r="AYL72" s="197"/>
      <c r="AYM72" s="197"/>
      <c r="AYN72" s="197"/>
      <c r="AYO72" s="197"/>
      <c r="AYP72" s="197"/>
      <c r="AYQ72" s="197"/>
      <c r="AYR72" s="197"/>
      <c r="AYS72" s="197"/>
      <c r="AYT72" s="197"/>
      <c r="AYU72" s="197"/>
      <c r="AYV72" s="197"/>
      <c r="AYW72" s="197"/>
      <c r="AYX72" s="197"/>
      <c r="AYY72" s="197"/>
      <c r="AYZ72" s="197"/>
      <c r="AZA72" s="197"/>
      <c r="AZB72" s="197"/>
      <c r="AZC72" s="197"/>
      <c r="AZD72" s="197"/>
      <c r="AZE72" s="197"/>
      <c r="AZF72" s="197"/>
      <c r="AZG72" s="197"/>
      <c r="AZH72" s="197"/>
      <c r="AZI72" s="197"/>
      <c r="AZJ72" s="197"/>
      <c r="AZK72" s="197"/>
      <c r="AZL72" s="197"/>
      <c r="AZM72" s="197"/>
      <c r="AZN72" s="197"/>
      <c r="AZO72" s="197"/>
      <c r="AZP72" s="197"/>
      <c r="AZQ72" s="197"/>
      <c r="AZR72" s="197"/>
      <c r="AZS72" s="197"/>
      <c r="AZT72" s="197"/>
      <c r="AZU72" s="197"/>
      <c r="AZV72" s="197"/>
      <c r="AZW72" s="197"/>
      <c r="AZX72" s="197"/>
      <c r="AZY72" s="197"/>
      <c r="AZZ72" s="197"/>
      <c r="BAA72" s="197"/>
      <c r="BAB72" s="197"/>
      <c r="BAC72" s="197"/>
      <c r="BAD72" s="197"/>
      <c r="BAE72" s="197"/>
      <c r="BAF72" s="197"/>
      <c r="BAG72" s="197"/>
      <c r="BAH72" s="197"/>
      <c r="BAI72" s="197"/>
      <c r="BAJ72" s="197"/>
      <c r="BAK72" s="197"/>
      <c r="BAL72" s="197"/>
      <c r="BAM72" s="197"/>
      <c r="BAN72" s="197"/>
      <c r="BAO72" s="197"/>
      <c r="BAP72" s="197"/>
      <c r="BAQ72" s="197"/>
      <c r="BAR72" s="197"/>
      <c r="BAS72" s="197"/>
      <c r="BAT72" s="197"/>
      <c r="BAU72" s="197"/>
      <c r="BAV72" s="197"/>
      <c r="BAW72" s="197"/>
      <c r="BAX72" s="197"/>
      <c r="BAY72" s="197"/>
      <c r="BAZ72" s="197"/>
      <c r="BBA72" s="197"/>
      <c r="BBB72" s="197"/>
      <c r="BBC72" s="197"/>
      <c r="BBD72" s="197"/>
      <c r="BBE72" s="197"/>
      <c r="BBF72" s="197"/>
      <c r="BBG72" s="197"/>
      <c r="BBH72" s="197"/>
      <c r="BBI72" s="197"/>
      <c r="BBJ72" s="197"/>
      <c r="BBK72" s="197"/>
      <c r="BBL72" s="197"/>
      <c r="BBM72" s="197"/>
      <c r="BBN72" s="197"/>
      <c r="BBO72" s="197"/>
      <c r="BBP72" s="197"/>
      <c r="BBQ72" s="197"/>
      <c r="BBR72" s="197"/>
      <c r="BBS72" s="197"/>
      <c r="BBT72" s="197"/>
      <c r="BBU72" s="197"/>
      <c r="BBV72" s="197"/>
      <c r="BBW72" s="197"/>
      <c r="BBX72" s="197"/>
      <c r="BBY72" s="197"/>
      <c r="BBZ72" s="197"/>
      <c r="BCA72" s="197"/>
      <c r="BCB72" s="197"/>
      <c r="BCC72" s="197"/>
      <c r="BCD72" s="197"/>
      <c r="BCE72" s="197"/>
      <c r="BCF72" s="197"/>
      <c r="BCG72" s="197"/>
      <c r="BCH72" s="197"/>
      <c r="BCI72" s="197"/>
      <c r="BCJ72" s="197"/>
      <c r="BCK72" s="197"/>
      <c r="BCL72" s="197"/>
      <c r="BCM72" s="197"/>
      <c r="BCN72" s="197"/>
      <c r="BCO72" s="197"/>
      <c r="BCP72" s="197"/>
      <c r="BCQ72" s="197"/>
      <c r="BCR72" s="197"/>
      <c r="BCS72" s="197"/>
      <c r="BCT72" s="197"/>
      <c r="BCU72" s="197"/>
      <c r="BCV72" s="197"/>
      <c r="BCW72" s="197"/>
      <c r="BCX72" s="197"/>
      <c r="BCY72" s="197"/>
      <c r="BCZ72" s="197"/>
      <c r="BDA72" s="197"/>
      <c r="BDB72" s="197"/>
      <c r="BDC72" s="197"/>
      <c r="BDD72" s="197"/>
      <c r="BDE72" s="197"/>
      <c r="BDF72" s="197"/>
      <c r="BDG72" s="197"/>
      <c r="BDH72" s="197"/>
      <c r="BDI72" s="197"/>
      <c r="BDJ72" s="197"/>
      <c r="BDK72" s="197"/>
      <c r="BDL72" s="197"/>
      <c r="BDM72" s="197"/>
      <c r="BDN72" s="197"/>
      <c r="BDO72" s="197"/>
      <c r="BDP72" s="197"/>
      <c r="BDQ72" s="197"/>
      <c r="BDR72" s="197"/>
      <c r="BDS72" s="197"/>
      <c r="BDT72" s="197"/>
      <c r="BDU72" s="197"/>
      <c r="BDV72" s="197"/>
      <c r="BDW72" s="197"/>
      <c r="BDX72" s="197"/>
      <c r="BDY72" s="197"/>
      <c r="BDZ72" s="197"/>
      <c r="BEA72" s="197"/>
      <c r="BEB72" s="197"/>
      <c r="BEC72" s="197"/>
      <c r="BED72" s="197"/>
      <c r="BEE72" s="197"/>
      <c r="BEF72" s="197"/>
      <c r="BEG72" s="197"/>
      <c r="BEH72" s="197"/>
      <c r="BEI72" s="197"/>
      <c r="BEJ72" s="197"/>
      <c r="BEK72" s="197"/>
      <c r="BEL72" s="197"/>
      <c r="BEM72" s="197"/>
      <c r="BEN72" s="197"/>
      <c r="BEO72" s="197"/>
      <c r="BEP72" s="197"/>
      <c r="BEQ72" s="197"/>
      <c r="BER72" s="197"/>
      <c r="BES72" s="197"/>
      <c r="BET72" s="197"/>
      <c r="BEU72" s="197"/>
      <c r="BEV72" s="197"/>
      <c r="BEW72" s="197"/>
      <c r="BEX72" s="197"/>
      <c r="BEY72" s="197"/>
      <c r="BEZ72" s="197"/>
      <c r="BFA72" s="197"/>
      <c r="BFB72" s="197"/>
      <c r="BFC72" s="197"/>
      <c r="BFD72" s="197"/>
      <c r="BFE72" s="197"/>
      <c r="BFF72" s="197"/>
      <c r="BFG72" s="197"/>
      <c r="BFH72" s="197"/>
      <c r="BFI72" s="197"/>
      <c r="BFJ72" s="197"/>
      <c r="BFK72" s="197"/>
      <c r="BFL72" s="197"/>
      <c r="BFM72" s="197"/>
      <c r="BFN72" s="197"/>
      <c r="BFO72" s="197"/>
      <c r="BFP72" s="197"/>
      <c r="BFQ72" s="197"/>
      <c r="BFR72" s="197"/>
      <c r="BFS72" s="197"/>
      <c r="BFT72" s="197"/>
      <c r="BFU72" s="197"/>
      <c r="BFV72" s="197"/>
      <c r="BFW72" s="197"/>
      <c r="BFX72" s="197"/>
      <c r="BFY72" s="197"/>
      <c r="BFZ72" s="197"/>
      <c r="BGA72" s="197"/>
      <c r="BGB72" s="197"/>
      <c r="BGC72" s="197"/>
      <c r="BGD72" s="197"/>
      <c r="BGE72" s="197"/>
      <c r="BGF72" s="197"/>
      <c r="BGG72" s="197"/>
      <c r="BGH72" s="197"/>
      <c r="BGI72" s="197"/>
      <c r="BGJ72" s="197"/>
      <c r="BGK72" s="197"/>
      <c r="BGL72" s="197"/>
      <c r="BGM72" s="197"/>
      <c r="BGN72" s="197"/>
      <c r="BGO72" s="197"/>
      <c r="BGP72" s="197"/>
      <c r="BGQ72" s="197"/>
      <c r="BGR72" s="197"/>
      <c r="BGS72" s="197"/>
      <c r="BGT72" s="197"/>
      <c r="BGU72" s="197"/>
      <c r="BGV72" s="197"/>
      <c r="BGW72" s="197"/>
      <c r="BGX72" s="197"/>
      <c r="BGY72" s="197"/>
      <c r="BGZ72" s="197"/>
      <c r="BHA72" s="197"/>
      <c r="BHB72" s="197"/>
      <c r="BHC72" s="197"/>
      <c r="BHD72" s="197"/>
      <c r="BHE72" s="197"/>
      <c r="BHF72" s="197"/>
      <c r="BHG72" s="197"/>
      <c r="BHH72" s="197"/>
      <c r="BHI72" s="197"/>
      <c r="BHJ72" s="197"/>
      <c r="BHK72" s="197"/>
      <c r="BHL72" s="197"/>
      <c r="BHM72" s="197"/>
      <c r="BHN72" s="197"/>
      <c r="BHO72" s="197"/>
      <c r="BHP72" s="197"/>
      <c r="BHQ72" s="197"/>
      <c r="BHR72" s="197"/>
      <c r="BHS72" s="197"/>
      <c r="BHT72" s="197"/>
      <c r="BHU72" s="197"/>
      <c r="BHV72" s="197"/>
      <c r="BHW72" s="197"/>
      <c r="BHX72" s="197"/>
      <c r="BHY72" s="197"/>
      <c r="BHZ72" s="197"/>
      <c r="BIA72" s="197"/>
      <c r="BIB72" s="197"/>
      <c r="BIC72" s="197"/>
      <c r="BID72" s="197"/>
      <c r="BIE72" s="197"/>
      <c r="BIF72" s="197"/>
      <c r="BIG72" s="197"/>
      <c r="BIH72" s="197"/>
      <c r="BII72" s="197"/>
      <c r="BIJ72" s="197"/>
      <c r="BIK72" s="197"/>
      <c r="BIL72" s="197"/>
      <c r="BIM72" s="197"/>
      <c r="BIN72" s="197"/>
      <c r="BIO72" s="197"/>
      <c r="BIP72" s="197"/>
      <c r="BIQ72" s="197"/>
      <c r="BIR72" s="197"/>
      <c r="BIS72" s="197"/>
      <c r="BIT72" s="197"/>
      <c r="BIU72" s="197"/>
      <c r="BIV72" s="197"/>
      <c r="BIW72" s="197"/>
      <c r="BIX72" s="197"/>
      <c r="BIY72" s="197"/>
      <c r="BIZ72" s="197"/>
      <c r="BJA72" s="197"/>
      <c r="BJB72" s="197"/>
      <c r="BJC72" s="197"/>
      <c r="BJD72" s="197"/>
      <c r="BJE72" s="197"/>
      <c r="BJF72" s="197"/>
      <c r="BJG72" s="197"/>
      <c r="BJH72" s="197"/>
      <c r="BJI72" s="197"/>
      <c r="BJJ72" s="197"/>
      <c r="BJK72" s="197"/>
      <c r="BJL72" s="197"/>
      <c r="BJM72" s="197"/>
      <c r="BJN72" s="197"/>
      <c r="BJO72" s="197"/>
      <c r="BJP72" s="197"/>
      <c r="BJQ72" s="197"/>
      <c r="BJR72" s="197"/>
      <c r="BJS72" s="197"/>
      <c r="BJT72" s="197"/>
      <c r="BJU72" s="197"/>
      <c r="BJV72" s="197"/>
      <c r="BJW72" s="197"/>
      <c r="BJX72" s="197"/>
      <c r="BJY72" s="197"/>
      <c r="BJZ72" s="197"/>
      <c r="BKA72" s="197"/>
      <c r="BKB72" s="197"/>
      <c r="BKC72" s="197"/>
      <c r="BKD72" s="197"/>
      <c r="BKE72" s="197"/>
      <c r="BKF72" s="197"/>
      <c r="BKG72" s="197"/>
      <c r="BKH72" s="197"/>
      <c r="BKI72" s="197"/>
      <c r="BKJ72" s="197"/>
      <c r="BKK72" s="197"/>
      <c r="BKL72" s="197"/>
      <c r="BKM72" s="197"/>
      <c r="BKN72" s="197"/>
      <c r="BKO72" s="197"/>
      <c r="BKP72" s="197"/>
      <c r="BKQ72" s="197"/>
      <c r="BKR72" s="197"/>
      <c r="BKS72" s="197"/>
      <c r="BKT72" s="197"/>
      <c r="BKU72" s="197"/>
      <c r="BKV72" s="197"/>
      <c r="BKW72" s="197"/>
      <c r="BKX72" s="197"/>
      <c r="BKY72" s="197"/>
      <c r="BKZ72" s="197"/>
      <c r="BLA72" s="197"/>
      <c r="BLB72" s="197"/>
      <c r="BLC72" s="197"/>
      <c r="BLD72" s="197"/>
      <c r="BLE72" s="197"/>
      <c r="BLF72" s="197"/>
      <c r="BLG72" s="197"/>
      <c r="BLH72" s="197"/>
      <c r="BLI72" s="197"/>
      <c r="BLJ72" s="197"/>
      <c r="BLK72" s="197"/>
      <c r="BLL72" s="197"/>
      <c r="BLM72" s="197"/>
      <c r="BLN72" s="197"/>
      <c r="BLO72" s="197"/>
      <c r="BLP72" s="197"/>
      <c r="BLQ72" s="197"/>
      <c r="BLR72" s="197"/>
      <c r="BLS72" s="197"/>
      <c r="BLT72" s="197"/>
      <c r="BLU72" s="197"/>
      <c r="BLV72" s="197"/>
      <c r="BLW72" s="197"/>
      <c r="BLX72" s="197"/>
      <c r="BLY72" s="197"/>
      <c r="BLZ72" s="197"/>
      <c r="BMA72" s="197"/>
      <c r="BMB72" s="197"/>
      <c r="BMC72" s="197"/>
      <c r="BMD72" s="197"/>
      <c r="BME72" s="197"/>
      <c r="BMF72" s="197"/>
      <c r="BMG72" s="197"/>
      <c r="BMH72" s="197"/>
      <c r="BMI72" s="197"/>
      <c r="BMJ72" s="197"/>
      <c r="BMK72" s="197"/>
      <c r="BML72" s="197"/>
      <c r="BMM72" s="197"/>
      <c r="BMN72" s="197"/>
      <c r="BMO72" s="197"/>
      <c r="BMP72" s="197"/>
      <c r="BMQ72" s="197"/>
      <c r="BMR72" s="197"/>
      <c r="BMS72" s="197"/>
      <c r="BMT72" s="197"/>
      <c r="BMU72" s="197"/>
      <c r="BMV72" s="197"/>
      <c r="BMW72" s="197"/>
      <c r="BMX72" s="197"/>
      <c r="BMY72" s="197"/>
      <c r="BMZ72" s="197"/>
      <c r="BNA72" s="197"/>
      <c r="BNB72" s="197"/>
      <c r="BNC72" s="197"/>
      <c r="BND72" s="197"/>
      <c r="BNE72" s="197"/>
      <c r="BNF72" s="197"/>
      <c r="BNG72" s="197"/>
      <c r="BNH72" s="197"/>
      <c r="BNI72" s="197"/>
      <c r="BNJ72" s="197"/>
      <c r="BNK72" s="197"/>
      <c r="BNL72" s="197"/>
      <c r="BNM72" s="197"/>
      <c r="BNN72" s="197"/>
      <c r="BNO72" s="197"/>
      <c r="BNP72" s="197"/>
      <c r="BNQ72" s="197"/>
      <c r="BNR72" s="197"/>
      <c r="BNS72" s="197"/>
      <c r="BNT72" s="197"/>
      <c r="BNU72" s="197"/>
      <c r="BNV72" s="197"/>
      <c r="BNW72" s="197"/>
      <c r="BNX72" s="197"/>
      <c r="BNY72" s="197"/>
      <c r="BNZ72" s="197"/>
      <c r="BOA72" s="197"/>
      <c r="BOB72" s="197"/>
      <c r="BOC72" s="197"/>
      <c r="BOD72" s="197"/>
      <c r="BOE72" s="197"/>
      <c r="BOF72" s="197"/>
      <c r="BOG72" s="197"/>
      <c r="BOH72" s="197"/>
      <c r="BOI72" s="197"/>
      <c r="BOJ72" s="197"/>
      <c r="BOK72" s="197"/>
      <c r="BOL72" s="197"/>
      <c r="BOM72" s="197"/>
      <c r="BON72" s="197"/>
      <c r="BOO72" s="197"/>
      <c r="BOP72" s="197"/>
      <c r="BOQ72" s="197"/>
      <c r="BOR72" s="197"/>
      <c r="BOS72" s="197"/>
      <c r="BOT72" s="197"/>
      <c r="BOU72" s="197"/>
      <c r="BOV72" s="197"/>
      <c r="BOW72" s="197"/>
      <c r="BOX72" s="197"/>
      <c r="BOY72" s="197"/>
      <c r="BOZ72" s="197"/>
      <c r="BPA72" s="197"/>
      <c r="BPB72" s="197"/>
      <c r="BPC72" s="197"/>
      <c r="BPD72" s="197"/>
      <c r="BPE72" s="197"/>
      <c r="BPF72" s="197"/>
      <c r="BPG72" s="197"/>
      <c r="BPH72" s="197"/>
      <c r="BPI72" s="197"/>
      <c r="BPJ72" s="197"/>
      <c r="BPK72" s="197"/>
      <c r="BPL72" s="197"/>
      <c r="BPM72" s="197"/>
      <c r="BPN72" s="197"/>
      <c r="BPO72" s="197"/>
      <c r="BPP72" s="197"/>
      <c r="BPQ72" s="197"/>
      <c r="BPR72" s="197"/>
      <c r="BPS72" s="197"/>
      <c r="BPT72" s="197"/>
      <c r="BPU72" s="197"/>
      <c r="BPV72" s="197"/>
      <c r="BPW72" s="197"/>
      <c r="BPX72" s="197"/>
      <c r="BPY72" s="197"/>
      <c r="BPZ72" s="197"/>
      <c r="BQA72" s="197"/>
      <c r="BQB72" s="197"/>
      <c r="BQC72" s="197"/>
      <c r="BQD72" s="197"/>
      <c r="BQE72" s="197"/>
      <c r="BQF72" s="197"/>
      <c r="BQG72" s="197"/>
      <c r="BQH72" s="197"/>
      <c r="BQI72" s="197"/>
      <c r="BQJ72" s="197"/>
      <c r="BQK72" s="197"/>
      <c r="BQL72" s="197"/>
      <c r="BQM72" s="197"/>
      <c r="BQN72" s="197"/>
      <c r="BQO72" s="197"/>
      <c r="BQP72" s="197"/>
      <c r="BQQ72" s="197"/>
      <c r="BQR72" s="197"/>
      <c r="BQS72" s="197"/>
      <c r="BQT72" s="197"/>
      <c r="BQU72" s="197"/>
      <c r="BQV72" s="197"/>
      <c r="BQW72" s="197"/>
      <c r="BQX72" s="197"/>
      <c r="BQY72" s="197"/>
      <c r="BQZ72" s="197"/>
      <c r="BRA72" s="197"/>
      <c r="BRB72" s="197"/>
      <c r="BRC72" s="197"/>
      <c r="BRD72" s="197"/>
      <c r="BRE72" s="197"/>
      <c r="BRF72" s="197"/>
      <c r="BRG72" s="197"/>
      <c r="BRH72" s="197"/>
      <c r="BRI72" s="197"/>
      <c r="BRJ72" s="197"/>
      <c r="BRK72" s="197"/>
      <c r="BRL72" s="197"/>
      <c r="BRM72" s="197"/>
      <c r="BRN72" s="197"/>
      <c r="BRO72" s="197"/>
      <c r="BRP72" s="197"/>
      <c r="BRQ72" s="197"/>
      <c r="BRR72" s="197"/>
      <c r="BRS72" s="197"/>
      <c r="BRT72" s="197"/>
      <c r="BRU72" s="197"/>
      <c r="BRV72" s="197"/>
      <c r="BRW72" s="197"/>
      <c r="BRX72" s="197"/>
      <c r="BRY72" s="197"/>
      <c r="BRZ72" s="197"/>
      <c r="BSA72" s="197"/>
      <c r="BSB72" s="197"/>
      <c r="BSC72" s="197"/>
      <c r="BSD72" s="197"/>
      <c r="BSE72" s="197"/>
      <c r="BSF72" s="197"/>
      <c r="BSG72" s="197"/>
      <c r="BSH72" s="197"/>
      <c r="BSI72" s="197"/>
      <c r="BSJ72" s="197"/>
      <c r="BSK72" s="197"/>
      <c r="BSL72" s="197"/>
      <c r="BSM72" s="197"/>
      <c r="BSN72" s="197"/>
      <c r="BSO72" s="197"/>
      <c r="BSP72" s="197"/>
      <c r="BSQ72" s="197"/>
      <c r="BSR72" s="197"/>
      <c r="BSS72" s="197"/>
      <c r="BST72" s="197"/>
      <c r="BSU72" s="197"/>
      <c r="BSV72" s="197"/>
      <c r="BSW72" s="197"/>
      <c r="BSX72" s="197"/>
      <c r="BSY72" s="197"/>
      <c r="BSZ72" s="197"/>
      <c r="BTA72" s="197"/>
      <c r="BTB72" s="197"/>
      <c r="BTC72" s="197"/>
      <c r="BTD72" s="197"/>
      <c r="BTE72" s="197"/>
      <c r="BTF72" s="197"/>
      <c r="BTG72" s="197"/>
      <c r="BTH72" s="197"/>
      <c r="BTI72" s="197"/>
      <c r="BTJ72" s="197"/>
      <c r="BTK72" s="197"/>
      <c r="BTL72" s="197"/>
      <c r="BTM72" s="197"/>
      <c r="BTN72" s="197"/>
      <c r="BTO72" s="197"/>
      <c r="BTP72" s="197"/>
      <c r="BTQ72" s="197"/>
      <c r="BTR72" s="197"/>
      <c r="BTS72" s="197"/>
      <c r="BTT72" s="197"/>
      <c r="BTU72" s="197"/>
      <c r="BTV72" s="197"/>
      <c r="BTW72" s="197"/>
      <c r="BTX72" s="197"/>
      <c r="BTY72" s="197"/>
      <c r="BTZ72" s="197"/>
      <c r="BUA72" s="197"/>
      <c r="BUB72" s="197"/>
      <c r="BUC72" s="197"/>
      <c r="BUD72" s="197"/>
      <c r="BUE72" s="197"/>
      <c r="BUF72" s="197"/>
      <c r="BUG72" s="197"/>
      <c r="BUH72" s="197"/>
      <c r="BUI72" s="197"/>
      <c r="BUJ72" s="197"/>
      <c r="BUK72" s="197"/>
      <c r="BUL72" s="197"/>
      <c r="BUM72" s="197"/>
      <c r="BUN72" s="197"/>
      <c r="BUO72" s="197"/>
      <c r="BUP72" s="197"/>
      <c r="BUQ72" s="197"/>
      <c r="BUR72" s="197"/>
      <c r="BUS72" s="197"/>
      <c r="BUT72" s="197"/>
      <c r="BUU72" s="197"/>
      <c r="BUV72" s="197"/>
      <c r="BUW72" s="197"/>
      <c r="BUX72" s="197"/>
      <c r="BUY72" s="197"/>
      <c r="BUZ72" s="197"/>
      <c r="BVA72" s="197"/>
      <c r="BVB72" s="197"/>
      <c r="BVC72" s="197"/>
      <c r="BVD72" s="197"/>
      <c r="BVE72" s="197"/>
      <c r="BVF72" s="197"/>
      <c r="BVG72" s="197"/>
      <c r="BVH72" s="197"/>
      <c r="BVI72" s="197"/>
      <c r="BVJ72" s="197"/>
      <c r="BVK72" s="197"/>
      <c r="BVL72" s="197"/>
      <c r="BVM72" s="197"/>
      <c r="BVN72" s="197"/>
      <c r="BVO72" s="197"/>
      <c r="BVP72" s="197"/>
      <c r="BVQ72" s="197"/>
      <c r="BVR72" s="197"/>
      <c r="BVS72" s="197"/>
      <c r="BVT72" s="197"/>
      <c r="BVU72" s="197"/>
      <c r="BVV72" s="197"/>
      <c r="BVW72" s="197"/>
      <c r="BVX72" s="197"/>
      <c r="BVY72" s="197"/>
      <c r="BVZ72" s="197"/>
      <c r="BWA72" s="197"/>
      <c r="BWB72" s="197"/>
      <c r="BWC72" s="197"/>
      <c r="BWD72" s="197"/>
      <c r="BWE72" s="197"/>
      <c r="BWF72" s="197"/>
      <c r="BWG72" s="197"/>
      <c r="BWH72" s="197"/>
      <c r="BWI72" s="197"/>
      <c r="BWJ72" s="197"/>
      <c r="BWK72" s="197"/>
      <c r="BWL72" s="197"/>
      <c r="BWM72" s="197"/>
      <c r="BWN72" s="197"/>
      <c r="BWO72" s="197"/>
      <c r="BWP72" s="197"/>
      <c r="BWQ72" s="197"/>
      <c r="BWR72" s="197"/>
      <c r="BWS72" s="197"/>
      <c r="BWT72" s="197"/>
      <c r="BWU72" s="197"/>
      <c r="BWV72" s="197"/>
      <c r="BWW72" s="197"/>
      <c r="BWX72" s="197"/>
      <c r="BWY72" s="197"/>
      <c r="BWZ72" s="197"/>
      <c r="BXA72" s="197"/>
      <c r="BXB72" s="197"/>
      <c r="BXC72" s="197"/>
      <c r="BXD72" s="197"/>
      <c r="BXE72" s="197"/>
      <c r="BXF72" s="197"/>
      <c r="BXG72" s="197"/>
      <c r="BXH72" s="197"/>
      <c r="BXI72" s="197"/>
      <c r="BXJ72" s="197"/>
      <c r="BXK72" s="197"/>
      <c r="BXL72" s="197"/>
      <c r="BXM72" s="197"/>
      <c r="BXN72" s="197"/>
      <c r="BXO72" s="197"/>
      <c r="BXP72" s="197"/>
      <c r="BXQ72" s="197"/>
      <c r="BXR72" s="197"/>
      <c r="BXS72" s="197"/>
      <c r="BXT72" s="197"/>
      <c r="BXU72" s="197"/>
      <c r="BXV72" s="197"/>
      <c r="BXW72" s="197"/>
      <c r="BXX72" s="197"/>
      <c r="BXY72" s="197"/>
      <c r="BXZ72" s="197"/>
      <c r="BYA72" s="197"/>
      <c r="BYB72" s="197"/>
      <c r="BYC72" s="197"/>
      <c r="BYD72" s="197"/>
      <c r="BYE72" s="197"/>
      <c r="BYF72" s="197"/>
      <c r="BYG72" s="197"/>
    </row>
    <row r="73" spans="1:2009" s="197" customFormat="1" ht="9" customHeight="1" x14ac:dyDescent="0.25">
      <c r="A73" s="696"/>
      <c r="B73" s="697"/>
      <c r="C73" s="698"/>
      <c r="D73" s="698"/>
      <c r="E73" s="698"/>
      <c r="F73" s="698"/>
      <c r="G73" s="699"/>
      <c r="H73" s="196"/>
      <c r="I73" s="552"/>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row>
    <row r="74" spans="1:2009" s="95" customFormat="1" ht="22.5" customHeight="1" x14ac:dyDescent="0.25">
      <c r="A74" s="121"/>
      <c r="B74" s="694" t="s">
        <v>368</v>
      </c>
      <c r="C74" s="695">
        <f>C72/G$72</f>
        <v>0.67327728049832636</v>
      </c>
      <c r="D74" s="695">
        <f>D72/$G72</f>
        <v>0.24085737320685841</v>
      </c>
      <c r="E74" s="695">
        <f t="shared" ref="E74:G74" si="4">E72/$G72</f>
        <v>8.5101047866317489E-2</v>
      </c>
      <c r="F74" s="695">
        <f t="shared" si="4"/>
        <v>7.6429842849769735E-4</v>
      </c>
      <c r="G74" s="695">
        <f t="shared" si="4"/>
        <v>1</v>
      </c>
      <c r="H74" s="93"/>
      <c r="I74" s="552"/>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4"/>
      <c r="LR74" s="94"/>
      <c r="LS74" s="94"/>
      <c r="LT74" s="94"/>
      <c r="LU74" s="94"/>
      <c r="LV74" s="94"/>
      <c r="LW74" s="94"/>
      <c r="LX74" s="94"/>
      <c r="LY74" s="94"/>
      <c r="LZ74" s="94"/>
      <c r="MA74" s="94"/>
      <c r="MB74" s="94"/>
      <c r="MC74" s="94"/>
      <c r="MD74" s="94"/>
      <c r="ME74" s="94"/>
      <c r="MF74" s="94"/>
      <c r="MG74" s="94"/>
      <c r="MH74" s="94"/>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4"/>
      <c r="SD74" s="94"/>
      <c r="SE74" s="94"/>
      <c r="SF74" s="94"/>
      <c r="SG74" s="94"/>
      <c r="SH74" s="94"/>
      <c r="SI74" s="94"/>
      <c r="SJ74" s="94"/>
      <c r="SK74" s="94"/>
      <c r="SL74" s="94"/>
      <c r="SM74" s="94"/>
      <c r="SN74" s="94"/>
      <c r="SO74" s="94"/>
      <c r="SP74" s="94"/>
      <c r="SQ74" s="94"/>
      <c r="SR74" s="94"/>
      <c r="SS74" s="94"/>
      <c r="ST74" s="94"/>
      <c r="SU74" s="94"/>
      <c r="SV74" s="94"/>
      <c r="SW74" s="94"/>
      <c r="SX74" s="94"/>
      <c r="SY74" s="94"/>
      <c r="SZ74" s="94"/>
      <c r="TA74" s="94"/>
      <c r="TB74" s="94"/>
      <c r="TC74" s="94"/>
      <c r="TD74" s="94"/>
      <c r="TE74" s="94"/>
      <c r="TF74" s="94"/>
      <c r="TG74" s="94"/>
      <c r="TH74" s="94"/>
      <c r="TI74" s="94"/>
      <c r="TJ74" s="94"/>
      <c r="TK74" s="94"/>
      <c r="TL74" s="94"/>
      <c r="TM74" s="94"/>
      <c r="TN74" s="94"/>
      <c r="TO74" s="94"/>
      <c r="TP74" s="94"/>
      <c r="TQ74" s="94"/>
      <c r="TR74" s="94"/>
      <c r="TS74" s="94"/>
      <c r="TT74" s="94"/>
      <c r="TU74" s="94"/>
      <c r="TV74" s="94"/>
      <c r="TW74" s="94"/>
      <c r="TX74" s="94"/>
      <c r="TY74" s="94"/>
      <c r="TZ74" s="94"/>
      <c r="UA74" s="94"/>
      <c r="UB74" s="94"/>
      <c r="UC74" s="94"/>
      <c r="UD74" s="94"/>
      <c r="UE74" s="94"/>
      <c r="UF74" s="94"/>
      <c r="UG74" s="94"/>
      <c r="UH74" s="94"/>
      <c r="UI74" s="94"/>
      <c r="UJ74" s="94"/>
      <c r="UK74" s="94"/>
      <c r="UL74" s="94"/>
      <c r="UM74" s="94"/>
      <c r="UN74" s="94"/>
      <c r="UO74" s="94"/>
      <c r="UP74" s="94"/>
      <c r="UQ74" s="94"/>
      <c r="UR74" s="94"/>
      <c r="US74" s="94"/>
      <c r="UT74" s="94"/>
      <c r="UU74" s="94"/>
      <c r="UV74" s="94"/>
      <c r="UW74" s="94"/>
      <c r="UX74" s="94"/>
      <c r="UY74" s="94"/>
      <c r="UZ74" s="94"/>
      <c r="VA74" s="94"/>
      <c r="VB74" s="94"/>
      <c r="VC74" s="94"/>
      <c r="VD74" s="94"/>
      <c r="VE74" s="94"/>
      <c r="VF74" s="94"/>
      <c r="VG74" s="94"/>
      <c r="VH74" s="94"/>
      <c r="VI74" s="94"/>
      <c r="VJ74" s="94"/>
      <c r="VK74" s="94"/>
      <c r="VL74" s="94"/>
      <c r="VM74" s="94"/>
      <c r="VN74" s="94"/>
      <c r="VO74" s="94"/>
      <c r="VP74" s="94"/>
      <c r="VQ74" s="94"/>
      <c r="VR74" s="94"/>
      <c r="VS74" s="94"/>
      <c r="VT74" s="94"/>
      <c r="VU74" s="94"/>
      <c r="VV74" s="94"/>
      <c r="VW74" s="94"/>
      <c r="VX74" s="94"/>
      <c r="VY74" s="94"/>
      <c r="VZ74" s="94"/>
      <c r="WA74" s="94"/>
      <c r="WB74" s="94"/>
      <c r="WC74" s="94"/>
      <c r="WD74" s="94"/>
      <c r="WE74" s="94"/>
      <c r="WF74" s="94"/>
      <c r="WG74" s="94"/>
      <c r="WH74" s="94"/>
      <c r="WI74" s="94"/>
      <c r="WJ74" s="94"/>
      <c r="WK74" s="94"/>
      <c r="WL74" s="94"/>
      <c r="WM74" s="94"/>
      <c r="WN74" s="94"/>
      <c r="WO74" s="94"/>
      <c r="WP74" s="94"/>
      <c r="WQ74" s="94"/>
      <c r="WR74" s="94"/>
      <c r="WS74" s="94"/>
      <c r="WT74" s="94"/>
      <c r="WU74" s="94"/>
      <c r="WV74" s="94"/>
      <c r="WW74" s="94"/>
      <c r="WX74" s="94"/>
      <c r="WY74" s="94"/>
      <c r="WZ74" s="94"/>
      <c r="XA74" s="94"/>
      <c r="XB74" s="94"/>
      <c r="XC74" s="94"/>
      <c r="XD74" s="94"/>
      <c r="XE74" s="94"/>
      <c r="XF74" s="94"/>
      <c r="XG74" s="94"/>
      <c r="XH74" s="94"/>
      <c r="XI74" s="94"/>
      <c r="XJ74" s="94"/>
      <c r="XK74" s="94"/>
      <c r="XL74" s="94"/>
      <c r="XM74" s="94"/>
      <c r="XN74" s="94"/>
      <c r="XO74" s="94"/>
      <c r="XP74" s="94"/>
      <c r="XQ74" s="94"/>
      <c r="XR74" s="94"/>
      <c r="XS74" s="94"/>
      <c r="XT74" s="94"/>
      <c r="XU74" s="94"/>
      <c r="XV74" s="94"/>
      <c r="XW74" s="94"/>
      <c r="XX74" s="94"/>
      <c r="XY74" s="94"/>
      <c r="XZ74" s="94"/>
      <c r="YA74" s="94"/>
      <c r="YB74" s="94"/>
      <c r="YC74" s="94"/>
      <c r="YD74" s="94"/>
      <c r="YE74" s="94"/>
      <c r="YF74" s="94"/>
      <c r="YG74" s="94"/>
      <c r="YH74" s="94"/>
      <c r="YI74" s="94"/>
      <c r="YJ74" s="94"/>
      <c r="YK74" s="94"/>
      <c r="YL74" s="94"/>
      <c r="YM74" s="94"/>
      <c r="YN74" s="94"/>
      <c r="YO74" s="94"/>
      <c r="YP74" s="94"/>
      <c r="YQ74" s="94"/>
      <c r="YR74" s="94"/>
      <c r="YS74" s="94"/>
      <c r="YT74" s="94"/>
      <c r="YU74" s="94"/>
      <c r="YV74" s="94"/>
      <c r="YW74" s="94"/>
      <c r="YX74" s="94"/>
      <c r="YY74" s="94"/>
      <c r="YZ74" s="94"/>
      <c r="ZA74" s="94"/>
      <c r="ZB74" s="94"/>
      <c r="ZC74" s="94"/>
      <c r="ZD74" s="94"/>
      <c r="ZE74" s="94"/>
      <c r="ZF74" s="94"/>
      <c r="ZG74" s="94"/>
      <c r="ZH74" s="94"/>
      <c r="ZI74" s="94"/>
      <c r="ZJ74" s="94"/>
      <c r="ZK74" s="94"/>
      <c r="ZL74" s="94"/>
      <c r="ZM74" s="94"/>
      <c r="ZN74" s="94"/>
      <c r="ZO74" s="94"/>
      <c r="ZP74" s="94"/>
      <c r="ZQ74" s="94"/>
      <c r="ZR74" s="94"/>
      <c r="ZS74" s="94"/>
      <c r="ZT74" s="94"/>
      <c r="ZU74" s="94"/>
      <c r="ZV74" s="94"/>
      <c r="ZW74" s="94"/>
      <c r="ZX74" s="94"/>
      <c r="ZY74" s="94"/>
      <c r="ZZ74" s="94"/>
      <c r="AAA74" s="94"/>
      <c r="AAB74" s="94"/>
      <c r="AAC74" s="94"/>
      <c r="AAD74" s="94"/>
      <c r="AAE74" s="94"/>
      <c r="AAF74" s="94"/>
      <c r="AAG74" s="94"/>
      <c r="AAH74" s="94"/>
      <c r="AAI74" s="94"/>
      <c r="AAJ74" s="94"/>
      <c r="AAK74" s="94"/>
      <c r="AAL74" s="94"/>
      <c r="AAM74" s="94"/>
      <c r="AAN74" s="94"/>
      <c r="AAO74" s="94"/>
      <c r="AAP74" s="94"/>
      <c r="AAQ74" s="94"/>
      <c r="AAR74" s="94"/>
      <c r="AAS74" s="94"/>
      <c r="AAT74" s="94"/>
      <c r="AAU74" s="94"/>
      <c r="AAV74" s="94"/>
      <c r="AAW74" s="94"/>
      <c r="AAX74" s="94"/>
      <c r="AAY74" s="94"/>
      <c r="AAZ74" s="94"/>
      <c r="ABA74" s="94"/>
      <c r="ABB74" s="94"/>
      <c r="ABC74" s="94"/>
      <c r="ABD74" s="94"/>
      <c r="ABE74" s="94"/>
      <c r="ABF74" s="94"/>
      <c r="ABG74" s="94"/>
      <c r="ABH74" s="94"/>
      <c r="ABI74" s="94"/>
      <c r="ABJ74" s="94"/>
      <c r="ABK74" s="94"/>
      <c r="ABL74" s="94"/>
      <c r="ABM74" s="94"/>
      <c r="ABN74" s="94"/>
      <c r="ABO74" s="94"/>
      <c r="ABP74" s="94"/>
      <c r="ABQ74" s="94"/>
      <c r="ABR74" s="94"/>
      <c r="ABS74" s="94"/>
      <c r="ABT74" s="94"/>
      <c r="ABU74" s="94"/>
      <c r="ABV74" s="94"/>
      <c r="ABW74" s="94"/>
      <c r="ABX74" s="94"/>
      <c r="ABY74" s="94"/>
      <c r="ABZ74" s="94"/>
      <c r="ACA74" s="94"/>
      <c r="ACB74" s="94"/>
      <c r="ACC74" s="94"/>
      <c r="ACD74" s="94"/>
      <c r="ACE74" s="94"/>
      <c r="ACF74" s="94"/>
      <c r="ACG74" s="94"/>
      <c r="ACH74" s="94"/>
      <c r="ACI74" s="94"/>
      <c r="ACJ74" s="94"/>
      <c r="ACK74" s="94"/>
      <c r="ACL74" s="94"/>
      <c r="ACM74" s="94"/>
      <c r="ACN74" s="94"/>
      <c r="ACO74" s="94"/>
      <c r="ACP74" s="94"/>
      <c r="ACQ74" s="94"/>
      <c r="ACR74" s="94"/>
      <c r="ACS74" s="94"/>
      <c r="ACT74" s="94"/>
      <c r="ACU74" s="94"/>
      <c r="ACV74" s="94"/>
      <c r="ACW74" s="94"/>
      <c r="ACX74" s="94"/>
      <c r="ACY74" s="94"/>
      <c r="ACZ74" s="94"/>
      <c r="ADA74" s="94"/>
      <c r="ADB74" s="94"/>
      <c r="ADC74" s="94"/>
      <c r="ADD74" s="94"/>
      <c r="ADE74" s="94"/>
      <c r="ADF74" s="94"/>
      <c r="ADG74" s="94"/>
      <c r="ADH74" s="94"/>
      <c r="ADI74" s="94"/>
      <c r="ADJ74" s="94"/>
      <c r="ADK74" s="94"/>
      <c r="ADL74" s="94"/>
      <c r="ADM74" s="94"/>
      <c r="ADN74" s="94"/>
      <c r="ADO74" s="94"/>
      <c r="ADP74" s="94"/>
      <c r="ADQ74" s="94"/>
      <c r="ADR74" s="94"/>
      <c r="ADS74" s="94"/>
      <c r="ADT74" s="94"/>
      <c r="ADU74" s="94"/>
      <c r="ADV74" s="94"/>
      <c r="ADW74" s="94"/>
      <c r="ADX74" s="94"/>
      <c r="ADY74" s="94"/>
      <c r="ADZ74" s="94"/>
      <c r="AEA74" s="94"/>
      <c r="AEB74" s="94"/>
      <c r="AEC74" s="94"/>
      <c r="AED74" s="94"/>
      <c r="AEE74" s="94"/>
      <c r="AEF74" s="94"/>
      <c r="AEG74" s="94"/>
      <c r="AEH74" s="94"/>
      <c r="AEI74" s="94"/>
      <c r="AEJ74" s="94"/>
      <c r="AEK74" s="94"/>
      <c r="AEL74" s="94"/>
      <c r="AEM74" s="94"/>
      <c r="AEN74" s="94"/>
      <c r="AEO74" s="94"/>
      <c r="AEP74" s="94"/>
      <c r="AEQ74" s="94"/>
      <c r="AER74" s="94"/>
      <c r="AES74" s="94"/>
      <c r="AET74" s="94"/>
      <c r="AEU74" s="94"/>
      <c r="AEV74" s="94"/>
      <c r="AEW74" s="94"/>
      <c r="AEX74" s="94"/>
      <c r="AEY74" s="94"/>
      <c r="AEZ74" s="94"/>
      <c r="AFA74" s="94"/>
      <c r="AFB74" s="94"/>
      <c r="AFC74" s="94"/>
      <c r="AFD74" s="94"/>
      <c r="AFE74" s="94"/>
      <c r="AFF74" s="94"/>
      <c r="AFG74" s="94"/>
      <c r="AFH74" s="94"/>
      <c r="AFI74" s="94"/>
      <c r="AFJ74" s="94"/>
      <c r="AFK74" s="94"/>
      <c r="AFL74" s="94"/>
      <c r="AFM74" s="94"/>
      <c r="AFN74" s="94"/>
      <c r="AFO74" s="94"/>
      <c r="AFP74" s="94"/>
      <c r="AFQ74" s="94"/>
      <c r="AFR74" s="94"/>
      <c r="AFS74" s="94"/>
      <c r="AFT74" s="94"/>
      <c r="AFU74" s="94"/>
      <c r="AFV74" s="94"/>
      <c r="AFW74" s="94"/>
      <c r="AFX74" s="94"/>
      <c r="AFY74" s="94"/>
      <c r="AFZ74" s="94"/>
      <c r="AGA74" s="94"/>
      <c r="AGB74" s="94"/>
      <c r="AGC74" s="94"/>
      <c r="AGD74" s="94"/>
      <c r="AGE74" s="94"/>
      <c r="AGF74" s="94"/>
      <c r="AGG74" s="94"/>
      <c r="AGH74" s="94"/>
      <c r="AGI74" s="94"/>
      <c r="AGJ74" s="94"/>
      <c r="AGK74" s="94"/>
      <c r="AGL74" s="94"/>
      <c r="AGM74" s="94"/>
      <c r="AGN74" s="94"/>
      <c r="AGO74" s="94"/>
      <c r="AGP74" s="94"/>
      <c r="AGQ74" s="94"/>
      <c r="AGR74" s="94"/>
      <c r="AGS74" s="94"/>
      <c r="AGT74" s="94"/>
      <c r="AGU74" s="94"/>
      <c r="AGV74" s="94"/>
      <c r="AGW74" s="94"/>
      <c r="AGX74" s="94"/>
      <c r="AGY74" s="94"/>
      <c r="AGZ74" s="94"/>
      <c r="AHA74" s="94"/>
      <c r="AHB74" s="94"/>
      <c r="AHC74" s="94"/>
      <c r="AHD74" s="94"/>
      <c r="AHE74" s="94"/>
      <c r="AHF74" s="94"/>
      <c r="AHG74" s="94"/>
      <c r="AHH74" s="94"/>
      <c r="AHI74" s="94"/>
      <c r="AHJ74" s="94"/>
      <c r="AHK74" s="94"/>
      <c r="AHL74" s="94"/>
      <c r="AHM74" s="94"/>
      <c r="AHN74" s="94"/>
      <c r="AHO74" s="94"/>
      <c r="AHP74" s="94"/>
      <c r="AHQ74" s="94"/>
      <c r="AHR74" s="94"/>
      <c r="AHS74" s="94"/>
      <c r="AHT74" s="94"/>
      <c r="AHU74" s="94"/>
      <c r="AHV74" s="94"/>
      <c r="AHW74" s="94"/>
      <c r="AHX74" s="94"/>
      <c r="AHY74" s="94"/>
      <c r="AHZ74" s="94"/>
      <c r="AIA74" s="94"/>
      <c r="AIB74" s="94"/>
      <c r="AIC74" s="94"/>
      <c r="AID74" s="94"/>
      <c r="AIE74" s="94"/>
      <c r="AIF74" s="94"/>
      <c r="AIG74" s="94"/>
      <c r="AIH74" s="94"/>
      <c r="AII74" s="94"/>
      <c r="AIJ74" s="94"/>
      <c r="AIK74" s="94"/>
      <c r="AIL74" s="94"/>
      <c r="AIM74" s="94"/>
      <c r="AIN74" s="94"/>
      <c r="AIO74" s="94"/>
      <c r="AIP74" s="94"/>
      <c r="AIQ74" s="94"/>
      <c r="AIR74" s="94"/>
      <c r="AIS74" s="94"/>
      <c r="AIT74" s="94"/>
      <c r="AIU74" s="94"/>
      <c r="AIV74" s="94"/>
      <c r="AIW74" s="94"/>
      <c r="AIX74" s="94"/>
      <c r="AIY74" s="94"/>
      <c r="AIZ74" s="94"/>
      <c r="AJA74" s="94"/>
      <c r="AJB74" s="94"/>
      <c r="AJC74" s="94"/>
      <c r="AJD74" s="94"/>
      <c r="AJE74" s="94"/>
      <c r="AJF74" s="94"/>
      <c r="AJG74" s="94"/>
      <c r="AJH74" s="94"/>
      <c r="AJI74" s="94"/>
      <c r="AJJ74" s="94"/>
      <c r="AJK74" s="94"/>
      <c r="AJL74" s="94"/>
      <c r="AJM74" s="94"/>
      <c r="AJN74" s="94"/>
      <c r="AJO74" s="94"/>
      <c r="AJP74" s="94"/>
      <c r="AJQ74" s="94"/>
      <c r="AJR74" s="94"/>
      <c r="AJS74" s="94"/>
      <c r="AJT74" s="94"/>
      <c r="AJU74" s="94"/>
      <c r="AJV74" s="94"/>
      <c r="AJW74" s="94"/>
      <c r="AJX74" s="94"/>
      <c r="AJY74" s="94"/>
      <c r="AJZ74" s="94"/>
      <c r="AKA74" s="94"/>
      <c r="AKB74" s="94"/>
      <c r="AKC74" s="94"/>
      <c r="AKD74" s="94"/>
      <c r="AKE74" s="94"/>
      <c r="AKF74" s="94"/>
      <c r="AKG74" s="94"/>
      <c r="AKH74" s="94"/>
      <c r="AKI74" s="94"/>
      <c r="AKJ74" s="94"/>
      <c r="AKK74" s="94"/>
      <c r="AKL74" s="94"/>
      <c r="AKM74" s="94"/>
      <c r="AKN74" s="94"/>
      <c r="AKO74" s="94"/>
      <c r="AKP74" s="94"/>
      <c r="AKQ74" s="94"/>
      <c r="AKR74" s="94"/>
      <c r="AKS74" s="94"/>
      <c r="AKT74" s="94"/>
      <c r="AKU74" s="94"/>
      <c r="AKV74" s="94"/>
      <c r="AKW74" s="94"/>
      <c r="AKX74" s="94"/>
      <c r="AKY74" s="94"/>
      <c r="AKZ74" s="94"/>
      <c r="ALA74" s="94"/>
      <c r="ALB74" s="94"/>
      <c r="ALC74" s="94"/>
      <c r="ALD74" s="94"/>
      <c r="ALE74" s="94"/>
      <c r="ALF74" s="94"/>
      <c r="ALG74" s="94"/>
      <c r="ALH74" s="94"/>
      <c r="ALI74" s="94"/>
      <c r="ALJ74" s="94"/>
      <c r="ALK74" s="94"/>
      <c r="ALL74" s="94"/>
      <c r="ALM74" s="94"/>
      <c r="ALN74" s="94"/>
      <c r="ALO74" s="94"/>
      <c r="ALP74" s="94"/>
      <c r="ALQ74" s="94"/>
      <c r="ALR74" s="94"/>
      <c r="ALS74" s="94"/>
      <c r="ALT74" s="94"/>
      <c r="ALU74" s="94"/>
      <c r="ALV74" s="94"/>
      <c r="ALW74" s="94"/>
      <c r="ALX74" s="94"/>
      <c r="ALY74" s="94"/>
      <c r="ALZ74" s="94"/>
      <c r="AMA74" s="94"/>
      <c r="AMB74" s="94"/>
      <c r="AMC74" s="94"/>
      <c r="AMD74" s="94"/>
      <c r="AME74" s="94"/>
      <c r="AMF74" s="94"/>
      <c r="AMG74" s="94"/>
      <c r="AMH74" s="94"/>
      <c r="AMI74" s="94"/>
      <c r="AMJ74" s="94"/>
      <c r="AMK74" s="94"/>
      <c r="AML74" s="94"/>
      <c r="AMM74" s="94"/>
      <c r="AMN74" s="94"/>
      <c r="AMO74" s="94"/>
      <c r="AMP74" s="94"/>
      <c r="AMQ74" s="94"/>
      <c r="AMR74" s="94"/>
      <c r="AMS74" s="94"/>
      <c r="AMT74" s="94"/>
      <c r="AMU74" s="94"/>
      <c r="AMV74" s="94"/>
      <c r="AMW74" s="94"/>
      <c r="AMX74" s="94"/>
      <c r="AMY74" s="94"/>
      <c r="AMZ74" s="94"/>
      <c r="ANA74" s="94"/>
      <c r="ANB74" s="94"/>
      <c r="ANC74" s="94"/>
      <c r="AND74" s="94"/>
      <c r="ANE74" s="94"/>
      <c r="ANF74" s="94"/>
      <c r="ANG74" s="94"/>
      <c r="ANH74" s="94"/>
      <c r="ANI74" s="94"/>
      <c r="ANJ74" s="94"/>
      <c r="ANK74" s="94"/>
      <c r="ANL74" s="94"/>
      <c r="ANM74" s="94"/>
      <c r="ANN74" s="94"/>
      <c r="ANO74" s="94"/>
      <c r="ANP74" s="94"/>
      <c r="ANQ74" s="94"/>
      <c r="ANR74" s="94"/>
      <c r="ANS74" s="94"/>
      <c r="ANT74" s="94"/>
      <c r="ANU74" s="94"/>
      <c r="ANV74" s="94"/>
      <c r="ANW74" s="94"/>
      <c r="ANX74" s="94"/>
      <c r="ANY74" s="94"/>
      <c r="ANZ74" s="94"/>
      <c r="AOA74" s="94"/>
      <c r="AOB74" s="94"/>
      <c r="AOC74" s="94"/>
      <c r="AOD74" s="94"/>
      <c r="AOE74" s="94"/>
      <c r="AOF74" s="94"/>
      <c r="AOG74" s="94"/>
      <c r="AOH74" s="94"/>
      <c r="AOI74" s="94"/>
      <c r="AOJ74" s="94"/>
      <c r="AOK74" s="94"/>
      <c r="AOL74" s="94"/>
      <c r="AOM74" s="94"/>
      <c r="AON74" s="94"/>
      <c r="AOO74" s="94"/>
      <c r="AOP74" s="94"/>
      <c r="AOQ74" s="94"/>
      <c r="AOR74" s="94"/>
      <c r="AOS74" s="94"/>
      <c r="AOT74" s="94"/>
      <c r="AOU74" s="94"/>
      <c r="AOV74" s="94"/>
      <c r="AOW74" s="94"/>
      <c r="AOX74" s="94"/>
      <c r="AOY74" s="94"/>
      <c r="AOZ74" s="94"/>
      <c r="APA74" s="94"/>
      <c r="APB74" s="94"/>
      <c r="APC74" s="94"/>
      <c r="APD74" s="94"/>
      <c r="APE74" s="94"/>
      <c r="APF74" s="94"/>
      <c r="APG74" s="94"/>
      <c r="APH74" s="94"/>
      <c r="API74" s="94"/>
      <c r="APJ74" s="94"/>
      <c r="APK74" s="94"/>
      <c r="APL74" s="94"/>
      <c r="APM74" s="94"/>
      <c r="APN74" s="94"/>
      <c r="APO74" s="94"/>
      <c r="APP74" s="94"/>
      <c r="APQ74" s="94"/>
      <c r="APR74" s="94"/>
      <c r="APS74" s="94"/>
      <c r="APT74" s="94"/>
      <c r="APU74" s="94"/>
      <c r="APV74" s="94"/>
      <c r="APW74" s="94"/>
      <c r="APX74" s="94"/>
      <c r="APY74" s="94"/>
      <c r="APZ74" s="94"/>
      <c r="AQA74" s="94"/>
      <c r="AQB74" s="94"/>
      <c r="AQC74" s="94"/>
      <c r="AQD74" s="94"/>
      <c r="AQE74" s="94"/>
      <c r="AQF74" s="94"/>
      <c r="AQG74" s="94"/>
      <c r="AQH74" s="94"/>
      <c r="AQI74" s="94"/>
      <c r="AQJ74" s="94"/>
      <c r="AQK74" s="94"/>
      <c r="AQL74" s="94"/>
      <c r="AQM74" s="94"/>
      <c r="AQN74" s="94"/>
      <c r="AQO74" s="94"/>
      <c r="AQP74" s="94"/>
      <c r="AQQ74" s="94"/>
      <c r="AQR74" s="94"/>
      <c r="AQS74" s="94"/>
      <c r="AQT74" s="94"/>
      <c r="AQU74" s="94"/>
      <c r="AQV74" s="94"/>
      <c r="AQW74" s="94"/>
      <c r="AQX74" s="94"/>
      <c r="AQY74" s="94"/>
      <c r="AQZ74" s="94"/>
      <c r="ARA74" s="94"/>
      <c r="ARB74" s="94"/>
      <c r="ARC74" s="94"/>
      <c r="ARD74" s="94"/>
      <c r="ARE74" s="94"/>
      <c r="ARF74" s="94"/>
      <c r="ARG74" s="94"/>
      <c r="ARH74" s="94"/>
      <c r="ARI74" s="94"/>
      <c r="ARJ74" s="94"/>
      <c r="ARK74" s="94"/>
      <c r="ARL74" s="94"/>
      <c r="ARM74" s="94"/>
      <c r="ARN74" s="94"/>
      <c r="ARO74" s="94"/>
      <c r="ARP74" s="94"/>
      <c r="ARQ74" s="94"/>
      <c r="ARR74" s="94"/>
      <c r="ARS74" s="94"/>
      <c r="ART74" s="94"/>
      <c r="ARU74" s="94"/>
      <c r="ARV74" s="94"/>
      <c r="ARW74" s="94"/>
      <c r="ARX74" s="94"/>
      <c r="ARY74" s="94"/>
      <c r="ARZ74" s="94"/>
      <c r="ASA74" s="94"/>
      <c r="ASB74" s="94"/>
      <c r="ASC74" s="94"/>
      <c r="ASD74" s="94"/>
      <c r="ASE74" s="94"/>
      <c r="ASF74" s="94"/>
      <c r="ASG74" s="94"/>
      <c r="ASH74" s="94"/>
      <c r="ASI74" s="94"/>
      <c r="ASJ74" s="94"/>
      <c r="ASK74" s="94"/>
      <c r="ASL74" s="94"/>
      <c r="ASM74" s="94"/>
      <c r="ASN74" s="94"/>
      <c r="ASO74" s="94"/>
      <c r="ASP74" s="94"/>
      <c r="ASQ74" s="94"/>
      <c r="ASR74" s="94"/>
      <c r="ASS74" s="94"/>
      <c r="AST74" s="94"/>
      <c r="ASU74" s="94"/>
      <c r="ASV74" s="94"/>
      <c r="ASW74" s="94"/>
      <c r="ASX74" s="94"/>
      <c r="ASY74" s="94"/>
      <c r="ASZ74" s="94"/>
      <c r="ATA74" s="94"/>
      <c r="ATB74" s="94"/>
      <c r="ATC74" s="94"/>
      <c r="ATD74" s="94"/>
      <c r="ATE74" s="94"/>
      <c r="ATF74" s="94"/>
      <c r="ATG74" s="94"/>
      <c r="ATH74" s="94"/>
      <c r="ATI74" s="94"/>
      <c r="ATJ74" s="94"/>
      <c r="ATK74" s="94"/>
      <c r="ATL74" s="94"/>
      <c r="ATM74" s="94"/>
      <c r="ATN74" s="94"/>
      <c r="ATO74" s="94"/>
      <c r="ATP74" s="94"/>
      <c r="ATQ74" s="94"/>
      <c r="ATR74" s="94"/>
      <c r="ATS74" s="94"/>
      <c r="ATT74" s="94"/>
      <c r="ATU74" s="94"/>
      <c r="ATV74" s="94"/>
      <c r="ATW74" s="94"/>
      <c r="ATX74" s="94"/>
      <c r="ATY74" s="94"/>
      <c r="ATZ74" s="94"/>
      <c r="AUA74" s="94"/>
      <c r="AUB74" s="94"/>
      <c r="AUC74" s="94"/>
      <c r="AUD74" s="94"/>
      <c r="AUE74" s="94"/>
      <c r="AUF74" s="94"/>
      <c r="AUG74" s="94"/>
      <c r="AUH74" s="94"/>
      <c r="AUI74" s="94"/>
      <c r="AUJ74" s="94"/>
      <c r="AUK74" s="94"/>
      <c r="AUL74" s="94"/>
      <c r="AUM74" s="94"/>
      <c r="AUN74" s="94"/>
      <c r="AUO74" s="94"/>
      <c r="AUP74" s="94"/>
      <c r="AUQ74" s="94"/>
      <c r="AUR74" s="94"/>
      <c r="AUS74" s="94"/>
      <c r="AUT74" s="94"/>
      <c r="AUU74" s="94"/>
      <c r="AUV74" s="94"/>
      <c r="AUW74" s="94"/>
      <c r="AUX74" s="94"/>
      <c r="AUY74" s="94"/>
      <c r="AUZ74" s="94"/>
      <c r="AVA74" s="94"/>
      <c r="AVB74" s="94"/>
      <c r="AVC74" s="94"/>
      <c r="AVD74" s="94"/>
      <c r="AVE74" s="94"/>
      <c r="AVF74" s="94"/>
      <c r="AVG74" s="94"/>
      <c r="AVH74" s="94"/>
      <c r="AVI74" s="94"/>
      <c r="AVJ74" s="94"/>
      <c r="AVK74" s="94"/>
      <c r="AVL74" s="94"/>
      <c r="AVM74" s="94"/>
      <c r="AVN74" s="94"/>
      <c r="AVO74" s="94"/>
      <c r="AVP74" s="94"/>
      <c r="AVQ74" s="94"/>
      <c r="AVR74" s="94"/>
      <c r="AVS74" s="94"/>
      <c r="AVT74" s="94"/>
      <c r="AVU74" s="94"/>
      <c r="AVV74" s="94"/>
      <c r="AVW74" s="94"/>
      <c r="AVX74" s="94"/>
      <c r="AVY74" s="94"/>
      <c r="AVZ74" s="94"/>
      <c r="AWA74" s="94"/>
      <c r="AWB74" s="94"/>
      <c r="AWC74" s="94"/>
      <c r="AWD74" s="94"/>
      <c r="AWE74" s="94"/>
      <c r="AWF74" s="94"/>
      <c r="AWG74" s="94"/>
      <c r="AWH74" s="94"/>
      <c r="AWI74" s="94"/>
      <c r="AWJ74" s="94"/>
      <c r="AWK74" s="94"/>
      <c r="AWL74" s="94"/>
      <c r="AWM74" s="94"/>
      <c r="AWN74" s="94"/>
      <c r="AWO74" s="94"/>
      <c r="AWP74" s="94"/>
      <c r="AWQ74" s="94"/>
      <c r="AWR74" s="94"/>
      <c r="AWS74" s="94"/>
      <c r="AWT74" s="94"/>
      <c r="AWU74" s="94"/>
      <c r="AWV74" s="94"/>
      <c r="AWW74" s="94"/>
      <c r="AWX74" s="94"/>
      <c r="AWY74" s="94"/>
      <c r="AWZ74" s="94"/>
      <c r="AXA74" s="94"/>
      <c r="AXB74" s="94"/>
      <c r="AXC74" s="94"/>
      <c r="AXD74" s="94"/>
      <c r="AXE74" s="94"/>
      <c r="AXF74" s="94"/>
      <c r="AXG74" s="94"/>
      <c r="AXH74" s="94"/>
      <c r="AXI74" s="94"/>
      <c r="AXJ74" s="94"/>
      <c r="AXK74" s="94"/>
      <c r="AXL74" s="94"/>
      <c r="AXM74" s="94"/>
      <c r="AXN74" s="94"/>
      <c r="AXO74" s="94"/>
      <c r="AXP74" s="94"/>
      <c r="AXQ74" s="94"/>
      <c r="AXR74" s="94"/>
      <c r="AXS74" s="94"/>
      <c r="AXT74" s="94"/>
      <c r="AXU74" s="94"/>
      <c r="AXV74" s="94"/>
      <c r="AXW74" s="94"/>
      <c r="AXX74" s="94"/>
      <c r="AXY74" s="94"/>
      <c r="AXZ74" s="94"/>
      <c r="AYA74" s="94"/>
      <c r="AYB74" s="94"/>
      <c r="AYC74" s="94"/>
      <c r="AYD74" s="94"/>
      <c r="AYE74" s="94"/>
      <c r="AYF74" s="94"/>
      <c r="AYG74" s="94"/>
      <c r="AYH74" s="94"/>
      <c r="AYI74" s="94"/>
      <c r="AYJ74" s="94"/>
      <c r="AYK74" s="94"/>
      <c r="AYL74" s="94"/>
      <c r="AYM74" s="94"/>
      <c r="AYN74" s="94"/>
      <c r="AYO74" s="94"/>
      <c r="AYP74" s="94"/>
      <c r="AYQ74" s="94"/>
      <c r="AYR74" s="94"/>
      <c r="AYS74" s="94"/>
      <c r="AYT74" s="94"/>
      <c r="AYU74" s="94"/>
      <c r="AYV74" s="94"/>
      <c r="AYW74" s="94"/>
      <c r="AYX74" s="94"/>
      <c r="AYY74" s="94"/>
      <c r="AYZ74" s="94"/>
      <c r="AZA74" s="94"/>
      <c r="AZB74" s="94"/>
      <c r="AZC74" s="94"/>
      <c r="AZD74" s="94"/>
      <c r="AZE74" s="94"/>
      <c r="AZF74" s="94"/>
      <c r="AZG74" s="94"/>
      <c r="AZH74" s="94"/>
      <c r="AZI74" s="94"/>
      <c r="AZJ74" s="94"/>
      <c r="AZK74" s="94"/>
      <c r="AZL74" s="94"/>
      <c r="AZM74" s="94"/>
      <c r="AZN74" s="94"/>
      <c r="AZO74" s="94"/>
      <c r="AZP74" s="94"/>
      <c r="AZQ74" s="94"/>
      <c r="AZR74" s="94"/>
      <c r="AZS74" s="94"/>
      <c r="AZT74" s="94"/>
      <c r="AZU74" s="94"/>
      <c r="AZV74" s="94"/>
      <c r="AZW74" s="94"/>
      <c r="AZX74" s="94"/>
      <c r="AZY74" s="94"/>
      <c r="AZZ74" s="94"/>
      <c r="BAA74" s="94"/>
      <c r="BAB74" s="94"/>
      <c r="BAC74" s="94"/>
      <c r="BAD74" s="94"/>
      <c r="BAE74" s="94"/>
      <c r="BAF74" s="94"/>
      <c r="BAG74" s="94"/>
      <c r="BAH74" s="94"/>
      <c r="BAI74" s="94"/>
      <c r="BAJ74" s="94"/>
      <c r="BAK74" s="94"/>
      <c r="BAL74" s="94"/>
      <c r="BAM74" s="94"/>
      <c r="BAN74" s="94"/>
      <c r="BAO74" s="94"/>
      <c r="BAP74" s="94"/>
      <c r="BAQ74" s="94"/>
      <c r="BAR74" s="94"/>
      <c r="BAS74" s="94"/>
      <c r="BAT74" s="94"/>
      <c r="BAU74" s="94"/>
      <c r="BAV74" s="94"/>
      <c r="BAW74" s="94"/>
      <c r="BAX74" s="94"/>
      <c r="BAY74" s="94"/>
      <c r="BAZ74" s="94"/>
      <c r="BBA74" s="94"/>
      <c r="BBB74" s="94"/>
      <c r="BBC74" s="94"/>
      <c r="BBD74" s="94"/>
      <c r="BBE74" s="94"/>
      <c r="BBF74" s="94"/>
      <c r="BBG74" s="94"/>
      <c r="BBH74" s="94"/>
      <c r="BBI74" s="94"/>
      <c r="BBJ74" s="94"/>
      <c r="BBK74" s="94"/>
      <c r="BBL74" s="94"/>
      <c r="BBM74" s="94"/>
      <c r="BBN74" s="94"/>
      <c r="BBO74" s="94"/>
      <c r="BBP74" s="94"/>
      <c r="BBQ74" s="94"/>
      <c r="BBR74" s="94"/>
      <c r="BBS74" s="94"/>
      <c r="BBT74" s="94"/>
      <c r="BBU74" s="94"/>
      <c r="BBV74" s="94"/>
      <c r="BBW74" s="94"/>
      <c r="BBX74" s="94"/>
      <c r="BBY74" s="94"/>
      <c r="BBZ74" s="94"/>
      <c r="BCA74" s="94"/>
      <c r="BCB74" s="94"/>
      <c r="BCC74" s="94"/>
      <c r="BCD74" s="94"/>
      <c r="BCE74" s="94"/>
      <c r="BCF74" s="94"/>
      <c r="BCG74" s="94"/>
      <c r="BCH74" s="94"/>
      <c r="BCI74" s="94"/>
      <c r="BCJ74" s="94"/>
      <c r="BCK74" s="94"/>
      <c r="BCL74" s="94"/>
      <c r="BCM74" s="94"/>
      <c r="BCN74" s="94"/>
      <c r="BCO74" s="94"/>
      <c r="BCP74" s="94"/>
      <c r="BCQ74" s="94"/>
      <c r="BCR74" s="94"/>
      <c r="BCS74" s="94"/>
      <c r="BCT74" s="94"/>
      <c r="BCU74" s="94"/>
      <c r="BCV74" s="94"/>
      <c r="BCW74" s="94"/>
      <c r="BCX74" s="94"/>
      <c r="BCY74" s="94"/>
      <c r="BCZ74" s="94"/>
      <c r="BDA74" s="94"/>
      <c r="BDB74" s="94"/>
      <c r="BDC74" s="94"/>
      <c r="BDD74" s="94"/>
      <c r="BDE74" s="94"/>
      <c r="BDF74" s="94"/>
      <c r="BDG74" s="94"/>
      <c r="BDH74" s="94"/>
      <c r="BDI74" s="94"/>
      <c r="BDJ74" s="94"/>
      <c r="BDK74" s="94"/>
      <c r="BDL74" s="94"/>
      <c r="BDM74" s="94"/>
      <c r="BDN74" s="94"/>
      <c r="BDO74" s="94"/>
      <c r="BDP74" s="94"/>
      <c r="BDQ74" s="94"/>
      <c r="BDR74" s="94"/>
      <c r="BDS74" s="94"/>
      <c r="BDT74" s="94"/>
      <c r="BDU74" s="94"/>
      <c r="BDV74" s="94"/>
      <c r="BDW74" s="94"/>
      <c r="BDX74" s="94"/>
      <c r="BDY74" s="94"/>
      <c r="BDZ74" s="94"/>
      <c r="BEA74" s="94"/>
      <c r="BEB74" s="94"/>
      <c r="BEC74" s="94"/>
      <c r="BED74" s="94"/>
      <c r="BEE74" s="94"/>
      <c r="BEF74" s="94"/>
      <c r="BEG74" s="94"/>
      <c r="BEH74" s="94"/>
      <c r="BEI74" s="94"/>
      <c r="BEJ74" s="94"/>
      <c r="BEK74" s="94"/>
      <c r="BEL74" s="94"/>
      <c r="BEM74" s="94"/>
      <c r="BEN74" s="94"/>
      <c r="BEO74" s="94"/>
      <c r="BEP74" s="94"/>
      <c r="BEQ74" s="94"/>
      <c r="BER74" s="94"/>
      <c r="BES74" s="94"/>
      <c r="BET74" s="94"/>
      <c r="BEU74" s="94"/>
      <c r="BEV74" s="94"/>
      <c r="BEW74" s="94"/>
      <c r="BEX74" s="94"/>
      <c r="BEY74" s="94"/>
      <c r="BEZ74" s="94"/>
      <c r="BFA74" s="94"/>
      <c r="BFB74" s="94"/>
      <c r="BFC74" s="94"/>
      <c r="BFD74" s="94"/>
      <c r="BFE74" s="94"/>
      <c r="BFF74" s="94"/>
      <c r="BFG74" s="94"/>
      <c r="BFH74" s="94"/>
      <c r="BFI74" s="94"/>
      <c r="BFJ74" s="94"/>
      <c r="BFK74" s="94"/>
      <c r="BFL74" s="94"/>
      <c r="BFM74" s="94"/>
      <c r="BFN74" s="94"/>
      <c r="BFO74" s="94"/>
      <c r="BFP74" s="94"/>
      <c r="BFQ74" s="94"/>
      <c r="BFR74" s="94"/>
      <c r="BFS74" s="94"/>
      <c r="BFT74" s="94"/>
      <c r="BFU74" s="94"/>
      <c r="BFV74" s="94"/>
      <c r="BFW74" s="94"/>
      <c r="BFX74" s="94"/>
      <c r="BFY74" s="94"/>
      <c r="BFZ74" s="94"/>
      <c r="BGA74" s="94"/>
      <c r="BGB74" s="94"/>
      <c r="BGC74" s="94"/>
      <c r="BGD74" s="94"/>
      <c r="BGE74" s="94"/>
      <c r="BGF74" s="94"/>
      <c r="BGG74" s="94"/>
      <c r="BGH74" s="94"/>
      <c r="BGI74" s="94"/>
      <c r="BGJ74" s="94"/>
      <c r="BGK74" s="94"/>
      <c r="BGL74" s="94"/>
      <c r="BGM74" s="94"/>
      <c r="BGN74" s="94"/>
      <c r="BGO74" s="94"/>
      <c r="BGP74" s="94"/>
      <c r="BGQ74" s="94"/>
      <c r="BGR74" s="94"/>
      <c r="BGS74" s="94"/>
      <c r="BGT74" s="94"/>
      <c r="BGU74" s="94"/>
      <c r="BGV74" s="94"/>
      <c r="BGW74" s="94"/>
      <c r="BGX74" s="94"/>
      <c r="BGY74" s="94"/>
      <c r="BGZ74" s="94"/>
      <c r="BHA74" s="94"/>
      <c r="BHB74" s="94"/>
      <c r="BHC74" s="94"/>
      <c r="BHD74" s="94"/>
      <c r="BHE74" s="94"/>
      <c r="BHF74" s="94"/>
      <c r="BHG74" s="94"/>
      <c r="BHH74" s="94"/>
      <c r="BHI74" s="94"/>
      <c r="BHJ74" s="94"/>
      <c r="BHK74" s="94"/>
      <c r="BHL74" s="94"/>
      <c r="BHM74" s="94"/>
      <c r="BHN74" s="94"/>
      <c r="BHO74" s="94"/>
      <c r="BHP74" s="94"/>
      <c r="BHQ74" s="94"/>
      <c r="BHR74" s="94"/>
      <c r="BHS74" s="94"/>
      <c r="BHT74" s="94"/>
      <c r="BHU74" s="94"/>
      <c r="BHV74" s="94"/>
      <c r="BHW74" s="94"/>
      <c r="BHX74" s="94"/>
      <c r="BHY74" s="94"/>
      <c r="BHZ74" s="94"/>
      <c r="BIA74" s="94"/>
      <c r="BIB74" s="94"/>
      <c r="BIC74" s="94"/>
      <c r="BID74" s="94"/>
      <c r="BIE74" s="94"/>
      <c r="BIF74" s="94"/>
      <c r="BIG74" s="94"/>
      <c r="BIH74" s="94"/>
      <c r="BII74" s="94"/>
      <c r="BIJ74" s="94"/>
      <c r="BIK74" s="94"/>
      <c r="BIL74" s="94"/>
      <c r="BIM74" s="94"/>
      <c r="BIN74" s="94"/>
      <c r="BIO74" s="94"/>
      <c r="BIP74" s="94"/>
      <c r="BIQ74" s="94"/>
      <c r="BIR74" s="94"/>
      <c r="BIS74" s="94"/>
      <c r="BIT74" s="94"/>
      <c r="BIU74" s="94"/>
      <c r="BIV74" s="94"/>
      <c r="BIW74" s="94"/>
      <c r="BIX74" s="94"/>
      <c r="BIY74" s="94"/>
      <c r="BIZ74" s="94"/>
      <c r="BJA74" s="94"/>
      <c r="BJB74" s="94"/>
      <c r="BJC74" s="94"/>
      <c r="BJD74" s="94"/>
      <c r="BJE74" s="94"/>
      <c r="BJF74" s="94"/>
      <c r="BJG74" s="94"/>
      <c r="BJH74" s="94"/>
      <c r="BJI74" s="94"/>
      <c r="BJJ74" s="94"/>
      <c r="BJK74" s="94"/>
      <c r="BJL74" s="94"/>
      <c r="BJM74" s="94"/>
      <c r="BJN74" s="94"/>
      <c r="BJO74" s="94"/>
      <c r="BJP74" s="94"/>
      <c r="BJQ74" s="94"/>
      <c r="BJR74" s="94"/>
      <c r="BJS74" s="94"/>
      <c r="BJT74" s="94"/>
      <c r="BJU74" s="94"/>
      <c r="BJV74" s="94"/>
      <c r="BJW74" s="94"/>
      <c r="BJX74" s="94"/>
      <c r="BJY74" s="94"/>
      <c r="BJZ74" s="94"/>
      <c r="BKA74" s="94"/>
      <c r="BKB74" s="94"/>
      <c r="BKC74" s="94"/>
      <c r="BKD74" s="94"/>
      <c r="BKE74" s="94"/>
      <c r="BKF74" s="94"/>
      <c r="BKG74" s="94"/>
      <c r="BKH74" s="94"/>
      <c r="BKI74" s="94"/>
      <c r="BKJ74" s="94"/>
      <c r="BKK74" s="94"/>
      <c r="BKL74" s="94"/>
      <c r="BKM74" s="94"/>
      <c r="BKN74" s="94"/>
      <c r="BKO74" s="94"/>
      <c r="BKP74" s="94"/>
      <c r="BKQ74" s="94"/>
      <c r="BKR74" s="94"/>
      <c r="BKS74" s="94"/>
      <c r="BKT74" s="94"/>
      <c r="BKU74" s="94"/>
      <c r="BKV74" s="94"/>
      <c r="BKW74" s="94"/>
      <c r="BKX74" s="94"/>
      <c r="BKY74" s="94"/>
      <c r="BKZ74" s="94"/>
      <c r="BLA74" s="94"/>
      <c r="BLB74" s="94"/>
      <c r="BLC74" s="94"/>
      <c r="BLD74" s="94"/>
      <c r="BLE74" s="94"/>
      <c r="BLF74" s="94"/>
      <c r="BLG74" s="94"/>
      <c r="BLH74" s="94"/>
      <c r="BLI74" s="94"/>
      <c r="BLJ74" s="94"/>
      <c r="BLK74" s="94"/>
      <c r="BLL74" s="94"/>
      <c r="BLM74" s="94"/>
      <c r="BLN74" s="94"/>
      <c r="BLO74" s="94"/>
      <c r="BLP74" s="94"/>
      <c r="BLQ74" s="94"/>
      <c r="BLR74" s="94"/>
      <c r="BLS74" s="94"/>
      <c r="BLT74" s="94"/>
      <c r="BLU74" s="94"/>
      <c r="BLV74" s="94"/>
      <c r="BLW74" s="94"/>
      <c r="BLX74" s="94"/>
      <c r="BLY74" s="94"/>
      <c r="BLZ74" s="94"/>
      <c r="BMA74" s="94"/>
      <c r="BMB74" s="94"/>
      <c r="BMC74" s="94"/>
      <c r="BMD74" s="94"/>
      <c r="BME74" s="94"/>
      <c r="BMF74" s="94"/>
      <c r="BMG74" s="94"/>
      <c r="BMH74" s="94"/>
      <c r="BMI74" s="94"/>
      <c r="BMJ74" s="94"/>
      <c r="BMK74" s="94"/>
      <c r="BML74" s="94"/>
      <c r="BMM74" s="94"/>
      <c r="BMN74" s="94"/>
      <c r="BMO74" s="94"/>
      <c r="BMP74" s="94"/>
      <c r="BMQ74" s="94"/>
      <c r="BMR74" s="94"/>
      <c r="BMS74" s="94"/>
      <c r="BMT74" s="94"/>
      <c r="BMU74" s="94"/>
      <c r="BMV74" s="94"/>
      <c r="BMW74" s="94"/>
      <c r="BMX74" s="94"/>
      <c r="BMY74" s="94"/>
      <c r="BMZ74" s="94"/>
      <c r="BNA74" s="94"/>
      <c r="BNB74" s="94"/>
      <c r="BNC74" s="94"/>
      <c r="BND74" s="94"/>
      <c r="BNE74" s="94"/>
      <c r="BNF74" s="94"/>
      <c r="BNG74" s="94"/>
      <c r="BNH74" s="94"/>
      <c r="BNI74" s="94"/>
      <c r="BNJ74" s="94"/>
      <c r="BNK74" s="94"/>
      <c r="BNL74" s="94"/>
      <c r="BNM74" s="94"/>
      <c r="BNN74" s="94"/>
      <c r="BNO74" s="94"/>
      <c r="BNP74" s="94"/>
      <c r="BNQ74" s="94"/>
      <c r="BNR74" s="94"/>
      <c r="BNS74" s="94"/>
      <c r="BNT74" s="94"/>
      <c r="BNU74" s="94"/>
      <c r="BNV74" s="94"/>
      <c r="BNW74" s="94"/>
      <c r="BNX74" s="94"/>
      <c r="BNY74" s="94"/>
      <c r="BNZ74" s="94"/>
      <c r="BOA74" s="94"/>
      <c r="BOB74" s="94"/>
      <c r="BOC74" s="94"/>
      <c r="BOD74" s="94"/>
      <c r="BOE74" s="94"/>
      <c r="BOF74" s="94"/>
      <c r="BOG74" s="94"/>
      <c r="BOH74" s="94"/>
      <c r="BOI74" s="94"/>
      <c r="BOJ74" s="94"/>
      <c r="BOK74" s="94"/>
      <c r="BOL74" s="94"/>
      <c r="BOM74" s="94"/>
      <c r="BON74" s="94"/>
      <c r="BOO74" s="94"/>
      <c r="BOP74" s="94"/>
      <c r="BOQ74" s="94"/>
      <c r="BOR74" s="94"/>
      <c r="BOS74" s="94"/>
      <c r="BOT74" s="94"/>
      <c r="BOU74" s="94"/>
      <c r="BOV74" s="94"/>
      <c r="BOW74" s="94"/>
      <c r="BOX74" s="94"/>
      <c r="BOY74" s="94"/>
      <c r="BOZ74" s="94"/>
      <c r="BPA74" s="94"/>
      <c r="BPB74" s="94"/>
      <c r="BPC74" s="94"/>
      <c r="BPD74" s="94"/>
      <c r="BPE74" s="94"/>
      <c r="BPF74" s="94"/>
      <c r="BPG74" s="94"/>
      <c r="BPH74" s="94"/>
      <c r="BPI74" s="94"/>
      <c r="BPJ74" s="94"/>
      <c r="BPK74" s="94"/>
      <c r="BPL74" s="94"/>
      <c r="BPM74" s="94"/>
      <c r="BPN74" s="94"/>
      <c r="BPO74" s="94"/>
      <c r="BPP74" s="94"/>
      <c r="BPQ74" s="94"/>
      <c r="BPR74" s="94"/>
      <c r="BPS74" s="94"/>
      <c r="BPT74" s="94"/>
      <c r="BPU74" s="94"/>
      <c r="BPV74" s="94"/>
      <c r="BPW74" s="94"/>
      <c r="BPX74" s="94"/>
      <c r="BPY74" s="94"/>
      <c r="BPZ74" s="94"/>
      <c r="BQA74" s="94"/>
      <c r="BQB74" s="94"/>
      <c r="BQC74" s="94"/>
      <c r="BQD74" s="94"/>
      <c r="BQE74" s="94"/>
      <c r="BQF74" s="94"/>
      <c r="BQG74" s="94"/>
      <c r="BQH74" s="94"/>
      <c r="BQI74" s="94"/>
      <c r="BQJ74" s="94"/>
      <c r="BQK74" s="94"/>
      <c r="BQL74" s="94"/>
      <c r="BQM74" s="94"/>
      <c r="BQN74" s="94"/>
      <c r="BQO74" s="94"/>
      <c r="BQP74" s="94"/>
      <c r="BQQ74" s="94"/>
      <c r="BQR74" s="94"/>
      <c r="BQS74" s="94"/>
      <c r="BQT74" s="94"/>
      <c r="BQU74" s="94"/>
      <c r="BQV74" s="94"/>
      <c r="BQW74" s="94"/>
      <c r="BQX74" s="94"/>
      <c r="BQY74" s="94"/>
      <c r="BQZ74" s="94"/>
      <c r="BRA74" s="94"/>
      <c r="BRB74" s="94"/>
      <c r="BRC74" s="94"/>
      <c r="BRD74" s="94"/>
      <c r="BRE74" s="94"/>
      <c r="BRF74" s="94"/>
      <c r="BRG74" s="94"/>
      <c r="BRH74" s="94"/>
      <c r="BRI74" s="94"/>
      <c r="BRJ74" s="94"/>
      <c r="BRK74" s="94"/>
      <c r="BRL74" s="94"/>
      <c r="BRM74" s="94"/>
      <c r="BRN74" s="94"/>
      <c r="BRO74" s="94"/>
      <c r="BRP74" s="94"/>
      <c r="BRQ74" s="94"/>
      <c r="BRR74" s="94"/>
      <c r="BRS74" s="94"/>
      <c r="BRT74" s="94"/>
      <c r="BRU74" s="94"/>
      <c r="BRV74" s="94"/>
      <c r="BRW74" s="94"/>
      <c r="BRX74" s="94"/>
      <c r="BRY74" s="94"/>
      <c r="BRZ74" s="94"/>
      <c r="BSA74" s="94"/>
      <c r="BSB74" s="94"/>
      <c r="BSC74" s="94"/>
      <c r="BSD74" s="94"/>
      <c r="BSE74" s="94"/>
      <c r="BSF74" s="94"/>
      <c r="BSG74" s="94"/>
      <c r="BSH74" s="94"/>
      <c r="BSI74" s="94"/>
      <c r="BSJ74" s="94"/>
      <c r="BSK74" s="94"/>
      <c r="BSL74" s="94"/>
      <c r="BSM74" s="94"/>
      <c r="BSN74" s="94"/>
      <c r="BSO74" s="94"/>
      <c r="BSP74" s="94"/>
      <c r="BSQ74" s="94"/>
      <c r="BSR74" s="94"/>
      <c r="BSS74" s="94"/>
      <c r="BST74" s="94"/>
      <c r="BSU74" s="94"/>
      <c r="BSV74" s="94"/>
      <c r="BSW74" s="94"/>
      <c r="BSX74" s="94"/>
      <c r="BSY74" s="94"/>
      <c r="BSZ74" s="94"/>
      <c r="BTA74" s="94"/>
      <c r="BTB74" s="94"/>
      <c r="BTC74" s="94"/>
      <c r="BTD74" s="94"/>
      <c r="BTE74" s="94"/>
      <c r="BTF74" s="94"/>
      <c r="BTG74" s="94"/>
      <c r="BTH74" s="94"/>
      <c r="BTI74" s="94"/>
      <c r="BTJ74" s="94"/>
      <c r="BTK74" s="94"/>
      <c r="BTL74" s="94"/>
      <c r="BTM74" s="94"/>
      <c r="BTN74" s="94"/>
      <c r="BTO74" s="94"/>
      <c r="BTP74" s="94"/>
      <c r="BTQ74" s="94"/>
      <c r="BTR74" s="94"/>
      <c r="BTS74" s="94"/>
      <c r="BTT74" s="94"/>
      <c r="BTU74" s="94"/>
      <c r="BTV74" s="94"/>
      <c r="BTW74" s="94"/>
      <c r="BTX74" s="94"/>
      <c r="BTY74" s="94"/>
      <c r="BTZ74" s="94"/>
      <c r="BUA74" s="94"/>
      <c r="BUB74" s="94"/>
      <c r="BUC74" s="94"/>
      <c r="BUD74" s="94"/>
      <c r="BUE74" s="94"/>
      <c r="BUF74" s="94"/>
      <c r="BUG74" s="94"/>
      <c r="BUH74" s="94"/>
      <c r="BUI74" s="94"/>
      <c r="BUJ74" s="94"/>
      <c r="BUK74" s="94"/>
      <c r="BUL74" s="94"/>
      <c r="BUM74" s="94"/>
      <c r="BUN74" s="94"/>
      <c r="BUO74" s="94"/>
      <c r="BUP74" s="94"/>
      <c r="BUQ74" s="94"/>
      <c r="BUR74" s="94"/>
      <c r="BUS74" s="94"/>
      <c r="BUT74" s="94"/>
      <c r="BUU74" s="94"/>
      <c r="BUV74" s="94"/>
      <c r="BUW74" s="94"/>
      <c r="BUX74" s="94"/>
      <c r="BUY74" s="94"/>
      <c r="BUZ74" s="94"/>
      <c r="BVA74" s="94"/>
      <c r="BVB74" s="94"/>
      <c r="BVC74" s="94"/>
      <c r="BVD74" s="94"/>
      <c r="BVE74" s="94"/>
      <c r="BVF74" s="94"/>
      <c r="BVG74" s="94"/>
      <c r="BVH74" s="94"/>
      <c r="BVI74" s="94"/>
      <c r="BVJ74" s="94"/>
      <c r="BVK74" s="94"/>
      <c r="BVL74" s="94"/>
      <c r="BVM74" s="94"/>
      <c r="BVN74" s="94"/>
      <c r="BVO74" s="94"/>
      <c r="BVP74" s="94"/>
      <c r="BVQ74" s="94"/>
      <c r="BVR74" s="94"/>
      <c r="BVS74" s="94"/>
      <c r="BVT74" s="94"/>
      <c r="BVU74" s="94"/>
      <c r="BVV74" s="94"/>
      <c r="BVW74" s="94"/>
      <c r="BVX74" s="94"/>
      <c r="BVY74" s="94"/>
      <c r="BVZ74" s="94"/>
      <c r="BWA74" s="94"/>
      <c r="BWB74" s="94"/>
      <c r="BWC74" s="94"/>
      <c r="BWD74" s="94"/>
      <c r="BWE74" s="94"/>
      <c r="BWF74" s="94"/>
      <c r="BWG74" s="94"/>
      <c r="BWH74" s="94"/>
      <c r="BWI74" s="94"/>
      <c r="BWJ74" s="94"/>
      <c r="BWK74" s="94"/>
      <c r="BWL74" s="94"/>
      <c r="BWM74" s="94"/>
      <c r="BWN74" s="94"/>
      <c r="BWO74" s="94"/>
      <c r="BWP74" s="94"/>
      <c r="BWQ74" s="94"/>
      <c r="BWR74" s="94"/>
      <c r="BWS74" s="94"/>
      <c r="BWT74" s="94"/>
      <c r="BWU74" s="94"/>
      <c r="BWV74" s="94"/>
      <c r="BWW74" s="94"/>
      <c r="BWX74" s="94"/>
      <c r="BWY74" s="94"/>
      <c r="BWZ74" s="94"/>
      <c r="BXA74" s="94"/>
      <c r="BXB74" s="94"/>
      <c r="BXC74" s="94"/>
      <c r="BXD74" s="94"/>
      <c r="BXE74" s="94"/>
      <c r="BXF74" s="94"/>
      <c r="BXG74" s="94"/>
      <c r="BXH74" s="94"/>
      <c r="BXI74" s="94"/>
      <c r="BXJ74" s="94"/>
      <c r="BXK74" s="94"/>
      <c r="BXL74" s="94"/>
      <c r="BXM74" s="94"/>
      <c r="BXN74" s="94"/>
      <c r="BXO74" s="94"/>
      <c r="BXP74" s="94"/>
      <c r="BXQ74" s="94"/>
      <c r="BXR74" s="94"/>
      <c r="BXS74" s="94"/>
      <c r="BXT74" s="94"/>
      <c r="BXU74" s="94"/>
      <c r="BXV74" s="94"/>
      <c r="BXW74" s="94"/>
      <c r="BXX74" s="94"/>
      <c r="BXY74" s="94"/>
      <c r="BXZ74" s="94"/>
      <c r="BYA74" s="94"/>
      <c r="BYB74" s="94"/>
      <c r="BYC74" s="94"/>
      <c r="BYD74" s="94"/>
      <c r="BYE74" s="94"/>
      <c r="BYF74" s="94"/>
      <c r="BYG74" s="94"/>
    </row>
    <row r="75" spans="1:2009" s="95" customFormat="1" ht="10.5" customHeight="1" x14ac:dyDescent="0.25">
      <c r="A75" s="121"/>
      <c r="B75" s="121"/>
      <c r="C75" s="190"/>
      <c r="D75" s="190"/>
      <c r="E75" s="190"/>
      <c r="F75" s="190"/>
      <c r="G75" s="670"/>
      <c r="H75" s="93"/>
      <c r="I75" s="552"/>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ht="15" customHeight="1" x14ac:dyDescent="0.25">
      <c r="A76" s="122"/>
      <c r="B76" s="313" t="s">
        <v>521</v>
      </c>
      <c r="C76" s="191"/>
      <c r="D76" s="191"/>
      <c r="E76" s="191"/>
      <c r="F76" s="191"/>
      <c r="G76" s="671"/>
    </row>
    <row r="77" spans="1:2009" ht="8.25" customHeight="1" x14ac:dyDescent="0.25">
      <c r="A77" s="122"/>
      <c r="B77" s="160"/>
      <c r="C77" s="608"/>
      <c r="D77" s="191"/>
      <c r="E77" s="191"/>
      <c r="F77" s="191"/>
      <c r="G77" s="671"/>
    </row>
    <row r="78" spans="1:2009" ht="14.25" hidden="1" customHeight="1" x14ac:dyDescent="0.25">
      <c r="A78" s="122"/>
      <c r="B78" s="553" t="s">
        <v>48</v>
      </c>
      <c r="C78" s="599"/>
      <c r="D78" s="608"/>
      <c r="E78" s="191"/>
      <c r="F78" s="191"/>
      <c r="G78" s="671"/>
    </row>
    <row r="79" spans="1:2009" ht="14.25" hidden="1" customHeight="1" x14ac:dyDescent="0.25">
      <c r="A79" s="122"/>
      <c r="B79" s="553" t="s">
        <v>460</v>
      </c>
      <c r="C79" s="599"/>
      <c r="D79" s="608"/>
      <c r="E79" s="191"/>
      <c r="F79" s="191"/>
      <c r="G79" s="671"/>
    </row>
    <row r="80" spans="1:2009" ht="14.25" hidden="1" customHeight="1" x14ac:dyDescent="0.25">
      <c r="A80" s="122"/>
      <c r="B80" s="553" t="s">
        <v>458</v>
      </c>
      <c r="C80" s="599"/>
      <c r="D80" s="608"/>
      <c r="E80" s="191"/>
      <c r="F80" s="191"/>
      <c r="G80" s="671"/>
    </row>
    <row r="81" spans="1:7" ht="14.25" hidden="1" customHeight="1" x14ac:dyDescent="0.25">
      <c r="A81" s="122"/>
      <c r="B81" s="553" t="s">
        <v>522</v>
      </c>
      <c r="C81" s="599"/>
      <c r="D81" s="608"/>
      <c r="E81" s="191"/>
      <c r="F81" s="191"/>
      <c r="G81" s="671"/>
    </row>
    <row r="82" spans="1:7" ht="14.25" hidden="1" customHeight="1" x14ac:dyDescent="0.25">
      <c r="A82" s="122"/>
      <c r="B82" s="553" t="s">
        <v>459</v>
      </c>
      <c r="C82" s="599"/>
      <c r="D82" s="608"/>
      <c r="E82" s="191"/>
      <c r="F82" s="191"/>
      <c r="G82" s="671"/>
    </row>
    <row r="83" spans="1:7" ht="14.25" hidden="1" customHeight="1" x14ac:dyDescent="0.25">
      <c r="A83" s="122"/>
      <c r="B83" s="553" t="s">
        <v>525</v>
      </c>
      <c r="C83" s="599"/>
      <c r="D83" s="608"/>
      <c r="E83" s="191"/>
      <c r="F83" s="191"/>
      <c r="G83" s="671"/>
    </row>
    <row r="84" spans="1:7" ht="14.25" customHeight="1" x14ac:dyDescent="0.25">
      <c r="A84" s="122"/>
      <c r="B84" s="553" t="s">
        <v>526</v>
      </c>
      <c r="C84" s="599">
        <v>3791.67</v>
      </c>
      <c r="D84" s="608"/>
      <c r="E84" s="191"/>
      <c r="F84" s="191"/>
      <c r="G84" s="671"/>
    </row>
    <row r="85" spans="1:7" ht="14.25" hidden="1" customHeight="1" x14ac:dyDescent="0.25">
      <c r="A85" s="122"/>
      <c r="B85" s="553" t="s">
        <v>530</v>
      </c>
      <c r="C85" s="599"/>
      <c r="D85" s="608"/>
      <c r="E85" s="191"/>
      <c r="F85" s="191"/>
      <c r="G85" s="671"/>
    </row>
    <row r="86" spans="1:7" ht="14.25" hidden="1" customHeight="1" x14ac:dyDescent="0.25">
      <c r="A86" s="122"/>
      <c r="B86" s="553" t="s">
        <v>527</v>
      </c>
      <c r="C86" s="599"/>
      <c r="D86" s="608"/>
      <c r="E86" s="191"/>
      <c r="F86" s="191"/>
      <c r="G86" s="671"/>
    </row>
    <row r="87" spans="1:7" ht="14.25" hidden="1" customHeight="1" x14ac:dyDescent="0.25">
      <c r="A87" s="122"/>
      <c r="B87" s="553" t="s">
        <v>531</v>
      </c>
      <c r="C87" s="599"/>
      <c r="D87" s="608"/>
      <c r="E87" s="191"/>
      <c r="F87" s="191"/>
      <c r="G87" s="671"/>
    </row>
    <row r="88" spans="1:7" ht="14.25" hidden="1" customHeight="1" x14ac:dyDescent="0.25">
      <c r="A88" s="122"/>
      <c r="B88" s="553" t="s">
        <v>528</v>
      </c>
      <c r="C88" s="599"/>
      <c r="D88" s="608"/>
      <c r="E88" s="191"/>
      <c r="F88" s="191"/>
      <c r="G88" s="671"/>
    </row>
    <row r="89" spans="1:7" ht="14.25" customHeight="1" x14ac:dyDescent="0.25">
      <c r="A89" s="122"/>
      <c r="B89" s="553" t="s">
        <v>465</v>
      </c>
      <c r="C89" s="599">
        <v>770.47</v>
      </c>
      <c r="D89" s="608"/>
      <c r="E89" s="191"/>
      <c r="F89" s="191"/>
      <c r="G89" s="671"/>
    </row>
    <row r="90" spans="1:7" ht="14.25" hidden="1" customHeight="1" x14ac:dyDescent="0.25">
      <c r="A90" s="122"/>
      <c r="B90" s="553" t="s">
        <v>476</v>
      </c>
      <c r="C90" s="599"/>
      <c r="D90" s="608"/>
      <c r="E90" s="191"/>
      <c r="F90" s="191"/>
      <c r="G90" s="671"/>
    </row>
    <row r="91" spans="1:7" ht="14.25" customHeight="1" x14ac:dyDescent="0.25">
      <c r="A91" s="122"/>
      <c r="B91" s="553" t="s">
        <v>539</v>
      </c>
      <c r="C91" s="599">
        <v>190.32</v>
      </c>
      <c r="D91" s="608"/>
      <c r="E91" s="191"/>
      <c r="F91" s="191"/>
      <c r="G91" s="671"/>
    </row>
    <row r="92" spans="1:7" ht="14.25" hidden="1" customHeight="1" x14ac:dyDescent="0.25">
      <c r="A92" s="122"/>
      <c r="B92" s="553" t="s">
        <v>533</v>
      </c>
      <c r="C92" s="599"/>
      <c r="D92" s="608"/>
      <c r="E92" s="191"/>
      <c r="F92" s="191"/>
      <c r="G92" s="671"/>
    </row>
    <row r="93" spans="1:7" ht="14.25" hidden="1" customHeight="1" x14ac:dyDescent="0.25">
      <c r="A93" s="122"/>
      <c r="B93" s="553" t="s">
        <v>523</v>
      </c>
      <c r="C93" s="599"/>
      <c r="D93" s="608"/>
      <c r="E93" s="191"/>
      <c r="F93" s="191"/>
      <c r="G93" s="671"/>
    </row>
    <row r="94" spans="1:7" ht="14.25" hidden="1" customHeight="1" x14ac:dyDescent="0.25">
      <c r="A94" s="122"/>
      <c r="B94" s="553" t="s">
        <v>276</v>
      </c>
      <c r="C94" s="599"/>
      <c r="D94" s="608"/>
      <c r="E94" s="191"/>
      <c r="F94" s="191"/>
      <c r="G94" s="671"/>
    </row>
    <row r="95" spans="1:7" ht="14.25" hidden="1" customHeight="1" x14ac:dyDescent="0.25">
      <c r="A95" s="122"/>
      <c r="B95" s="553" t="s">
        <v>466</v>
      </c>
      <c r="C95" s="599"/>
      <c r="D95" s="608"/>
      <c r="E95" s="191"/>
      <c r="F95" s="191"/>
      <c r="G95" s="671"/>
    </row>
    <row r="96" spans="1:7" ht="14.25" customHeight="1" x14ac:dyDescent="0.25">
      <c r="A96" s="122"/>
      <c r="B96" s="553" t="s">
        <v>529</v>
      </c>
      <c r="C96" s="599">
        <v>8972.14</v>
      </c>
      <c r="D96" s="191"/>
      <c r="E96" s="191"/>
      <c r="F96" s="191"/>
      <c r="G96" s="671"/>
    </row>
    <row r="97" spans="1:6" ht="15" x14ac:dyDescent="0.25">
      <c r="A97" s="400"/>
      <c r="B97" s="161" t="s">
        <v>541</v>
      </c>
      <c r="C97" s="353">
        <f>SUM(C77:C96)</f>
        <v>13724.599999999999</v>
      </c>
      <c r="D97" s="192"/>
      <c r="E97" s="192"/>
      <c r="F97" s="192"/>
    </row>
    <row r="98" spans="1:6" ht="5.25" customHeight="1" x14ac:dyDescent="0.2">
      <c r="C98" s="192"/>
      <c r="D98" s="192"/>
      <c r="E98" s="192"/>
      <c r="F98" s="192"/>
    </row>
    <row r="99" spans="1:6" ht="15.75" thickBot="1" x14ac:dyDescent="0.3">
      <c r="B99" s="161" t="s">
        <v>542</v>
      </c>
      <c r="C99" s="386">
        <f>G72-C97</f>
        <v>235288.08</v>
      </c>
      <c r="D99" s="192"/>
      <c r="E99" s="192"/>
      <c r="F99" s="192"/>
    </row>
    <row r="100" spans="1:6" ht="12" customHeight="1" thickTop="1" x14ac:dyDescent="0.2">
      <c r="C100" s="192"/>
      <c r="D100" s="192"/>
      <c r="E100" s="192"/>
      <c r="F100" s="192"/>
    </row>
    <row r="101" spans="1:6" ht="15.75" x14ac:dyDescent="0.25">
      <c r="B101" s="313" t="s">
        <v>178</v>
      </c>
      <c r="C101" s="192"/>
      <c r="D101" s="192"/>
      <c r="E101" s="192"/>
      <c r="F101" s="192"/>
    </row>
    <row r="102" spans="1:6" ht="16.5" hidden="1" customHeight="1" x14ac:dyDescent="0.2">
      <c r="B102" s="554"/>
      <c r="C102" s="555"/>
      <c r="D102" s="192"/>
      <c r="E102" s="192"/>
      <c r="F102" s="192"/>
    </row>
    <row r="103" spans="1:6" ht="16.5" hidden="1" customHeight="1" x14ac:dyDescent="0.2">
      <c r="B103" s="554"/>
      <c r="C103" s="555"/>
      <c r="D103" s="192"/>
      <c r="E103" s="192"/>
      <c r="F103" s="192"/>
    </row>
    <row r="104" spans="1:6" ht="16.5" hidden="1" customHeight="1" x14ac:dyDescent="0.2">
      <c r="B104" s="554"/>
      <c r="C104" s="555"/>
      <c r="D104" s="192"/>
      <c r="E104" s="192"/>
      <c r="F104" s="192"/>
    </row>
    <row r="105" spans="1:6" ht="16.5" hidden="1" customHeight="1" x14ac:dyDescent="0.2">
      <c r="B105" s="554"/>
      <c r="C105" s="555"/>
      <c r="D105" s="192"/>
      <c r="E105" s="192"/>
      <c r="F105" s="192"/>
    </row>
    <row r="106" spans="1:6" ht="15" hidden="1" x14ac:dyDescent="0.2">
      <c r="B106" s="529"/>
      <c r="C106" s="192"/>
      <c r="D106" s="192"/>
      <c r="E106" s="192"/>
      <c r="F106" s="192"/>
    </row>
    <row r="107" spans="1:6" hidden="1" x14ac:dyDescent="0.2">
      <c r="B107" s="428"/>
      <c r="C107" s="192"/>
      <c r="D107" s="192"/>
      <c r="E107" s="192"/>
      <c r="F107" s="192"/>
    </row>
    <row r="108" spans="1:6" hidden="1" x14ac:dyDescent="0.2">
      <c r="B108" s="428"/>
      <c r="C108" s="192"/>
      <c r="D108" s="192"/>
      <c r="E108" s="192"/>
      <c r="F108" s="192"/>
    </row>
    <row r="109" spans="1:6" hidden="1" x14ac:dyDescent="0.2">
      <c r="B109" s="428"/>
      <c r="C109" s="192"/>
      <c r="D109" s="192"/>
      <c r="E109" s="192"/>
      <c r="F109" s="192"/>
    </row>
    <row r="110" spans="1:6" hidden="1" x14ac:dyDescent="0.2">
      <c r="B110" s="428"/>
      <c r="C110" s="192"/>
      <c r="D110" s="192"/>
      <c r="E110" s="192"/>
      <c r="F110" s="192"/>
    </row>
    <row r="111" spans="1:6" hidden="1" x14ac:dyDescent="0.2">
      <c r="B111" s="428"/>
      <c r="C111" s="192"/>
      <c r="D111" s="192"/>
      <c r="E111" s="192"/>
      <c r="F111" s="192"/>
    </row>
    <row r="112" spans="1:6" hidden="1" x14ac:dyDescent="0.2">
      <c r="B112" s="428"/>
      <c r="C112" s="358"/>
      <c r="D112" s="192"/>
      <c r="E112" s="192"/>
      <c r="F112" s="192"/>
    </row>
    <row r="113" spans="2:6" hidden="1" x14ac:dyDescent="0.2">
      <c r="B113" s="428"/>
      <c r="C113" s="358"/>
      <c r="D113" s="192"/>
      <c r="E113" s="192"/>
      <c r="F113" s="192"/>
    </row>
    <row r="114" spans="2:6" hidden="1" x14ac:dyDescent="0.2">
      <c r="B114" s="428"/>
      <c r="C114" s="358"/>
      <c r="D114" s="192"/>
      <c r="E114" s="192"/>
      <c r="F114" s="192"/>
    </row>
    <row r="115" spans="2:6" hidden="1" x14ac:dyDescent="0.2">
      <c r="B115" s="428"/>
      <c r="C115" s="358"/>
      <c r="D115" s="192"/>
      <c r="E115" s="192"/>
      <c r="F115" s="192"/>
    </row>
    <row r="116" spans="2:6" hidden="1" x14ac:dyDescent="0.2">
      <c r="B116" s="428"/>
      <c r="C116" s="358"/>
      <c r="D116" s="192"/>
      <c r="E116" s="192"/>
      <c r="F116" s="192"/>
    </row>
    <row r="117" spans="2:6" hidden="1" x14ac:dyDescent="0.2">
      <c r="B117" s="428"/>
      <c r="C117" s="358"/>
      <c r="D117" s="192"/>
      <c r="E117" s="192"/>
      <c r="F117" s="192"/>
    </row>
    <row r="118" spans="2:6" hidden="1" x14ac:dyDescent="0.2">
      <c r="B118" s="428"/>
      <c r="C118" s="358"/>
      <c r="D118" s="192"/>
      <c r="E118" s="192"/>
      <c r="F118" s="192"/>
    </row>
    <row r="119" spans="2:6" hidden="1" x14ac:dyDescent="0.2">
      <c r="B119" s="428"/>
      <c r="C119" s="358"/>
      <c r="D119" s="192"/>
      <c r="E119" s="192"/>
      <c r="F119" s="192"/>
    </row>
    <row r="120" spans="2:6" x14ac:dyDescent="0.2">
      <c r="B120" s="428"/>
      <c r="C120" s="358"/>
      <c r="D120" s="192"/>
      <c r="E120" s="192"/>
      <c r="F120" s="192"/>
    </row>
    <row r="121" spans="2:6" ht="16.5" customHeight="1" x14ac:dyDescent="0.25">
      <c r="B121" s="436" t="s">
        <v>283</v>
      </c>
      <c r="C121" s="358"/>
      <c r="D121" s="192"/>
      <c r="E121" s="192"/>
      <c r="F121" s="192"/>
    </row>
    <row r="122" spans="2:6" ht="16.5" customHeight="1" x14ac:dyDescent="0.25">
      <c r="B122" s="553" t="s">
        <v>543</v>
      </c>
      <c r="C122" s="555">
        <v>12494.86</v>
      </c>
      <c r="D122" s="192"/>
      <c r="E122" s="192"/>
      <c r="F122" s="192"/>
    </row>
    <row r="123" spans="2:6" ht="16.5" hidden="1" customHeight="1" x14ac:dyDescent="0.25">
      <c r="B123" s="553"/>
      <c r="C123" s="555"/>
      <c r="D123" s="192"/>
      <c r="E123" s="192"/>
      <c r="F123" s="192"/>
    </row>
    <row r="124" spans="2:6" ht="18.75" hidden="1" customHeight="1" x14ac:dyDescent="0.25">
      <c r="B124" s="553"/>
      <c r="C124" s="192"/>
      <c r="D124" s="192"/>
      <c r="E124" s="192"/>
      <c r="F124" s="192"/>
    </row>
    <row r="125" spans="2:6" ht="17.25" customHeight="1" thickBot="1" x14ac:dyDescent="0.25">
      <c r="C125" s="620">
        <f>SUM(C122:C124)</f>
        <v>12494.86</v>
      </c>
      <c r="D125" s="192"/>
      <c r="E125" s="192"/>
      <c r="F125" s="192"/>
    </row>
    <row r="126" spans="2:6" ht="12" customHeight="1" thickTop="1" x14ac:dyDescent="0.2">
      <c r="C126" s="192"/>
      <c r="D126" s="192"/>
      <c r="E126" s="192"/>
      <c r="F126" s="192"/>
    </row>
    <row r="127" spans="2:6" ht="12" customHeight="1" x14ac:dyDescent="0.2">
      <c r="C127" s="192"/>
      <c r="D127" s="192"/>
      <c r="E127" s="192"/>
      <c r="F127" s="192"/>
    </row>
    <row r="128" spans="2:6" ht="12" customHeight="1" x14ac:dyDescent="0.2">
      <c r="C128" s="192"/>
      <c r="D128" s="192"/>
      <c r="E128" s="192"/>
      <c r="F128" s="192"/>
    </row>
    <row r="129" spans="3:6" ht="12" customHeight="1" x14ac:dyDescent="0.2">
      <c r="C129" s="192"/>
      <c r="D129" s="192"/>
      <c r="E129" s="192"/>
      <c r="F129" s="192"/>
    </row>
    <row r="130" spans="3:6" ht="12" customHeight="1" x14ac:dyDescent="0.2">
      <c r="C130" s="192"/>
      <c r="D130" s="192"/>
      <c r="E130" s="192"/>
      <c r="F130" s="192"/>
    </row>
    <row r="131" spans="3:6" ht="12" customHeight="1" x14ac:dyDescent="0.2">
      <c r="C131" s="192"/>
      <c r="D131" s="192"/>
      <c r="E131" s="192"/>
      <c r="F131" s="192"/>
    </row>
    <row r="132" spans="3:6" ht="12" customHeight="1" x14ac:dyDescent="0.2">
      <c r="C132" s="192"/>
      <c r="D132" s="192"/>
      <c r="E132" s="192"/>
      <c r="F132" s="192"/>
    </row>
    <row r="133" spans="3:6" ht="12" customHeight="1" x14ac:dyDescent="0.2">
      <c r="C133" s="192"/>
      <c r="D133" s="192"/>
      <c r="E133" s="192"/>
      <c r="F133" s="192"/>
    </row>
    <row r="134" spans="3:6" ht="12" customHeight="1" x14ac:dyDescent="0.2">
      <c r="C134" s="192"/>
      <c r="D134" s="192"/>
      <c r="E134" s="192"/>
      <c r="F134" s="192"/>
    </row>
    <row r="135" spans="3:6" ht="12" customHeight="1" x14ac:dyDescent="0.2">
      <c r="C135" s="192"/>
      <c r="D135" s="192"/>
      <c r="E135" s="192"/>
      <c r="F135" s="192"/>
    </row>
    <row r="136" spans="3:6" ht="12" customHeight="1" x14ac:dyDescent="0.2">
      <c r="C136" s="192"/>
      <c r="D136" s="192"/>
      <c r="E136" s="192"/>
      <c r="F136" s="192"/>
    </row>
    <row r="137" spans="3:6" ht="12" customHeight="1" x14ac:dyDescent="0.2">
      <c r="C137" s="192"/>
      <c r="D137" s="192"/>
      <c r="E137" s="192"/>
      <c r="F137" s="192"/>
    </row>
    <row r="138" spans="3:6" ht="12" customHeight="1" x14ac:dyDescent="0.2">
      <c r="C138" s="192"/>
      <c r="D138" s="192"/>
      <c r="E138" s="192"/>
      <c r="F138" s="192"/>
    </row>
    <row r="139" spans="3:6" ht="12" customHeight="1" x14ac:dyDescent="0.2">
      <c r="C139" s="192"/>
      <c r="D139" s="192"/>
      <c r="E139" s="192"/>
      <c r="F139" s="192"/>
    </row>
    <row r="140" spans="3:6" ht="12" customHeight="1" x14ac:dyDescent="0.2">
      <c r="C140" s="192"/>
      <c r="D140" s="192"/>
      <c r="E140" s="192"/>
      <c r="F140" s="192"/>
    </row>
    <row r="141" spans="3:6" ht="12" customHeight="1" x14ac:dyDescent="0.2">
      <c r="C141" s="192"/>
      <c r="D141" s="192"/>
      <c r="E141" s="192"/>
      <c r="F141" s="192"/>
    </row>
    <row r="142" spans="3:6" ht="12" customHeight="1" x14ac:dyDescent="0.2">
      <c r="C142" s="192"/>
      <c r="D142" s="192"/>
      <c r="E142" s="192"/>
      <c r="F142" s="192"/>
    </row>
    <row r="143" spans="3:6" ht="12" customHeight="1" x14ac:dyDescent="0.2">
      <c r="C143" s="192"/>
      <c r="D143" s="192"/>
      <c r="E143" s="192"/>
      <c r="F143" s="192"/>
    </row>
    <row r="144" spans="3: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2:6" ht="12" customHeight="1" x14ac:dyDescent="0.2">
      <c r="C177" s="192"/>
      <c r="D177" s="192"/>
      <c r="E177" s="192"/>
      <c r="F177" s="192"/>
    </row>
    <row r="178" spans="2:6" ht="12" customHeight="1" x14ac:dyDescent="0.2">
      <c r="C178" s="192"/>
      <c r="D178" s="192"/>
      <c r="E178" s="192"/>
      <c r="F178" s="192"/>
    </row>
    <row r="179" spans="2:6" ht="12" customHeight="1" x14ac:dyDescent="0.2">
      <c r="C179" s="192"/>
      <c r="D179" s="192"/>
      <c r="E179" s="192"/>
      <c r="F179" s="192"/>
    </row>
    <row r="180" spans="2:6" ht="12" customHeight="1" x14ac:dyDescent="0.2">
      <c r="C180" s="192"/>
      <c r="D180" s="192"/>
      <c r="E180" s="192"/>
      <c r="F180" s="192"/>
    </row>
    <row r="181" spans="2:6" ht="12" customHeight="1" x14ac:dyDescent="0.2">
      <c r="C181" s="192"/>
      <c r="D181" s="192"/>
      <c r="E181" s="192"/>
      <c r="F181" s="192"/>
    </row>
    <row r="182" spans="2:6" ht="12" customHeight="1" x14ac:dyDescent="0.2">
      <c r="C182" s="192"/>
      <c r="D182" s="192"/>
      <c r="E182" s="192"/>
      <c r="F182" s="192"/>
    </row>
    <row r="183" spans="2:6" ht="12" customHeight="1" x14ac:dyDescent="0.2">
      <c r="C183" s="192"/>
      <c r="D183" s="192"/>
      <c r="E183" s="192"/>
      <c r="F183" s="192"/>
    </row>
    <row r="184" spans="2:6" ht="12" customHeight="1" x14ac:dyDescent="0.2">
      <c r="C184" s="192"/>
      <c r="D184" s="192"/>
      <c r="E184" s="192"/>
      <c r="F184" s="192"/>
    </row>
    <row r="185" spans="2:6" ht="12" customHeight="1" x14ac:dyDescent="0.2">
      <c r="C185" s="192"/>
      <c r="D185" s="192"/>
      <c r="E185" s="192"/>
      <c r="F185" s="192"/>
    </row>
    <row r="186" spans="2:6" ht="12" customHeight="1" x14ac:dyDescent="0.2">
      <c r="C186" s="192"/>
      <c r="D186" s="192"/>
      <c r="E186" s="192"/>
      <c r="F186" s="192"/>
    </row>
    <row r="187" spans="2:6" ht="12" customHeight="1" x14ac:dyDescent="0.2">
      <c r="C187" s="192"/>
      <c r="D187" s="192"/>
      <c r="E187" s="192"/>
      <c r="F187" s="192"/>
    </row>
    <row r="188" spans="2:6" ht="14.25" customHeight="1" x14ac:dyDescent="0.2"/>
    <row r="189" spans="2:6" ht="15.75" hidden="1" x14ac:dyDescent="0.25">
      <c r="B189" s="352"/>
      <c r="C189" s="228"/>
    </row>
    <row r="190" spans="2:6" ht="15" hidden="1" x14ac:dyDescent="0.25">
      <c r="B190" s="314"/>
      <c r="C190" s="354"/>
    </row>
    <row r="191" spans="2:6" ht="15" hidden="1" x14ac:dyDescent="0.25">
      <c r="B191" s="314"/>
      <c r="C191" s="358"/>
    </row>
    <row r="192" spans="2:6" ht="15" hidden="1" x14ac:dyDescent="0.25">
      <c r="B192" s="314"/>
      <c r="C192" s="192"/>
    </row>
    <row r="193" spans="2:14" hidden="1" x14ac:dyDescent="0.2">
      <c r="B193" s="280"/>
    </row>
    <row r="194" spans="2:14" hidden="1" x14ac:dyDescent="0.2">
      <c r="B194" s="280"/>
    </row>
    <row r="195" spans="2:14" hidden="1" x14ac:dyDescent="0.2">
      <c r="B195" s="280"/>
    </row>
    <row r="196" spans="2:14" hidden="1" x14ac:dyDescent="0.2"/>
    <row r="197" spans="2:14" hidden="1" x14ac:dyDescent="0.2"/>
    <row r="198" spans="2:14" hidden="1" x14ac:dyDescent="0.2">
      <c r="C198" s="311">
        <v>41698</v>
      </c>
      <c r="D198" s="311">
        <v>41609</v>
      </c>
      <c r="E198" s="311">
        <v>41548</v>
      </c>
      <c r="F198" s="311">
        <v>41487</v>
      </c>
      <c r="G198" s="635">
        <v>41426</v>
      </c>
      <c r="H198" s="311">
        <v>41365</v>
      </c>
      <c r="I198" s="752">
        <v>41306</v>
      </c>
      <c r="J198" s="311">
        <v>41274</v>
      </c>
      <c r="K198" s="311">
        <v>41213</v>
      </c>
      <c r="L198" s="311">
        <v>41152</v>
      </c>
      <c r="M198" s="312">
        <v>41090</v>
      </c>
      <c r="N198" s="311">
        <v>41029</v>
      </c>
    </row>
    <row r="199" spans="2:14" hidden="1" x14ac:dyDescent="0.2">
      <c r="B199" s="57" t="s">
        <v>135</v>
      </c>
      <c r="C199" s="228">
        <f>C72</f>
        <v>167654.57999999999</v>
      </c>
      <c r="D199" s="228">
        <f>105452.64+311868.06-305987</f>
        <v>111333.70000000001</v>
      </c>
      <c r="E199" s="228">
        <v>85798.300000000017</v>
      </c>
      <c r="F199" s="192">
        <f>53253.08+18642.89</f>
        <v>71895.97</v>
      </c>
      <c r="G199" s="635">
        <v>126315</v>
      </c>
      <c r="H199" s="192">
        <v>69404</v>
      </c>
      <c r="I199" s="752">
        <v>75744</v>
      </c>
      <c r="J199" s="192">
        <v>119840.47</v>
      </c>
      <c r="K199" s="192">
        <v>120024</v>
      </c>
      <c r="L199" s="192">
        <v>109142</v>
      </c>
      <c r="M199" s="310">
        <v>142216.66</v>
      </c>
      <c r="N199" s="192">
        <v>104785.62</v>
      </c>
    </row>
    <row r="200" spans="2:14" hidden="1" x14ac:dyDescent="0.2">
      <c r="B200" s="57" t="s">
        <v>136</v>
      </c>
      <c r="C200" s="228">
        <f>D72</f>
        <v>59976.54</v>
      </c>
      <c r="D200" s="228">
        <f>74767.18-13600.56</f>
        <v>61166.619999999995</v>
      </c>
      <c r="E200" s="228">
        <v>86248.31</v>
      </c>
      <c r="F200" s="192">
        <v>43187.16</v>
      </c>
      <c r="G200" s="635">
        <v>60049</v>
      </c>
      <c r="H200" s="192">
        <v>101941</v>
      </c>
      <c r="I200" s="752">
        <v>43152</v>
      </c>
      <c r="J200" s="192">
        <v>58938.2</v>
      </c>
      <c r="K200" s="192">
        <v>85767</v>
      </c>
      <c r="L200" s="192">
        <v>119436</v>
      </c>
      <c r="M200" s="310">
        <v>73223.850000000006</v>
      </c>
      <c r="N200" s="192">
        <v>86907.23</v>
      </c>
    </row>
    <row r="201" spans="2:14" hidden="1" x14ac:dyDescent="0.2">
      <c r="B201" s="57" t="s">
        <v>137</v>
      </c>
      <c r="C201" s="228">
        <f>E72</f>
        <v>21191.239999999998</v>
      </c>
      <c r="D201" s="228">
        <f>66720.93-13675.33</f>
        <v>53045.599999999991</v>
      </c>
      <c r="E201" s="228">
        <v>32950.589999999997</v>
      </c>
      <c r="F201" s="192">
        <v>65970.55</v>
      </c>
      <c r="G201" s="635">
        <v>18719</v>
      </c>
      <c r="H201" s="192">
        <v>3668</v>
      </c>
      <c r="I201" s="752">
        <v>50430</v>
      </c>
      <c r="J201" s="192">
        <v>88408.17</v>
      </c>
      <c r="K201" s="192">
        <v>26680</v>
      </c>
      <c r="L201" s="192">
        <v>51922</v>
      </c>
      <c r="M201" s="310">
        <v>77261.37</v>
      </c>
      <c r="N201" s="192">
        <v>11021.67</v>
      </c>
    </row>
    <row r="202" spans="2:14" hidden="1" x14ac:dyDescent="0.2">
      <c r="B202" s="57" t="s">
        <v>138</v>
      </c>
      <c r="C202" s="228">
        <f>F72</f>
        <v>190.32</v>
      </c>
      <c r="D202" s="228">
        <v>86322.43</v>
      </c>
      <c r="E202" s="228">
        <v>66109.450000000012</v>
      </c>
      <c r="F202" s="192">
        <v>56011.13</v>
      </c>
      <c r="G202" s="635">
        <v>1250</v>
      </c>
      <c r="H202" s="192">
        <v>0</v>
      </c>
      <c r="I202" s="752">
        <v>9959</v>
      </c>
      <c r="J202" s="192">
        <v>18374.45</v>
      </c>
      <c r="K202" s="192">
        <v>22103</v>
      </c>
      <c r="L202" s="192">
        <v>71168</v>
      </c>
      <c r="M202" s="310">
        <v>55167.87</v>
      </c>
      <c r="N202" s="192"/>
    </row>
    <row r="203" spans="2:14" hidden="1" x14ac:dyDescent="0.2">
      <c r="C203" s="228">
        <f>SUM(C199:C202)</f>
        <v>249012.68</v>
      </c>
      <c r="D203" s="228">
        <f>SUM(D199:D202)</f>
        <v>311868.34999999998</v>
      </c>
      <c r="E203" s="228">
        <v>271106.65000000002</v>
      </c>
      <c r="F203" s="192">
        <f>SUM(F199:F202)</f>
        <v>237064.81</v>
      </c>
      <c r="G203" s="635">
        <f t="shared" ref="G203:N203" si="5">SUM(G199:G202)</f>
        <v>206333</v>
      </c>
      <c r="H203" s="192">
        <f t="shared" si="5"/>
        <v>175013</v>
      </c>
      <c r="I203" s="752">
        <f t="shared" si="5"/>
        <v>179285</v>
      </c>
      <c r="J203" s="192">
        <f t="shared" si="5"/>
        <v>285561.28999999998</v>
      </c>
      <c r="K203" s="192">
        <f t="shared" si="5"/>
        <v>254574</v>
      </c>
      <c r="L203" s="192">
        <f t="shared" si="5"/>
        <v>351668</v>
      </c>
      <c r="M203" s="192">
        <f t="shared" si="5"/>
        <v>347869.75</v>
      </c>
      <c r="N203" s="192">
        <f t="shared" si="5"/>
        <v>202714.52</v>
      </c>
    </row>
    <row r="204" spans="2:14" hidden="1" x14ac:dyDescent="0.2">
      <c r="D204" s="192"/>
      <c r="E204" s="192"/>
      <c r="F204" s="192"/>
      <c r="H204" s="192"/>
      <c r="I204" s="752"/>
      <c r="J204" s="192"/>
      <c r="K204" s="192"/>
      <c r="L204" s="310"/>
    </row>
    <row r="205" spans="2:14" hidden="1" x14ac:dyDescent="0.2">
      <c r="C205" s="192"/>
      <c r="D205" s="192"/>
      <c r="E205" s="192"/>
      <c r="F205" s="192"/>
      <c r="H205" s="310"/>
      <c r="J205" s="310"/>
      <c r="K205" s="310"/>
    </row>
    <row r="206" spans="2:14" hidden="1" x14ac:dyDescent="0.2">
      <c r="C206" s="192"/>
      <c r="D206" s="192"/>
      <c r="E206" s="192"/>
      <c r="F206" s="192"/>
      <c r="H206" s="310"/>
      <c r="J206" s="310"/>
      <c r="K206" s="310"/>
    </row>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topLeftCell="A32" zoomScale="70" zoomScaleNormal="70" workbookViewId="0"/>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172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51</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52</v>
      </c>
      <c r="B6" s="64"/>
      <c r="C6" s="64"/>
      <c r="D6" s="64"/>
      <c r="E6" s="64"/>
      <c r="F6" s="64"/>
      <c r="G6" s="241"/>
      <c r="H6" s="883" t="s">
        <v>53</v>
      </c>
      <c r="I6" s="883"/>
      <c r="J6" s="883"/>
      <c r="K6" s="241"/>
      <c r="L6" s="241"/>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54</v>
      </c>
      <c r="C8" s="153"/>
      <c r="D8" s="153"/>
      <c r="E8" s="153"/>
      <c r="F8" s="153"/>
      <c r="G8" s="324"/>
      <c r="H8" s="282">
        <v>44377</v>
      </c>
      <c r="I8" s="282"/>
      <c r="J8" s="282">
        <v>44196</v>
      </c>
      <c r="K8" s="71"/>
      <c r="L8" s="282">
        <f>H8-366+1</f>
        <v>44012</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55</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80</v>
      </c>
      <c r="E11" s="75"/>
      <c r="F11" s="75"/>
      <c r="G11" s="262"/>
      <c r="H11" s="262" t="s">
        <v>103</v>
      </c>
      <c r="I11" s="262"/>
      <c r="J11" s="262" t="s">
        <v>103</v>
      </c>
      <c r="K11" s="76"/>
      <c r="L11" s="262" t="s">
        <v>103</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81</v>
      </c>
      <c r="E12" s="75"/>
      <c r="F12" s="75"/>
      <c r="G12" s="262"/>
      <c r="H12" s="262" t="s">
        <v>103</v>
      </c>
      <c r="I12" s="262"/>
      <c r="J12" s="262" t="s">
        <v>103</v>
      </c>
      <c r="K12" s="76"/>
      <c r="L12" s="262" t="s">
        <v>103</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181</v>
      </c>
      <c r="E13" s="75"/>
      <c r="F13" s="75"/>
      <c r="G13" s="245"/>
      <c r="H13" s="245">
        <v>497388.94</v>
      </c>
      <c r="I13" s="245"/>
      <c r="J13" s="245">
        <v>397343.49</v>
      </c>
      <c r="K13" s="76"/>
      <c r="L13" s="245">
        <v>276769.28000000003</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182</v>
      </c>
      <c r="E14" s="75"/>
      <c r="F14" s="75"/>
      <c r="G14" s="235"/>
      <c r="H14" s="235">
        <v>199.96</v>
      </c>
      <c r="I14" s="235"/>
      <c r="J14" s="235">
        <v>199.96</v>
      </c>
      <c r="K14" s="76"/>
      <c r="L14" s="235">
        <v>55968.13</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82</v>
      </c>
      <c r="E15" s="78"/>
      <c r="F15" s="78"/>
      <c r="G15" s="233"/>
      <c r="H15" s="236">
        <v>200</v>
      </c>
      <c r="I15" s="233"/>
      <c r="J15" s="236">
        <v>200</v>
      </c>
      <c r="K15" s="76"/>
      <c r="L15" s="236">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56</v>
      </c>
      <c r="D16" s="73"/>
      <c r="E16" s="73"/>
      <c r="F16" s="73"/>
      <c r="G16" s="237"/>
      <c r="H16" s="237">
        <f>SUM(H13:H15)</f>
        <v>497788.9</v>
      </c>
      <c r="I16" s="237"/>
      <c r="J16" s="237">
        <f>SUM(J13:J15)</f>
        <v>397743.45</v>
      </c>
      <c r="K16" s="68"/>
      <c r="L16" s="237">
        <f>ROUND(SUM(L10:L15),5)</f>
        <v>332937.40999999997</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5"/>
      <c r="H17" s="235"/>
      <c r="I17" s="235"/>
      <c r="J17" s="235"/>
      <c r="K17" s="68"/>
      <c r="L17" s="235"/>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58</v>
      </c>
      <c r="D18" s="73"/>
      <c r="E18" s="73"/>
      <c r="F18" s="73"/>
      <c r="G18" s="235"/>
      <c r="H18" s="235"/>
      <c r="I18" s="235"/>
      <c r="J18" s="235"/>
      <c r="K18" s="68"/>
      <c r="L18" s="235"/>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152</v>
      </c>
      <c r="E19" s="79"/>
      <c r="F19" s="79"/>
      <c r="G19" s="281"/>
      <c r="H19" s="281">
        <f>'June''21 AR Aging '!G72</f>
        <v>249012.68</v>
      </c>
      <c r="I19" s="281"/>
      <c r="J19" s="281">
        <v>325944.61</v>
      </c>
      <c r="K19" s="248"/>
      <c r="L19" s="281">
        <v>386833.41</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2"/>
      <c r="B20" s="394"/>
      <c r="C20" s="79"/>
      <c r="D20" s="79" t="s">
        <v>164</v>
      </c>
      <c r="E20" s="79"/>
      <c r="F20" s="79"/>
      <c r="G20" s="281"/>
      <c r="H20" s="233">
        <v>0</v>
      </c>
      <c r="I20" s="233"/>
      <c r="J20" s="233">
        <v>0</v>
      </c>
      <c r="K20" s="248"/>
      <c r="L20" s="233">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4"/>
      <c r="C21" s="75"/>
      <c r="D21" s="75" t="s">
        <v>217</v>
      </c>
      <c r="E21" s="75"/>
      <c r="F21" s="75"/>
      <c r="G21" s="235"/>
      <c r="H21" s="235">
        <v>222449.07</v>
      </c>
      <c r="I21" s="235"/>
      <c r="J21" s="235">
        <v>206549.06</v>
      </c>
      <c r="K21" s="248"/>
      <c r="L21" s="235">
        <v>183627.14</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4"/>
      <c r="C22" s="78"/>
      <c r="D22" s="78" t="s">
        <v>83</v>
      </c>
      <c r="E22" s="78"/>
      <c r="F22" s="78"/>
      <c r="G22" s="233"/>
      <c r="H22" s="236">
        <v>7799.8</v>
      </c>
      <c r="I22" s="233"/>
      <c r="J22" s="401">
        <v>3818.79</v>
      </c>
      <c r="K22" s="248"/>
      <c r="L22" s="236">
        <v>7566.52</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59</v>
      </c>
      <c r="D23" s="67"/>
      <c r="E23" s="67"/>
      <c r="F23" s="67"/>
      <c r="G23" s="238"/>
      <c r="H23" s="238">
        <f>SUM(H19:H22)</f>
        <v>479261.55</v>
      </c>
      <c r="I23" s="238"/>
      <c r="J23" s="238">
        <f>SUM(J19:J22)</f>
        <v>536312.46</v>
      </c>
      <c r="K23" s="263"/>
      <c r="L23" s="238">
        <f>SUM(L19:L22)</f>
        <v>578027.07000000007</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3"/>
      <c r="H24" s="233"/>
      <c r="I24" s="233"/>
      <c r="J24" s="233"/>
      <c r="K24" s="68"/>
      <c r="L24" s="233"/>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60</v>
      </c>
      <c r="C25" s="80"/>
      <c r="D25" s="80"/>
      <c r="E25" s="80"/>
      <c r="F25" s="80"/>
      <c r="G25" s="238"/>
      <c r="H25" s="753">
        <f>H16+H23</f>
        <v>977050.45</v>
      </c>
      <c r="I25" s="238"/>
      <c r="J25" s="753">
        <f>J16+J23</f>
        <v>934055.90999999992</v>
      </c>
      <c r="K25" s="68"/>
      <c r="L25" s="753">
        <f>L16+L23</f>
        <v>910964.48</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8"/>
      <c r="H26" s="237"/>
      <c r="I26" s="238"/>
      <c r="J26" s="237"/>
      <c r="K26" s="68"/>
      <c r="L26" s="237"/>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61</v>
      </c>
      <c r="C27" s="70"/>
      <c r="D27" s="70"/>
      <c r="E27" s="70"/>
      <c r="F27" s="70"/>
      <c r="G27" s="268"/>
      <c r="H27" s="239"/>
      <c r="I27" s="268"/>
      <c r="J27" s="239"/>
      <c r="K27" s="71"/>
      <c r="L27" s="239"/>
      <c r="M27" s="71"/>
      <c r="N27" s="71"/>
      <c r="O27" s="71"/>
      <c r="P27" s="7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4"/>
      <c r="C28" s="75"/>
      <c r="D28" s="75" t="s">
        <v>84</v>
      </c>
      <c r="E28" s="75"/>
      <c r="F28" s="75"/>
      <c r="G28" s="233"/>
      <c r="H28" s="235">
        <v>221731.4</v>
      </c>
      <c r="I28" s="233"/>
      <c r="J28" s="235">
        <v>221731.4</v>
      </c>
      <c r="K28" s="248"/>
      <c r="L28" s="235">
        <v>192474.47</v>
      </c>
      <c r="M28" s="76"/>
      <c r="N28" s="76"/>
      <c r="O28" s="76"/>
      <c r="P28" s="248"/>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4"/>
      <c r="C29" s="75"/>
      <c r="D29" s="75" t="s">
        <v>85</v>
      </c>
      <c r="E29" s="75"/>
      <c r="F29" s="75"/>
      <c r="G29" s="233"/>
      <c r="H29" s="235">
        <v>49562</v>
      </c>
      <c r="I29" s="233"/>
      <c r="J29" s="235">
        <v>49562</v>
      </c>
      <c r="K29" s="248"/>
      <c r="L29" s="235">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4"/>
      <c r="C30" s="75"/>
      <c r="D30" s="75" t="s">
        <v>86</v>
      </c>
      <c r="E30" s="75"/>
      <c r="F30" s="75"/>
      <c r="G30" s="233"/>
      <c r="H30" s="235">
        <v>207734.77</v>
      </c>
      <c r="I30" s="233"/>
      <c r="J30" s="235">
        <v>207734.77</v>
      </c>
      <c r="K30" s="248"/>
      <c r="L30" s="235">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87</v>
      </c>
      <c r="E31" s="79"/>
      <c r="F31" s="79"/>
      <c r="G31" s="233"/>
      <c r="H31" s="233">
        <v>-324036.03999999998</v>
      </c>
      <c r="I31" s="233"/>
      <c r="J31" s="233">
        <v>-324036.03999999998</v>
      </c>
      <c r="K31" s="248"/>
      <c r="L31" s="233">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333</v>
      </c>
      <c r="C32" s="80"/>
      <c r="D32" s="80"/>
      <c r="E32" s="80"/>
      <c r="F32" s="80"/>
      <c r="G32" s="238"/>
      <c r="H32" s="240">
        <v>147777.31</v>
      </c>
      <c r="I32" s="238"/>
      <c r="J32" s="240">
        <v>167007.31</v>
      </c>
      <c r="K32" s="68"/>
      <c r="L32" s="240">
        <v>185040.31</v>
      </c>
      <c r="M32" s="68"/>
      <c r="N32" s="68"/>
      <c r="O32" s="68"/>
      <c r="P32" s="772"/>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8"/>
      <c r="H33" s="237"/>
      <c r="I33" s="238"/>
      <c r="J33" s="237"/>
      <c r="K33" s="68"/>
      <c r="L33" s="23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3"/>
      <c r="H34" s="233"/>
      <c r="I34" s="233"/>
      <c r="J34" s="233"/>
      <c r="K34" s="68"/>
      <c r="L34" s="233"/>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62</v>
      </c>
      <c r="B35" s="81"/>
      <c r="C35" s="81"/>
      <c r="D35" s="81"/>
      <c r="E35" s="81"/>
      <c r="F35" s="81"/>
      <c r="G35" s="270"/>
      <c r="H35" s="246">
        <f>H25+H32</f>
        <v>1124827.76</v>
      </c>
      <c r="I35" s="270"/>
      <c r="J35" s="246">
        <f>J25+J32</f>
        <v>1101063.22</v>
      </c>
      <c r="K35" s="82"/>
      <c r="L35" s="246">
        <f>L25+L32</f>
        <v>1096004.79</v>
      </c>
      <c r="M35" s="82"/>
      <c r="N35" s="82"/>
      <c r="O35" s="82"/>
      <c r="P35" s="629"/>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6"/>
      <c r="H36" s="238"/>
      <c r="I36" s="238"/>
      <c r="J36" s="238"/>
      <c r="K36" s="84"/>
      <c r="L36" s="238"/>
      <c r="M36" s="84"/>
      <c r="N36" s="84"/>
      <c r="O36" s="84"/>
      <c r="P36" s="40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63</v>
      </c>
      <c r="B37" s="64"/>
      <c r="C37" s="64"/>
      <c r="D37" s="64"/>
      <c r="E37" s="64"/>
      <c r="F37" s="64"/>
      <c r="G37" s="325"/>
      <c r="H37" s="241"/>
      <c r="I37" s="241"/>
      <c r="J37" s="241"/>
      <c r="K37" s="65"/>
      <c r="L37" s="241"/>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5"/>
      <c r="H38" s="235"/>
      <c r="I38" s="233"/>
      <c r="J38" s="235"/>
      <c r="K38" s="68"/>
      <c r="L38" s="235"/>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64</v>
      </c>
      <c r="C39" s="87"/>
      <c r="D39" s="87"/>
      <c r="E39" s="87"/>
      <c r="F39" s="87"/>
      <c r="G39" s="242"/>
      <c r="H39" s="242"/>
      <c r="I39" s="242"/>
      <c r="J39" s="242"/>
      <c r="K39" s="68"/>
      <c r="L39" s="242"/>
      <c r="M39" s="68"/>
      <c r="N39" s="68"/>
      <c r="O39" s="68"/>
      <c r="P39" s="391"/>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3"/>
      <c r="H40" s="235"/>
      <c r="I40" s="233"/>
      <c r="J40" s="235"/>
      <c r="K40" s="68"/>
      <c r="L40" s="235"/>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65</v>
      </c>
      <c r="C41" s="154"/>
      <c r="D41" s="153"/>
      <c r="E41" s="153"/>
      <c r="F41" s="153"/>
      <c r="G41" s="268"/>
      <c r="H41" s="234"/>
      <c r="I41" s="268"/>
      <c r="J41" s="234"/>
      <c r="K41" s="71"/>
      <c r="L41" s="234"/>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153</v>
      </c>
      <c r="F42" s="75"/>
      <c r="G42" s="247"/>
      <c r="H42" s="247">
        <f>43123.77+0.5</f>
        <v>43124.27</v>
      </c>
      <c r="I42" s="247"/>
      <c r="J42" s="247">
        <f>35196.71</f>
        <v>35196.71</v>
      </c>
      <c r="K42" s="382"/>
      <c r="L42" s="247">
        <v>23988.66</v>
      </c>
      <c r="M42" s="76"/>
      <c r="N42" s="382"/>
      <c r="O42" s="76"/>
      <c r="P42" s="754"/>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100</v>
      </c>
      <c r="F43" s="75"/>
      <c r="G43" s="233"/>
      <c r="H43" s="233">
        <v>221.01</v>
      </c>
      <c r="I43" s="233"/>
      <c r="J43" s="233">
        <v>40</v>
      </c>
      <c r="K43" s="76"/>
      <c r="L43" s="233">
        <v>264.79000000000002</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3"/>
      <c r="B44" s="423"/>
      <c r="C44" s="423"/>
      <c r="D44" s="423" t="s">
        <v>435</v>
      </c>
      <c r="F44" s="423"/>
      <c r="G44" s="233"/>
      <c r="H44" s="233">
        <v>197400</v>
      </c>
      <c r="I44" s="233"/>
      <c r="J44" s="233">
        <v>197400</v>
      </c>
      <c r="K44" s="76"/>
      <c r="L44" s="233">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88</v>
      </c>
      <c r="F45" s="75"/>
      <c r="G45" s="233"/>
      <c r="H45" s="235">
        <f>2700+2277</f>
        <v>4977</v>
      </c>
      <c r="I45" s="235"/>
      <c r="J45" s="235">
        <f>20637+1287</f>
        <v>21924</v>
      </c>
      <c r="K45" s="76"/>
      <c r="L45" s="235">
        <f>297</f>
        <v>297</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160</v>
      </c>
      <c r="F46" s="75"/>
      <c r="G46" s="233"/>
      <c r="H46" s="235">
        <v>0</v>
      </c>
      <c r="I46" s="235"/>
      <c r="J46" s="235">
        <v>0</v>
      </c>
      <c r="K46" s="76"/>
      <c r="L46" s="235">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99</v>
      </c>
      <c r="E47" s="152"/>
      <c r="F47" s="78"/>
      <c r="G47" s="233"/>
      <c r="H47" s="235">
        <f>'June''21 Revenues &amp; Expenses'!L49</f>
        <v>38336.339999999997</v>
      </c>
      <c r="I47" s="323"/>
      <c r="J47" s="235">
        <v>26568.880000000001</v>
      </c>
      <c r="K47" s="248"/>
      <c r="L47" s="235">
        <v>42661.88</v>
      </c>
      <c r="M47" s="76"/>
      <c r="N47" s="76"/>
      <c r="O47" s="76"/>
      <c r="P47" s="248"/>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75</v>
      </c>
      <c r="D48" s="75"/>
      <c r="F48" s="75"/>
      <c r="G48" s="233"/>
      <c r="H48" s="243">
        <f>SUM(H42:H47)</f>
        <v>284058.62</v>
      </c>
      <c r="I48" s="323"/>
      <c r="J48" s="243">
        <f>SUM(J42:J47)</f>
        <v>281129.58999999997</v>
      </c>
      <c r="K48" s="76"/>
      <c r="L48" s="243">
        <f>SUM(L42:L47)</f>
        <v>264612.33</v>
      </c>
      <c r="M48" s="76"/>
      <c r="N48" s="76"/>
      <c r="O48" s="76"/>
      <c r="P48" s="754"/>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3"/>
      <c r="H49" s="235"/>
      <c r="I49" s="323"/>
      <c r="J49" s="235"/>
      <c r="K49" s="76"/>
      <c r="L49" s="235"/>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77</v>
      </c>
      <c r="D50" s="88"/>
      <c r="E50" s="152"/>
      <c r="F50" s="152"/>
      <c r="G50" s="233"/>
      <c r="H50" s="236"/>
      <c r="I50" s="323"/>
      <c r="J50" s="236"/>
      <c r="K50" s="76"/>
      <c r="L50" s="23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91</v>
      </c>
      <c r="E51" s="75"/>
      <c r="F51" s="75"/>
      <c r="G51" s="233"/>
      <c r="H51" s="233">
        <f>28998.46+3735.95-H53-H54</f>
        <v>31301.07</v>
      </c>
      <c r="I51" s="323"/>
      <c r="J51" s="233">
        <f>30505.56+1983.26-J53-J54</f>
        <v>31012.18</v>
      </c>
      <c r="K51" s="76"/>
      <c r="L51" s="233">
        <f>27186.29+2711.87-L53-L54</f>
        <v>28738.83</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92</v>
      </c>
      <c r="E52" s="75"/>
      <c r="F52" s="75"/>
      <c r="G52" s="233"/>
      <c r="H52" s="233">
        <f>35529.82</f>
        <v>35529.82</v>
      </c>
      <c r="I52" s="323"/>
      <c r="J52" s="233">
        <v>22627.26</v>
      </c>
      <c r="K52" s="76"/>
      <c r="L52" s="233">
        <v>41027.300000000003</v>
      </c>
      <c r="M52" s="76"/>
      <c r="N52" s="76"/>
      <c r="O52" s="76"/>
      <c r="P52" s="76"/>
      <c r="Q52" s="248"/>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93</v>
      </c>
      <c r="E53" s="75"/>
      <c r="F53" s="75"/>
      <c r="G53" s="233"/>
      <c r="H53" s="235">
        <v>1311.64</v>
      </c>
      <c r="I53" s="323"/>
      <c r="J53" s="235">
        <v>1311.64</v>
      </c>
      <c r="K53" s="76"/>
      <c r="L53" s="235">
        <v>927.73</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94</v>
      </c>
      <c r="E54" s="75"/>
      <c r="F54" s="75"/>
      <c r="G54" s="233"/>
      <c r="H54" s="236">
        <v>121.7</v>
      </c>
      <c r="I54" s="323"/>
      <c r="J54" s="236">
        <v>165</v>
      </c>
      <c r="K54" s="76"/>
      <c r="L54" s="236">
        <v>231.6</v>
      </c>
      <c r="M54" s="76"/>
      <c r="N54" s="76"/>
      <c r="O54" s="76"/>
      <c r="P54" s="76"/>
      <c r="Q54" s="248"/>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76</v>
      </c>
      <c r="D55" s="75"/>
      <c r="F55" s="79"/>
      <c r="G55" s="233"/>
      <c r="H55" s="233">
        <f>ROUND(SUM(H50:H54),5)</f>
        <v>68264.23</v>
      </c>
      <c r="I55" s="323"/>
      <c r="J55" s="233">
        <f>SUM(J51:J54)</f>
        <v>55116.08</v>
      </c>
      <c r="K55" s="76"/>
      <c r="L55" s="233">
        <f>ROUND(SUM(L50:L54),5)</f>
        <v>70925.460000000006</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3"/>
      <c r="H56" s="236"/>
      <c r="I56" s="323"/>
      <c r="J56" s="236"/>
      <c r="K56" s="76"/>
      <c r="L56" s="23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78</v>
      </c>
      <c r="D57" s="73"/>
      <c r="E57" s="73"/>
      <c r="F57" s="73"/>
      <c r="G57" s="238"/>
      <c r="H57" s="237">
        <f>H48+H55</f>
        <v>352322.85</v>
      </c>
      <c r="I57" s="387"/>
      <c r="J57" s="237">
        <f>J48+J55</f>
        <v>336245.67</v>
      </c>
      <c r="K57" s="263"/>
      <c r="L57" s="237">
        <f>L48+L55</f>
        <v>335537.79000000004</v>
      </c>
      <c r="M57" s="68"/>
      <c r="N57" s="342"/>
      <c r="O57" s="68"/>
      <c r="P57" s="342"/>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8"/>
      <c r="H58" s="237"/>
      <c r="I58" s="38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66</v>
      </c>
      <c r="C59" s="87"/>
      <c r="D59" s="87"/>
      <c r="E59" s="87"/>
      <c r="F59" s="87"/>
      <c r="G59" s="233"/>
      <c r="H59" s="242"/>
      <c r="I59" s="323"/>
      <c r="J59" s="242"/>
      <c r="K59" s="68"/>
      <c r="L59" s="242"/>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336</v>
      </c>
      <c r="E60" s="75"/>
      <c r="F60" s="75"/>
      <c r="G60" s="233"/>
      <c r="H60" s="235">
        <f>688043.29+35972.48+12500</f>
        <v>736515.77</v>
      </c>
      <c r="I60" s="323"/>
      <c r="J60" s="235">
        <f>671626.29+35972.48+12500</f>
        <v>720098.77</v>
      </c>
      <c r="K60" s="248"/>
      <c r="L60" s="235">
        <f>671626.29+35972.48+12500</f>
        <v>720098.77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337</v>
      </c>
      <c r="E61" s="75"/>
      <c r="F61" s="75"/>
      <c r="G61" s="233"/>
      <c r="H61" s="235">
        <f>'June''21 Revenues &amp; Expenses'!L71-0.5</f>
        <v>58337.430000000008</v>
      </c>
      <c r="I61" s="323"/>
      <c r="J61" s="235">
        <v>28301.78</v>
      </c>
      <c r="K61" s="248"/>
      <c r="L61" s="235">
        <f>55932.37</f>
        <v>55932.37</v>
      </c>
      <c r="M61" s="76"/>
      <c r="N61" s="76"/>
      <c r="O61" s="248"/>
      <c r="P61" s="248"/>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133</v>
      </c>
      <c r="E62" s="73"/>
      <c r="F62" s="87"/>
      <c r="G62" s="323"/>
      <c r="H62" s="242">
        <f>'June''21 State of Activities'!G57</f>
        <v>-22348.360000000102</v>
      </c>
      <c r="I62" s="323"/>
      <c r="J62" s="242">
        <f>'June''21 State of Activities'!H57</f>
        <v>16416.500000000233</v>
      </c>
      <c r="K62" s="68"/>
      <c r="L62" s="242">
        <f>'June''21 State of Activities'!J57</f>
        <v>-15564.140000000014</v>
      </c>
      <c r="M62" s="68"/>
      <c r="N62" s="68"/>
      <c r="O62" s="68"/>
      <c r="P62" s="391"/>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67</v>
      </c>
      <c r="C63" s="90"/>
      <c r="D63" s="90"/>
      <c r="E63" s="90"/>
      <c r="F63" s="67"/>
      <c r="G63" s="387"/>
      <c r="H63" s="238">
        <f>ROUND(SUM(H59:H62),5)</f>
        <v>772504.84</v>
      </c>
      <c r="I63" s="387"/>
      <c r="J63" s="238">
        <f>ROUND(SUM(J59:J62),5)</f>
        <v>764817.05</v>
      </c>
      <c r="K63" s="68"/>
      <c r="L63" s="238">
        <f>ROUND(SUM(L59:L62),5)</f>
        <v>760467</v>
      </c>
      <c r="M63" s="68"/>
      <c r="N63" s="68"/>
      <c r="O63" s="68"/>
      <c r="P63" s="391"/>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3"/>
      <c r="H64" s="236"/>
      <c r="I64" s="323"/>
      <c r="J64" s="236"/>
      <c r="K64" s="68"/>
      <c r="L64" s="236"/>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68</v>
      </c>
      <c r="B65" s="81"/>
      <c r="C65" s="81"/>
      <c r="D65" s="81"/>
      <c r="E65" s="81"/>
      <c r="F65" s="81"/>
      <c r="G65" s="388"/>
      <c r="H65" s="355">
        <f>SUM(H57+H63)</f>
        <v>1124827.69</v>
      </c>
      <c r="I65" s="388"/>
      <c r="J65" s="355">
        <f>SUM(J57+J63)</f>
        <v>1101062.72</v>
      </c>
      <c r="K65" s="82"/>
      <c r="L65" s="355">
        <f>SUM(L57+L63)</f>
        <v>1096004.79</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3"/>
      <c r="G66" s="1"/>
      <c r="I66" s="1"/>
    </row>
    <row r="67" spans="1:61" hidden="1" x14ac:dyDescent="0.2">
      <c r="G67" s="389"/>
      <c r="H67" s="250"/>
      <c r="I67" s="250"/>
      <c r="J67" s="250"/>
      <c r="L67" s="250"/>
    </row>
    <row r="68" spans="1:61" ht="14.25" customHeight="1" x14ac:dyDescent="0.2">
      <c r="C68" s="941" t="s">
        <v>203</v>
      </c>
      <c r="D68" s="941"/>
      <c r="E68" s="941"/>
      <c r="F68" s="941"/>
      <c r="G68" s="1"/>
      <c r="H68" s="438">
        <f>(H19+H16)/H57</f>
        <v>2.119651280068835</v>
      </c>
      <c r="J68" s="438">
        <v>3.7805007540674778</v>
      </c>
      <c r="K68" s="263"/>
      <c r="L68" s="438">
        <f>(L19+L16)/L57</f>
        <v>2.1451259484065859</v>
      </c>
    </row>
    <row r="71" spans="1:61" x14ac:dyDescent="0.2">
      <c r="G71" s="273"/>
      <c r="H71" s="250"/>
      <c r="I71" s="273"/>
      <c r="J71" s="250"/>
      <c r="L71" s="250">
        <f>L65-L35</f>
        <v>0</v>
      </c>
    </row>
    <row r="72" spans="1:61" x14ac:dyDescent="0.2">
      <c r="L72" s="609"/>
    </row>
    <row r="76" spans="1:61" x14ac:dyDescent="0.2">
      <c r="H76" s="273"/>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topLeftCell="A34" zoomScale="70" zoomScaleNormal="70" workbookViewId="0">
      <selection activeCell="G68" sqref="G68"/>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4" customWidth="1"/>
    <col min="8" max="8" width="23.125" style="18" customWidth="1"/>
    <col min="9" max="9" width="1.625" style="18" customWidth="1"/>
    <col min="10" max="10" width="23" style="18" customWidth="1"/>
    <col min="11" max="11" width="1.875" style="368" customWidth="1"/>
    <col min="12" max="12" width="17.25" style="18" customWidth="1"/>
    <col min="13" max="13" width="10" style="18" customWidth="1"/>
    <col min="14" max="14" width="61.25" style="537"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98</v>
      </c>
      <c r="B1" s="59"/>
      <c r="C1" s="60"/>
      <c r="D1" s="60"/>
      <c r="E1" s="60"/>
      <c r="F1" s="59"/>
      <c r="G1" s="231"/>
      <c r="H1" s="59"/>
      <c r="I1" s="59"/>
      <c r="J1" s="59"/>
      <c r="K1" s="360"/>
      <c r="L1" s="59"/>
      <c r="M1" s="59"/>
      <c r="N1" s="530"/>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339</v>
      </c>
      <c r="B2" s="59"/>
      <c r="C2" s="60"/>
      <c r="D2" s="60"/>
      <c r="E2" s="60"/>
      <c r="F2" s="59"/>
      <c r="G2" s="231"/>
      <c r="H2" s="59"/>
      <c r="I2" s="59"/>
      <c r="J2" s="231"/>
      <c r="K2" s="360"/>
      <c r="L2" s="59"/>
      <c r="M2" s="59"/>
      <c r="N2" s="530"/>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552</v>
      </c>
      <c r="B3" s="59"/>
      <c r="C3" s="60"/>
      <c r="D3" s="60"/>
      <c r="E3" s="60"/>
      <c r="F3" s="59"/>
      <c r="G3" s="231"/>
      <c r="H3" s="59"/>
      <c r="I3" s="59"/>
      <c r="J3" s="59"/>
      <c r="K3" s="360"/>
      <c r="L3" s="59"/>
      <c r="M3" s="59"/>
      <c r="N3" s="530"/>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492</v>
      </c>
      <c r="B4" s="59"/>
      <c r="C4" s="60"/>
      <c r="D4" s="60"/>
      <c r="E4" s="60"/>
      <c r="F4" s="59"/>
      <c r="G4" s="231"/>
      <c r="H4" s="59"/>
      <c r="I4" s="59"/>
      <c r="J4" s="59"/>
      <c r="K4" s="360"/>
      <c r="L4" s="59"/>
      <c r="M4" s="59"/>
      <c r="N4" s="530"/>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2"/>
      <c r="H5" s="62"/>
      <c r="I5" s="62"/>
      <c r="J5" s="62"/>
      <c r="K5" s="361"/>
      <c r="L5" s="62"/>
      <c r="M5" s="62"/>
      <c r="N5" s="531"/>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112</v>
      </c>
      <c r="B6" s="64"/>
      <c r="C6" s="64"/>
      <c r="D6" s="64"/>
      <c r="E6" s="64"/>
      <c r="F6" s="64"/>
      <c r="G6" s="883" t="s">
        <v>53</v>
      </c>
      <c r="H6" s="883"/>
      <c r="I6" s="883"/>
      <c r="J6" s="883"/>
      <c r="K6" s="616"/>
      <c r="L6" s="418" t="s">
        <v>185</v>
      </c>
      <c r="M6" s="415" t="s">
        <v>197</v>
      </c>
      <c r="N6" s="616" t="s">
        <v>184</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3"/>
      <c r="K7" s="363"/>
      <c r="N7" s="532"/>
    </row>
    <row r="8" spans="1:113" s="72" customFormat="1" ht="21" thickBot="1" x14ac:dyDescent="0.35">
      <c r="A8" s="69"/>
      <c r="B8" s="153" t="s">
        <v>104</v>
      </c>
      <c r="C8" s="153"/>
      <c r="D8" s="153"/>
      <c r="E8" s="153"/>
      <c r="F8" s="153"/>
      <c r="G8" s="282">
        <f>'June''21 Financial Position'!H8</f>
        <v>44377</v>
      </c>
      <c r="H8" s="282">
        <v>44196</v>
      </c>
      <c r="I8" s="324"/>
      <c r="J8" s="282">
        <f>G8-365</f>
        <v>44012</v>
      </c>
      <c r="K8" s="364"/>
      <c r="L8" s="942" t="s">
        <v>553</v>
      </c>
      <c r="M8" s="942"/>
      <c r="N8" s="882"/>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105</v>
      </c>
      <c r="D9" s="75"/>
      <c r="E9" s="75"/>
      <c r="F9" s="73"/>
      <c r="G9" s="264">
        <v>297092.45</v>
      </c>
      <c r="H9" s="264">
        <v>670908.68999999994</v>
      </c>
      <c r="I9" s="327"/>
      <c r="J9" s="264">
        <v>360093.34</v>
      </c>
      <c r="K9" s="363"/>
      <c r="L9" s="381">
        <f t="shared" ref="L9:L27" si="0">G9-J9</f>
        <v>-63000.890000000014</v>
      </c>
      <c r="M9" s="439">
        <f>L9/J9</f>
        <v>-0.17495710973160461</v>
      </c>
      <c r="N9" s="532" t="s">
        <v>564</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5"/>
      <c r="C10" s="75" t="s">
        <v>154</v>
      </c>
      <c r="D10" s="75"/>
      <c r="E10" s="75"/>
      <c r="F10" s="73"/>
      <c r="G10" s="265">
        <v>36837.4</v>
      </c>
      <c r="H10" s="265">
        <v>68172.509999999995</v>
      </c>
      <c r="I10" s="323"/>
      <c r="J10" s="265">
        <v>41103.07</v>
      </c>
      <c r="K10" s="363"/>
      <c r="L10" s="276">
        <f t="shared" si="0"/>
        <v>-4265.6699999999983</v>
      </c>
      <c r="M10" s="439">
        <f>L10/J10</f>
        <v>-0.10377983931613863</v>
      </c>
      <c r="N10" s="532"/>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5"/>
      <c r="C11" s="423" t="s">
        <v>374</v>
      </c>
      <c r="D11" s="423"/>
      <c r="E11" s="423"/>
      <c r="F11" s="73"/>
      <c r="G11" s="265">
        <v>0</v>
      </c>
      <c r="H11" s="265">
        <v>255.74</v>
      </c>
      <c r="I11" s="323"/>
      <c r="J11" s="265">
        <v>186.54</v>
      </c>
      <c r="K11" s="363"/>
      <c r="L11" s="276">
        <f t="shared" ref="L11" si="1">G11-J11</f>
        <v>-186.54</v>
      </c>
      <c r="M11" s="439">
        <f>L11/J11</f>
        <v>-1</v>
      </c>
      <c r="N11" s="532"/>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5"/>
      <c r="C12" s="75" t="s">
        <v>183</v>
      </c>
      <c r="D12" s="75"/>
      <c r="E12" s="75"/>
      <c r="F12" s="73"/>
      <c r="G12" s="265">
        <v>19804.96</v>
      </c>
      <c r="H12" s="265">
        <v>39644.79</v>
      </c>
      <c r="I12" s="323"/>
      <c r="J12" s="265">
        <v>14147</v>
      </c>
      <c r="K12" s="363"/>
      <c r="L12" s="276">
        <f t="shared" si="0"/>
        <v>5657.9599999999991</v>
      </c>
      <c r="M12" s="439">
        <f>L12/J12</f>
        <v>0.39994062345373571</v>
      </c>
      <c r="N12" s="532" t="s">
        <v>563</v>
      </c>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5"/>
      <c r="C13" s="75" t="s">
        <v>106</v>
      </c>
      <c r="D13" s="75"/>
      <c r="E13" s="75"/>
      <c r="F13" s="73"/>
      <c r="G13" s="265"/>
      <c r="H13" s="265"/>
      <c r="I13" s="323"/>
      <c r="J13" s="265"/>
      <c r="K13" s="363"/>
      <c r="L13" s="276"/>
      <c r="M13" s="439"/>
      <c r="N13" s="532"/>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5"/>
      <c r="C14" s="77"/>
      <c r="D14" s="75" t="s">
        <v>143</v>
      </c>
      <c r="E14" s="75"/>
      <c r="F14" s="73"/>
      <c r="G14" s="265">
        <v>104863.58</v>
      </c>
      <c r="H14" s="265">
        <v>187109.31</v>
      </c>
      <c r="I14" s="323"/>
      <c r="J14" s="265">
        <v>103389.96</v>
      </c>
      <c r="K14" s="363"/>
      <c r="L14" s="276">
        <f t="shared" si="0"/>
        <v>1473.6199999999953</v>
      </c>
      <c r="M14" s="439">
        <f>L14/J14</f>
        <v>1.4253028050305806E-2</v>
      </c>
      <c r="N14" s="532"/>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5"/>
      <c r="C15" s="77"/>
      <c r="D15" s="75" t="s">
        <v>163</v>
      </c>
      <c r="E15" s="75"/>
      <c r="F15" s="73"/>
      <c r="G15" s="265">
        <v>9000</v>
      </c>
      <c r="H15" s="265">
        <v>18000</v>
      </c>
      <c r="I15" s="323"/>
      <c r="J15" s="265">
        <f>G15</f>
        <v>9000</v>
      </c>
      <c r="K15" s="363"/>
      <c r="L15" s="276">
        <f t="shared" si="0"/>
        <v>0</v>
      </c>
      <c r="M15" s="439">
        <f>L15/J15</f>
        <v>0</v>
      </c>
      <c r="N15" s="532"/>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5"/>
      <c r="C16" s="77"/>
      <c r="D16" s="423" t="s">
        <v>432</v>
      </c>
      <c r="E16" s="423"/>
      <c r="F16" s="73"/>
      <c r="G16" s="265">
        <v>69218.460000000006</v>
      </c>
      <c r="H16" s="265">
        <v>106767.38</v>
      </c>
      <c r="I16" s="323"/>
      <c r="J16" s="265">
        <v>48393.279999999999</v>
      </c>
      <c r="K16" s="363"/>
      <c r="L16" s="276">
        <f t="shared" ref="L16" si="2">G16-J16</f>
        <v>20825.180000000008</v>
      </c>
      <c r="M16" s="439">
        <f>L16/J16</f>
        <v>0.43033206263348978</v>
      </c>
      <c r="N16" s="532" t="s">
        <v>561</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5"/>
      <c r="C17" s="75" t="s">
        <v>107</v>
      </c>
      <c r="D17" s="75"/>
      <c r="E17" s="75"/>
      <c r="F17" s="73"/>
      <c r="G17" s="265">
        <f>'June''21 Revenues &amp; Expenses'!J62</f>
        <v>8228.7000000000007</v>
      </c>
      <c r="H17" s="265">
        <v>12695.06</v>
      </c>
      <c r="I17" s="323"/>
      <c r="J17" s="265">
        <f>5089.8</f>
        <v>5089.8</v>
      </c>
      <c r="K17" s="363"/>
      <c r="L17" s="276">
        <f t="shared" si="0"/>
        <v>3138.9000000000005</v>
      </c>
      <c r="M17" s="439">
        <f t="shared" ref="M17:M22" si="3">L17/J17</f>
        <v>0.61670399622774974</v>
      </c>
      <c r="N17" s="533"/>
      <c r="O17" s="68"/>
      <c r="P17" s="68"/>
      <c r="Q17" s="2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5"/>
      <c r="C18" s="392" t="s">
        <v>165</v>
      </c>
      <c r="D18" s="392"/>
      <c r="E18" s="392"/>
      <c r="F18" s="73"/>
      <c r="G18" s="265">
        <v>0</v>
      </c>
      <c r="H18" s="265">
        <v>50</v>
      </c>
      <c r="I18" s="323"/>
      <c r="J18" s="265">
        <v>50</v>
      </c>
      <c r="K18" s="363"/>
      <c r="L18" s="276">
        <f t="shared" si="0"/>
        <v>-50</v>
      </c>
      <c r="M18" s="439">
        <f t="shared" si="3"/>
        <v>-1</v>
      </c>
      <c r="N18" s="533"/>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5"/>
      <c r="C19" s="75" t="s">
        <v>114</v>
      </c>
      <c r="D19" s="75"/>
      <c r="E19" s="75"/>
      <c r="F19" s="73"/>
      <c r="G19" s="265">
        <v>331.25</v>
      </c>
      <c r="H19" s="265">
        <v>1220.6400000000001</v>
      </c>
      <c r="I19" s="323"/>
      <c r="J19" s="265">
        <v>700.61</v>
      </c>
      <c r="K19" s="363"/>
      <c r="L19" s="276">
        <f t="shared" si="0"/>
        <v>-369.36</v>
      </c>
      <c r="M19" s="439">
        <f t="shared" si="3"/>
        <v>-0.52719772769443773</v>
      </c>
      <c r="N19" s="532"/>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5"/>
      <c r="C20" s="392" t="s">
        <v>242</v>
      </c>
      <c r="D20" s="392"/>
      <c r="E20" s="392"/>
      <c r="F20" s="73"/>
      <c r="G20" s="265">
        <f>102.07</f>
        <v>102.07</v>
      </c>
      <c r="H20" s="265">
        <v>4699.7299999999996</v>
      </c>
      <c r="I20" s="323"/>
      <c r="J20" s="265">
        <v>2151.89</v>
      </c>
      <c r="K20" s="363"/>
      <c r="L20" s="276">
        <f t="shared" si="0"/>
        <v>-2049.8199999999997</v>
      </c>
      <c r="M20" s="439">
        <f t="shared" si="3"/>
        <v>-0.95256727806718733</v>
      </c>
      <c r="N20" s="532"/>
      <c r="O20" s="68"/>
      <c r="P20" s="68"/>
      <c r="Q20" s="2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5"/>
      <c r="C21" s="75" t="s">
        <v>309</v>
      </c>
      <c r="D21" s="75"/>
      <c r="E21" s="75"/>
      <c r="F21" s="73"/>
      <c r="G21" s="265">
        <v>15797.94</v>
      </c>
      <c r="H21" s="265">
        <v>17432.07</v>
      </c>
      <c r="I21" s="323"/>
      <c r="J21" s="265">
        <f>-2942.01</f>
        <v>-2942.01</v>
      </c>
      <c r="K21" s="363"/>
      <c r="L21" s="276">
        <f t="shared" si="0"/>
        <v>18739.95</v>
      </c>
      <c r="M21" s="439">
        <f t="shared" si="3"/>
        <v>-6.3697778049700711</v>
      </c>
      <c r="N21" s="532"/>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5"/>
      <c r="C22" s="75" t="s">
        <v>406</v>
      </c>
      <c r="D22" s="75"/>
      <c r="E22" s="75"/>
      <c r="F22" s="73"/>
      <c r="G22" s="265">
        <v>39232.519999999997</v>
      </c>
      <c r="H22" s="265">
        <v>141133.54999999999</v>
      </c>
      <c r="I22" s="323"/>
      <c r="J22" s="265">
        <v>65040.55</v>
      </c>
      <c r="K22" s="363"/>
      <c r="L22" s="276">
        <f t="shared" si="0"/>
        <v>-25808.030000000006</v>
      </c>
      <c r="M22" s="439">
        <f t="shared" si="3"/>
        <v>-0.39679907380857027</v>
      </c>
      <c r="N22" s="532" t="s">
        <v>562</v>
      </c>
      <c r="O22" s="68"/>
      <c r="P22" s="68"/>
      <c r="Q22" s="2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5"/>
      <c r="C23" s="75" t="s">
        <v>149</v>
      </c>
      <c r="D23" s="75"/>
      <c r="E23" s="75"/>
      <c r="F23" s="73"/>
      <c r="G23" s="265">
        <v>12072.22</v>
      </c>
      <c r="H23" s="265">
        <f>21007.06-H11</f>
        <v>20751.32</v>
      </c>
      <c r="I23" s="323"/>
      <c r="J23" s="265">
        <f>10286.75-J11</f>
        <v>10100.209999999999</v>
      </c>
      <c r="K23" s="363"/>
      <c r="L23" s="276">
        <f t="shared" si="0"/>
        <v>1972.0100000000002</v>
      </c>
      <c r="M23" s="439"/>
      <c r="N23" s="632"/>
      <c r="O23" s="68"/>
      <c r="P23" s="68"/>
      <c r="Q23" s="2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5"/>
      <c r="C24" s="75" t="s">
        <v>329</v>
      </c>
      <c r="D24" s="75"/>
      <c r="E24" s="75"/>
      <c r="F24" s="73"/>
      <c r="G24" s="265">
        <v>3150</v>
      </c>
      <c r="H24" s="265">
        <v>0</v>
      </c>
      <c r="I24" s="323"/>
      <c r="J24" s="265">
        <v>0</v>
      </c>
      <c r="K24" s="363"/>
      <c r="L24" s="276">
        <f t="shared" si="0"/>
        <v>3150</v>
      </c>
      <c r="M24" s="439">
        <v>1</v>
      </c>
      <c r="N24" s="532" t="s">
        <v>494</v>
      </c>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1" thickBot="1" x14ac:dyDescent="0.25">
      <c r="A25" s="73"/>
      <c r="B25" s="395"/>
      <c r="C25" s="75" t="s">
        <v>113</v>
      </c>
      <c r="D25" s="75"/>
      <c r="E25" s="75"/>
      <c r="F25" s="73"/>
      <c r="G25" s="266">
        <v>26370</v>
      </c>
      <c r="H25" s="266">
        <v>52740</v>
      </c>
      <c r="I25" s="323"/>
      <c r="J25" s="266">
        <f>G25</f>
        <v>26370</v>
      </c>
      <c r="K25" s="363"/>
      <c r="L25" s="380">
        <f t="shared" si="0"/>
        <v>0</v>
      </c>
      <c r="M25" s="467">
        <f>L25/J25</f>
        <v>0</v>
      </c>
      <c r="N25" s="532"/>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5"/>
      <c r="C26" s="75"/>
      <c r="D26" s="73" t="s">
        <v>109</v>
      </c>
      <c r="E26" s="75"/>
      <c r="F26" s="73"/>
      <c r="G26" s="265">
        <f>SUM(G9:G25)</f>
        <v>642101.54999999993</v>
      </c>
      <c r="H26" s="235">
        <f>SUM(H9:H25)</f>
        <v>1341580.79</v>
      </c>
      <c r="I26" s="233"/>
      <c r="J26" s="235">
        <f>SUM(J9:J25)</f>
        <v>682874.24000000011</v>
      </c>
      <c r="K26" s="363"/>
      <c r="L26" s="235">
        <f t="shared" si="0"/>
        <v>-40772.690000000177</v>
      </c>
      <c r="M26" s="439">
        <f>L26/J26</f>
        <v>-5.9707465316015097E-2</v>
      </c>
      <c r="N26" s="532"/>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5"/>
      <c r="C27" s="73" t="s">
        <v>110</v>
      </c>
      <c r="D27" s="75"/>
      <c r="E27" s="75"/>
      <c r="F27" s="73"/>
      <c r="G27" s="266">
        <v>45063.89</v>
      </c>
      <c r="H27" s="242">
        <v>79759.92</v>
      </c>
      <c r="I27" s="233"/>
      <c r="J27" s="242">
        <v>41429.33</v>
      </c>
      <c r="K27" s="363"/>
      <c r="L27" s="242">
        <f t="shared" si="0"/>
        <v>3634.5599999999977</v>
      </c>
      <c r="M27" s="467">
        <f>L27/J27</f>
        <v>8.7729152269660104E-2</v>
      </c>
      <c r="N27" s="533"/>
      <c r="O27" s="68"/>
      <c r="P27" s="68"/>
      <c r="Q27" s="34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5"/>
      <c r="C28" s="75"/>
      <c r="D28" s="73" t="s">
        <v>111</v>
      </c>
      <c r="E28" s="75"/>
      <c r="F28" s="73"/>
      <c r="G28" s="235">
        <f>SUM(G26:G27)</f>
        <v>687165.43999999994</v>
      </c>
      <c r="H28" s="235">
        <f>SUM(H26:H27)</f>
        <v>1421340.71</v>
      </c>
      <c r="I28" s="233"/>
      <c r="J28" s="235">
        <f>SUM(J26:J27)</f>
        <v>724303.57000000007</v>
      </c>
      <c r="K28" s="263"/>
      <c r="L28" s="235">
        <f>SUM(L26:L27)</f>
        <v>-37138.130000000179</v>
      </c>
      <c r="M28" s="439">
        <f>L28/J28</f>
        <v>-5.1274260597666495E-2</v>
      </c>
      <c r="N28" s="533"/>
      <c r="O28" s="263"/>
      <c r="P28" s="68"/>
      <c r="Q28" s="34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6" customHeight="1" x14ac:dyDescent="0.2">
      <c r="A29" s="73"/>
      <c r="B29" s="395"/>
      <c r="C29" s="75"/>
      <c r="D29" s="73"/>
      <c r="E29" s="75"/>
      <c r="F29" s="73"/>
      <c r="G29" s="235"/>
      <c r="H29" s="235"/>
      <c r="I29" s="233"/>
      <c r="J29" s="235"/>
      <c r="K29" s="363"/>
      <c r="L29" s="405"/>
      <c r="M29" s="517"/>
      <c r="N29" s="532"/>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1" thickBot="1" x14ac:dyDescent="0.25">
      <c r="A30" s="73"/>
      <c r="B30" s="396" t="s">
        <v>115</v>
      </c>
      <c r="C30" s="87"/>
      <c r="D30" s="87"/>
      <c r="E30" s="87"/>
      <c r="F30" s="87"/>
      <c r="G30" s="242"/>
      <c r="H30" s="242"/>
      <c r="I30" s="68"/>
      <c r="J30" s="242"/>
      <c r="K30" s="363"/>
      <c r="L30" s="405"/>
      <c r="M30" s="517"/>
      <c r="N30" s="533"/>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68" customFormat="1" ht="20.25" x14ac:dyDescent="0.2">
      <c r="A31" s="67"/>
      <c r="B31" s="397"/>
      <c r="C31" s="79" t="s">
        <v>116</v>
      </c>
      <c r="D31" s="79"/>
      <c r="E31" s="79"/>
      <c r="F31" s="79"/>
      <c r="G31" s="233">
        <v>410457.17</v>
      </c>
      <c r="H31" s="233">
        <v>898223.95</v>
      </c>
      <c r="I31" s="276"/>
      <c r="J31" s="233">
        <v>448448.5</v>
      </c>
      <c r="K31" s="363"/>
      <c r="L31" s="276">
        <f t="shared" ref="L31:L53" si="4">G31-J31</f>
        <v>-37991.330000000016</v>
      </c>
      <c r="M31" s="439">
        <f t="shared" ref="M31:M42" si="5">L31/J31</f>
        <v>-8.4717264078260968E-2</v>
      </c>
      <c r="N31" s="533" t="s">
        <v>565</v>
      </c>
    </row>
    <row r="32" spans="1:46" s="68" customFormat="1" ht="20.25" x14ac:dyDescent="0.2">
      <c r="A32" s="67"/>
      <c r="B32" s="397"/>
      <c r="C32" s="79" t="s">
        <v>117</v>
      </c>
      <c r="D32" s="79"/>
      <c r="E32" s="79"/>
      <c r="F32" s="79"/>
      <c r="G32" s="233">
        <v>80831.22</v>
      </c>
      <c r="H32" s="233">
        <v>175461.44</v>
      </c>
      <c r="I32" s="276"/>
      <c r="J32" s="233">
        <v>100697.57</v>
      </c>
      <c r="K32" s="363"/>
      <c r="L32" s="276">
        <f t="shared" si="4"/>
        <v>-19866.350000000006</v>
      </c>
      <c r="M32" s="439">
        <f t="shared" si="5"/>
        <v>-0.19728728309928437</v>
      </c>
      <c r="N32" s="747"/>
    </row>
    <row r="33" spans="1:16" s="68" customFormat="1" ht="20.25" x14ac:dyDescent="0.2">
      <c r="A33" s="67"/>
      <c r="B33" s="397"/>
      <c r="C33" s="79" t="s">
        <v>118</v>
      </c>
      <c r="D33" s="79"/>
      <c r="E33" s="79"/>
      <c r="F33" s="79"/>
      <c r="G33" s="233">
        <f>150*6</f>
        <v>900</v>
      </c>
      <c r="H33" s="233">
        <f>54540-H25</f>
        <v>1800</v>
      </c>
      <c r="I33" s="276"/>
      <c r="J33" s="233">
        <f>G33</f>
        <v>900</v>
      </c>
      <c r="K33" s="363"/>
      <c r="L33" s="276">
        <f t="shared" si="4"/>
        <v>0</v>
      </c>
      <c r="M33" s="439">
        <f t="shared" si="5"/>
        <v>0</v>
      </c>
      <c r="N33" s="691"/>
    </row>
    <row r="34" spans="1:16" s="68" customFormat="1" ht="20.25" x14ac:dyDescent="0.2">
      <c r="A34" s="67"/>
      <c r="B34" s="397"/>
      <c r="C34" s="79" t="s">
        <v>108</v>
      </c>
      <c r="D34" s="79"/>
      <c r="E34" s="79"/>
      <c r="F34" s="79"/>
      <c r="G34" s="233">
        <f>G25</f>
        <v>26370</v>
      </c>
      <c r="H34" s="233">
        <f>H25</f>
        <v>52740</v>
      </c>
      <c r="I34" s="276"/>
      <c r="J34" s="233">
        <f>J25</f>
        <v>26370</v>
      </c>
      <c r="K34" s="363"/>
      <c r="L34" s="276">
        <f t="shared" si="4"/>
        <v>0</v>
      </c>
      <c r="M34" s="439">
        <f t="shared" si="5"/>
        <v>0</v>
      </c>
      <c r="N34" s="691"/>
    </row>
    <row r="35" spans="1:16" s="68" customFormat="1" ht="20.25" x14ac:dyDescent="0.2">
      <c r="A35" s="67"/>
      <c r="B35" s="397"/>
      <c r="C35" s="79" t="s">
        <v>119</v>
      </c>
      <c r="D35" s="79"/>
      <c r="E35" s="79"/>
      <c r="F35" s="79"/>
      <c r="G35" s="233">
        <v>10305.75</v>
      </c>
      <c r="H35" s="233">
        <v>21059.15</v>
      </c>
      <c r="I35" s="276"/>
      <c r="J35" s="233">
        <v>10831.87</v>
      </c>
      <c r="K35" s="363"/>
      <c r="L35" s="276">
        <f t="shared" si="4"/>
        <v>-526.1200000000008</v>
      </c>
      <c r="M35" s="439">
        <f t="shared" si="5"/>
        <v>-4.8571483963526223E-2</v>
      </c>
      <c r="N35" s="691"/>
    </row>
    <row r="36" spans="1:16" s="68" customFormat="1" ht="20.25" x14ac:dyDescent="0.2">
      <c r="A36" s="67"/>
      <c r="B36" s="397"/>
      <c r="C36" s="79" t="s">
        <v>120</v>
      </c>
      <c r="D36" s="79"/>
      <c r="E36" s="79"/>
      <c r="F36" s="79"/>
      <c r="G36" s="233">
        <v>1848.01</v>
      </c>
      <c r="H36" s="233">
        <v>2142.8000000000002</v>
      </c>
      <c r="I36" s="276"/>
      <c r="J36" s="233">
        <v>1224.3499999999999</v>
      </c>
      <c r="K36" s="363"/>
      <c r="L36" s="276">
        <f t="shared" si="4"/>
        <v>623.66000000000008</v>
      </c>
      <c r="M36" s="439">
        <f t="shared" si="5"/>
        <v>0.50938048760566845</v>
      </c>
      <c r="N36" s="691"/>
    </row>
    <row r="37" spans="1:16" s="68" customFormat="1" ht="20.25" x14ac:dyDescent="0.2">
      <c r="A37" s="67"/>
      <c r="B37" s="397"/>
      <c r="C37" s="79" t="s">
        <v>121</v>
      </c>
      <c r="D37" s="79"/>
      <c r="E37" s="79"/>
      <c r="F37" s="79"/>
      <c r="G37" s="233">
        <v>2176.08</v>
      </c>
      <c r="H37" s="233">
        <v>4541.46</v>
      </c>
      <c r="I37" s="276"/>
      <c r="J37" s="233">
        <v>1941.95</v>
      </c>
      <c r="K37" s="363"/>
      <c r="L37" s="276">
        <f t="shared" si="4"/>
        <v>234.12999999999988</v>
      </c>
      <c r="M37" s="439">
        <f t="shared" si="5"/>
        <v>0.12056438116326366</v>
      </c>
      <c r="N37" s="691"/>
    </row>
    <row r="38" spans="1:16" s="68" customFormat="1" ht="20.25" x14ac:dyDescent="0.2">
      <c r="A38" s="67"/>
      <c r="B38" s="397"/>
      <c r="C38" s="79" t="s">
        <v>122</v>
      </c>
      <c r="D38" s="79"/>
      <c r="E38" s="79"/>
      <c r="F38" s="79"/>
      <c r="G38" s="233">
        <v>2339.29</v>
      </c>
      <c r="H38" s="233">
        <v>798.22</v>
      </c>
      <c r="I38" s="276"/>
      <c r="J38" s="233">
        <v>525.84</v>
      </c>
      <c r="K38" s="363"/>
      <c r="L38" s="276">
        <f t="shared" si="4"/>
        <v>1813.4499999999998</v>
      </c>
      <c r="M38" s="439">
        <f t="shared" si="5"/>
        <v>3.4486726000304269</v>
      </c>
      <c r="N38" s="691"/>
    </row>
    <row r="39" spans="1:16" s="68" customFormat="1" ht="20.25" x14ac:dyDescent="0.2">
      <c r="A39" s="67"/>
      <c r="B39" s="397"/>
      <c r="C39" s="79" t="s">
        <v>123</v>
      </c>
      <c r="D39" s="79"/>
      <c r="E39" s="79"/>
      <c r="F39" s="79"/>
      <c r="G39" s="233">
        <f>11559.68+9712.65</f>
        <v>21272.33</v>
      </c>
      <c r="H39" s="233">
        <f>28144.23+10104.7</f>
        <v>38248.93</v>
      </c>
      <c r="I39" s="276"/>
      <c r="J39" s="233">
        <f>15621.51+4660.68</f>
        <v>20282.190000000002</v>
      </c>
      <c r="K39" s="363"/>
      <c r="L39" s="276">
        <f t="shared" si="4"/>
        <v>990.13999999999942</v>
      </c>
      <c r="M39" s="439">
        <f t="shared" si="5"/>
        <v>4.8818199612566456E-2</v>
      </c>
      <c r="N39" s="691"/>
    </row>
    <row r="40" spans="1:16" s="68" customFormat="1" ht="20.25" x14ac:dyDescent="0.2">
      <c r="A40" s="67"/>
      <c r="B40" s="397"/>
      <c r="C40" s="79" t="s">
        <v>124</v>
      </c>
      <c r="D40" s="79"/>
      <c r="E40" s="79"/>
      <c r="F40" s="79"/>
      <c r="G40" s="233">
        <f>2735.67</f>
        <v>2735.67</v>
      </c>
      <c r="H40" s="233">
        <v>1854.76</v>
      </c>
      <c r="I40" s="276"/>
      <c r="J40" s="233">
        <f>672.76</f>
        <v>672.76</v>
      </c>
      <c r="K40" s="363"/>
      <c r="L40" s="276">
        <f t="shared" si="4"/>
        <v>2062.91</v>
      </c>
      <c r="M40" s="439">
        <f t="shared" si="5"/>
        <v>3.0663386646055053</v>
      </c>
      <c r="N40" s="691"/>
    </row>
    <row r="41" spans="1:16" s="68" customFormat="1" ht="20.25" x14ac:dyDescent="0.2">
      <c r="A41" s="67"/>
      <c r="B41" s="397"/>
      <c r="C41" s="79" t="s">
        <v>125</v>
      </c>
      <c r="D41" s="79"/>
      <c r="E41" s="79"/>
      <c r="F41" s="79"/>
      <c r="G41" s="233">
        <v>385.85</v>
      </c>
      <c r="H41" s="233">
        <v>992.13</v>
      </c>
      <c r="I41" s="276"/>
      <c r="J41" s="233">
        <f>419</f>
        <v>419</v>
      </c>
      <c r="K41" s="363"/>
      <c r="L41" s="276">
        <f t="shared" si="4"/>
        <v>-33.149999999999977</v>
      </c>
      <c r="M41" s="439">
        <f t="shared" si="5"/>
        <v>-7.9116945107398515E-2</v>
      </c>
      <c r="N41" s="691"/>
    </row>
    <row r="42" spans="1:16" s="68" customFormat="1" ht="20.25" x14ac:dyDescent="0.2">
      <c r="A42" s="67"/>
      <c r="B42" s="397"/>
      <c r="C42" s="79" t="s">
        <v>170</v>
      </c>
      <c r="D42" s="79"/>
      <c r="E42" s="79"/>
      <c r="F42" s="79"/>
      <c r="G42" s="233">
        <v>10350</v>
      </c>
      <c r="H42" s="233">
        <v>10125</v>
      </c>
      <c r="I42" s="276"/>
      <c r="J42" s="233">
        <f>7425</f>
        <v>7425</v>
      </c>
      <c r="K42" s="363"/>
      <c r="L42" s="276">
        <f t="shared" si="4"/>
        <v>2925</v>
      </c>
      <c r="M42" s="439">
        <f t="shared" si="5"/>
        <v>0.39393939393939392</v>
      </c>
      <c r="N42" s="691" t="s">
        <v>493</v>
      </c>
    </row>
    <row r="43" spans="1:16" s="68" customFormat="1" ht="20.25" x14ac:dyDescent="0.2">
      <c r="A43" s="67"/>
      <c r="B43" s="397"/>
      <c r="C43" s="885" t="s">
        <v>331</v>
      </c>
      <c r="D43" s="885"/>
      <c r="E43" s="885"/>
      <c r="F43" s="885"/>
      <c r="G43" s="233"/>
      <c r="H43" s="233">
        <v>67</v>
      </c>
      <c r="I43" s="276"/>
      <c r="J43" s="233">
        <v>67</v>
      </c>
      <c r="K43" s="363"/>
      <c r="L43" s="276">
        <f t="shared" si="4"/>
        <v>-67</v>
      </c>
      <c r="M43" s="439">
        <v>1</v>
      </c>
      <c r="N43" s="691"/>
    </row>
    <row r="44" spans="1:16" s="76" customFormat="1" ht="20.25" x14ac:dyDescent="0.2">
      <c r="A44" s="79"/>
      <c r="B44" s="393"/>
      <c r="C44" s="79" t="s">
        <v>126</v>
      </c>
      <c r="D44" s="79"/>
      <c r="E44" s="79"/>
      <c r="F44" s="79"/>
      <c r="G44" s="323">
        <f>8146.05</f>
        <v>8146.05</v>
      </c>
      <c r="H44" s="323">
        <v>16479.11</v>
      </c>
      <c r="I44" s="403"/>
      <c r="J44" s="323">
        <f>9698.3</f>
        <v>9698.2999999999993</v>
      </c>
      <c r="K44" s="365"/>
      <c r="L44" s="276">
        <f t="shared" si="4"/>
        <v>-1552.2499999999991</v>
      </c>
      <c r="M44" s="439">
        <f>L44/J44</f>
        <v>-0.16005382386603831</v>
      </c>
      <c r="N44" s="691"/>
    </row>
    <row r="45" spans="1:16" s="76" customFormat="1" ht="20.25" x14ac:dyDescent="0.2">
      <c r="A45" s="79"/>
      <c r="B45" s="393"/>
      <c r="C45" s="79" t="s">
        <v>127</v>
      </c>
      <c r="D45" s="79"/>
      <c r="E45" s="79"/>
      <c r="F45" s="79"/>
      <c r="G45" s="323">
        <f>5625.01</f>
        <v>5625.01</v>
      </c>
      <c r="H45" s="323">
        <v>11006.21</v>
      </c>
      <c r="I45" s="233"/>
      <c r="J45" s="233">
        <f>5471.05</f>
        <v>5471.05</v>
      </c>
      <c r="K45" s="365"/>
      <c r="L45" s="276">
        <f t="shared" si="4"/>
        <v>153.96000000000004</v>
      </c>
      <c r="M45" s="439">
        <f>L45/J45</f>
        <v>2.814085047659956E-2</v>
      </c>
      <c r="N45" s="534"/>
    </row>
    <row r="46" spans="1:16" s="76" customFormat="1" ht="20.25" x14ac:dyDescent="0.2">
      <c r="A46" s="79"/>
      <c r="B46" s="393"/>
      <c r="C46" s="79" t="s">
        <v>134</v>
      </c>
      <c r="D46" s="79"/>
      <c r="E46" s="79"/>
      <c r="F46" s="79"/>
      <c r="G46" s="233">
        <v>340</v>
      </c>
      <c r="H46" s="233">
        <f>1685+63.4</f>
        <v>1748.4</v>
      </c>
      <c r="I46" s="233"/>
      <c r="J46" s="233">
        <f>670+63.4</f>
        <v>733.4</v>
      </c>
      <c r="K46" s="365"/>
      <c r="L46" s="276">
        <f t="shared" si="4"/>
        <v>-393.4</v>
      </c>
      <c r="M46" s="439">
        <f>L46/J46</f>
        <v>-0.53640578129260974</v>
      </c>
      <c r="P46" s="248"/>
    </row>
    <row r="47" spans="1:16" s="76" customFormat="1" ht="20.25" x14ac:dyDescent="0.2">
      <c r="A47" s="79"/>
      <c r="B47" s="393"/>
      <c r="C47" s="79" t="s">
        <v>128</v>
      </c>
      <c r="D47" s="79"/>
      <c r="E47" s="79"/>
      <c r="F47" s="79"/>
      <c r="G47" s="323">
        <v>0</v>
      </c>
      <c r="H47" s="323">
        <f>490.32+90</f>
        <v>580.31999999999994</v>
      </c>
      <c r="I47" s="233"/>
      <c r="J47" s="323">
        <f>50+490.32</f>
        <v>540.31999999999994</v>
      </c>
      <c r="K47" s="365"/>
      <c r="L47" s="276">
        <f t="shared" si="4"/>
        <v>-540.31999999999994</v>
      </c>
      <c r="M47" s="439">
        <f t="shared" ref="M47:M52" si="6">L47/J47</f>
        <v>-1</v>
      </c>
      <c r="N47" s="691"/>
      <c r="P47" s="248"/>
    </row>
    <row r="48" spans="1:16" s="68" customFormat="1" ht="20.25" x14ac:dyDescent="0.2">
      <c r="A48" s="67"/>
      <c r="B48" s="397"/>
      <c r="C48" s="79" t="s">
        <v>204</v>
      </c>
      <c r="D48" s="79"/>
      <c r="E48" s="79"/>
      <c r="F48" s="79"/>
      <c r="G48" s="233">
        <f>861.72</f>
        <v>861.72</v>
      </c>
      <c r="H48" s="233">
        <v>2731.61</v>
      </c>
      <c r="I48" s="233"/>
      <c r="J48" s="233">
        <v>2381.4</v>
      </c>
      <c r="K48" s="363"/>
      <c r="L48" s="276">
        <f t="shared" si="4"/>
        <v>-1519.68</v>
      </c>
      <c r="M48" s="439">
        <f t="shared" si="6"/>
        <v>-0.63814562862181912</v>
      </c>
      <c r="N48" s="691" t="s">
        <v>495</v>
      </c>
    </row>
    <row r="49" spans="1:18" s="76" customFormat="1" ht="20.25" x14ac:dyDescent="0.2">
      <c r="A49" s="79"/>
      <c r="B49" s="393"/>
      <c r="C49" s="79" t="s">
        <v>129</v>
      </c>
      <c r="D49" s="79"/>
      <c r="E49" s="79"/>
      <c r="F49" s="79"/>
      <c r="G49" s="323">
        <v>19230</v>
      </c>
      <c r="H49" s="323">
        <v>40623</v>
      </c>
      <c r="I49" s="233"/>
      <c r="J49" s="323">
        <f>19971</f>
        <v>19971</v>
      </c>
      <c r="K49" s="365"/>
      <c r="L49" s="276">
        <f t="shared" si="4"/>
        <v>-741</v>
      </c>
      <c r="M49" s="439">
        <f t="shared" si="6"/>
        <v>-3.7103800510740574E-2</v>
      </c>
      <c r="N49" s="534"/>
    </row>
    <row r="50" spans="1:18" s="76" customFormat="1" ht="20.25" x14ac:dyDescent="0.2">
      <c r="A50" s="79"/>
      <c r="B50" s="393"/>
      <c r="C50" s="79" t="s">
        <v>130</v>
      </c>
      <c r="D50" s="79"/>
      <c r="E50" s="79"/>
      <c r="F50" s="79"/>
      <c r="G50" s="323">
        <f>6000+14202.84+2877.6</f>
        <v>23080.44</v>
      </c>
      <c r="H50" s="323">
        <f>1970+9692.25+16460</f>
        <v>28122.25</v>
      </c>
      <c r="I50" s="233"/>
      <c r="J50" s="323">
        <f>7472+16460</f>
        <v>23932</v>
      </c>
      <c r="K50" s="365"/>
      <c r="L50" s="276">
        <f t="shared" si="4"/>
        <v>-851.56000000000131</v>
      </c>
      <c r="M50" s="439">
        <f t="shared" si="6"/>
        <v>-3.5582483703827564E-2</v>
      </c>
      <c r="N50" s="691"/>
    </row>
    <row r="51" spans="1:18" s="76" customFormat="1" ht="20.25" x14ac:dyDescent="0.2">
      <c r="A51" s="79"/>
      <c r="B51" s="393"/>
      <c r="C51" s="79" t="s">
        <v>169</v>
      </c>
      <c r="D51" s="79"/>
      <c r="E51" s="79"/>
      <c r="F51" s="79"/>
      <c r="G51" s="233">
        <f>31607.06</f>
        <v>31607.06</v>
      </c>
      <c r="H51" s="233">
        <f>49200.15+0.5</f>
        <v>49200.65</v>
      </c>
      <c r="I51" s="233"/>
      <c r="J51" s="233">
        <f>26325.45</f>
        <v>26325.45</v>
      </c>
      <c r="K51" s="365"/>
      <c r="L51" s="276">
        <f t="shared" si="4"/>
        <v>5281.6100000000006</v>
      </c>
      <c r="M51" s="439">
        <f t="shared" si="6"/>
        <v>0.20062752963387143</v>
      </c>
      <c r="N51" s="691"/>
    </row>
    <row r="52" spans="1:18" s="76" customFormat="1" ht="20.25" x14ac:dyDescent="0.2">
      <c r="A52" s="79"/>
      <c r="B52" s="393"/>
      <c r="C52" s="79" t="s">
        <v>131</v>
      </c>
      <c r="D52" s="79"/>
      <c r="E52" s="79"/>
      <c r="F52" s="79"/>
      <c r="G52" s="233">
        <f>3892.74+45769.41</f>
        <v>49662.15</v>
      </c>
      <c r="H52" s="233">
        <f>2005.86+43084.96</f>
        <v>45090.82</v>
      </c>
      <c r="I52" s="233"/>
      <c r="J52" s="233">
        <f>29434.96+1276.8</f>
        <v>30711.759999999998</v>
      </c>
      <c r="K52" s="365"/>
      <c r="L52" s="276">
        <f t="shared" si="4"/>
        <v>18950.390000000003</v>
      </c>
      <c r="M52" s="439">
        <f t="shared" si="6"/>
        <v>0.61704018265315974</v>
      </c>
      <c r="N52" s="691" t="s">
        <v>566</v>
      </c>
    </row>
    <row r="53" spans="1:18" s="76" customFormat="1" ht="21" thickBot="1" x14ac:dyDescent="0.25">
      <c r="A53" s="79"/>
      <c r="B53" s="393"/>
      <c r="C53" s="79" t="s">
        <v>434</v>
      </c>
      <c r="D53" s="79"/>
      <c r="E53" s="79"/>
      <c r="F53" s="79"/>
      <c r="G53" s="242">
        <v>990</v>
      </c>
      <c r="H53" s="242">
        <v>1287</v>
      </c>
      <c r="I53" s="233"/>
      <c r="J53" s="242">
        <f>297</f>
        <v>297</v>
      </c>
      <c r="K53" s="682"/>
      <c r="L53" s="380">
        <f t="shared" si="4"/>
        <v>693</v>
      </c>
      <c r="M53" s="467"/>
      <c r="N53" s="691"/>
    </row>
    <row r="54" spans="1:18" s="76" customFormat="1" ht="21" hidden="1" thickBot="1" x14ac:dyDescent="0.25">
      <c r="A54" s="79"/>
      <c r="B54" s="393"/>
      <c r="C54" s="79"/>
      <c r="D54" s="79"/>
      <c r="E54" s="79"/>
      <c r="F54" s="79"/>
      <c r="G54" s="242"/>
      <c r="H54" s="242"/>
      <c r="I54" s="233"/>
      <c r="J54" s="242"/>
      <c r="K54" s="365"/>
      <c r="L54" s="380"/>
      <c r="M54" s="467"/>
      <c r="N54" s="532"/>
    </row>
    <row r="55" spans="1:18" s="68" customFormat="1" ht="20.25" x14ac:dyDescent="0.2">
      <c r="A55" s="67"/>
      <c r="B55" s="397"/>
      <c r="C55" s="67"/>
      <c r="D55" s="73" t="s">
        <v>132</v>
      </c>
      <c r="E55" s="67"/>
      <c r="F55" s="67"/>
      <c r="G55" s="238">
        <f>SUM(G31:G53)</f>
        <v>709513.8</v>
      </c>
      <c r="H55" s="238">
        <f>SUM(H31:H53)</f>
        <v>1404924.2099999997</v>
      </c>
      <c r="I55" s="233"/>
      <c r="J55" s="238">
        <f>SUM(J31:J53)</f>
        <v>739867.71000000008</v>
      </c>
      <c r="K55" s="363"/>
      <c r="L55" s="235">
        <f>SUM(L31:L53)</f>
        <v>-30353.910000000029</v>
      </c>
      <c r="M55" s="439">
        <f>L55/J55</f>
        <v>-4.1026131549922656E-2</v>
      </c>
      <c r="N55" s="535"/>
    </row>
    <row r="56" spans="1:18" s="68" customFormat="1" ht="10.5" customHeight="1" thickBot="1" x14ac:dyDescent="0.25">
      <c r="A56" s="67"/>
      <c r="B56" s="397"/>
      <c r="C56" s="67"/>
      <c r="D56" s="73"/>
      <c r="E56" s="67"/>
      <c r="F56" s="67"/>
      <c r="G56" s="242"/>
      <c r="H56" s="242"/>
      <c r="I56" s="233"/>
      <c r="J56" s="242"/>
      <c r="K56" s="363"/>
      <c r="L56" s="407"/>
      <c r="M56" s="518"/>
      <c r="N56" s="535"/>
    </row>
    <row r="57" spans="1:18" s="68" customFormat="1" ht="21" thickBot="1" x14ac:dyDescent="0.25">
      <c r="A57" s="67"/>
      <c r="B57" s="397"/>
      <c r="C57" s="67"/>
      <c r="D57" s="67" t="s">
        <v>133</v>
      </c>
      <c r="E57" s="67"/>
      <c r="F57" s="67"/>
      <c r="G57" s="242">
        <f>G28-G55</f>
        <v>-22348.360000000102</v>
      </c>
      <c r="H57" s="242">
        <f>H28-H55</f>
        <v>16416.500000000233</v>
      </c>
      <c r="I57" s="233"/>
      <c r="J57" s="242">
        <f>J28-J55</f>
        <v>-15564.140000000014</v>
      </c>
      <c r="K57" s="363"/>
      <c r="L57" s="242">
        <f>L28-L55</f>
        <v>-6784.2200000001503</v>
      </c>
      <c r="M57" s="512">
        <f>L57/J57</f>
        <v>0.43588788073097162</v>
      </c>
      <c r="N57" s="535"/>
    </row>
    <row r="58" spans="1:18" s="68" customFormat="1" ht="11.25" customHeight="1" x14ac:dyDescent="0.2">
      <c r="A58" s="67"/>
      <c r="B58" s="397"/>
      <c r="C58" s="67"/>
      <c r="D58" s="67"/>
      <c r="E58" s="67"/>
      <c r="F58" s="67"/>
      <c r="G58" s="233"/>
      <c r="H58" s="233"/>
      <c r="I58" s="233"/>
      <c r="J58" s="233"/>
      <c r="K58" s="363"/>
      <c r="L58" s="405"/>
      <c r="M58" s="517"/>
      <c r="N58" s="532"/>
    </row>
    <row r="59" spans="1:18" s="76" customFormat="1" ht="21" thickBot="1" x14ac:dyDescent="0.25">
      <c r="A59" s="79"/>
      <c r="B59" s="396" t="s">
        <v>341</v>
      </c>
      <c r="C59" s="87"/>
      <c r="D59" s="87"/>
      <c r="E59" s="87"/>
      <c r="F59" s="87"/>
      <c r="G59" s="681"/>
      <c r="H59" s="242"/>
      <c r="I59" s="233"/>
      <c r="J59" s="242"/>
      <c r="K59" s="365"/>
      <c r="L59" s="405"/>
      <c r="M59" s="517"/>
      <c r="N59" s="532"/>
    </row>
    <row r="60" spans="1:18" s="76" customFormat="1" ht="20.25" x14ac:dyDescent="0.2">
      <c r="A60" s="79"/>
      <c r="B60" s="397"/>
      <c r="C60" s="67"/>
      <c r="D60" s="67" t="s">
        <v>145</v>
      </c>
      <c r="E60" s="67"/>
      <c r="F60" s="67"/>
      <c r="G60" s="233"/>
      <c r="H60" s="233"/>
      <c r="I60" s="233"/>
      <c r="J60" s="233"/>
      <c r="K60" s="365"/>
      <c r="L60" s="405"/>
      <c r="M60" s="517"/>
      <c r="N60" s="532"/>
    </row>
    <row r="61" spans="1:18" s="76" customFormat="1" ht="20.25" x14ac:dyDescent="0.2">
      <c r="A61" s="79"/>
      <c r="B61" s="397"/>
      <c r="C61" s="67"/>
      <c r="D61" s="67"/>
      <c r="E61" s="79" t="s">
        <v>146</v>
      </c>
      <c r="F61" s="67"/>
      <c r="G61" s="233">
        <f>52000-5200-5200</f>
        <v>41600</v>
      </c>
      <c r="H61" s="233">
        <v>46800</v>
      </c>
      <c r="I61" s="233"/>
      <c r="J61" s="233">
        <v>46800</v>
      </c>
      <c r="K61" s="365"/>
      <c r="L61" s="276">
        <f>G61-J61</f>
        <v>-5200</v>
      </c>
      <c r="M61" s="439">
        <f>L61/J61</f>
        <v>-0.1111111111111111</v>
      </c>
      <c r="N61" s="532"/>
      <c r="R61" s="248"/>
    </row>
    <row r="62" spans="1:18" s="76" customFormat="1" ht="20.25" x14ac:dyDescent="0.2">
      <c r="A62" s="79"/>
      <c r="B62" s="397"/>
      <c r="C62" s="67"/>
      <c r="D62" s="67"/>
      <c r="E62" s="79" t="s">
        <v>173</v>
      </c>
      <c r="F62" s="67"/>
      <c r="G62" s="233">
        <v>18500</v>
      </c>
      <c r="H62" s="233">
        <v>19000</v>
      </c>
      <c r="I62" s="233"/>
      <c r="J62" s="233">
        <v>19000</v>
      </c>
      <c r="K62" s="365"/>
      <c r="L62" s="276">
        <f>G62-J62</f>
        <v>-500</v>
      </c>
      <c r="M62" s="439">
        <f>L62/J62</f>
        <v>-2.6315789473684209E-2</v>
      </c>
      <c r="N62" s="532"/>
    </row>
    <row r="63" spans="1:18" s="76" customFormat="1" ht="20.25" x14ac:dyDescent="0.2">
      <c r="A63" s="79"/>
      <c r="B63" s="397"/>
      <c r="C63" s="67"/>
      <c r="D63" s="67"/>
      <c r="E63" s="79" t="s">
        <v>509</v>
      </c>
      <c r="F63" s="67"/>
      <c r="G63" s="233">
        <v>15000</v>
      </c>
      <c r="H63" s="233"/>
      <c r="I63" s="233"/>
      <c r="J63" s="233"/>
      <c r="K63" s="365"/>
      <c r="L63" s="276"/>
      <c r="M63" s="439"/>
      <c r="N63" s="532"/>
    </row>
    <row r="64" spans="1:18" s="76" customFormat="1" ht="20.25" x14ac:dyDescent="0.2">
      <c r="A64" s="79"/>
      <c r="B64" s="397"/>
      <c r="C64" s="67"/>
      <c r="D64" s="67"/>
      <c r="E64" s="79" t="s">
        <v>144</v>
      </c>
      <c r="F64" s="67"/>
      <c r="G64" s="236">
        <v>0</v>
      </c>
      <c r="H64" s="236">
        <v>12955</v>
      </c>
      <c r="I64" s="236"/>
      <c r="J64" s="236">
        <f>1825+430</f>
        <v>2255</v>
      </c>
      <c r="K64" s="625"/>
      <c r="L64" s="626">
        <f>G64-J64</f>
        <v>-2255</v>
      </c>
      <c r="M64" s="515">
        <f>L64/J64</f>
        <v>-1</v>
      </c>
      <c r="N64" s="532"/>
    </row>
    <row r="65" spans="1:14" s="76" customFormat="1" ht="21" thickBot="1" x14ac:dyDescent="0.25">
      <c r="A65" s="79"/>
      <c r="B65" s="397"/>
      <c r="C65" s="67"/>
      <c r="D65" s="67" t="s">
        <v>110</v>
      </c>
      <c r="E65" s="67"/>
      <c r="F65" s="67"/>
      <c r="G65" s="242">
        <f>-G27</f>
        <v>-45063.89</v>
      </c>
      <c r="H65" s="242">
        <f>-H27</f>
        <v>-79759.92</v>
      </c>
      <c r="I65" s="233"/>
      <c r="J65" s="242">
        <f>-J27</f>
        <v>-41429.33</v>
      </c>
      <c r="K65" s="365"/>
      <c r="L65" s="380">
        <f>G65-J65</f>
        <v>-3634.5599999999977</v>
      </c>
      <c r="M65" s="467">
        <f>L65/J65</f>
        <v>8.7729152269660104E-2</v>
      </c>
      <c r="N65" s="532"/>
    </row>
    <row r="66" spans="1:14" s="76" customFormat="1" ht="21" thickBot="1" x14ac:dyDescent="0.25">
      <c r="A66" s="79"/>
      <c r="B66" s="397"/>
      <c r="C66" s="67"/>
      <c r="D66" s="67"/>
      <c r="E66" s="67" t="s">
        <v>340</v>
      </c>
      <c r="F66" s="67"/>
      <c r="G66" s="242">
        <f>SUM(G60:G65)</f>
        <v>30036.11</v>
      </c>
      <c r="H66" s="242">
        <f>SUM(H60:H65)</f>
        <v>-1004.9199999999983</v>
      </c>
      <c r="I66" s="233"/>
      <c r="J66" s="242">
        <f>SUM(J60:J65)</f>
        <v>26625.67</v>
      </c>
      <c r="K66" s="365"/>
      <c r="L66" s="242">
        <f>SUM(L61:L65)</f>
        <v>-11589.559999999998</v>
      </c>
      <c r="M66" s="467">
        <f>L66/J66</f>
        <v>-0.43527768503102449</v>
      </c>
      <c r="N66" s="532"/>
    </row>
    <row r="67" spans="1:14" s="68" customFormat="1" ht="7.5" customHeight="1" x14ac:dyDescent="0.2">
      <c r="A67" s="67"/>
      <c r="B67" s="397"/>
      <c r="C67" s="67"/>
      <c r="D67" s="67"/>
      <c r="E67" s="67"/>
      <c r="F67" s="67"/>
      <c r="G67" s="274"/>
      <c r="H67" s="274"/>
      <c r="I67" s="274"/>
      <c r="J67" s="274"/>
      <c r="K67" s="363"/>
      <c r="L67" s="405"/>
      <c r="M67" s="405"/>
      <c r="N67" s="532"/>
    </row>
    <row r="68" spans="1:14" s="68" customFormat="1" ht="20.25" x14ac:dyDescent="0.2">
      <c r="A68" s="67"/>
      <c r="B68" s="397"/>
      <c r="C68" s="67"/>
      <c r="D68" s="67"/>
      <c r="E68" s="67" t="s">
        <v>90</v>
      </c>
      <c r="F68" s="67"/>
      <c r="G68" s="238">
        <f>G57+G66</f>
        <v>7687.7499999998981</v>
      </c>
      <c r="H68" s="238">
        <f>H57+H66</f>
        <v>15411.580000000235</v>
      </c>
      <c r="I68" s="238"/>
      <c r="J68" s="238">
        <f>J57+J66</f>
        <v>11061.529999999984</v>
      </c>
      <c r="K68" s="363"/>
      <c r="L68" s="238">
        <f>L57+L66</f>
        <v>-18373.780000000148</v>
      </c>
      <c r="M68" s="238"/>
      <c r="N68" s="532"/>
    </row>
    <row r="69" spans="1:14" s="68" customFormat="1" ht="8.25" customHeight="1" x14ac:dyDescent="0.2">
      <c r="A69" s="67"/>
      <c r="B69" s="397"/>
      <c r="C69" s="67"/>
      <c r="D69" s="67"/>
      <c r="E69" s="67"/>
      <c r="F69" s="67"/>
      <c r="G69" s="233"/>
      <c r="H69" s="233"/>
      <c r="I69" s="233"/>
      <c r="J69" s="233"/>
      <c r="K69" s="363"/>
      <c r="L69" s="405"/>
      <c r="M69" s="405"/>
      <c r="N69" s="532"/>
    </row>
    <row r="70" spans="1:14" s="82" customFormat="1" ht="26.25" x14ac:dyDescent="0.2">
      <c r="A70" s="269"/>
      <c r="B70" s="398"/>
      <c r="C70" s="67"/>
      <c r="D70" s="67" t="s">
        <v>148</v>
      </c>
      <c r="E70" s="67"/>
      <c r="F70" s="67"/>
      <c r="G70" s="238">
        <f>H71</f>
        <v>764816.78000000014</v>
      </c>
      <c r="H70" s="238">
        <v>749405.2</v>
      </c>
      <c r="I70" s="238"/>
      <c r="J70" s="238">
        <v>749405</v>
      </c>
      <c r="K70" s="366"/>
      <c r="L70" s="406"/>
      <c r="M70" s="406"/>
      <c r="N70" s="536"/>
    </row>
    <row r="71" spans="1:14" s="84" customFormat="1" ht="21" thickBot="1" x14ac:dyDescent="0.25">
      <c r="A71" s="67"/>
      <c r="B71" s="397"/>
      <c r="C71" s="67"/>
      <c r="E71" s="67" t="s">
        <v>147</v>
      </c>
      <c r="F71" s="67"/>
      <c r="G71" s="322">
        <f>G68+G70</f>
        <v>772504.53</v>
      </c>
      <c r="H71" s="322">
        <f>H68+H70</f>
        <v>764816.78000000014</v>
      </c>
      <c r="I71" s="274"/>
      <c r="J71" s="322">
        <f>J68+J70</f>
        <v>760466.53</v>
      </c>
      <c r="K71" s="367"/>
      <c r="L71" s="274"/>
      <c r="M71" s="406"/>
      <c r="N71" s="536"/>
    </row>
    <row r="72" spans="1:14" s="65" customFormat="1" ht="6.75" customHeight="1" thickTop="1" x14ac:dyDescent="0.2">
      <c r="A72" s="269"/>
      <c r="B72" s="398"/>
      <c r="C72" s="67"/>
      <c r="D72" s="269"/>
      <c r="E72" s="269"/>
      <c r="F72" s="269"/>
      <c r="G72" s="271"/>
      <c r="H72" s="233"/>
      <c r="I72" s="233"/>
      <c r="J72" s="233"/>
      <c r="K72" s="362"/>
      <c r="L72" s="405"/>
      <c r="M72" s="405"/>
      <c r="N72" s="532"/>
    </row>
    <row r="73" spans="1:14" s="68" customFormat="1" ht="16.5" customHeight="1" x14ac:dyDescent="0.2">
      <c r="A73" s="67"/>
      <c r="B73" s="397"/>
      <c r="D73" s="343"/>
      <c r="E73" s="67"/>
      <c r="G73" s="233"/>
      <c r="H73" s="233"/>
      <c r="I73" s="233"/>
      <c r="J73" s="233"/>
      <c r="K73" s="363"/>
      <c r="L73" s="405"/>
      <c r="M73" s="405"/>
      <c r="N73" s="532"/>
    </row>
    <row r="74" spans="1:14" s="68" customFormat="1" ht="23.25" x14ac:dyDescent="0.2">
      <c r="A74" s="67"/>
      <c r="B74" s="399"/>
      <c r="C74" s="67"/>
      <c r="D74" s="67"/>
      <c r="E74" s="67"/>
      <c r="F74" s="67"/>
      <c r="G74" s="233"/>
      <c r="H74" s="233"/>
      <c r="I74" s="233"/>
      <c r="J74" s="233"/>
      <c r="K74" s="363"/>
      <c r="L74" s="405"/>
      <c r="M74" s="405"/>
      <c r="N74" s="532"/>
    </row>
    <row r="75" spans="1:14" s="68" customFormat="1" ht="20.25" x14ac:dyDescent="0.2">
      <c r="A75" s="67"/>
      <c r="B75" s="397"/>
      <c r="C75" s="67"/>
      <c r="D75" s="67"/>
      <c r="E75" s="67"/>
      <c r="F75" s="67"/>
      <c r="G75" s="233"/>
      <c r="H75" s="233"/>
      <c r="I75" s="233"/>
      <c r="J75" s="233"/>
      <c r="K75" s="363"/>
      <c r="L75" s="405"/>
      <c r="M75" s="405"/>
      <c r="N75" s="532"/>
    </row>
    <row r="76" spans="1:14" s="76" customFormat="1" ht="20.25" x14ac:dyDescent="0.2">
      <c r="A76" s="79"/>
      <c r="B76" s="393"/>
      <c r="C76" s="79"/>
      <c r="D76" s="79"/>
      <c r="F76" s="79"/>
      <c r="G76" s="247"/>
      <c r="H76" s="233"/>
      <c r="I76" s="233"/>
      <c r="J76" s="233"/>
      <c r="K76" s="365"/>
      <c r="L76" s="405"/>
      <c r="M76" s="405"/>
      <c r="N76" s="532"/>
    </row>
    <row r="77" spans="1:14" s="76" customFormat="1" ht="20.25" x14ac:dyDescent="0.2">
      <c r="A77" s="79"/>
      <c r="B77" s="393"/>
      <c r="C77" s="79"/>
      <c r="D77" s="79"/>
      <c r="F77" s="79"/>
      <c r="G77" s="233"/>
      <c r="H77" s="233"/>
      <c r="I77" s="233"/>
      <c r="J77" s="233"/>
      <c r="K77" s="365"/>
      <c r="L77" s="405"/>
      <c r="M77" s="405"/>
      <c r="N77" s="532"/>
    </row>
    <row r="78" spans="1:14" s="76" customFormat="1" ht="20.25" x14ac:dyDescent="0.2">
      <c r="A78" s="79"/>
      <c r="B78" s="393"/>
      <c r="C78" s="79"/>
      <c r="D78" s="79"/>
      <c r="F78" s="79"/>
      <c r="G78" s="233"/>
      <c r="H78" s="233"/>
      <c r="I78" s="233"/>
      <c r="J78" s="233"/>
      <c r="K78" s="365"/>
      <c r="L78" s="405"/>
      <c r="M78" s="405"/>
      <c r="N78" s="532"/>
    </row>
    <row r="79" spans="1:14" s="76" customFormat="1" ht="20.25" x14ac:dyDescent="0.2">
      <c r="A79" s="79"/>
      <c r="B79" s="79"/>
      <c r="C79" s="79"/>
      <c r="D79" s="79"/>
      <c r="F79" s="79"/>
      <c r="G79" s="233"/>
      <c r="H79" s="233"/>
      <c r="I79" s="233"/>
      <c r="J79" s="233"/>
      <c r="K79" s="365"/>
      <c r="L79" s="405"/>
      <c r="M79" s="405"/>
      <c r="N79" s="532"/>
    </row>
    <row r="80" spans="1:14" s="76" customFormat="1" ht="20.25" x14ac:dyDescent="0.2">
      <c r="A80" s="79"/>
      <c r="B80" s="79"/>
      <c r="C80" s="79"/>
      <c r="D80" s="79"/>
      <c r="F80" s="79"/>
      <c r="G80" s="233"/>
      <c r="H80" s="233"/>
      <c r="I80" s="233"/>
      <c r="J80" s="233"/>
      <c r="K80" s="365"/>
      <c r="L80" s="405"/>
      <c r="M80" s="405"/>
      <c r="N80" s="532"/>
    </row>
    <row r="81" spans="1:14" s="76" customFormat="1" ht="20.25" x14ac:dyDescent="0.2">
      <c r="A81" s="79"/>
      <c r="B81" s="79"/>
      <c r="C81" s="79"/>
      <c r="D81" s="79"/>
      <c r="F81" s="79"/>
      <c r="G81" s="233"/>
      <c r="H81" s="233"/>
      <c r="I81" s="233"/>
      <c r="J81" s="233"/>
      <c r="K81" s="365"/>
      <c r="L81" s="405"/>
      <c r="M81" s="405"/>
      <c r="N81" s="532"/>
    </row>
    <row r="82" spans="1:14" s="76" customFormat="1" ht="20.25" x14ac:dyDescent="0.2">
      <c r="A82" s="79"/>
      <c r="B82" s="79"/>
      <c r="C82" s="67"/>
      <c r="D82" s="79"/>
      <c r="F82" s="79"/>
      <c r="G82" s="233"/>
      <c r="H82" s="233"/>
      <c r="I82" s="233"/>
      <c r="J82" s="233"/>
      <c r="K82" s="365"/>
      <c r="L82" s="405"/>
      <c r="M82" s="405"/>
      <c r="N82" s="532"/>
    </row>
    <row r="83" spans="1:14" s="76" customFormat="1" ht="20.25" x14ac:dyDescent="0.2">
      <c r="A83" s="79"/>
      <c r="B83" s="79"/>
      <c r="C83" s="79"/>
      <c r="D83" s="79"/>
      <c r="E83" s="79"/>
      <c r="F83" s="79"/>
      <c r="G83" s="233"/>
      <c r="H83" s="233"/>
      <c r="I83" s="233"/>
      <c r="J83" s="233"/>
      <c r="K83" s="365"/>
      <c r="L83" s="405"/>
      <c r="M83" s="405"/>
      <c r="N83" s="532"/>
    </row>
    <row r="84" spans="1:14" s="76" customFormat="1" ht="20.25" x14ac:dyDescent="0.2">
      <c r="A84" s="79"/>
      <c r="B84" s="79"/>
      <c r="C84" s="67"/>
      <c r="D84" s="67"/>
      <c r="G84" s="233"/>
      <c r="H84" s="233"/>
      <c r="I84" s="233"/>
      <c r="J84" s="233"/>
      <c r="K84" s="365"/>
      <c r="L84" s="405"/>
      <c r="M84" s="405"/>
      <c r="N84" s="532"/>
    </row>
    <row r="85" spans="1:14" s="76" customFormat="1" ht="20.25" x14ac:dyDescent="0.2">
      <c r="A85" s="79"/>
      <c r="B85" s="79"/>
      <c r="C85" s="79"/>
      <c r="D85" s="79"/>
      <c r="E85" s="79"/>
      <c r="F85" s="79"/>
      <c r="G85" s="233"/>
      <c r="H85" s="233"/>
      <c r="I85" s="233"/>
      <c r="J85" s="233"/>
      <c r="K85" s="365"/>
      <c r="L85" s="405"/>
      <c r="M85" s="405"/>
      <c r="N85" s="532"/>
    </row>
    <row r="86" spans="1:14" s="76" customFormat="1" ht="20.25" x14ac:dyDescent="0.2">
      <c r="A86" s="79"/>
      <c r="B86" s="79"/>
      <c r="C86" s="79"/>
      <c r="D86" s="79"/>
      <c r="E86" s="79"/>
      <c r="F86" s="79"/>
      <c r="G86" s="233"/>
      <c r="H86" s="233"/>
      <c r="I86" s="233"/>
      <c r="J86" s="233"/>
      <c r="K86" s="365"/>
      <c r="L86" s="405"/>
      <c r="M86" s="405"/>
      <c r="N86" s="532"/>
    </row>
    <row r="87" spans="1:14" s="76" customFormat="1" ht="20.25" x14ac:dyDescent="0.2">
      <c r="A87" s="79"/>
      <c r="B87" s="79"/>
      <c r="C87" s="79"/>
      <c r="D87" s="79"/>
      <c r="E87" s="79"/>
      <c r="F87" s="79"/>
      <c r="G87" s="233"/>
      <c r="H87" s="233"/>
      <c r="I87" s="233"/>
      <c r="J87" s="233"/>
      <c r="K87" s="365"/>
      <c r="L87" s="405"/>
      <c r="M87" s="405"/>
      <c r="N87" s="532"/>
    </row>
    <row r="88" spans="1:14" s="76" customFormat="1" ht="20.25" x14ac:dyDescent="0.2">
      <c r="A88" s="79"/>
      <c r="B88" s="79"/>
      <c r="C88" s="79"/>
      <c r="D88" s="79"/>
      <c r="E88" s="79"/>
      <c r="F88" s="79"/>
      <c r="G88" s="233"/>
      <c r="H88" s="233"/>
      <c r="I88" s="233"/>
      <c r="J88" s="233"/>
      <c r="K88" s="365"/>
      <c r="L88" s="405"/>
      <c r="M88" s="405"/>
      <c r="N88" s="532"/>
    </row>
    <row r="89" spans="1:14" s="76" customFormat="1" ht="20.25" x14ac:dyDescent="0.2">
      <c r="A89" s="79"/>
      <c r="B89" s="79"/>
      <c r="C89" s="67"/>
      <c r="D89" s="79"/>
      <c r="F89" s="79"/>
      <c r="G89" s="233"/>
      <c r="H89" s="233"/>
      <c r="I89" s="233"/>
      <c r="J89" s="233"/>
      <c r="K89" s="365"/>
      <c r="L89" s="405"/>
      <c r="M89" s="405"/>
      <c r="N89" s="532"/>
    </row>
    <row r="90" spans="1:14" s="76" customFormat="1" ht="20.25" x14ac:dyDescent="0.2">
      <c r="A90" s="79"/>
      <c r="B90" s="79"/>
      <c r="C90" s="79"/>
      <c r="D90" s="79"/>
      <c r="E90" s="79"/>
      <c r="F90" s="79"/>
      <c r="G90" s="233"/>
      <c r="H90" s="233"/>
      <c r="I90" s="233"/>
      <c r="J90" s="233"/>
      <c r="K90" s="365"/>
      <c r="L90" s="405"/>
      <c r="M90" s="405"/>
      <c r="N90" s="532"/>
    </row>
    <row r="91" spans="1:14" s="68" customFormat="1" ht="20.25" x14ac:dyDescent="0.2">
      <c r="A91" s="67"/>
      <c r="B91" s="67"/>
      <c r="C91" s="67"/>
      <c r="D91" s="67"/>
      <c r="E91" s="67"/>
      <c r="F91" s="67"/>
      <c r="G91" s="238"/>
      <c r="H91" s="238"/>
      <c r="I91" s="238"/>
      <c r="J91" s="238"/>
      <c r="K91" s="363"/>
      <c r="N91" s="532"/>
    </row>
    <row r="92" spans="1:14" s="68" customFormat="1" ht="20.25" x14ac:dyDescent="0.2">
      <c r="A92" s="67"/>
      <c r="B92" s="67"/>
      <c r="C92" s="67"/>
      <c r="D92" s="67"/>
      <c r="E92" s="67"/>
      <c r="F92" s="67"/>
      <c r="G92" s="238"/>
      <c r="H92" s="238"/>
      <c r="I92" s="238"/>
      <c r="J92" s="238"/>
      <c r="K92" s="363"/>
      <c r="N92" s="532"/>
    </row>
    <row r="93" spans="1:14" s="68" customFormat="1" ht="23.25" x14ac:dyDescent="0.2">
      <c r="A93" s="67"/>
      <c r="B93" s="272"/>
      <c r="C93" s="67"/>
      <c r="D93" s="67"/>
      <c r="E93" s="67"/>
      <c r="F93" s="67"/>
      <c r="G93" s="233"/>
      <c r="H93" s="233"/>
      <c r="I93" s="233"/>
      <c r="J93" s="233"/>
      <c r="K93" s="363"/>
      <c r="N93" s="532"/>
    </row>
    <row r="94" spans="1:14" s="76" customFormat="1" ht="20.25" x14ac:dyDescent="0.2">
      <c r="A94" s="79"/>
      <c r="B94" s="79"/>
      <c r="D94" s="79"/>
      <c r="E94" s="79"/>
      <c r="F94" s="79"/>
      <c r="G94" s="233"/>
      <c r="H94" s="233"/>
      <c r="I94" s="233"/>
      <c r="J94" s="233"/>
      <c r="K94" s="365"/>
      <c r="N94" s="532"/>
    </row>
    <row r="95" spans="1:14" s="76" customFormat="1" ht="20.25" x14ac:dyDescent="0.2">
      <c r="A95" s="79"/>
      <c r="B95" s="79"/>
      <c r="D95" s="79"/>
      <c r="E95" s="79"/>
      <c r="F95" s="79"/>
      <c r="G95" s="233"/>
      <c r="H95" s="233"/>
      <c r="I95" s="233"/>
      <c r="J95" s="233"/>
      <c r="K95" s="365"/>
      <c r="N95" s="532"/>
    </row>
    <row r="96" spans="1:14" s="68" customFormat="1" ht="20.25" x14ac:dyDescent="0.2">
      <c r="A96" s="67"/>
      <c r="B96" s="67"/>
      <c r="D96" s="79"/>
      <c r="E96" s="67"/>
      <c r="F96" s="67"/>
      <c r="G96" s="233"/>
      <c r="H96" s="233"/>
      <c r="I96" s="233"/>
      <c r="J96" s="233"/>
      <c r="K96" s="363"/>
      <c r="N96" s="532"/>
    </row>
    <row r="97" spans="1:14" s="68" customFormat="1" ht="23.25" x14ac:dyDescent="0.2">
      <c r="A97" s="67"/>
      <c r="B97" s="272"/>
      <c r="C97" s="67"/>
      <c r="D97" s="67"/>
      <c r="E97" s="67"/>
      <c r="F97" s="67"/>
      <c r="G97" s="238"/>
      <c r="H97" s="238"/>
      <c r="I97" s="238"/>
      <c r="J97" s="238"/>
      <c r="K97" s="363"/>
      <c r="N97" s="532"/>
    </row>
    <row r="98" spans="1:14" s="68" customFormat="1" ht="20.25" x14ac:dyDescent="0.2">
      <c r="A98" s="67"/>
      <c r="B98" s="67"/>
      <c r="C98" s="67"/>
      <c r="D98" s="67"/>
      <c r="E98" s="67"/>
      <c r="F98" s="67"/>
      <c r="G98" s="233"/>
      <c r="H98" s="233"/>
      <c r="I98" s="233"/>
      <c r="J98" s="233"/>
      <c r="K98" s="363"/>
      <c r="N98" s="532"/>
    </row>
    <row r="99" spans="1:14" s="82" customFormat="1" ht="26.25" x14ac:dyDescent="0.2">
      <c r="A99" s="269"/>
      <c r="B99" s="269"/>
      <c r="C99" s="269"/>
      <c r="D99" s="269"/>
      <c r="E99" s="269"/>
      <c r="F99" s="269"/>
      <c r="G99" s="270"/>
      <c r="H99" s="238"/>
      <c r="I99" s="238"/>
      <c r="J99" s="238"/>
      <c r="K99" s="366"/>
      <c r="N99" s="536"/>
    </row>
    <row r="100" spans="1:14" s="18" customFormat="1" ht="20.25" x14ac:dyDescent="0.3">
      <c r="A100" s="122"/>
      <c r="B100" s="122"/>
      <c r="C100" s="122"/>
      <c r="D100" s="122"/>
      <c r="E100" s="122"/>
      <c r="F100" s="122"/>
      <c r="G100" s="273"/>
      <c r="H100" s="278"/>
      <c r="I100" s="278"/>
      <c r="J100" s="278"/>
      <c r="K100" s="368"/>
      <c r="N100" s="537"/>
    </row>
    <row r="101" spans="1:14" ht="20.25" x14ac:dyDescent="0.3">
      <c r="H101" s="278"/>
      <c r="I101" s="278"/>
      <c r="J101" s="278"/>
    </row>
    <row r="102" spans="1:14" ht="20.25" x14ac:dyDescent="0.3">
      <c r="H102" s="278"/>
      <c r="I102" s="278"/>
      <c r="J102" s="278"/>
    </row>
    <row r="103" spans="1:14" ht="20.25" x14ac:dyDescent="0.3">
      <c r="H103" s="275"/>
      <c r="I103" s="275"/>
      <c r="J103" s="275"/>
    </row>
  </sheetData>
  <mergeCells count="3">
    <mergeCell ref="L8:M8"/>
    <mergeCell ref="G6:J6"/>
    <mergeCell ref="C43:F43"/>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3"/>
  <sheetViews>
    <sheetView topLeftCell="A43" zoomScale="70" zoomScaleNormal="70" workbookViewId="0"/>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6"/>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1"/>
      <c r="H2" s="59"/>
      <c r="I2" s="59"/>
      <c r="J2" s="59"/>
      <c r="K2" s="59"/>
      <c r="L2" s="46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'June''21 State of Activities'!A3</f>
        <v>Six Months Ended June 30, 2021 and 2020</v>
      </c>
      <c r="B3" s="59"/>
      <c r="C3" s="60"/>
      <c r="D3" s="60"/>
      <c r="E3" s="60"/>
      <c r="F3" s="59"/>
      <c r="G3" s="231"/>
      <c r="H3" s="59"/>
      <c r="I3" s="59"/>
      <c r="J3" s="59"/>
      <c r="K3" s="59"/>
      <c r="L3" s="46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'June''21 State of Activities'!A4</f>
        <v>For the Year Ended December 31, 2020</v>
      </c>
      <c r="B4" s="59"/>
      <c r="C4" s="60"/>
      <c r="D4" s="60"/>
      <c r="E4" s="60"/>
      <c r="F4" s="59"/>
      <c r="G4" s="231"/>
      <c r="H4" s="59"/>
      <c r="I4" s="59"/>
      <c r="J4" s="59"/>
      <c r="K4" s="59"/>
      <c r="L4" s="466"/>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93"/>
      <c r="H6" s="241" t="s">
        <v>53</v>
      </c>
      <c r="I6" s="241"/>
      <c r="J6" s="883" t="s">
        <v>53</v>
      </c>
      <c r="K6" s="883"/>
      <c r="L6" s="883"/>
      <c r="M6" s="883"/>
      <c r="N6" s="65"/>
      <c r="O6" s="418" t="s">
        <v>185</v>
      </c>
      <c r="P6" s="415" t="s">
        <v>197</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row>
    <row r="8" spans="1:128" s="72" customFormat="1" ht="21" thickBot="1" x14ac:dyDescent="0.35">
      <c r="A8" s="69"/>
      <c r="B8" s="153" t="s">
        <v>104</v>
      </c>
      <c r="C8" s="153"/>
      <c r="D8" s="153"/>
      <c r="E8" s="153"/>
      <c r="F8" s="153"/>
      <c r="G8" s="282">
        <v>41090</v>
      </c>
      <c r="H8" s="282">
        <v>41274</v>
      </c>
      <c r="I8" s="324"/>
      <c r="J8" s="687">
        <f>'June''21 State of Activities'!G8</f>
        <v>44377</v>
      </c>
      <c r="K8" s="688">
        <v>44196</v>
      </c>
      <c r="L8" s="689"/>
      <c r="M8" s="688">
        <f>'June''21 State of Activities'!J8</f>
        <v>44012</v>
      </c>
      <c r="N8" s="71"/>
      <c r="O8" s="942" t="s">
        <v>553</v>
      </c>
      <c r="P8" s="942"/>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3" t="s">
        <v>154</v>
      </c>
      <c r="D9" s="423"/>
      <c r="E9" s="423"/>
      <c r="F9" s="73"/>
      <c r="G9" s="265">
        <v>127719</v>
      </c>
      <c r="H9" s="265">
        <v>67566.5</v>
      </c>
      <c r="I9" s="323"/>
      <c r="J9" s="327">
        <f>'June''21 State of Activities'!G10</f>
        <v>36837.4</v>
      </c>
      <c r="K9" s="327">
        <f>68070.06</f>
        <v>68070.06</v>
      </c>
      <c r="L9" s="327"/>
      <c r="M9" s="327">
        <f>'June''21 State of Activities'!J10</f>
        <v>41103.07</v>
      </c>
      <c r="N9" s="68"/>
      <c r="O9" s="381">
        <f>J9-M9</f>
        <v>-4265.6699999999983</v>
      </c>
      <c r="P9" s="416">
        <f>O9/M9</f>
        <v>-0.10377983931613863</v>
      </c>
      <c r="Q9" s="68"/>
      <c r="R9" s="391"/>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3" t="s">
        <v>219</v>
      </c>
      <c r="D10" s="423"/>
      <c r="E10" s="423"/>
      <c r="F10" s="73"/>
      <c r="G10" s="264">
        <v>875436</v>
      </c>
      <c r="H10" s="264">
        <v>372424.1</v>
      </c>
      <c r="I10" s="327"/>
      <c r="J10" s="323">
        <f>2605.02+(2605.02*0.14)+10400</f>
        <v>13369.7228</v>
      </c>
      <c r="K10" s="323">
        <v>16169.1</v>
      </c>
      <c r="L10" s="327"/>
      <c r="M10" s="323">
        <f>(3060*0.14)+10760</f>
        <v>11188.4</v>
      </c>
      <c r="N10" s="68"/>
      <c r="O10" s="513">
        <f>J10-M10</f>
        <v>2181.3227999999999</v>
      </c>
      <c r="P10" s="416">
        <f>O10/M10</f>
        <v>0.19496289013621251</v>
      </c>
      <c r="Q10" s="68"/>
      <c r="R10" s="391"/>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3" t="s">
        <v>407</v>
      </c>
      <c r="D11" s="423"/>
      <c r="E11" s="423"/>
      <c r="F11" s="73"/>
      <c r="G11" s="264"/>
      <c r="H11" s="264"/>
      <c r="I11" s="327"/>
      <c r="J11" s="323">
        <v>0</v>
      </c>
      <c r="K11" s="323">
        <v>3260</v>
      </c>
      <c r="L11" s="327"/>
      <c r="M11" s="323">
        <v>3260</v>
      </c>
      <c r="N11" s="68"/>
      <c r="O11" s="513">
        <f>J11-M11</f>
        <v>-3260</v>
      </c>
      <c r="P11" s="439">
        <f>O11/M11</f>
        <v>-1</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3" t="s">
        <v>106</v>
      </c>
      <c r="D12" s="423"/>
      <c r="E12" s="423"/>
      <c r="F12" s="73"/>
      <c r="G12" s="265"/>
      <c r="H12" s="265"/>
      <c r="I12" s="323"/>
      <c r="J12" s="323"/>
      <c r="K12" s="323"/>
      <c r="L12" s="323"/>
      <c r="M12" s="323"/>
      <c r="N12" s="68"/>
      <c r="O12" s="513"/>
      <c r="P12" s="427"/>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3" t="s">
        <v>220</v>
      </c>
      <c r="E13" s="423"/>
      <c r="F13" s="73"/>
      <c r="G13" s="265">
        <v>94235.25</v>
      </c>
      <c r="H13" s="265">
        <v>37190.379999999997</v>
      </c>
      <c r="I13" s="323"/>
      <c r="J13" s="323">
        <f>'June''21 Revenues &amp; Expenses'!I17</f>
        <v>22750.02</v>
      </c>
      <c r="K13" s="323">
        <f>3750*12</f>
        <v>45000</v>
      </c>
      <c r="L13" s="323"/>
      <c r="M13" s="323">
        <f>3750*6</f>
        <v>22500</v>
      </c>
      <c r="N13" s="68"/>
      <c r="O13" s="513">
        <f t="shared" ref="O13:O20" si="0">J13-M13</f>
        <v>250.02000000000044</v>
      </c>
      <c r="P13" s="439">
        <f t="shared" ref="P13:P19" si="1">O13/M13</f>
        <v>1.1112000000000019E-2</v>
      </c>
      <c r="Q13" s="68"/>
      <c r="R13" s="472"/>
      <c r="S13" s="473"/>
      <c r="T13" s="472"/>
      <c r="U13" s="47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3" t="s">
        <v>163</v>
      </c>
      <c r="E14" s="423"/>
      <c r="F14" s="73"/>
      <c r="G14" s="265"/>
      <c r="H14" s="265"/>
      <c r="I14" s="323"/>
      <c r="J14" s="323">
        <f>'June''21 Revenues &amp; Expenses'!I27</f>
        <v>9000</v>
      </c>
      <c r="K14" s="323">
        <v>18000</v>
      </c>
      <c r="L14" s="323"/>
      <c r="M14" s="323">
        <f>'June''21 State of Activities'!J15</f>
        <v>9000</v>
      </c>
      <c r="N14" s="68"/>
      <c r="O14" s="513">
        <f t="shared" si="0"/>
        <v>0</v>
      </c>
      <c r="P14" s="439">
        <f t="shared" si="1"/>
        <v>0</v>
      </c>
      <c r="Q14" s="68"/>
      <c r="R14" s="68"/>
      <c r="S14" s="390"/>
      <c r="T14" s="474"/>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3" t="s">
        <v>107</v>
      </c>
      <c r="D15" s="423"/>
      <c r="E15" s="423"/>
      <c r="F15" s="73"/>
      <c r="G15" s="265">
        <v>0</v>
      </c>
      <c r="H15" s="265">
        <v>3517</v>
      </c>
      <c r="I15" s="323"/>
      <c r="J15" s="323">
        <f>'June''21 State of Activities'!G17</f>
        <v>8228.7000000000007</v>
      </c>
      <c r="K15" s="323">
        <v>12695.06</v>
      </c>
      <c r="L15" s="323"/>
      <c r="M15" s="323">
        <f>'June''21 State of Activities'!J17</f>
        <v>5089.8</v>
      </c>
      <c r="N15" s="68"/>
      <c r="O15" s="513">
        <f t="shared" si="0"/>
        <v>3138.9000000000005</v>
      </c>
      <c r="P15" s="439">
        <f t="shared" si="1"/>
        <v>0.61670399622774974</v>
      </c>
      <c r="Q15" s="68"/>
      <c r="R15" s="68"/>
      <c r="S15" s="390"/>
      <c r="T15" s="474"/>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3" t="s">
        <v>221</v>
      </c>
      <c r="D16" s="423"/>
      <c r="E16" s="423"/>
      <c r="F16" s="73"/>
      <c r="G16" s="265">
        <v>31459</v>
      </c>
      <c r="H16" s="265">
        <v>13920.35</v>
      </c>
      <c r="I16" s="323"/>
      <c r="J16" s="323">
        <f>'June''21 Revenues &amp; Expenses'!H41</f>
        <v>12560.77</v>
      </c>
      <c r="K16" s="323">
        <v>25000</v>
      </c>
      <c r="L16" s="323"/>
      <c r="M16" s="323">
        <v>11805.12</v>
      </c>
      <c r="N16" s="68"/>
      <c r="O16" s="513">
        <f t="shared" si="0"/>
        <v>755.64999999999964</v>
      </c>
      <c r="P16" s="439">
        <f t="shared" si="1"/>
        <v>6.401036160581168E-2</v>
      </c>
      <c r="Q16" s="68"/>
      <c r="R16" s="68"/>
      <c r="S16" s="390"/>
      <c r="T16" s="474"/>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3" t="s">
        <v>390</v>
      </c>
      <c r="D17" s="423"/>
      <c r="E17" s="423"/>
      <c r="F17" s="73"/>
      <c r="G17" s="265"/>
      <c r="H17" s="265"/>
      <c r="I17" s="323"/>
      <c r="J17" s="323">
        <v>15245.26</v>
      </c>
      <c r="K17" s="323">
        <v>26390.61</v>
      </c>
      <c r="L17" s="323"/>
      <c r="M17" s="323">
        <v>8383.35</v>
      </c>
      <c r="N17" s="68"/>
      <c r="O17" s="513">
        <f t="shared" si="0"/>
        <v>6861.91</v>
      </c>
      <c r="P17" s="416">
        <f t="shared" si="1"/>
        <v>0.81851646418197965</v>
      </c>
      <c r="Q17" s="68"/>
      <c r="R17" s="68"/>
      <c r="S17" s="390"/>
      <c r="T17" s="474"/>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3" t="s">
        <v>409</v>
      </c>
      <c r="D18" s="423"/>
      <c r="E18" s="423"/>
      <c r="F18" s="73"/>
      <c r="G18" s="265"/>
      <c r="H18" s="265"/>
      <c r="I18" s="323"/>
      <c r="J18" s="323">
        <f>'June''21 Revenues &amp; Expenses'!H47</f>
        <v>0</v>
      </c>
      <c r="K18" s="323">
        <v>6032.85</v>
      </c>
      <c r="L18" s="323"/>
      <c r="M18" s="323">
        <v>4072.83</v>
      </c>
      <c r="N18" s="68"/>
      <c r="O18" s="513">
        <f t="shared" si="0"/>
        <v>-4072.83</v>
      </c>
      <c r="P18" s="416">
        <f t="shared" si="1"/>
        <v>-1</v>
      </c>
      <c r="Q18" s="68"/>
      <c r="R18" s="68"/>
      <c r="S18" s="390"/>
      <c r="T18" s="474"/>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3" t="s">
        <v>438</v>
      </c>
      <c r="D19" s="423"/>
      <c r="E19" s="423"/>
      <c r="F19" s="73"/>
      <c r="G19" s="265"/>
      <c r="H19" s="265"/>
      <c r="I19" s="323"/>
      <c r="J19" s="323">
        <v>0</v>
      </c>
      <c r="K19" s="323">
        <v>15000</v>
      </c>
      <c r="L19" s="323"/>
      <c r="M19" s="323">
        <v>15000</v>
      </c>
      <c r="N19" s="68"/>
      <c r="O19" s="513">
        <f t="shared" si="0"/>
        <v>-15000</v>
      </c>
      <c r="P19" s="439">
        <f t="shared" si="1"/>
        <v>-1</v>
      </c>
      <c r="Q19" s="68"/>
      <c r="R19" s="68"/>
      <c r="S19" s="390"/>
      <c r="T19" s="474"/>
      <c r="U19" s="363"/>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3" t="s">
        <v>439</v>
      </c>
      <c r="D20" s="423"/>
      <c r="E20" s="423"/>
      <c r="F20" s="73"/>
      <c r="G20" s="265"/>
      <c r="H20" s="265"/>
      <c r="I20" s="323"/>
      <c r="J20" s="323">
        <v>0</v>
      </c>
      <c r="K20" s="323">
        <v>5488</v>
      </c>
      <c r="L20" s="323"/>
      <c r="M20" s="323">
        <v>5488</v>
      </c>
      <c r="N20" s="68"/>
      <c r="O20" s="513">
        <f t="shared" si="0"/>
        <v>-5488</v>
      </c>
      <c r="P20" s="439"/>
      <c r="Q20" s="68"/>
      <c r="R20" s="68"/>
      <c r="S20" s="390"/>
      <c r="T20" s="474"/>
      <c r="U20" s="363"/>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3" t="s">
        <v>342</v>
      </c>
      <c r="D21" s="423"/>
      <c r="E21" s="423"/>
      <c r="F21" s="73"/>
      <c r="G21" s="265"/>
      <c r="H21" s="265"/>
      <c r="I21" s="323"/>
      <c r="J21" s="323">
        <v>0</v>
      </c>
      <c r="K21" s="323">
        <v>190.32</v>
      </c>
      <c r="L21" s="323"/>
      <c r="M21" s="323">
        <v>121.12</v>
      </c>
      <c r="N21" s="68"/>
      <c r="O21" s="513">
        <f t="shared" ref="O21:O22" si="2">J21-M21</f>
        <v>-121.12</v>
      </c>
      <c r="P21" s="439">
        <f t="shared" ref="P21" si="3">O21/M21</f>
        <v>-1</v>
      </c>
      <c r="Q21" s="68"/>
      <c r="R21" s="68"/>
      <c r="S21" s="390"/>
      <c r="T21" s="474"/>
      <c r="U21" s="363"/>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944" t="s">
        <v>345</v>
      </c>
      <c r="D22" s="944"/>
      <c r="E22" s="944"/>
      <c r="F22" s="944"/>
      <c r="G22" s="265"/>
      <c r="H22" s="265"/>
      <c r="I22" s="323"/>
      <c r="J22" s="323">
        <v>0</v>
      </c>
      <c r="K22" s="323">
        <v>65.42</v>
      </c>
      <c r="L22" s="323"/>
      <c r="M22" s="323">
        <f>K22</f>
        <v>65.42</v>
      </c>
      <c r="N22" s="68"/>
      <c r="O22" s="513">
        <f t="shared" si="2"/>
        <v>-65.42</v>
      </c>
      <c r="P22" s="439"/>
      <c r="Q22" s="68"/>
      <c r="R22" s="68"/>
      <c r="S22" s="390"/>
      <c r="T22" s="474"/>
      <c r="U22" s="363"/>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423" t="s">
        <v>351</v>
      </c>
      <c r="D23" s="423"/>
      <c r="E23" s="423"/>
      <c r="F23" s="73"/>
      <c r="G23" s="265">
        <v>1125</v>
      </c>
      <c r="H23" s="265">
        <v>6050</v>
      </c>
      <c r="I23" s="323"/>
      <c r="J23" s="323">
        <v>3150</v>
      </c>
      <c r="K23" s="323">
        <v>0</v>
      </c>
      <c r="L23" s="323"/>
      <c r="M23" s="323">
        <f>'June''21 State of Activities'!J24</f>
        <v>0</v>
      </c>
      <c r="N23" s="68"/>
      <c r="O23" s="513">
        <f t="shared" ref="O23:O28" si="4">J23-M23</f>
        <v>3150</v>
      </c>
      <c r="P23" s="439"/>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423" t="s">
        <v>222</v>
      </c>
      <c r="D24" s="423"/>
      <c r="E24" s="423"/>
      <c r="F24" s="73"/>
      <c r="G24" s="266">
        <v>31250</v>
      </c>
      <c r="H24" s="266">
        <v>15624.98</v>
      </c>
      <c r="I24" s="323"/>
      <c r="J24" s="266">
        <f>'June''21 State of Activities'!G25*0.2</f>
        <v>5274</v>
      </c>
      <c r="K24" s="266">
        <f>'[3]December''20 State of Activities'!H25*0.2</f>
        <v>9315</v>
      </c>
      <c r="L24" s="323"/>
      <c r="M24" s="266">
        <f>'June''21 State of Activities'!J25*0.2</f>
        <v>5274</v>
      </c>
      <c r="N24" s="68"/>
      <c r="O24" s="514">
        <f t="shared" si="4"/>
        <v>0</v>
      </c>
      <c r="P24" s="417">
        <v>0</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3"/>
      <c r="D25" s="73" t="s">
        <v>109</v>
      </c>
      <c r="E25" s="423"/>
      <c r="F25" s="73"/>
      <c r="G25" s="235">
        <v>1161224.25</v>
      </c>
      <c r="H25" s="235">
        <v>516293.30999999994</v>
      </c>
      <c r="I25" s="233"/>
      <c r="J25" s="265">
        <f>SUM(J9:J24)</f>
        <v>126415.8728</v>
      </c>
      <c r="K25" s="265">
        <f>SUM(K9:K24)</f>
        <v>250676.42000000004</v>
      </c>
      <c r="L25" s="323"/>
      <c r="M25" s="265">
        <f>SUM(M9:M24)</f>
        <v>142351.11000000002</v>
      </c>
      <c r="N25" s="68"/>
      <c r="O25" s="276">
        <f t="shared" si="4"/>
        <v>-15935.237200000018</v>
      </c>
      <c r="P25" s="439">
        <f>O25/M25</f>
        <v>-0.11194318892209562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1" thickBot="1" x14ac:dyDescent="0.25">
      <c r="A26" s="73"/>
      <c r="B26" s="73"/>
      <c r="C26" s="73" t="s">
        <v>223</v>
      </c>
      <c r="D26" s="423"/>
      <c r="E26" s="423"/>
      <c r="F26" s="73"/>
      <c r="G26" s="242">
        <v>150176</v>
      </c>
      <c r="H26" s="242">
        <v>47700.27</v>
      </c>
      <c r="I26" s="233"/>
      <c r="J26" s="323">
        <f>18500/12*6</f>
        <v>9250</v>
      </c>
      <c r="K26" s="323">
        <v>19000</v>
      </c>
      <c r="L26" s="323"/>
      <c r="M26" s="323">
        <f>19000/12*6</f>
        <v>9500</v>
      </c>
      <c r="N26" s="68"/>
      <c r="O26" s="513">
        <f t="shared" si="4"/>
        <v>-250</v>
      </c>
      <c r="P26" s="416">
        <f>O26/M26</f>
        <v>-2.6315789473684209E-2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224</v>
      </c>
      <c r="D27" s="423"/>
      <c r="E27" s="423"/>
      <c r="F27" s="73"/>
      <c r="G27" s="233"/>
      <c r="H27" s="233"/>
      <c r="I27" s="233"/>
      <c r="J27" s="266">
        <v>13199.41</v>
      </c>
      <c r="K27" s="266">
        <v>34669.31</v>
      </c>
      <c r="L27" s="323"/>
      <c r="M27" s="266">
        <v>21342.68</v>
      </c>
      <c r="N27" s="68"/>
      <c r="O27" s="380">
        <f t="shared" si="4"/>
        <v>-8143.27</v>
      </c>
      <c r="P27" s="467">
        <f>O27/M27</f>
        <v>-0.38154861526293793</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0.25" x14ac:dyDescent="0.2">
      <c r="A28" s="73"/>
      <c r="B28" s="73"/>
      <c r="C28" s="423"/>
      <c r="D28" s="73" t="s">
        <v>111</v>
      </c>
      <c r="E28" s="423"/>
      <c r="F28" s="73"/>
      <c r="G28" s="235">
        <v>1311400.25</v>
      </c>
      <c r="H28" s="235">
        <v>563993.57999999996</v>
      </c>
      <c r="I28" s="233"/>
      <c r="J28" s="265">
        <f>SUM(J25:J27)</f>
        <v>148865.28280000002</v>
      </c>
      <c r="K28" s="265">
        <f>SUM(K25:K27)</f>
        <v>304345.73000000004</v>
      </c>
      <c r="L28" s="323"/>
      <c r="M28" s="265">
        <f>SUM(M25:M27)</f>
        <v>173193.79</v>
      </c>
      <c r="N28" s="68"/>
      <c r="O28" s="276">
        <f t="shared" si="4"/>
        <v>-24328.507199999993</v>
      </c>
      <c r="P28" s="439">
        <f>O28/M28</f>
        <v>-0.14046985864793415</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3"/>
      <c r="D29" s="73"/>
      <c r="E29" s="423"/>
      <c r="F29" s="73"/>
      <c r="G29" s="235"/>
      <c r="H29" s="235"/>
      <c r="I29" s="233"/>
      <c r="J29" s="323"/>
      <c r="K29" s="600"/>
      <c r="L29" s="323"/>
      <c r="M29" s="323"/>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1" thickBot="1" x14ac:dyDescent="0.25">
      <c r="A30" s="73"/>
      <c r="B30" s="87" t="s">
        <v>115</v>
      </c>
      <c r="C30" s="87"/>
      <c r="D30" s="87"/>
      <c r="E30" s="87"/>
      <c r="F30" s="87"/>
      <c r="G30" s="242"/>
      <c r="H30" s="68"/>
      <c r="I30" s="68"/>
      <c r="J30" s="323"/>
      <c r="K30" s="370"/>
      <c r="L30" s="370"/>
      <c r="M30" s="370"/>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68" customFormat="1" ht="20.25" x14ac:dyDescent="0.2">
      <c r="A31" s="67"/>
      <c r="B31" s="67"/>
      <c r="C31" s="79" t="s">
        <v>225</v>
      </c>
      <c r="D31" s="79"/>
      <c r="E31" s="79"/>
      <c r="F31" s="79"/>
      <c r="G31" s="233">
        <v>733747.79999999993</v>
      </c>
      <c r="H31" s="276">
        <v>361976</v>
      </c>
      <c r="I31" s="276"/>
      <c r="J31" s="323"/>
      <c r="K31" s="402"/>
      <c r="L31" s="402"/>
      <c r="M31" s="402"/>
    </row>
    <row r="32" spans="1:61" s="68" customFormat="1" ht="20.25" x14ac:dyDescent="0.2">
      <c r="A32" s="67"/>
      <c r="B32" s="67"/>
      <c r="C32" s="79"/>
      <c r="D32" s="885" t="s">
        <v>226</v>
      </c>
      <c r="E32" s="885"/>
      <c r="F32" s="885"/>
      <c r="G32" s="233"/>
      <c r="H32" s="276"/>
      <c r="I32" s="276"/>
      <c r="J32" s="323">
        <f>71768.14</f>
        <v>71768.14</v>
      </c>
      <c r="K32" s="323">
        <v>133830.65</v>
      </c>
      <c r="L32" s="402"/>
      <c r="M32" s="323">
        <v>64964.65</v>
      </c>
      <c r="N32" s="370"/>
      <c r="O32" s="402">
        <f t="shared" ref="O32:O52" si="5">J32-M32</f>
        <v>6803.489999999998</v>
      </c>
      <c r="P32" s="439">
        <f>O32/M32</f>
        <v>0.10472603177266403</v>
      </c>
    </row>
    <row r="33" spans="1:18" s="68" customFormat="1" ht="20.25" x14ac:dyDescent="0.2">
      <c r="A33" s="67"/>
      <c r="B33" s="67"/>
      <c r="C33" s="79"/>
      <c r="D33" s="885" t="s">
        <v>227</v>
      </c>
      <c r="E33" s="885"/>
      <c r="F33" s="885"/>
      <c r="G33" s="233"/>
      <c r="H33" s="276"/>
      <c r="I33" s="276"/>
      <c r="J33" s="323">
        <f>21089.05+13596.51</f>
        <v>34685.56</v>
      </c>
      <c r="K33" s="323">
        <f>44061.17+21220.39</f>
        <v>65281.56</v>
      </c>
      <c r="L33" s="402"/>
      <c r="M33" s="323">
        <f>23219.46+7406.6</f>
        <v>30626.059999999998</v>
      </c>
      <c r="N33" s="370"/>
      <c r="O33" s="402">
        <f t="shared" si="5"/>
        <v>4059.5</v>
      </c>
      <c r="P33" s="439">
        <f>O33/M33</f>
        <v>0.13255051416995853</v>
      </c>
      <c r="R33" s="263"/>
    </row>
    <row r="34" spans="1:18" s="68" customFormat="1" ht="20.25" x14ac:dyDescent="0.2">
      <c r="A34" s="67"/>
      <c r="B34" s="67"/>
      <c r="C34" s="79"/>
      <c r="D34" s="885" t="s">
        <v>117</v>
      </c>
      <c r="E34" s="885"/>
      <c r="F34" s="885"/>
      <c r="G34" s="233"/>
      <c r="H34" s="276"/>
      <c r="I34" s="276"/>
      <c r="J34" s="323">
        <f>J32*0.203+J33*0.14</f>
        <v>19424.910820000001</v>
      </c>
      <c r="K34" s="323">
        <v>36601</v>
      </c>
      <c r="L34" s="402"/>
      <c r="M34" s="323">
        <f>M32*0.203+M33*0.14</f>
        <v>17475.472350000004</v>
      </c>
      <c r="N34" s="370"/>
      <c r="O34" s="402">
        <f t="shared" si="5"/>
        <v>1949.4384699999973</v>
      </c>
      <c r="P34" s="439">
        <f>O34/M34</f>
        <v>0.11155283422138784</v>
      </c>
    </row>
    <row r="35" spans="1:18" s="68" customFormat="1" ht="20.25" x14ac:dyDescent="0.2">
      <c r="A35" s="67"/>
      <c r="B35" s="67"/>
      <c r="C35" s="79" t="s">
        <v>285</v>
      </c>
      <c r="D35" s="79"/>
      <c r="E35" s="79"/>
      <c r="F35" s="79"/>
      <c r="G35" s="233">
        <v>44745.18</v>
      </c>
      <c r="H35" s="233">
        <v>20974.21</v>
      </c>
      <c r="I35" s="233"/>
      <c r="J35" s="801"/>
      <c r="K35" s="801"/>
      <c r="L35" s="801"/>
      <c r="M35" s="801"/>
      <c r="N35" s="370"/>
      <c r="O35" s="402">
        <f t="shared" si="5"/>
        <v>0</v>
      </c>
      <c r="P35" s="439"/>
    </row>
    <row r="36" spans="1:18" s="68" customFormat="1" ht="20.25" x14ac:dyDescent="0.2">
      <c r="A36" s="67"/>
      <c r="B36" s="67"/>
      <c r="C36" s="79"/>
      <c r="D36" s="885" t="s">
        <v>228</v>
      </c>
      <c r="E36" s="885"/>
      <c r="F36" s="885"/>
      <c r="G36" s="233"/>
      <c r="H36" s="233"/>
      <c r="I36" s="233"/>
      <c r="J36" s="323">
        <v>10842.77</v>
      </c>
      <c r="K36" s="323">
        <v>15135.29</v>
      </c>
      <c r="L36" s="323"/>
      <c r="M36" s="323">
        <v>7876.42</v>
      </c>
      <c r="N36" s="370"/>
      <c r="O36" s="402">
        <f t="shared" si="5"/>
        <v>2966.3500000000004</v>
      </c>
      <c r="P36" s="439">
        <f t="shared" ref="P36:P43" si="6">O36/M36</f>
        <v>0.37661145545819041</v>
      </c>
    </row>
    <row r="37" spans="1:18" s="68" customFormat="1" ht="20.25" x14ac:dyDescent="0.2">
      <c r="A37" s="67"/>
      <c r="B37" s="67"/>
      <c r="C37" s="79"/>
      <c r="D37" s="885" t="s">
        <v>229</v>
      </c>
      <c r="E37" s="885"/>
      <c r="F37" s="885"/>
      <c r="G37" s="233"/>
      <c r="H37" s="233"/>
      <c r="I37" s="233"/>
      <c r="J37" s="323">
        <v>11927.25</v>
      </c>
      <c r="K37" s="323">
        <v>22636.98</v>
      </c>
      <c r="L37" s="323"/>
      <c r="M37" s="323">
        <f>11295.13</f>
        <v>11295.13</v>
      </c>
      <c r="N37" s="370"/>
      <c r="O37" s="402">
        <f t="shared" si="5"/>
        <v>632.1200000000008</v>
      </c>
      <c r="P37" s="439">
        <f t="shared" si="6"/>
        <v>5.5963941982075535E-2</v>
      </c>
    </row>
    <row r="38" spans="1:18" s="68" customFormat="1" ht="20.25" x14ac:dyDescent="0.2">
      <c r="A38" s="67"/>
      <c r="B38" s="67"/>
      <c r="C38" s="79"/>
      <c r="D38" s="885" t="s">
        <v>311</v>
      </c>
      <c r="E38" s="885"/>
      <c r="F38" s="885"/>
      <c r="G38" s="233"/>
      <c r="H38" s="233"/>
      <c r="I38" s="233"/>
      <c r="J38" s="323">
        <f>8428.54</f>
        <v>8428.5400000000009</v>
      </c>
      <c r="K38" s="323">
        <v>11030.88</v>
      </c>
      <c r="L38" s="323"/>
      <c r="M38" s="323">
        <f>6843.9</f>
        <v>6843.9</v>
      </c>
      <c r="N38" s="370"/>
      <c r="O38" s="402">
        <f t="shared" si="5"/>
        <v>1584.6400000000012</v>
      </c>
      <c r="P38" s="439">
        <f t="shared" si="6"/>
        <v>0.23154049591607143</v>
      </c>
    </row>
    <row r="39" spans="1:18" s="68" customFormat="1" ht="20.25" x14ac:dyDescent="0.2">
      <c r="A39" s="67"/>
      <c r="B39" s="67"/>
      <c r="C39" s="79"/>
      <c r="D39" s="885" t="s">
        <v>230</v>
      </c>
      <c r="E39" s="885"/>
      <c r="F39" s="885"/>
      <c r="G39" s="233"/>
      <c r="H39" s="233"/>
      <c r="I39" s="233"/>
      <c r="J39" s="323">
        <f>408.5</f>
        <v>408.5</v>
      </c>
      <c r="K39" s="323">
        <v>397</v>
      </c>
      <c r="L39" s="323"/>
      <c r="M39" s="323">
        <f>310</f>
        <v>310</v>
      </c>
      <c r="N39" s="370"/>
      <c r="O39" s="402">
        <f t="shared" si="5"/>
        <v>98.5</v>
      </c>
      <c r="P39" s="439">
        <f t="shared" si="6"/>
        <v>0.31774193548387097</v>
      </c>
    </row>
    <row r="40" spans="1:18" s="68" customFormat="1" ht="20.25" x14ac:dyDescent="0.2">
      <c r="A40" s="67"/>
      <c r="B40" s="67"/>
      <c r="C40" s="79" t="s">
        <v>231</v>
      </c>
      <c r="D40" s="79"/>
      <c r="E40" s="79"/>
      <c r="F40" s="79"/>
      <c r="G40" s="233">
        <v>27200</v>
      </c>
      <c r="H40" s="233">
        <v>11327</v>
      </c>
      <c r="I40" s="233"/>
      <c r="J40" s="323">
        <f>14240+952</f>
        <v>15192</v>
      </c>
      <c r="K40" s="323">
        <f>29909+1860</f>
        <v>31769</v>
      </c>
      <c r="L40" s="323"/>
      <c r="M40" s="323">
        <f>930+14721</f>
        <v>15651</v>
      </c>
      <c r="N40" s="370"/>
      <c r="O40" s="402">
        <f t="shared" si="5"/>
        <v>-459</v>
      </c>
      <c r="P40" s="439">
        <f t="shared" si="6"/>
        <v>-2.9327199539965498E-2</v>
      </c>
    </row>
    <row r="41" spans="1:18" s="68" customFormat="1" ht="20.25" x14ac:dyDescent="0.2">
      <c r="A41" s="67"/>
      <c r="B41" s="67"/>
      <c r="C41" s="79" t="s">
        <v>108</v>
      </c>
      <c r="D41" s="79"/>
      <c r="E41" s="79"/>
      <c r="F41" s="79"/>
      <c r="G41" s="233">
        <v>150176</v>
      </c>
      <c r="H41" s="276">
        <v>47700.27</v>
      </c>
      <c r="I41" s="276"/>
      <c r="J41" s="323">
        <f>J24</f>
        <v>5274</v>
      </c>
      <c r="K41" s="323">
        <f>K24</f>
        <v>9315</v>
      </c>
      <c r="L41" s="402"/>
      <c r="M41" s="323">
        <f>M24</f>
        <v>5274</v>
      </c>
      <c r="N41" s="370"/>
      <c r="O41" s="402">
        <f t="shared" si="5"/>
        <v>0</v>
      </c>
      <c r="P41" s="439">
        <f t="shared" si="6"/>
        <v>0</v>
      </c>
    </row>
    <row r="42" spans="1:18" s="68" customFormat="1" ht="20.25" x14ac:dyDescent="0.2">
      <c r="A42" s="67"/>
      <c r="B42" s="67"/>
      <c r="C42" s="79" t="s">
        <v>320</v>
      </c>
      <c r="D42" s="79"/>
      <c r="E42" s="79"/>
      <c r="F42" s="79"/>
      <c r="G42" s="233"/>
      <c r="H42" s="276"/>
      <c r="I42" s="276"/>
      <c r="J42" s="323">
        <f>2032.94</f>
        <v>2032.94</v>
      </c>
      <c r="K42" s="323">
        <v>4682.25</v>
      </c>
      <c r="L42" s="402"/>
      <c r="M42" s="323">
        <f>2462</f>
        <v>2462</v>
      </c>
      <c r="N42" s="370"/>
      <c r="O42" s="402">
        <f t="shared" si="5"/>
        <v>-429.05999999999995</v>
      </c>
      <c r="P42" s="439">
        <f t="shared" si="6"/>
        <v>-0.17427294882209585</v>
      </c>
    </row>
    <row r="43" spans="1:18" s="68" customFormat="1" ht="20.25" x14ac:dyDescent="0.2">
      <c r="A43" s="67"/>
      <c r="B43" s="67"/>
      <c r="C43" s="79" t="s">
        <v>232</v>
      </c>
      <c r="D43" s="79"/>
      <c r="E43" s="79"/>
      <c r="F43" s="79"/>
      <c r="G43" s="233"/>
      <c r="H43" s="276"/>
      <c r="I43" s="276"/>
      <c r="J43" s="323">
        <f>99+937</f>
        <v>1036</v>
      </c>
      <c r="K43" s="323">
        <v>982</v>
      </c>
      <c r="L43" s="402"/>
      <c r="M43" s="323">
        <f>982</f>
        <v>982</v>
      </c>
      <c r="N43" s="370"/>
      <c r="O43" s="402">
        <f t="shared" si="5"/>
        <v>54</v>
      </c>
      <c r="P43" s="439">
        <f t="shared" si="6"/>
        <v>5.4989816700610997E-2</v>
      </c>
    </row>
    <row r="44" spans="1:18" s="68" customFormat="1" ht="20.25" x14ac:dyDescent="0.2">
      <c r="A44" s="67"/>
      <c r="B44" s="67"/>
      <c r="C44" s="79" t="s">
        <v>393</v>
      </c>
      <c r="D44" s="79"/>
      <c r="E44" s="79"/>
      <c r="F44" s="79"/>
      <c r="G44" s="233">
        <v>10993.12</v>
      </c>
      <c r="H44" s="276">
        <v>4904.57</v>
      </c>
      <c r="I44" s="276"/>
      <c r="J44" s="323">
        <f>3987.45</f>
        <v>3987.45</v>
      </c>
      <c r="K44" s="323">
        <v>7774.44</v>
      </c>
      <c r="L44" s="402"/>
      <c r="M44" s="323">
        <f>3904.5</f>
        <v>3904.5</v>
      </c>
      <c r="N44" s="370"/>
      <c r="O44" s="402">
        <f t="shared" si="5"/>
        <v>82.949999999999818</v>
      </c>
      <c r="P44" s="439">
        <f>O44/M44</f>
        <v>2.1244717633499763E-2</v>
      </c>
    </row>
    <row r="45" spans="1:18" s="68" customFormat="1" ht="20.25" x14ac:dyDescent="0.2">
      <c r="A45" s="67"/>
      <c r="B45" s="67"/>
      <c r="C45" s="79" t="s">
        <v>233</v>
      </c>
      <c r="D45" s="79"/>
      <c r="E45" s="79"/>
      <c r="F45" s="79"/>
      <c r="G45" s="233">
        <v>10250.949999999999</v>
      </c>
      <c r="H45" s="276">
        <v>3982.99</v>
      </c>
      <c r="I45" s="276"/>
      <c r="J45" s="323">
        <f>46.7+402.84</f>
        <v>449.53999999999996</v>
      </c>
      <c r="K45" s="323">
        <v>636.94000000000005</v>
      </c>
      <c r="L45" s="402"/>
      <c r="M45" s="323">
        <f>81.7+233.66</f>
        <v>315.36</v>
      </c>
      <c r="N45" s="370"/>
      <c r="O45" s="402">
        <f t="shared" si="5"/>
        <v>134.17999999999995</v>
      </c>
      <c r="P45" s="439">
        <f>O45/M45</f>
        <v>0.42548198883815302</v>
      </c>
    </row>
    <row r="46" spans="1:18" s="68" customFormat="1" ht="20.25" x14ac:dyDescent="0.2">
      <c r="A46" s="67"/>
      <c r="B46" s="67"/>
      <c r="C46" s="79" t="s">
        <v>126</v>
      </c>
      <c r="D46" s="79"/>
      <c r="E46" s="79"/>
      <c r="F46" s="79"/>
      <c r="G46" s="233">
        <v>4412.53</v>
      </c>
      <c r="H46" s="277">
        <v>5667</v>
      </c>
      <c r="I46" s="277"/>
      <c r="J46" s="323">
        <f>1735.64</f>
        <v>1735.64</v>
      </c>
      <c r="K46" s="323">
        <v>2528.2399999999998</v>
      </c>
      <c r="L46" s="403"/>
      <c r="M46" s="323">
        <f>1420.79</f>
        <v>1420.79</v>
      </c>
      <c r="N46" s="370"/>
      <c r="O46" s="402">
        <f t="shared" si="5"/>
        <v>314.85000000000014</v>
      </c>
      <c r="P46" s="439">
        <f>O46/M46</f>
        <v>0.22160206645598585</v>
      </c>
    </row>
    <row r="47" spans="1:18" s="68" customFormat="1" ht="20.25" x14ac:dyDescent="0.2">
      <c r="A47" s="67"/>
      <c r="B47" s="67"/>
      <c r="C47" s="79" t="s">
        <v>124</v>
      </c>
      <c r="D47" s="79"/>
      <c r="E47" s="79"/>
      <c r="F47" s="79"/>
      <c r="G47" s="233">
        <v>7901</v>
      </c>
      <c r="H47" s="276">
        <v>4149.6000000000004</v>
      </c>
      <c r="I47" s="276"/>
      <c r="J47" s="323">
        <f>159.6</f>
        <v>159.6</v>
      </c>
      <c r="K47" s="323">
        <v>385.18</v>
      </c>
      <c r="L47" s="402"/>
      <c r="M47" s="323">
        <f>152.34</f>
        <v>152.34</v>
      </c>
      <c r="N47" s="370"/>
      <c r="O47" s="402">
        <f t="shared" si="5"/>
        <v>7.2599999999999909</v>
      </c>
      <c r="P47" s="439">
        <f>O47/M47</f>
        <v>4.765655769988178E-2</v>
      </c>
    </row>
    <row r="48" spans="1:18" s="68" customFormat="1" ht="20.25" hidden="1" x14ac:dyDescent="0.2">
      <c r="A48" s="67"/>
      <c r="B48" s="67"/>
      <c r="C48" s="79" t="s">
        <v>234</v>
      </c>
      <c r="D48" s="79"/>
      <c r="E48" s="79"/>
      <c r="F48" s="79"/>
      <c r="G48" s="233"/>
      <c r="H48" s="276"/>
      <c r="I48" s="276"/>
      <c r="J48" s="323"/>
      <c r="K48" s="323"/>
      <c r="L48" s="402"/>
      <c r="M48" s="323"/>
      <c r="N48" s="370"/>
      <c r="O48" s="402">
        <f t="shared" si="5"/>
        <v>0</v>
      </c>
      <c r="P48" s="439"/>
    </row>
    <row r="49" spans="1:18" s="76" customFormat="1" ht="20.25" x14ac:dyDescent="0.2">
      <c r="A49" s="79"/>
      <c r="B49" s="79"/>
      <c r="C49" s="79" t="s">
        <v>120</v>
      </c>
      <c r="D49" s="79"/>
      <c r="E49" s="79"/>
      <c r="F49" s="79"/>
      <c r="G49" s="233">
        <v>5428.37</v>
      </c>
      <c r="H49" s="276">
        <v>2024.52</v>
      </c>
      <c r="I49" s="276"/>
      <c r="J49" s="323">
        <f>176.79</f>
        <v>176.79</v>
      </c>
      <c r="K49" s="323">
        <v>265.58</v>
      </c>
      <c r="L49" s="402"/>
      <c r="M49" s="323">
        <f>207.91</f>
        <v>207.91</v>
      </c>
      <c r="N49" s="369"/>
      <c r="O49" s="402">
        <f t="shared" si="5"/>
        <v>-31.120000000000005</v>
      </c>
      <c r="P49" s="439">
        <f>O49/M49</f>
        <v>-0.14968015006493196</v>
      </c>
    </row>
    <row r="50" spans="1:18" s="76" customFormat="1" ht="20.25" x14ac:dyDescent="0.2">
      <c r="A50" s="79"/>
      <c r="B50" s="79"/>
      <c r="C50" s="79" t="s">
        <v>235</v>
      </c>
      <c r="D50" s="79"/>
      <c r="E50" s="79"/>
      <c r="F50" s="79"/>
      <c r="G50" s="233">
        <v>83462.91</v>
      </c>
      <c r="H50" s="233">
        <v>18995.71</v>
      </c>
      <c r="I50" s="233"/>
      <c r="J50" s="401">
        <f>201.5+9.64+15.3+7.65+19.8</f>
        <v>253.89000000000001</v>
      </c>
      <c r="K50" s="401">
        <v>938.98</v>
      </c>
      <c r="L50" s="323"/>
      <c r="M50" s="401">
        <f>43.18+228.45</f>
        <v>271.63</v>
      </c>
      <c r="N50" s="369"/>
      <c r="O50" s="723">
        <f t="shared" si="5"/>
        <v>-17.739999999999981</v>
      </c>
      <c r="P50" s="515">
        <f>O50/M50</f>
        <v>-6.5309428266391717E-2</v>
      </c>
    </row>
    <row r="51" spans="1:18" s="68" customFormat="1" ht="21" thickBot="1" x14ac:dyDescent="0.25">
      <c r="A51" s="67"/>
      <c r="B51" s="67"/>
      <c r="C51" s="67"/>
      <c r="D51" s="73" t="s">
        <v>132</v>
      </c>
      <c r="E51" s="67"/>
      <c r="F51" s="67"/>
      <c r="G51" s="242">
        <v>1078317.8599999999</v>
      </c>
      <c r="H51" s="242">
        <v>481701.87000000005</v>
      </c>
      <c r="I51" s="233"/>
      <c r="J51" s="469">
        <f>SUM(J32:J50)</f>
        <v>187783.52082000006</v>
      </c>
      <c r="K51" s="469">
        <f>SUM(K32:K50)</f>
        <v>344190.97</v>
      </c>
      <c r="L51" s="323"/>
      <c r="M51" s="469">
        <f>SUM(M32:M50)</f>
        <v>170033.16234999997</v>
      </c>
      <c r="O51" s="469">
        <f t="shared" si="5"/>
        <v>17750.358470000094</v>
      </c>
      <c r="P51" s="467">
        <f>O51/M51</f>
        <v>0.10439350903479858</v>
      </c>
      <c r="R51" s="342"/>
    </row>
    <row r="52" spans="1:18" s="68" customFormat="1" ht="21" thickBot="1" x14ac:dyDescent="0.25">
      <c r="A52" s="67"/>
      <c r="B52" s="67"/>
      <c r="C52" s="67"/>
      <c r="D52" s="67" t="s">
        <v>133</v>
      </c>
      <c r="E52" s="67"/>
      <c r="F52" s="67"/>
      <c r="G52" s="242">
        <v>233082.39000000013</v>
      </c>
      <c r="H52" s="242">
        <v>82291.709999999905</v>
      </c>
      <c r="I52" s="233"/>
      <c r="J52" s="470">
        <f>J28-J51</f>
        <v>-38918.238020000048</v>
      </c>
      <c r="K52" s="470">
        <f>K28-K51</f>
        <v>-39845.239999999932</v>
      </c>
      <c r="L52" s="323"/>
      <c r="M52" s="470">
        <f>M28-M51</f>
        <v>3160.6276500000386</v>
      </c>
      <c r="O52" s="380">
        <f t="shared" si="5"/>
        <v>-42078.865670000087</v>
      </c>
      <c r="P52" s="467">
        <f>O52/M52</f>
        <v>-13.313452367601597</v>
      </c>
    </row>
    <row r="53" spans="1:18" s="68" customFormat="1" ht="20.25" x14ac:dyDescent="0.2">
      <c r="A53" s="67"/>
      <c r="B53" s="67"/>
      <c r="C53" s="67"/>
      <c r="D53" s="67"/>
      <c r="E53" s="67"/>
      <c r="F53" s="67"/>
      <c r="G53" s="233"/>
      <c r="H53" s="233"/>
      <c r="I53" s="233"/>
      <c r="J53" s="323"/>
      <c r="K53" s="323"/>
      <c r="L53" s="323"/>
      <c r="M53" s="323"/>
    </row>
    <row r="54" spans="1:18" s="65" customFormat="1" ht="26.25" x14ac:dyDescent="0.2">
      <c r="A54" s="269"/>
      <c r="B54" s="269"/>
      <c r="C54" s="79" t="s">
        <v>270</v>
      </c>
      <c r="E54" s="79"/>
      <c r="F54" s="79"/>
      <c r="G54" s="271"/>
      <c r="H54" s="233"/>
      <c r="I54" s="233"/>
      <c r="J54" s="323"/>
      <c r="K54" s="323"/>
      <c r="L54" s="323"/>
      <c r="M54" s="323"/>
      <c r="O54" s="276">
        <f>J54-M54</f>
        <v>0</v>
      </c>
      <c r="P54" s="416"/>
    </row>
    <row r="55" spans="1:18" s="68" customFormat="1" ht="20.25" x14ac:dyDescent="0.2">
      <c r="A55" s="67"/>
      <c r="B55" s="67"/>
      <c r="C55" s="79" t="s">
        <v>236</v>
      </c>
      <c r="E55" s="67"/>
      <c r="G55" s="233"/>
      <c r="H55" s="233"/>
      <c r="I55" s="233"/>
      <c r="J55" s="323">
        <f>J40</f>
        <v>15192</v>
      </c>
      <c r="K55" s="323">
        <f>K40</f>
        <v>31769</v>
      </c>
      <c r="L55" s="323"/>
      <c r="M55" s="323">
        <f>M40</f>
        <v>15651</v>
      </c>
      <c r="O55" s="276">
        <f>J55-M55</f>
        <v>-459</v>
      </c>
      <c r="P55" s="416">
        <v>3.5414486921529216E-2</v>
      </c>
    </row>
    <row r="56" spans="1:18" s="68" customFormat="1" ht="24" thickBot="1" x14ac:dyDescent="0.25">
      <c r="A56" s="67"/>
      <c r="B56" s="399"/>
      <c r="C56" s="67"/>
      <c r="D56" s="943" t="s">
        <v>237</v>
      </c>
      <c r="E56" s="943"/>
      <c r="F56" s="943"/>
      <c r="G56" s="233"/>
      <c r="H56" s="233"/>
      <c r="I56" s="233"/>
      <c r="J56" s="471">
        <f>J52+J54+J55</f>
        <v>-23726.238020000048</v>
      </c>
      <c r="K56" s="471">
        <f>K52+K54+K55</f>
        <v>-8076.2399999999325</v>
      </c>
      <c r="L56" s="327"/>
      <c r="M56" s="471">
        <f>M52+M54+M55</f>
        <v>18811.627650000039</v>
      </c>
      <c r="N56" s="390"/>
      <c r="O56" s="468">
        <f>J56-M56</f>
        <v>-42537.865670000087</v>
      </c>
      <c r="P56" s="505">
        <v>2.1062768618503362E-2</v>
      </c>
    </row>
    <row r="57" spans="1:18" s="68" customFormat="1" ht="42" customHeight="1" thickTop="1" x14ac:dyDescent="0.2">
      <c r="A57" s="67"/>
      <c r="B57" s="67"/>
      <c r="C57" s="67"/>
      <c r="D57" s="67"/>
      <c r="E57" s="67"/>
      <c r="F57" s="67"/>
      <c r="G57" s="233"/>
      <c r="H57" s="233"/>
      <c r="I57" s="233"/>
      <c r="J57" s="323"/>
      <c r="K57" s="323"/>
      <c r="L57" s="323"/>
      <c r="M57" s="323"/>
    </row>
    <row r="58" spans="1:18" s="76" customFormat="1" ht="20.25" x14ac:dyDescent="0.2">
      <c r="A58" s="79"/>
      <c r="B58" s="79"/>
      <c r="C58" s="79"/>
      <c r="D58" s="79"/>
      <c r="F58" s="79" t="s">
        <v>316</v>
      </c>
      <c r="G58" s="247"/>
      <c r="H58" s="233"/>
      <c r="I58" s="233"/>
      <c r="J58" s="323">
        <v>100662</v>
      </c>
      <c r="K58" s="323">
        <v>178650</v>
      </c>
      <c r="L58" s="323"/>
      <c r="M58" s="323">
        <v>87598</v>
      </c>
      <c r="O58" s="248"/>
    </row>
    <row r="59" spans="1:18" s="76" customFormat="1" ht="21" thickBot="1" x14ac:dyDescent="0.25">
      <c r="A59" s="79"/>
      <c r="B59" s="79"/>
      <c r="C59" s="79"/>
      <c r="D59" s="79"/>
      <c r="F59" s="79" t="s">
        <v>321</v>
      </c>
      <c r="G59" s="233"/>
      <c r="H59" s="233"/>
      <c r="I59" s="233"/>
      <c r="J59" s="617">
        <f>(J51-J40-J41)/J58</f>
        <v>1.6621716319961859</v>
      </c>
      <c r="K59" s="617">
        <f>(K51-K40-K41)/K58</f>
        <v>1.6966525048978447</v>
      </c>
      <c r="L59" s="618"/>
      <c r="M59" s="617">
        <f>(M51-M40-M41)/M58</f>
        <v>1.7021868347450853</v>
      </c>
    </row>
    <row r="60" spans="1:18" s="76" customFormat="1" ht="20.25" x14ac:dyDescent="0.2">
      <c r="A60" s="79"/>
      <c r="B60" s="79"/>
      <c r="C60" s="79"/>
      <c r="D60" s="79"/>
      <c r="F60" s="79"/>
      <c r="G60" s="233"/>
      <c r="H60" s="233"/>
      <c r="I60" s="233"/>
      <c r="J60" s="323"/>
      <c r="K60" s="323"/>
      <c r="L60" s="323"/>
      <c r="M60" s="323"/>
    </row>
    <row r="61" spans="1:18" s="76" customFormat="1" ht="20.25" x14ac:dyDescent="0.2">
      <c r="A61" s="79"/>
      <c r="B61" s="79"/>
      <c r="C61" s="79"/>
      <c r="D61" s="79"/>
      <c r="F61" s="79" t="s">
        <v>317</v>
      </c>
      <c r="G61" s="233"/>
      <c r="H61" s="233"/>
      <c r="I61" s="233"/>
      <c r="J61" s="323">
        <v>4835</v>
      </c>
      <c r="K61" s="323">
        <v>10151</v>
      </c>
      <c r="L61" s="323"/>
      <c r="M61" s="323">
        <v>5538</v>
      </c>
      <c r="P61" s="248"/>
    </row>
    <row r="62" spans="1:18" s="76" customFormat="1" ht="21" thickBot="1" x14ac:dyDescent="0.25">
      <c r="A62" s="79"/>
      <c r="B62" s="79"/>
      <c r="C62" s="79"/>
      <c r="D62" s="79"/>
      <c r="F62" s="79" t="s">
        <v>382</v>
      </c>
      <c r="G62" s="233"/>
      <c r="H62" s="233"/>
      <c r="I62" s="233"/>
      <c r="J62" s="617">
        <f>(J51-J40-J41)/J61</f>
        <v>34.605485174767338</v>
      </c>
      <c r="K62" s="617">
        <f>(K51-K40-K41)/K61</f>
        <v>29.859813811447147</v>
      </c>
      <c r="L62" s="323"/>
      <c r="M62" s="617">
        <f>(M51-M40-M41)/M61</f>
        <v>26.92455080353918</v>
      </c>
    </row>
    <row r="63" spans="1:18" s="76" customFormat="1" ht="20.25" x14ac:dyDescent="0.2">
      <c r="A63" s="79"/>
      <c r="B63" s="79"/>
      <c r="C63" s="79"/>
      <c r="D63" s="79"/>
      <c r="F63" s="79"/>
      <c r="G63" s="233"/>
      <c r="H63" s="233"/>
      <c r="I63" s="233"/>
      <c r="J63" s="323"/>
      <c r="K63" s="323"/>
      <c r="L63" s="323"/>
      <c r="M63" s="323"/>
    </row>
    <row r="64" spans="1:18" s="76" customFormat="1" ht="20.25" x14ac:dyDescent="0.2">
      <c r="A64" s="79"/>
      <c r="B64" s="79"/>
      <c r="C64" s="67"/>
      <c r="D64" s="79"/>
      <c r="F64" s="79" t="s">
        <v>318</v>
      </c>
      <c r="G64" s="233"/>
      <c r="H64" s="233"/>
      <c r="I64" s="233"/>
      <c r="J64" s="323">
        <v>1056</v>
      </c>
      <c r="K64" s="323">
        <v>2696</v>
      </c>
      <c r="L64" s="323"/>
      <c r="M64" s="323">
        <v>1784</v>
      </c>
    </row>
    <row r="65" spans="1:13" s="76" customFormat="1" ht="21" thickBot="1" x14ac:dyDescent="0.25">
      <c r="A65" s="79"/>
      <c r="B65" s="79"/>
      <c r="C65" s="79"/>
      <c r="D65" s="79"/>
      <c r="E65" s="79"/>
      <c r="F65" s="79" t="s">
        <v>383</v>
      </c>
      <c r="G65" s="233"/>
      <c r="H65" s="233"/>
      <c r="I65" s="233"/>
      <c r="J65" s="617">
        <f>J9/J64</f>
        <v>34.883901515151514</v>
      </c>
      <c r="K65" s="617">
        <f>K9/K64</f>
        <v>25.248538575667656</v>
      </c>
      <c r="L65" s="323"/>
      <c r="M65" s="617">
        <f>M9/M64</f>
        <v>23.039837443946187</v>
      </c>
    </row>
    <row r="66" spans="1:13" s="76" customFormat="1" ht="20.25" x14ac:dyDescent="0.2">
      <c r="A66" s="79"/>
      <c r="B66" s="79"/>
      <c r="C66" s="67"/>
      <c r="D66" s="67"/>
      <c r="G66" s="233"/>
      <c r="H66" s="233"/>
      <c r="I66" s="233"/>
      <c r="J66" s="323"/>
      <c r="K66" s="323"/>
      <c r="L66" s="323"/>
      <c r="M66" s="323"/>
    </row>
    <row r="67" spans="1:13" s="76" customFormat="1" ht="20.25" x14ac:dyDescent="0.2">
      <c r="A67" s="79"/>
      <c r="B67" s="79"/>
      <c r="C67" s="79"/>
      <c r="D67" s="79"/>
      <c r="E67" s="79"/>
      <c r="F67" s="79"/>
      <c r="G67" s="233"/>
      <c r="H67" s="233"/>
      <c r="I67" s="233"/>
      <c r="J67" s="233"/>
      <c r="K67" s="233"/>
      <c r="L67" s="233"/>
      <c r="M67" s="233"/>
    </row>
    <row r="68" spans="1:13" s="76" customFormat="1" ht="20.25" x14ac:dyDescent="0.2">
      <c r="A68" s="79"/>
      <c r="B68" s="79"/>
      <c r="C68" s="79"/>
      <c r="D68" s="79"/>
      <c r="E68" s="79"/>
      <c r="F68" s="79"/>
      <c r="G68" s="233"/>
      <c r="H68" s="233"/>
      <c r="I68" s="233"/>
      <c r="J68" s="233"/>
      <c r="K68" s="233"/>
      <c r="L68" s="233"/>
      <c r="M68" s="233"/>
    </row>
    <row r="69" spans="1:13" s="76" customFormat="1" ht="20.25" x14ac:dyDescent="0.2">
      <c r="A69" s="79"/>
      <c r="B69" s="79"/>
      <c r="C69" s="67"/>
      <c r="D69" s="79"/>
      <c r="F69" s="79"/>
      <c r="G69" s="233"/>
      <c r="H69" s="233"/>
      <c r="I69" s="233"/>
      <c r="J69" s="233"/>
      <c r="K69" s="233"/>
      <c r="L69" s="233"/>
      <c r="M69" s="233"/>
    </row>
    <row r="70" spans="1:13" s="76" customFormat="1" ht="20.25" x14ac:dyDescent="0.2">
      <c r="A70" s="79"/>
      <c r="B70" s="79"/>
      <c r="C70" s="79"/>
      <c r="D70" s="79"/>
      <c r="E70" s="79"/>
      <c r="F70" s="79"/>
      <c r="G70" s="233"/>
      <c r="H70" s="233"/>
      <c r="I70" s="233"/>
      <c r="J70" s="233"/>
      <c r="K70" s="233"/>
      <c r="L70" s="233"/>
      <c r="M70" s="233"/>
    </row>
    <row r="71" spans="1:13" s="68" customFormat="1" ht="20.25" x14ac:dyDescent="0.2">
      <c r="A71" s="67"/>
      <c r="B71" s="67"/>
      <c r="C71" s="67"/>
      <c r="D71" s="67"/>
      <c r="E71" s="67"/>
      <c r="F71" s="67"/>
      <c r="G71" s="238"/>
      <c r="H71" s="238"/>
      <c r="I71" s="238"/>
      <c r="J71" s="238"/>
      <c r="K71" s="238"/>
      <c r="L71" s="238"/>
      <c r="M71" s="238"/>
    </row>
    <row r="72" spans="1:13" s="68" customFormat="1" ht="20.25" x14ac:dyDescent="0.2">
      <c r="A72" s="67"/>
      <c r="B72" s="67"/>
      <c r="C72" s="67"/>
      <c r="D72" s="67"/>
      <c r="E72" s="67"/>
      <c r="F72" s="67"/>
      <c r="G72" s="238"/>
      <c r="H72" s="238"/>
      <c r="I72" s="238"/>
      <c r="J72" s="238"/>
      <c r="K72" s="238"/>
      <c r="L72" s="238"/>
      <c r="M72" s="238"/>
    </row>
    <row r="73" spans="1:13" s="68" customFormat="1" ht="23.25" x14ac:dyDescent="0.2">
      <c r="A73" s="67"/>
      <c r="B73" s="272"/>
      <c r="C73" s="67"/>
      <c r="D73" s="67"/>
      <c r="E73" s="67"/>
      <c r="F73" s="67"/>
      <c r="G73" s="233"/>
      <c r="H73" s="233"/>
      <c r="I73" s="233"/>
      <c r="J73" s="233"/>
      <c r="K73" s="233"/>
      <c r="L73" s="233"/>
      <c r="M73" s="233"/>
    </row>
    <row r="74" spans="1:13" s="76" customFormat="1" ht="20.25" x14ac:dyDescent="0.2">
      <c r="A74" s="79"/>
      <c r="B74" s="79"/>
      <c r="D74" s="79"/>
      <c r="E74" s="79"/>
      <c r="F74" s="79"/>
      <c r="G74" s="233"/>
      <c r="H74" s="233"/>
      <c r="I74" s="233"/>
      <c r="J74" s="233"/>
      <c r="K74" s="233"/>
      <c r="L74" s="233"/>
      <c r="M74" s="233"/>
    </row>
    <row r="75" spans="1:13" s="76" customFormat="1" ht="20.25" x14ac:dyDescent="0.2">
      <c r="A75" s="79"/>
      <c r="B75" s="79"/>
      <c r="D75" s="79"/>
      <c r="E75" s="79"/>
      <c r="F75" s="79"/>
      <c r="G75" s="233"/>
      <c r="H75" s="233"/>
      <c r="I75" s="233"/>
      <c r="J75" s="233"/>
      <c r="K75" s="233"/>
      <c r="L75" s="233"/>
      <c r="M75" s="233"/>
    </row>
    <row r="76" spans="1:13" s="68" customFormat="1" ht="20.25" x14ac:dyDescent="0.2">
      <c r="A76" s="67"/>
      <c r="B76" s="67"/>
      <c r="D76" s="79"/>
      <c r="E76" s="67"/>
      <c r="F76" s="67"/>
      <c r="G76" s="233"/>
      <c r="H76" s="233"/>
      <c r="I76" s="233"/>
      <c r="J76" s="233"/>
      <c r="K76" s="233"/>
      <c r="L76" s="233"/>
      <c r="M76" s="233"/>
    </row>
    <row r="77" spans="1:13" s="68" customFormat="1" ht="23.25" x14ac:dyDescent="0.2">
      <c r="A77" s="67"/>
      <c r="B77" s="272"/>
      <c r="C77" s="67"/>
      <c r="D77" s="67"/>
      <c r="E77" s="67"/>
      <c r="F77" s="67"/>
      <c r="G77" s="238"/>
      <c r="H77" s="238"/>
      <c r="I77" s="238"/>
      <c r="J77" s="238"/>
      <c r="K77" s="238"/>
      <c r="L77" s="238"/>
      <c r="M77" s="238"/>
    </row>
    <row r="78" spans="1:13" s="68" customFormat="1" ht="20.25" x14ac:dyDescent="0.2">
      <c r="A78" s="67"/>
      <c r="B78" s="67"/>
      <c r="C78" s="67"/>
      <c r="D78" s="67"/>
      <c r="E78" s="67"/>
      <c r="F78" s="67"/>
      <c r="G78" s="233"/>
      <c r="H78" s="233"/>
      <c r="I78" s="233"/>
      <c r="J78" s="233"/>
      <c r="K78" s="233"/>
      <c r="L78" s="233"/>
      <c r="M78" s="233"/>
    </row>
    <row r="79" spans="1:13" s="82" customFormat="1" ht="26.25" x14ac:dyDescent="0.2">
      <c r="A79" s="269"/>
      <c r="B79" s="269"/>
      <c r="C79" s="269"/>
      <c r="D79" s="269"/>
      <c r="E79" s="269"/>
      <c r="F79" s="269"/>
      <c r="G79" s="270"/>
      <c r="H79" s="238"/>
      <c r="I79" s="238"/>
      <c r="J79" s="238"/>
      <c r="K79" s="238"/>
      <c r="L79" s="238"/>
      <c r="M79" s="238"/>
    </row>
    <row r="80" spans="1:13" s="18" customFormat="1" ht="20.25" x14ac:dyDescent="0.3">
      <c r="A80" s="122"/>
      <c r="B80" s="122"/>
      <c r="C80" s="122"/>
      <c r="D80" s="122"/>
      <c r="E80" s="122"/>
      <c r="F80" s="122"/>
      <c r="G80" s="273"/>
      <c r="H80" s="278"/>
      <c r="I80" s="278"/>
      <c r="J80" s="278"/>
      <c r="K80" s="278"/>
      <c r="L80" s="278"/>
      <c r="M80" s="278"/>
    </row>
    <row r="81" spans="8:13" ht="20.25" x14ac:dyDescent="0.3">
      <c r="H81" s="278"/>
      <c r="I81" s="278"/>
      <c r="J81" s="278"/>
      <c r="K81" s="278"/>
      <c r="L81" s="278"/>
      <c r="M81" s="278"/>
    </row>
    <row r="82" spans="8:13" ht="20.25" x14ac:dyDescent="0.3">
      <c r="H82" s="278"/>
      <c r="I82" s="278"/>
      <c r="J82" s="278"/>
      <c r="K82" s="278"/>
      <c r="L82" s="278"/>
      <c r="M82" s="278"/>
    </row>
    <row r="83" spans="8:13" ht="20.25" x14ac:dyDescent="0.3">
      <c r="H83" s="275"/>
      <c r="I83" s="275"/>
      <c r="J83" s="275"/>
      <c r="K83" s="275"/>
      <c r="L83" s="275"/>
      <c r="M83" s="275"/>
    </row>
  </sheetData>
  <mergeCells count="11">
    <mergeCell ref="J6:M6"/>
    <mergeCell ref="C22:F22"/>
    <mergeCell ref="D32:F32"/>
    <mergeCell ref="O8:P8"/>
    <mergeCell ref="D36:F36"/>
    <mergeCell ref="D56:F56"/>
    <mergeCell ref="D37:F37"/>
    <mergeCell ref="D38:F38"/>
    <mergeCell ref="D39:F39"/>
    <mergeCell ref="D33:F33"/>
    <mergeCell ref="D34:F34"/>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60"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6"/>
      <c r="M1" s="59"/>
      <c r="N1" s="59"/>
      <c r="O1" s="59"/>
      <c r="P1" s="59"/>
      <c r="Q1" s="59"/>
      <c r="R1" s="755"/>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1"/>
      <c r="H2" s="59"/>
      <c r="I2" s="59"/>
      <c r="J2" s="59"/>
      <c r="K2" s="59"/>
      <c r="L2" s="466"/>
      <c r="M2" s="59"/>
      <c r="N2" s="59"/>
      <c r="O2" s="59"/>
      <c r="P2" s="59"/>
      <c r="Q2" s="59"/>
      <c r="R2" s="755"/>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'June''21 State of Activities'!A3</f>
        <v>Six Months Ended June 30, 2021 and 2020</v>
      </c>
      <c r="B3" s="59"/>
      <c r="C3" s="60"/>
      <c r="D3" s="60"/>
      <c r="E3" s="60"/>
      <c r="F3" s="59"/>
      <c r="G3" s="231"/>
      <c r="H3" s="59"/>
      <c r="I3" s="59"/>
      <c r="J3" s="59"/>
      <c r="K3" s="59"/>
      <c r="L3" s="466"/>
      <c r="M3" s="59"/>
      <c r="N3" s="59"/>
      <c r="O3" s="59"/>
      <c r="P3" s="59"/>
      <c r="Q3" s="59"/>
      <c r="R3" s="755"/>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'June''21 State of Activities'!A4</f>
        <v>For the Year Ended December 31, 2020</v>
      </c>
      <c r="B4" s="59"/>
      <c r="C4" s="60"/>
      <c r="D4" s="60"/>
      <c r="E4" s="60"/>
      <c r="F4" s="59"/>
      <c r="G4" s="231"/>
      <c r="H4" s="59"/>
      <c r="I4" s="59"/>
      <c r="J4" s="59"/>
      <c r="K4" s="59"/>
      <c r="L4" s="466"/>
      <c r="M4" s="59"/>
      <c r="N4" s="59"/>
      <c r="O4" s="59"/>
      <c r="P4" s="59"/>
      <c r="Q4" s="59"/>
      <c r="R4" s="755"/>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756"/>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510"/>
      <c r="H6" s="241" t="s">
        <v>53</v>
      </c>
      <c r="I6" s="241"/>
      <c r="J6" s="883" t="s">
        <v>53</v>
      </c>
      <c r="K6" s="883"/>
      <c r="L6" s="883"/>
      <c r="M6" s="883"/>
      <c r="N6" s="65"/>
      <c r="O6" s="418" t="s">
        <v>185</v>
      </c>
      <c r="P6" s="415" t="s">
        <v>197</v>
      </c>
      <c r="Q6" s="65"/>
      <c r="R6" s="757"/>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c r="R7" s="757"/>
    </row>
    <row r="8" spans="1:128" s="72" customFormat="1" ht="21" thickBot="1" x14ac:dyDescent="0.35">
      <c r="A8" s="69"/>
      <c r="B8" s="153" t="s">
        <v>104</v>
      </c>
      <c r="C8" s="153"/>
      <c r="D8" s="153"/>
      <c r="E8" s="153"/>
      <c r="F8" s="153"/>
      <c r="G8" s="282">
        <v>41090</v>
      </c>
      <c r="H8" s="282">
        <v>41274</v>
      </c>
      <c r="I8" s="324"/>
      <c r="J8" s="687">
        <f>'June''21 State of Activities'!G8</f>
        <v>44377</v>
      </c>
      <c r="K8" s="688">
        <f>'June''21 State of Activities'!H8</f>
        <v>44196</v>
      </c>
      <c r="L8" s="689"/>
      <c r="M8" s="688">
        <f>'June''21 State of Activities'!J8</f>
        <v>44012</v>
      </c>
      <c r="N8" s="71"/>
      <c r="O8" s="942" t="s">
        <v>408</v>
      </c>
      <c r="P8" s="942"/>
      <c r="Q8" s="71"/>
      <c r="R8" s="758"/>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3" t="s">
        <v>154</v>
      </c>
      <c r="D9" s="423"/>
      <c r="E9" s="423"/>
      <c r="F9" s="73"/>
      <c r="G9" s="265">
        <v>127719</v>
      </c>
      <c r="H9" s="265">
        <v>67566.5</v>
      </c>
      <c r="I9" s="323"/>
      <c r="J9" s="327">
        <v>41504.339999999997</v>
      </c>
      <c r="K9" s="327">
        <v>158721</v>
      </c>
      <c r="L9" s="327"/>
      <c r="M9" s="327">
        <v>78675.460000000006</v>
      </c>
      <c r="N9" s="68"/>
      <c r="O9" s="381">
        <f>J9-M9</f>
        <v>-37171.12000000001</v>
      </c>
      <c r="P9" s="416">
        <f>O9/M9</f>
        <v>-0.47246142571012623</v>
      </c>
      <c r="Q9" s="68"/>
      <c r="R9" s="757"/>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3" t="s">
        <v>219</v>
      </c>
      <c r="D10" s="423"/>
      <c r="E10" s="423"/>
      <c r="F10" s="73"/>
      <c r="G10" s="264">
        <v>875436</v>
      </c>
      <c r="H10" s="264">
        <v>372424.1</v>
      </c>
      <c r="I10" s="327"/>
      <c r="J10" s="323"/>
      <c r="K10" s="323">
        <v>12278.42</v>
      </c>
      <c r="L10" s="327"/>
      <c r="M10" s="323"/>
      <c r="N10" s="68"/>
      <c r="O10" s="513">
        <f>J10-M10</f>
        <v>0</v>
      </c>
      <c r="P10" s="439" t="e">
        <f>O10/M10</f>
        <v>#DIV/0!</v>
      </c>
      <c r="Q10" s="68"/>
      <c r="R10" s="757"/>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3" t="s">
        <v>407</v>
      </c>
      <c r="D11" s="423"/>
      <c r="E11" s="423"/>
      <c r="F11" s="73"/>
      <c r="G11" s="264"/>
      <c r="H11" s="264"/>
      <c r="I11" s="327"/>
      <c r="J11" s="323">
        <f>'June''21 Revenues &amp; Expenses'!I8-K11-5010</f>
        <v>-15626</v>
      </c>
      <c r="K11" s="323">
        <v>10616</v>
      </c>
      <c r="L11" s="327"/>
      <c r="M11" s="323"/>
      <c r="N11" s="68"/>
      <c r="O11" s="513">
        <f>J11-M11</f>
        <v>-15626</v>
      </c>
      <c r="P11" s="439"/>
      <c r="Q11" s="68"/>
      <c r="R11" s="757"/>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3" t="s">
        <v>106</v>
      </c>
      <c r="D12" s="423"/>
      <c r="E12" s="423"/>
      <c r="F12" s="73"/>
      <c r="G12" s="265"/>
      <c r="H12" s="265"/>
      <c r="I12" s="323"/>
      <c r="J12" s="323"/>
      <c r="K12" s="323"/>
      <c r="L12" s="323"/>
      <c r="M12" s="323"/>
      <c r="N12" s="68"/>
      <c r="O12" s="513"/>
      <c r="P12" s="427"/>
      <c r="Q12" s="68"/>
      <c r="R12" s="757"/>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3" t="s">
        <v>220</v>
      </c>
      <c r="E13" s="423"/>
      <c r="F13" s="73"/>
      <c r="G13" s="265">
        <v>94235.25</v>
      </c>
      <c r="H13" s="265">
        <v>37190.379999999997</v>
      </c>
      <c r="I13" s="323"/>
      <c r="J13" s="323">
        <f>3750*6</f>
        <v>22500</v>
      </c>
      <c r="K13" s="323">
        <f>3708.33*12</f>
        <v>44499.96</v>
      </c>
      <c r="L13" s="323"/>
      <c r="M13" s="323">
        <f>3708.33*4</f>
        <v>14833.32</v>
      </c>
      <c r="N13" s="68"/>
      <c r="O13" s="513">
        <f t="shared" ref="O13:O18" si="0">J13-M13</f>
        <v>7666.68</v>
      </c>
      <c r="P13" s="439">
        <f>O13/M13</f>
        <v>0.51685529604970437</v>
      </c>
      <c r="Q13" s="68"/>
      <c r="R13" s="323"/>
      <c r="S13" s="473"/>
      <c r="T13" s="472"/>
      <c r="U13" s="47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3" t="s">
        <v>163</v>
      </c>
      <c r="E14" s="423"/>
      <c r="F14" s="73"/>
      <c r="G14" s="265"/>
      <c r="H14" s="265"/>
      <c r="I14" s="323"/>
      <c r="J14" s="323">
        <f>'June''21 State of Activities'!G15</f>
        <v>9000</v>
      </c>
      <c r="K14" s="323">
        <v>13000</v>
      </c>
      <c r="L14" s="323"/>
      <c r="M14" s="323">
        <v>4333.33</v>
      </c>
      <c r="N14" s="68"/>
      <c r="O14" s="513">
        <f t="shared" si="0"/>
        <v>4666.67</v>
      </c>
      <c r="P14" s="439">
        <f>O14/M14</f>
        <v>1.0769246745574419</v>
      </c>
      <c r="Q14" s="68"/>
      <c r="R14" s="757">
        <v>7500</v>
      </c>
      <c r="S14" s="390"/>
      <c r="T14" s="474"/>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3" t="s">
        <v>107</v>
      </c>
      <c r="D15" s="423"/>
      <c r="E15" s="423"/>
      <c r="F15" s="73"/>
      <c r="G15" s="265">
        <v>0</v>
      </c>
      <c r="H15" s="265">
        <v>3517</v>
      </c>
      <c r="I15" s="323"/>
      <c r="J15" s="323">
        <f>'June''21 State of Activities'!G17</f>
        <v>8228.7000000000007</v>
      </c>
      <c r="K15" s="323">
        <f>'June''21 State of Activities'!H17</f>
        <v>12695.06</v>
      </c>
      <c r="L15" s="323"/>
      <c r="M15" s="323">
        <f>'June''21 State of Activities'!J17</f>
        <v>5089.8</v>
      </c>
      <c r="N15" s="68"/>
      <c r="O15" s="513">
        <f t="shared" si="0"/>
        <v>3138.9000000000005</v>
      </c>
      <c r="P15" s="439">
        <f>O15/M15</f>
        <v>0.61670399622774974</v>
      </c>
      <c r="Q15" s="68"/>
      <c r="R15" s="757"/>
      <c r="S15" s="390"/>
      <c r="T15" s="474"/>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3" t="s">
        <v>221</v>
      </c>
      <c r="D16" s="423"/>
      <c r="E16" s="423"/>
      <c r="F16" s="73"/>
      <c r="G16" s="265">
        <v>31459</v>
      </c>
      <c r="H16" s="265">
        <v>13920.35</v>
      </c>
      <c r="I16" s="323"/>
      <c r="J16" s="323">
        <f>'June''21 Revenues &amp; Expenses'!H40</f>
        <v>0</v>
      </c>
      <c r="K16" s="323">
        <v>25000</v>
      </c>
      <c r="L16" s="323"/>
      <c r="M16" s="323">
        <v>8153.81</v>
      </c>
      <c r="N16" s="68"/>
      <c r="O16" s="513">
        <f t="shared" si="0"/>
        <v>-8153.81</v>
      </c>
      <c r="P16" s="439">
        <f>O16/M16</f>
        <v>-1</v>
      </c>
      <c r="Q16" s="68"/>
      <c r="R16" s="757">
        <v>11805.12</v>
      </c>
      <c r="S16" s="390"/>
      <c r="T16" s="474"/>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3" t="s">
        <v>390</v>
      </c>
      <c r="D17" s="423"/>
      <c r="E17" s="423"/>
      <c r="F17" s="73"/>
      <c r="G17" s="265"/>
      <c r="H17" s="265"/>
      <c r="I17" s="323"/>
      <c r="J17" s="323"/>
      <c r="K17" s="323">
        <v>22918.98</v>
      </c>
      <c r="L17" s="323"/>
      <c r="M17" s="323"/>
      <c r="N17" s="68"/>
      <c r="O17" s="513">
        <f t="shared" si="0"/>
        <v>0</v>
      </c>
      <c r="P17" s="439"/>
      <c r="Q17" s="68"/>
      <c r="R17" s="757"/>
      <c r="S17" s="390"/>
      <c r="T17" s="474"/>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3" t="s">
        <v>409</v>
      </c>
      <c r="D18" s="423"/>
      <c r="E18" s="423"/>
      <c r="F18" s="73"/>
      <c r="G18" s="265"/>
      <c r="H18" s="265"/>
      <c r="I18" s="323"/>
      <c r="J18" s="323">
        <f>'June''21 Revenues &amp; Expenses'!H48</f>
        <v>6000</v>
      </c>
      <c r="K18" s="323">
        <v>23967.15</v>
      </c>
      <c r="L18" s="323"/>
      <c r="M18" s="323"/>
      <c r="N18" s="68"/>
      <c r="O18" s="513">
        <f t="shared" si="0"/>
        <v>6000</v>
      </c>
      <c r="P18" s="439"/>
      <c r="Q18" s="68"/>
      <c r="R18" s="757"/>
      <c r="S18" s="390"/>
      <c r="T18" s="474"/>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3" t="s">
        <v>342</v>
      </c>
      <c r="D19" s="423"/>
      <c r="E19" s="423"/>
      <c r="F19" s="73"/>
      <c r="G19" s="265"/>
      <c r="H19" s="265"/>
      <c r="I19" s="323"/>
      <c r="J19" s="323">
        <f>'June''21 State of Activities'!G11</f>
        <v>0</v>
      </c>
      <c r="K19" s="323">
        <v>1968.5</v>
      </c>
      <c r="L19" s="323"/>
      <c r="M19" s="323">
        <f>2100.03-1250</f>
        <v>850.0300000000002</v>
      </c>
      <c r="N19" s="68"/>
      <c r="O19" s="513">
        <f t="shared" ref="O19:O20" si="1">J19-M19</f>
        <v>-850.0300000000002</v>
      </c>
      <c r="P19" s="439"/>
      <c r="Q19" s="68"/>
      <c r="R19" s="757">
        <f>186.59-R20</f>
        <v>162.31</v>
      </c>
      <c r="S19" s="390"/>
      <c r="T19" s="474"/>
      <c r="U19" s="363"/>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44" t="s">
        <v>345</v>
      </c>
      <c r="D20" s="944"/>
      <c r="E20" s="944"/>
      <c r="F20" s="944"/>
      <c r="G20" s="265"/>
      <c r="H20" s="265"/>
      <c r="I20" s="323"/>
      <c r="J20" s="323">
        <v>0</v>
      </c>
      <c r="K20" s="323">
        <v>1127.23</v>
      </c>
      <c r="L20" s="323"/>
      <c r="M20" s="323">
        <v>177.19</v>
      </c>
      <c r="N20" s="68"/>
      <c r="O20" s="513">
        <f t="shared" si="1"/>
        <v>-177.19</v>
      </c>
      <c r="P20" s="439"/>
      <c r="Q20" s="68"/>
      <c r="R20" s="757">
        <v>24.28</v>
      </c>
      <c r="S20" s="390"/>
      <c r="T20" s="474"/>
      <c r="U20" s="363"/>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3" t="s">
        <v>351</v>
      </c>
      <c r="D21" s="423"/>
      <c r="E21" s="423"/>
      <c r="F21" s="73"/>
      <c r="G21" s="265">
        <v>1125</v>
      </c>
      <c r="H21" s="265">
        <v>6050</v>
      </c>
      <c r="I21" s="323"/>
      <c r="J21" s="323">
        <f>'June''21 State of Activities'!G24</f>
        <v>3150</v>
      </c>
      <c r="K21" s="323">
        <f>'June''21 State of Activities'!H24</f>
        <v>0</v>
      </c>
      <c r="L21" s="323"/>
      <c r="M21" s="323">
        <f>'June''21 State of Activities'!J24</f>
        <v>0</v>
      </c>
      <c r="N21" s="68"/>
      <c r="O21" s="513">
        <f>J21-M21</f>
        <v>3150</v>
      </c>
      <c r="P21" s="439"/>
      <c r="Q21" s="68"/>
      <c r="R21" s="757"/>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3" t="s">
        <v>222</v>
      </c>
      <c r="D22" s="423"/>
      <c r="E22" s="423"/>
      <c r="F22" s="73"/>
      <c r="G22" s="266">
        <v>31250</v>
      </c>
      <c r="H22" s="266">
        <v>15624.98</v>
      </c>
      <c r="I22" s="323"/>
      <c r="J22" s="266">
        <f>'June''21 State of Activities'!G25*0.2</f>
        <v>5274</v>
      </c>
      <c r="K22" s="266">
        <f>'June''21 State of Activities'!H25*0.2</f>
        <v>10548</v>
      </c>
      <c r="L22" s="323"/>
      <c r="M22" s="266">
        <f>'June''21 State of Activities'!J25*0.2</f>
        <v>5274</v>
      </c>
      <c r="N22" s="68"/>
      <c r="O22" s="514">
        <f>J22-M22</f>
        <v>0</v>
      </c>
      <c r="P22" s="417">
        <v>0</v>
      </c>
      <c r="Q22" s="68"/>
      <c r="R22" s="757"/>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3"/>
      <c r="D23" s="73" t="s">
        <v>109</v>
      </c>
      <c r="E23" s="423"/>
      <c r="F23" s="73"/>
      <c r="G23" s="235">
        <v>1161224.25</v>
      </c>
      <c r="H23" s="235">
        <v>516293.30999999994</v>
      </c>
      <c r="I23" s="233"/>
      <c r="J23" s="265">
        <f>SUM(J9:J22)</f>
        <v>80031.039999999994</v>
      </c>
      <c r="K23" s="265">
        <f>SUM(K9:K22)</f>
        <v>337340.3</v>
      </c>
      <c r="L23" s="323"/>
      <c r="M23" s="265">
        <f>SUM(M9:M22)</f>
        <v>117386.94</v>
      </c>
      <c r="N23" s="68"/>
      <c r="O23" s="276">
        <f>SUM(O9:O22)</f>
        <v>-37355.900000000009</v>
      </c>
      <c r="P23" s="439">
        <f>O23/M23</f>
        <v>-0.31822875696393488</v>
      </c>
      <c r="Q23" s="68"/>
      <c r="R23" s="757"/>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223</v>
      </c>
      <c r="D24" s="423"/>
      <c r="E24" s="423"/>
      <c r="F24" s="73"/>
      <c r="G24" s="242">
        <v>150176</v>
      </c>
      <c r="H24" s="242">
        <v>47700.27</v>
      </c>
      <c r="I24" s="233"/>
      <c r="J24" s="323">
        <f>19000/12*6</f>
        <v>9500</v>
      </c>
      <c r="K24" s="323">
        <v>19000</v>
      </c>
      <c r="L24" s="323"/>
      <c r="M24" s="323">
        <v>6333</v>
      </c>
      <c r="N24" s="68"/>
      <c r="O24" s="513">
        <f>J24-M24</f>
        <v>3167</v>
      </c>
      <c r="P24" s="416">
        <f>O24/M24</f>
        <v>0.50007895152376436</v>
      </c>
      <c r="Q24" s="68"/>
      <c r="R24" s="323"/>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224</v>
      </c>
      <c r="D25" s="423"/>
      <c r="E25" s="423"/>
      <c r="F25" s="73"/>
      <c r="G25" s="233"/>
      <c r="H25" s="233"/>
      <c r="I25" s="233"/>
      <c r="J25" s="266">
        <v>13582.02</v>
      </c>
      <c r="K25" s="266">
        <v>37834.400000000001</v>
      </c>
      <c r="L25" s="323"/>
      <c r="M25" s="266">
        <v>14484</v>
      </c>
      <c r="N25" s="68"/>
      <c r="O25" s="380">
        <f>J25-M25</f>
        <v>-901.97999999999956</v>
      </c>
      <c r="P25" s="467">
        <f>O25/M25</f>
        <v>-6.2274233637116788E-2</v>
      </c>
      <c r="Q25" s="68"/>
      <c r="R25" s="757"/>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3"/>
      <c r="D26" s="73" t="s">
        <v>111</v>
      </c>
      <c r="E26" s="423"/>
      <c r="F26" s="73"/>
      <c r="G26" s="235">
        <v>1311400.25</v>
      </c>
      <c r="H26" s="235">
        <v>563993.57999999996</v>
      </c>
      <c r="I26" s="233"/>
      <c r="J26" s="265">
        <f>SUM(J23:J25)</f>
        <v>103113.06</v>
      </c>
      <c r="K26" s="265">
        <f>SUM(K23:K25)</f>
        <v>394174.7</v>
      </c>
      <c r="L26" s="323"/>
      <c r="M26" s="265">
        <f>SUM(M23:M25)</f>
        <v>138203.94</v>
      </c>
      <c r="N26" s="68"/>
      <c r="O26" s="276">
        <f>J26-M26</f>
        <v>-35090.880000000005</v>
      </c>
      <c r="P26" s="439">
        <f>O26/M26</f>
        <v>-0.25390650946709625</v>
      </c>
      <c r="Q26" s="68"/>
      <c r="R26" s="757"/>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3"/>
      <c r="D27" s="73"/>
      <c r="E27" s="423"/>
      <c r="F27" s="73"/>
      <c r="G27" s="235"/>
      <c r="H27" s="235"/>
      <c r="I27" s="233"/>
      <c r="J27" s="323"/>
      <c r="K27" s="600"/>
      <c r="L27" s="323"/>
      <c r="M27" s="323"/>
      <c r="N27" s="68"/>
      <c r="O27" s="68"/>
      <c r="P27" s="68"/>
      <c r="Q27" s="68"/>
      <c r="R27" s="757"/>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115</v>
      </c>
      <c r="C28" s="87"/>
      <c r="D28" s="87"/>
      <c r="E28" s="87"/>
      <c r="F28" s="87"/>
      <c r="G28" s="242"/>
      <c r="H28" s="68"/>
      <c r="I28" s="68"/>
      <c r="J28" s="323"/>
      <c r="K28" s="370"/>
      <c r="L28" s="370"/>
      <c r="M28" s="370"/>
      <c r="N28" s="68"/>
      <c r="O28" s="68"/>
      <c r="P28" s="68"/>
      <c r="Q28" s="68"/>
      <c r="R28" s="757"/>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225</v>
      </c>
      <c r="D29" s="79"/>
      <c r="E29" s="79"/>
      <c r="F29" s="79"/>
      <c r="G29" s="233">
        <v>733747.79999999993</v>
      </c>
      <c r="H29" s="276">
        <v>361976</v>
      </c>
      <c r="I29" s="276"/>
      <c r="J29" s="323"/>
      <c r="K29" s="402"/>
      <c r="L29" s="402"/>
      <c r="M29" s="402"/>
      <c r="R29" s="757"/>
    </row>
    <row r="30" spans="1:61" s="68" customFormat="1" x14ac:dyDescent="0.2">
      <c r="A30" s="67"/>
      <c r="B30" s="67"/>
      <c r="C30" s="79"/>
      <c r="D30" s="885" t="s">
        <v>226</v>
      </c>
      <c r="E30" s="885"/>
      <c r="F30" s="885"/>
      <c r="G30" s="233"/>
      <c r="H30" s="276"/>
      <c r="I30" s="276"/>
      <c r="J30" s="323">
        <v>64964.65</v>
      </c>
      <c r="K30" s="323">
        <v>162253.75</v>
      </c>
      <c r="L30" s="402"/>
      <c r="M30" s="323">
        <v>82702.42</v>
      </c>
      <c r="O30" s="276">
        <f t="shared" ref="O30:O50" si="2">J30-M30</f>
        <v>-17737.769999999997</v>
      </c>
      <c r="P30" s="439">
        <f>O30/M30</f>
        <v>-0.21447703706856458</v>
      </c>
      <c r="R30" s="757">
        <f>J30</f>
        <v>64964.65</v>
      </c>
    </row>
    <row r="31" spans="1:61" s="68" customFormat="1" x14ac:dyDescent="0.2">
      <c r="A31" s="67"/>
      <c r="B31" s="67"/>
      <c r="C31" s="79"/>
      <c r="D31" s="885" t="s">
        <v>227</v>
      </c>
      <c r="E31" s="885"/>
      <c r="F31" s="885"/>
      <c r="G31" s="233"/>
      <c r="H31" s="276"/>
      <c r="I31" s="276"/>
      <c r="J31" s="323">
        <f>23219.46+7406.6</f>
        <v>30626.059999999998</v>
      </c>
      <c r="K31" s="323">
        <f>37966.12+23862.63+605.03+106.59</f>
        <v>62540.369999999995</v>
      </c>
      <c r="L31" s="402"/>
      <c r="M31" s="323">
        <f>18368.1+11845.56</f>
        <v>30213.659999999996</v>
      </c>
      <c r="O31" s="276">
        <f t="shared" si="2"/>
        <v>412.40000000000146</v>
      </c>
      <c r="P31" s="439">
        <f>O31/M31</f>
        <v>1.3649455246401843E-2</v>
      </c>
      <c r="R31" s="757">
        <f>J31</f>
        <v>30626.059999999998</v>
      </c>
    </row>
    <row r="32" spans="1:61" s="68" customFormat="1" x14ac:dyDescent="0.2">
      <c r="A32" s="67"/>
      <c r="B32" s="67"/>
      <c r="C32" s="79"/>
      <c r="D32" s="885" t="s">
        <v>117</v>
      </c>
      <c r="E32" s="885"/>
      <c r="F32" s="885"/>
      <c r="G32" s="233"/>
      <c r="H32" s="276"/>
      <c r="I32" s="276"/>
      <c r="J32" s="323">
        <v>15442.94</v>
      </c>
      <c r="K32" s="323">
        <v>42279.58</v>
      </c>
      <c r="L32" s="402"/>
      <c r="M32" s="323">
        <f>(M30+M31)*0.18</f>
        <v>20324.894399999997</v>
      </c>
      <c r="O32" s="276">
        <f t="shared" si="2"/>
        <v>-4881.9543999999969</v>
      </c>
      <c r="P32" s="439">
        <f>O32/M32</f>
        <v>-0.24019580638017965</v>
      </c>
      <c r="R32" s="263">
        <f>J32</f>
        <v>15442.94</v>
      </c>
    </row>
    <row r="33" spans="1:19" s="68" customFormat="1" x14ac:dyDescent="0.2">
      <c r="A33" s="67"/>
      <c r="B33" s="67"/>
      <c r="C33" s="79" t="s">
        <v>285</v>
      </c>
      <c r="D33" s="79"/>
      <c r="E33" s="79"/>
      <c r="F33" s="79"/>
      <c r="G33" s="233">
        <v>44745.18</v>
      </c>
      <c r="H33" s="233">
        <v>20974.21</v>
      </c>
      <c r="I33" s="233"/>
      <c r="J33" s="323"/>
      <c r="K33" s="600"/>
      <c r="L33" s="323"/>
      <c r="M33" s="600"/>
      <c r="O33" s="276">
        <f t="shared" si="2"/>
        <v>0</v>
      </c>
      <c r="P33" s="439"/>
      <c r="R33" s="757"/>
      <c r="S33" s="68">
        <f>R32/(R30+R31)</f>
        <v>0.16155272829336662</v>
      </c>
    </row>
    <row r="34" spans="1:19" s="68" customFormat="1" x14ac:dyDescent="0.2">
      <c r="A34" s="67"/>
      <c r="B34" s="67"/>
      <c r="C34" s="79"/>
      <c r="D34" s="885" t="s">
        <v>228</v>
      </c>
      <c r="E34" s="885"/>
      <c r="F34" s="885"/>
      <c r="G34" s="233"/>
      <c r="H34" s="233"/>
      <c r="I34" s="233"/>
      <c r="J34" s="323">
        <v>7876.42</v>
      </c>
      <c r="K34" s="323">
        <v>25472.83</v>
      </c>
      <c r="L34" s="323"/>
      <c r="M34" s="323">
        <v>8106.06</v>
      </c>
      <c r="O34" s="276">
        <f t="shared" si="2"/>
        <v>-229.64000000000033</v>
      </c>
      <c r="P34" s="439">
        <f t="shared" ref="P34:P41" si="3">O34/M34</f>
        <v>-2.832942267883538E-2</v>
      </c>
      <c r="R34" s="757">
        <v>7876.42</v>
      </c>
    </row>
    <row r="35" spans="1:19" s="68" customFormat="1" x14ac:dyDescent="0.2">
      <c r="A35" s="67"/>
      <c r="B35" s="67"/>
      <c r="C35" s="79"/>
      <c r="D35" s="885" t="s">
        <v>229</v>
      </c>
      <c r="E35" s="885"/>
      <c r="F35" s="885"/>
      <c r="G35" s="233"/>
      <c r="H35" s="233"/>
      <c r="I35" s="233"/>
      <c r="J35" s="323">
        <v>11303.34</v>
      </c>
      <c r="K35" s="323">
        <v>17989.87</v>
      </c>
      <c r="L35" s="323"/>
      <c r="M35" s="323">
        <v>5932.49</v>
      </c>
      <c r="O35" s="276">
        <f t="shared" si="2"/>
        <v>5370.85</v>
      </c>
      <c r="P35" s="439">
        <f t="shared" si="3"/>
        <v>0.90532811686155401</v>
      </c>
      <c r="R35" s="757">
        <v>11303.34</v>
      </c>
    </row>
    <row r="36" spans="1:19" s="68" customFormat="1" x14ac:dyDescent="0.2">
      <c r="A36" s="67"/>
      <c r="B36" s="67"/>
      <c r="C36" s="79"/>
      <c r="D36" s="885" t="s">
        <v>311</v>
      </c>
      <c r="E36" s="885"/>
      <c r="F36" s="885"/>
      <c r="G36" s="233"/>
      <c r="H36" s="233"/>
      <c r="I36" s="233"/>
      <c r="J36" s="323">
        <v>11898.19</v>
      </c>
      <c r="K36" s="323">
        <v>16090.9</v>
      </c>
      <c r="L36" s="323"/>
      <c r="M36" s="323">
        <v>7105.84</v>
      </c>
      <c r="O36" s="276">
        <f t="shared" si="2"/>
        <v>4792.3500000000004</v>
      </c>
      <c r="P36" s="439">
        <f t="shared" si="3"/>
        <v>0.6744241356405436</v>
      </c>
      <c r="R36" s="757">
        <v>11898.19</v>
      </c>
    </row>
    <row r="37" spans="1:19" s="68" customFormat="1" x14ac:dyDescent="0.2">
      <c r="A37" s="67"/>
      <c r="B37" s="67"/>
      <c r="C37" s="79"/>
      <c r="D37" s="885" t="s">
        <v>230</v>
      </c>
      <c r="E37" s="885"/>
      <c r="F37" s="885"/>
      <c r="G37" s="233"/>
      <c r="H37" s="233"/>
      <c r="I37" s="233"/>
      <c r="J37" s="323">
        <v>307</v>
      </c>
      <c r="K37" s="323">
        <v>1427.75</v>
      </c>
      <c r="L37" s="323"/>
      <c r="M37" s="323">
        <v>79</v>
      </c>
      <c r="O37" s="276">
        <f t="shared" si="2"/>
        <v>228</v>
      </c>
      <c r="P37" s="439">
        <f t="shared" si="3"/>
        <v>2.8860759493670884</v>
      </c>
      <c r="R37" s="757">
        <v>307</v>
      </c>
    </row>
    <row r="38" spans="1:19" s="68" customFormat="1" x14ac:dyDescent="0.2">
      <c r="A38" s="67"/>
      <c r="B38" s="67"/>
      <c r="C38" s="79" t="s">
        <v>231</v>
      </c>
      <c r="D38" s="79"/>
      <c r="E38" s="79"/>
      <c r="F38" s="79"/>
      <c r="G38" s="233">
        <v>27200</v>
      </c>
      <c r="H38" s="233">
        <v>11327</v>
      </c>
      <c r="I38" s="233"/>
      <c r="J38" s="323">
        <v>15180</v>
      </c>
      <c r="K38" s="323">
        <f>22438.68+1591</f>
        <v>24029.68</v>
      </c>
      <c r="L38" s="323"/>
      <c r="M38" s="323">
        <f>530.32+7060.24</f>
        <v>7590.5599999999995</v>
      </c>
      <c r="O38" s="276">
        <f t="shared" si="2"/>
        <v>7589.4400000000005</v>
      </c>
      <c r="P38" s="439">
        <f t="shared" si="3"/>
        <v>0.99985244830420961</v>
      </c>
      <c r="R38" s="757">
        <f>930+14250</f>
        <v>15180</v>
      </c>
    </row>
    <row r="39" spans="1:19" s="68" customFormat="1" x14ac:dyDescent="0.2">
      <c r="A39" s="67"/>
      <c r="B39" s="67"/>
      <c r="C39" s="79" t="s">
        <v>108</v>
      </c>
      <c r="D39" s="79"/>
      <c r="E39" s="79"/>
      <c r="F39" s="79"/>
      <c r="G39" s="233">
        <v>150176</v>
      </c>
      <c r="H39" s="276">
        <v>47700.27</v>
      </c>
      <c r="I39" s="276"/>
      <c r="J39" s="323">
        <f>J22</f>
        <v>5274</v>
      </c>
      <c r="K39" s="323">
        <f>K22</f>
        <v>10548</v>
      </c>
      <c r="L39" s="402"/>
      <c r="M39" s="323">
        <f>M22</f>
        <v>5274</v>
      </c>
      <c r="O39" s="276">
        <f t="shared" si="2"/>
        <v>0</v>
      </c>
      <c r="P39" s="439">
        <f t="shared" si="3"/>
        <v>0</v>
      </c>
      <c r="R39" s="757"/>
    </row>
    <row r="40" spans="1:19" s="68" customFormat="1" x14ac:dyDescent="0.2">
      <c r="A40" s="67"/>
      <c r="B40" s="67"/>
      <c r="C40" s="79" t="s">
        <v>320</v>
      </c>
      <c r="D40" s="79"/>
      <c r="E40" s="79"/>
      <c r="F40" s="79"/>
      <c r="G40" s="233"/>
      <c r="H40" s="276"/>
      <c r="I40" s="276"/>
      <c r="J40" s="323">
        <f>1268+392</f>
        <v>1660</v>
      </c>
      <c r="K40" s="323">
        <v>4497</v>
      </c>
      <c r="L40" s="402"/>
      <c r="M40" s="323">
        <v>1388</v>
      </c>
      <c r="O40" s="276">
        <f t="shared" si="2"/>
        <v>272</v>
      </c>
      <c r="P40" s="439">
        <f t="shared" si="3"/>
        <v>0.19596541786743515</v>
      </c>
      <c r="R40" s="757">
        <v>2437</v>
      </c>
    </row>
    <row r="41" spans="1:19" s="68" customFormat="1" x14ac:dyDescent="0.2">
      <c r="A41" s="67"/>
      <c r="B41" s="67"/>
      <c r="C41" s="79" t="s">
        <v>232</v>
      </c>
      <c r="D41" s="79"/>
      <c r="E41" s="79"/>
      <c r="F41" s="79"/>
      <c r="G41" s="233"/>
      <c r="H41" s="276"/>
      <c r="I41" s="276"/>
      <c r="J41" s="323">
        <v>954</v>
      </c>
      <c r="K41" s="323">
        <f>75+874</f>
        <v>949</v>
      </c>
      <c r="L41" s="402"/>
      <c r="M41" s="323">
        <f>393+75</f>
        <v>468</v>
      </c>
      <c r="O41" s="276">
        <f t="shared" si="2"/>
        <v>486</v>
      </c>
      <c r="P41" s="439">
        <f t="shared" si="3"/>
        <v>1.0384615384615385</v>
      </c>
      <c r="R41" s="757">
        <f>105+877</f>
        <v>982</v>
      </c>
      <c r="S41" s="761">
        <f>R41</f>
        <v>982</v>
      </c>
    </row>
    <row r="42" spans="1:19" s="68" customFormat="1" x14ac:dyDescent="0.2">
      <c r="A42" s="67"/>
      <c r="B42" s="67"/>
      <c r="C42" s="79" t="s">
        <v>393</v>
      </c>
      <c r="D42" s="79"/>
      <c r="E42" s="79"/>
      <c r="F42" s="79"/>
      <c r="G42" s="233">
        <v>10993.12</v>
      </c>
      <c r="H42" s="276">
        <v>4904.57</v>
      </c>
      <c r="I42" s="276"/>
      <c r="J42" s="323">
        <f>1600.82+472.16</f>
        <v>2072.98</v>
      </c>
      <c r="K42" s="323">
        <v>4436.1400000000003</v>
      </c>
      <c r="L42" s="402"/>
      <c r="M42" s="323">
        <f>18.18+1152.17</f>
        <v>1170.3500000000001</v>
      </c>
      <c r="O42" s="276">
        <f t="shared" si="2"/>
        <v>902.62999999999988</v>
      </c>
      <c r="P42" s="439">
        <f>O42/M42</f>
        <v>0.77124791728969944</v>
      </c>
      <c r="R42" s="757">
        <f>757.49+3120.83+26.18</f>
        <v>3904.4999999999995</v>
      </c>
    </row>
    <row r="43" spans="1:19" s="68" customFormat="1" x14ac:dyDescent="0.2">
      <c r="A43" s="67"/>
      <c r="B43" s="67"/>
      <c r="C43" s="79" t="s">
        <v>233</v>
      </c>
      <c r="D43" s="79"/>
      <c r="E43" s="79"/>
      <c r="F43" s="79"/>
      <c r="G43" s="233">
        <v>10250.949999999999</v>
      </c>
      <c r="H43" s="276">
        <v>3982.99</v>
      </c>
      <c r="I43" s="276"/>
      <c r="J43" s="323">
        <f>41.5+32.88</f>
        <v>74.38</v>
      </c>
      <c r="K43" s="323">
        <f>223.01+568.51</f>
        <v>791.52</v>
      </c>
      <c r="L43" s="402"/>
      <c r="M43" s="323">
        <f>11.58+94.37+34.1+4.4</f>
        <v>144.45000000000002</v>
      </c>
      <c r="O43" s="276">
        <f t="shared" si="2"/>
        <v>-70.070000000000022</v>
      </c>
      <c r="P43" s="439">
        <f>O43/M43</f>
        <v>-0.48508134302526834</v>
      </c>
      <c r="R43" s="757">
        <f>9.2+72.5+8.53+225.13</f>
        <v>315.36</v>
      </c>
      <c r="S43" s="761">
        <f>R43</f>
        <v>315.36</v>
      </c>
    </row>
    <row r="44" spans="1:19" s="68" customFormat="1" x14ac:dyDescent="0.2">
      <c r="A44" s="67"/>
      <c r="B44" s="67"/>
      <c r="C44" s="79" t="s">
        <v>126</v>
      </c>
      <c r="D44" s="79"/>
      <c r="E44" s="79"/>
      <c r="F44" s="79"/>
      <c r="G44" s="233">
        <v>4412.53</v>
      </c>
      <c r="H44" s="277">
        <v>5667</v>
      </c>
      <c r="I44" s="277"/>
      <c r="J44" s="323">
        <f>473.98+380.58+21.4+125</f>
        <v>1000.9599999999999</v>
      </c>
      <c r="K44" s="323">
        <v>1826.56</v>
      </c>
      <c r="L44" s="403"/>
      <c r="M44" s="323">
        <f>72.06+953.27</f>
        <v>1025.33</v>
      </c>
      <c r="O44" s="276">
        <f t="shared" si="2"/>
        <v>-24.370000000000005</v>
      </c>
      <c r="P44" s="439">
        <f>O44/M44</f>
        <v>-2.3767957633152259E-2</v>
      </c>
      <c r="R44" s="757">
        <f>108.49+189+1123.3</f>
        <v>1420.79</v>
      </c>
    </row>
    <row r="45" spans="1:19" s="68" customFormat="1" x14ac:dyDescent="0.2">
      <c r="A45" s="67"/>
      <c r="B45" s="67"/>
      <c r="C45" s="79" t="s">
        <v>124</v>
      </c>
      <c r="D45" s="79"/>
      <c r="E45" s="79"/>
      <c r="F45" s="79"/>
      <c r="G45" s="233">
        <v>7901</v>
      </c>
      <c r="H45" s="276">
        <v>4149.6000000000004</v>
      </c>
      <c r="I45" s="276"/>
      <c r="J45" s="323">
        <f>84.85+28.27</f>
        <v>113.11999999999999</v>
      </c>
      <c r="K45" s="323">
        <v>396.82</v>
      </c>
      <c r="L45" s="402"/>
      <c r="M45" s="323">
        <f>150.1</f>
        <v>150.1</v>
      </c>
      <c r="O45" s="276">
        <f t="shared" si="2"/>
        <v>-36.980000000000004</v>
      </c>
      <c r="P45" s="439">
        <f>O45/M45</f>
        <v>-0.24636908727514994</v>
      </c>
      <c r="R45" s="757">
        <f>0.1+152.24</f>
        <v>152.34</v>
      </c>
      <c r="S45" s="761">
        <f>R45</f>
        <v>152.34</v>
      </c>
    </row>
    <row r="46" spans="1:19" s="68" customFormat="1" hidden="1" x14ac:dyDescent="0.2">
      <c r="A46" s="67"/>
      <c r="B46" s="67"/>
      <c r="C46" s="79" t="s">
        <v>234</v>
      </c>
      <c r="D46" s="79"/>
      <c r="E46" s="79"/>
      <c r="F46" s="79"/>
      <c r="G46" s="233"/>
      <c r="H46" s="276"/>
      <c r="I46" s="276"/>
      <c r="J46" s="323"/>
      <c r="K46" s="323"/>
      <c r="L46" s="402"/>
      <c r="M46" s="323"/>
      <c r="O46" s="276">
        <f t="shared" si="2"/>
        <v>0</v>
      </c>
      <c r="P46" s="439"/>
      <c r="R46" s="757"/>
    </row>
    <row r="47" spans="1:19" s="76" customFormat="1" x14ac:dyDescent="0.2">
      <c r="A47" s="79"/>
      <c r="B47" s="79"/>
      <c r="C47" s="79" t="s">
        <v>120</v>
      </c>
      <c r="D47" s="79"/>
      <c r="E47" s="79"/>
      <c r="F47" s="79"/>
      <c r="G47" s="233">
        <v>5428.37</v>
      </c>
      <c r="H47" s="276">
        <v>2024.52</v>
      </c>
      <c r="I47" s="276"/>
      <c r="J47" s="323">
        <f>144.57+13.67</f>
        <v>158.23999999999998</v>
      </c>
      <c r="K47" s="323">
        <v>422.62</v>
      </c>
      <c r="L47" s="402"/>
      <c r="M47" s="323">
        <v>151.52000000000001</v>
      </c>
      <c r="O47" s="276">
        <f t="shared" si="2"/>
        <v>6.7199999999999704</v>
      </c>
      <c r="P47" s="439">
        <f>O47/M47</f>
        <v>4.4350580781414795E-2</v>
      </c>
      <c r="R47" s="757">
        <v>207.91</v>
      </c>
    </row>
    <row r="48" spans="1:19" s="76" customFormat="1" x14ac:dyDescent="0.2">
      <c r="A48" s="79"/>
      <c r="B48" s="79"/>
      <c r="C48" s="79" t="s">
        <v>235</v>
      </c>
      <c r="D48" s="79"/>
      <c r="E48" s="79"/>
      <c r="F48" s="79"/>
      <c r="G48" s="233">
        <v>83462.91</v>
      </c>
      <c r="H48" s="233">
        <v>18995.71</v>
      </c>
      <c r="I48" s="233"/>
      <c r="J48" s="401">
        <f>43.18+110</f>
        <v>153.18</v>
      </c>
      <c r="K48" s="401">
        <f>248.22+18.56+28.25+5</f>
        <v>300.02999999999997</v>
      </c>
      <c r="L48" s="323"/>
      <c r="M48" s="401">
        <v>58.6</v>
      </c>
      <c r="O48" s="516">
        <f t="shared" si="2"/>
        <v>94.580000000000013</v>
      </c>
      <c r="P48" s="515">
        <f>O48/M48</f>
        <v>1.6139931740614337</v>
      </c>
      <c r="R48" s="757">
        <f>25+228.45+110</f>
        <v>363.45</v>
      </c>
    </row>
    <row r="49" spans="1:21" s="68" customFormat="1" ht="21" thickBot="1" x14ac:dyDescent="0.25">
      <c r="A49" s="67"/>
      <c r="B49" s="67"/>
      <c r="C49" s="67"/>
      <c r="D49" s="73" t="s">
        <v>132</v>
      </c>
      <c r="E49" s="67"/>
      <c r="F49" s="67"/>
      <c r="G49" s="242">
        <v>1078317.8599999999</v>
      </c>
      <c r="H49" s="242">
        <v>481701.87000000005</v>
      </c>
      <c r="I49" s="233"/>
      <c r="J49" s="469">
        <f>SUM(J30:J48)</f>
        <v>169059.45999999996</v>
      </c>
      <c r="K49" s="469">
        <f>SUM(K30:K48)</f>
        <v>376252.4200000001</v>
      </c>
      <c r="L49" s="323"/>
      <c r="M49" s="469">
        <f>SUM(M30:M48)</f>
        <v>171885.27439999997</v>
      </c>
      <c r="O49" s="469">
        <f t="shared" si="2"/>
        <v>-2825.8144000000029</v>
      </c>
      <c r="P49" s="467">
        <f>O49/M49</f>
        <v>-1.6440119200810396E-2</v>
      </c>
      <c r="R49" s="757"/>
      <c r="U49" s="342"/>
    </row>
    <row r="50" spans="1:21" s="68" customFormat="1" ht="21" thickBot="1" x14ac:dyDescent="0.25">
      <c r="A50" s="67"/>
      <c r="B50" s="67"/>
      <c r="C50" s="67"/>
      <c r="D50" s="67" t="s">
        <v>133</v>
      </c>
      <c r="E50" s="67"/>
      <c r="F50" s="67"/>
      <c r="G50" s="242">
        <v>233082.39000000013</v>
      </c>
      <c r="H50" s="242">
        <v>82291.709999999905</v>
      </c>
      <c r="I50" s="233"/>
      <c r="J50" s="470">
        <f>J26-J49</f>
        <v>-65946.399999999965</v>
      </c>
      <c r="K50" s="470">
        <f>K26-K49</f>
        <v>17922.279999999912</v>
      </c>
      <c r="L50" s="323"/>
      <c r="M50" s="470">
        <f>M26-M49</f>
        <v>-33681.334399999963</v>
      </c>
      <c r="O50" s="380">
        <f t="shared" si="2"/>
        <v>-32265.065600000002</v>
      </c>
      <c r="P50" s="467">
        <f>O50/M50</f>
        <v>0.9579509296401284</v>
      </c>
      <c r="R50" s="757">
        <f>SUM(R29:R49)</f>
        <v>167381.94999999998</v>
      </c>
    </row>
    <row r="51" spans="1:21" s="68" customFormat="1" x14ac:dyDescent="0.2">
      <c r="A51" s="67"/>
      <c r="B51" s="67"/>
      <c r="C51" s="67"/>
      <c r="D51" s="67"/>
      <c r="E51" s="67"/>
      <c r="F51" s="67"/>
      <c r="G51" s="233"/>
      <c r="H51" s="233"/>
      <c r="I51" s="233"/>
      <c r="J51" s="323"/>
      <c r="K51" s="323"/>
      <c r="L51" s="323"/>
      <c r="M51" s="323"/>
      <c r="R51" s="757"/>
    </row>
    <row r="52" spans="1:21" s="65" customFormat="1" ht="26.25" x14ac:dyDescent="0.2">
      <c r="A52" s="269"/>
      <c r="B52" s="269"/>
      <c r="C52" s="79" t="s">
        <v>270</v>
      </c>
      <c r="E52" s="79"/>
      <c r="F52" s="79"/>
      <c r="G52" s="271"/>
      <c r="H52" s="233"/>
      <c r="I52" s="233"/>
      <c r="J52" s="323"/>
      <c r="K52" s="323">
        <v>-69500</v>
      </c>
      <c r="L52" s="323"/>
      <c r="M52" s="323"/>
      <c r="O52" s="276">
        <f>J52-M52</f>
        <v>0</v>
      </c>
      <c r="P52" s="416"/>
      <c r="R52" s="757"/>
    </row>
    <row r="53" spans="1:21" s="68" customFormat="1" x14ac:dyDescent="0.2">
      <c r="A53" s="67"/>
      <c r="B53" s="67"/>
      <c r="C53" s="79" t="s">
        <v>236</v>
      </c>
      <c r="E53" s="67"/>
      <c r="G53" s="233"/>
      <c r="H53" s="233"/>
      <c r="I53" s="233"/>
      <c r="J53" s="323">
        <f>J38</f>
        <v>15180</v>
      </c>
      <c r="K53" s="323">
        <f>K38</f>
        <v>24029.68</v>
      </c>
      <c r="L53" s="323"/>
      <c r="M53" s="323">
        <f>M38</f>
        <v>7590.5599999999995</v>
      </c>
      <c r="O53" s="276">
        <f>J53-M53</f>
        <v>7589.4400000000005</v>
      </c>
      <c r="P53" s="416">
        <v>3.5414486921529216E-2</v>
      </c>
      <c r="R53" s="757"/>
    </row>
    <row r="54" spans="1:21" s="68" customFormat="1" ht="24" thickBot="1" x14ac:dyDescent="0.25">
      <c r="A54" s="67"/>
      <c r="B54" s="399"/>
      <c r="C54" s="67"/>
      <c r="D54" s="943" t="s">
        <v>237</v>
      </c>
      <c r="E54" s="943"/>
      <c r="F54" s="943"/>
      <c r="G54" s="233"/>
      <c r="H54" s="233"/>
      <c r="I54" s="233"/>
      <c r="J54" s="471">
        <f>J50+J52+J53</f>
        <v>-50766.399999999965</v>
      </c>
      <c r="K54" s="471">
        <f>K50+K52+K53</f>
        <v>-27548.040000000088</v>
      </c>
      <c r="L54" s="327"/>
      <c r="M54" s="471">
        <f>M50+M52+M53</f>
        <v>-26090.774399999966</v>
      </c>
      <c r="N54" s="390"/>
      <c r="O54" s="468">
        <f>J54-M54</f>
        <v>-24675.625599999999</v>
      </c>
      <c r="P54" s="505">
        <v>2.1062768618503362E-2</v>
      </c>
      <c r="R54" s="757"/>
    </row>
    <row r="55" spans="1:21" s="68" customFormat="1" ht="42" customHeight="1" thickTop="1" x14ac:dyDescent="0.2">
      <c r="A55" s="67"/>
      <c r="B55" s="67"/>
      <c r="C55" s="67"/>
      <c r="D55" s="67"/>
      <c r="E55" s="67"/>
      <c r="F55" s="67"/>
      <c r="G55" s="233"/>
      <c r="H55" s="233"/>
      <c r="I55" s="233"/>
      <c r="J55" s="323"/>
      <c r="K55" s="323"/>
      <c r="L55" s="323"/>
      <c r="M55" s="323"/>
      <c r="R55" s="757"/>
    </row>
    <row r="56" spans="1:21" s="76" customFormat="1" x14ac:dyDescent="0.2">
      <c r="A56" s="79"/>
      <c r="B56" s="79"/>
      <c r="C56" s="79"/>
      <c r="D56" s="79"/>
      <c r="F56" s="79" t="s">
        <v>316</v>
      </c>
      <c r="G56" s="247"/>
      <c r="H56" s="233"/>
      <c r="I56" s="233"/>
      <c r="J56" s="323">
        <v>62742</v>
      </c>
      <c r="K56" s="323">
        <v>227723</v>
      </c>
      <c r="L56" s="323"/>
      <c r="M56" s="323">
        <v>74506</v>
      </c>
      <c r="O56" s="248"/>
      <c r="R56" s="757"/>
    </row>
    <row r="57" spans="1:21" s="76" customFormat="1" ht="21" thickBot="1" x14ac:dyDescent="0.25">
      <c r="A57" s="79"/>
      <c r="B57" s="79"/>
      <c r="C57" s="79"/>
      <c r="D57" s="79"/>
      <c r="F57" s="79" t="s">
        <v>321</v>
      </c>
      <c r="G57" s="233"/>
      <c r="H57" s="233"/>
      <c r="I57" s="233"/>
      <c r="J57" s="617">
        <f>(J49-J38-J39)/J56</f>
        <v>2.3685164642504217</v>
      </c>
      <c r="K57" s="617">
        <f>(K49-K38-K39)/K56</f>
        <v>1.5003962709080774</v>
      </c>
      <c r="L57" s="618"/>
      <c r="M57" s="617">
        <f>(M49-M38-M39)/M56</f>
        <v>2.1343343408584539</v>
      </c>
      <c r="R57" s="757"/>
    </row>
    <row r="58" spans="1:21" s="76" customFormat="1" x14ac:dyDescent="0.2">
      <c r="A58" s="79"/>
      <c r="B58" s="79"/>
      <c r="C58" s="79"/>
      <c r="D58" s="79"/>
      <c r="F58" s="79"/>
      <c r="G58" s="233"/>
      <c r="H58" s="233"/>
      <c r="I58" s="233"/>
      <c r="J58" s="323"/>
      <c r="K58" s="323"/>
      <c r="L58" s="323"/>
      <c r="M58" s="323"/>
      <c r="R58" s="757"/>
    </row>
    <row r="59" spans="1:21" s="76" customFormat="1" x14ac:dyDescent="0.2">
      <c r="A59" s="79"/>
      <c r="B59" s="79"/>
      <c r="C59" s="79"/>
      <c r="D59" s="79"/>
      <c r="F59" s="79" t="s">
        <v>317</v>
      </c>
      <c r="G59" s="233"/>
      <c r="H59" s="233"/>
      <c r="I59" s="233"/>
      <c r="J59" s="323">
        <v>4125</v>
      </c>
      <c r="K59" s="323">
        <v>16457</v>
      </c>
      <c r="L59" s="323"/>
      <c r="M59" s="323">
        <v>5516</v>
      </c>
      <c r="P59" s="248"/>
      <c r="R59" s="757"/>
    </row>
    <row r="60" spans="1:21" s="76" customFormat="1" ht="21" thickBot="1" x14ac:dyDescent="0.25">
      <c r="A60" s="79"/>
      <c r="B60" s="79"/>
      <c r="C60" s="79"/>
      <c r="D60" s="79"/>
      <c r="F60" s="79" t="s">
        <v>382</v>
      </c>
      <c r="G60" s="233"/>
      <c r="H60" s="233"/>
      <c r="I60" s="233"/>
      <c r="J60" s="617">
        <f>(J49-J38-J39)/J59</f>
        <v>36.025566060606053</v>
      </c>
      <c r="K60" s="617">
        <f>(K49-K38-K39)/K59</f>
        <v>20.761666160296535</v>
      </c>
      <c r="L60" s="323"/>
      <c r="M60" s="617">
        <f>(M49-M38-M39)/M59</f>
        <v>28.828991007976789</v>
      </c>
      <c r="R60" s="757"/>
    </row>
    <row r="61" spans="1:21" s="76" customFormat="1" x14ac:dyDescent="0.2">
      <c r="A61" s="79"/>
      <c r="B61" s="79"/>
      <c r="C61" s="79"/>
      <c r="D61" s="79"/>
      <c r="F61" s="79"/>
      <c r="G61" s="233"/>
      <c r="H61" s="233"/>
      <c r="I61" s="233"/>
      <c r="J61" s="323"/>
      <c r="K61" s="323"/>
      <c r="L61" s="323"/>
      <c r="M61" s="323"/>
      <c r="R61" s="757"/>
    </row>
    <row r="62" spans="1:21" s="76" customFormat="1" x14ac:dyDescent="0.2">
      <c r="A62" s="79"/>
      <c r="B62" s="79"/>
      <c r="C62" s="67"/>
      <c r="D62" s="79"/>
      <c r="F62" s="79" t="s">
        <v>318</v>
      </c>
      <c r="G62" s="233"/>
      <c r="H62" s="233"/>
      <c r="I62" s="233"/>
      <c r="J62" s="323">
        <v>1517</v>
      </c>
      <c r="K62" s="323">
        <v>7208</v>
      </c>
      <c r="L62" s="323"/>
      <c r="M62" s="323">
        <v>2389</v>
      </c>
      <c r="R62" s="757"/>
    </row>
    <row r="63" spans="1:21" s="76" customFormat="1" ht="21" thickBot="1" x14ac:dyDescent="0.25">
      <c r="A63" s="79"/>
      <c r="B63" s="79"/>
      <c r="C63" s="79"/>
      <c r="D63" s="79"/>
      <c r="E63" s="79"/>
      <c r="F63" s="79" t="s">
        <v>383</v>
      </c>
      <c r="G63" s="233"/>
      <c r="H63" s="233"/>
      <c r="I63" s="233"/>
      <c r="J63" s="617">
        <f>J9/J62</f>
        <v>27.359485827290705</v>
      </c>
      <c r="K63" s="617">
        <f>K9/K62</f>
        <v>22.020116537180911</v>
      </c>
      <c r="L63" s="323"/>
      <c r="M63" s="617">
        <f>M9/M62</f>
        <v>32.932381749686066</v>
      </c>
      <c r="R63" s="757"/>
    </row>
    <row r="64" spans="1:21" s="76" customFormat="1" x14ac:dyDescent="0.2">
      <c r="A64" s="79"/>
      <c r="B64" s="79"/>
      <c r="C64" s="67"/>
      <c r="D64" s="67"/>
      <c r="G64" s="233"/>
      <c r="H64" s="233"/>
      <c r="I64" s="233"/>
      <c r="J64" s="323"/>
      <c r="K64" s="323"/>
      <c r="L64" s="323"/>
      <c r="M64" s="323"/>
      <c r="R64" s="757"/>
    </row>
    <row r="65" spans="1:18" s="76" customFormat="1" x14ac:dyDescent="0.2">
      <c r="A65" s="79"/>
      <c r="B65" s="79"/>
      <c r="C65" s="79"/>
      <c r="D65" s="79"/>
      <c r="E65" s="79"/>
      <c r="F65" s="79"/>
      <c r="G65" s="233"/>
      <c r="H65" s="233"/>
      <c r="I65" s="233"/>
      <c r="J65" s="233"/>
      <c r="K65" s="233"/>
      <c r="L65" s="233"/>
      <c r="M65" s="233"/>
      <c r="R65" s="757"/>
    </row>
    <row r="66" spans="1:18" s="76" customFormat="1" x14ac:dyDescent="0.2">
      <c r="A66" s="79"/>
      <c r="B66" s="79"/>
      <c r="C66" s="79"/>
      <c r="D66" s="79"/>
      <c r="E66" s="79"/>
      <c r="F66" s="79"/>
      <c r="G66" s="233"/>
      <c r="H66" s="233"/>
      <c r="I66" s="233"/>
      <c r="J66" s="233"/>
      <c r="K66" s="233"/>
      <c r="L66" s="233"/>
      <c r="M66" s="233"/>
      <c r="R66" s="757"/>
    </row>
    <row r="67" spans="1:18" s="76" customFormat="1" x14ac:dyDescent="0.2">
      <c r="A67" s="79"/>
      <c r="B67" s="79"/>
      <c r="C67" s="67"/>
      <c r="D67" s="79"/>
      <c r="F67" s="79"/>
      <c r="G67" s="233"/>
      <c r="H67" s="233"/>
      <c r="I67" s="233"/>
      <c r="J67" s="233"/>
      <c r="K67" s="233"/>
      <c r="L67" s="233"/>
      <c r="M67" s="233"/>
      <c r="R67" s="757"/>
    </row>
    <row r="68" spans="1:18" s="76" customFormat="1" x14ac:dyDescent="0.2">
      <c r="A68" s="79"/>
      <c r="B68" s="79"/>
      <c r="C68" s="79"/>
      <c r="D68" s="79"/>
      <c r="E68" s="79"/>
      <c r="F68" s="79"/>
      <c r="G68" s="233"/>
      <c r="H68" s="233"/>
      <c r="I68" s="233"/>
      <c r="J68" s="233"/>
      <c r="K68" s="233"/>
      <c r="L68" s="233"/>
      <c r="M68" s="233"/>
      <c r="R68" s="757"/>
    </row>
    <row r="69" spans="1:18" s="68" customFormat="1" x14ac:dyDescent="0.2">
      <c r="A69" s="67"/>
      <c r="B69" s="67"/>
      <c r="C69" s="67"/>
      <c r="D69" s="67"/>
      <c r="E69" s="67"/>
      <c r="F69" s="67"/>
      <c r="G69" s="238"/>
      <c r="H69" s="238"/>
      <c r="I69" s="238"/>
      <c r="J69" s="238"/>
      <c r="K69" s="238"/>
      <c r="L69" s="238"/>
      <c r="M69" s="238"/>
      <c r="R69" s="757"/>
    </row>
    <row r="70" spans="1:18" s="68" customFormat="1" x14ac:dyDescent="0.2">
      <c r="A70" s="67"/>
      <c r="B70" s="67"/>
      <c r="C70" s="67"/>
      <c r="D70" s="67"/>
      <c r="E70" s="67"/>
      <c r="F70" s="67"/>
      <c r="G70" s="238"/>
      <c r="H70" s="238"/>
      <c r="I70" s="238"/>
      <c r="J70" s="238"/>
      <c r="K70" s="238"/>
      <c r="L70" s="238"/>
      <c r="M70" s="238"/>
      <c r="R70" s="757"/>
    </row>
    <row r="71" spans="1:18" s="68" customFormat="1" ht="23.25" x14ac:dyDescent="0.2">
      <c r="A71" s="67"/>
      <c r="B71" s="272"/>
      <c r="C71" s="67"/>
      <c r="D71" s="67"/>
      <c r="E71" s="67"/>
      <c r="F71" s="67"/>
      <c r="G71" s="233"/>
      <c r="H71" s="233"/>
      <c r="I71" s="233"/>
      <c r="J71" s="233"/>
      <c r="K71" s="233"/>
      <c r="L71" s="233"/>
      <c r="M71" s="233"/>
      <c r="R71" s="757"/>
    </row>
    <row r="72" spans="1:18" s="76" customFormat="1" x14ac:dyDescent="0.2">
      <c r="A72" s="79"/>
      <c r="B72" s="79"/>
      <c r="D72" s="79"/>
      <c r="E72" s="79"/>
      <c r="F72" s="79"/>
      <c r="G72" s="233"/>
      <c r="H72" s="233"/>
      <c r="I72" s="233"/>
      <c r="J72" s="233"/>
      <c r="K72" s="233"/>
      <c r="L72" s="233"/>
      <c r="M72" s="233"/>
      <c r="R72" s="757"/>
    </row>
    <row r="73" spans="1:18" s="76" customFormat="1" x14ac:dyDescent="0.2">
      <c r="A73" s="79"/>
      <c r="B73" s="79"/>
      <c r="D73" s="79"/>
      <c r="E73" s="79"/>
      <c r="F73" s="79"/>
      <c r="G73" s="233"/>
      <c r="H73" s="233"/>
      <c r="I73" s="233"/>
      <c r="J73" s="233"/>
      <c r="K73" s="233"/>
      <c r="L73" s="233"/>
      <c r="M73" s="233"/>
      <c r="R73" s="757"/>
    </row>
    <row r="74" spans="1:18" s="68" customFormat="1" x14ac:dyDescent="0.2">
      <c r="A74" s="67"/>
      <c r="B74" s="67"/>
      <c r="D74" s="79"/>
      <c r="E74" s="67"/>
      <c r="F74" s="67"/>
      <c r="G74" s="233"/>
      <c r="H74" s="233"/>
      <c r="I74" s="233"/>
      <c r="J74" s="233"/>
      <c r="K74" s="233"/>
      <c r="L74" s="233"/>
      <c r="M74" s="233"/>
      <c r="R74" s="757"/>
    </row>
    <row r="75" spans="1:18" s="68" customFormat="1" ht="23.25" x14ac:dyDescent="0.2">
      <c r="A75" s="67"/>
      <c r="B75" s="272"/>
      <c r="C75" s="67"/>
      <c r="D75" s="67"/>
      <c r="E75" s="67"/>
      <c r="F75" s="67"/>
      <c r="G75" s="238"/>
      <c r="H75" s="238"/>
      <c r="I75" s="238"/>
      <c r="J75" s="238"/>
      <c r="K75" s="238"/>
      <c r="L75" s="238"/>
      <c r="M75" s="238"/>
      <c r="R75" s="757"/>
    </row>
    <row r="76" spans="1:18" s="68" customFormat="1" x14ac:dyDescent="0.2">
      <c r="A76" s="67"/>
      <c r="B76" s="67"/>
      <c r="C76" s="67"/>
      <c r="D76" s="67"/>
      <c r="E76" s="67"/>
      <c r="F76" s="67"/>
      <c r="G76" s="233"/>
      <c r="H76" s="233"/>
      <c r="I76" s="233"/>
      <c r="J76" s="233"/>
      <c r="K76" s="233"/>
      <c r="L76" s="233"/>
      <c r="M76" s="233"/>
      <c r="R76" s="757"/>
    </row>
    <row r="77" spans="1:18" s="82" customFormat="1" ht="26.25" x14ac:dyDescent="0.2">
      <c r="A77" s="269"/>
      <c r="B77" s="269"/>
      <c r="C77" s="269"/>
      <c r="D77" s="269"/>
      <c r="E77" s="269"/>
      <c r="F77" s="269"/>
      <c r="G77" s="270"/>
      <c r="H77" s="238"/>
      <c r="I77" s="238"/>
      <c r="J77" s="238"/>
      <c r="K77" s="238"/>
      <c r="L77" s="238"/>
      <c r="M77" s="238"/>
      <c r="R77" s="759"/>
    </row>
    <row r="78" spans="1:18" s="18" customFormat="1" x14ac:dyDescent="0.3">
      <c r="A78" s="122"/>
      <c r="B78" s="122"/>
      <c r="C78" s="122"/>
      <c r="D78" s="122"/>
      <c r="E78" s="122"/>
      <c r="F78" s="122"/>
      <c r="G78" s="273"/>
      <c r="H78" s="278"/>
      <c r="I78" s="278"/>
      <c r="J78" s="278"/>
      <c r="K78" s="278"/>
      <c r="L78" s="278"/>
      <c r="M78" s="278"/>
      <c r="R78" s="760"/>
    </row>
    <row r="79" spans="1:18" x14ac:dyDescent="0.3">
      <c r="H79" s="278"/>
      <c r="I79" s="278"/>
      <c r="J79" s="278"/>
      <c r="K79" s="278"/>
      <c r="L79" s="278"/>
      <c r="M79" s="278"/>
    </row>
    <row r="80" spans="1:18" x14ac:dyDescent="0.3">
      <c r="H80" s="278"/>
      <c r="I80" s="278"/>
      <c r="J80" s="278"/>
      <c r="K80" s="278"/>
      <c r="L80" s="278"/>
      <c r="M80" s="278"/>
    </row>
    <row r="81" spans="8:13" x14ac:dyDescent="0.3">
      <c r="H81" s="275"/>
      <c r="I81" s="275"/>
      <c r="J81" s="275"/>
      <c r="K81" s="275"/>
      <c r="L81" s="275"/>
      <c r="M81" s="275"/>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6"/>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1"/>
      <c r="H2" s="59"/>
      <c r="I2" s="59"/>
      <c r="J2" s="59"/>
      <c r="K2" s="59"/>
      <c r="L2" s="46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388</v>
      </c>
      <c r="B3" s="59"/>
      <c r="C3" s="60"/>
      <c r="D3" s="60"/>
      <c r="E3" s="60"/>
      <c r="F3" s="59"/>
      <c r="G3" s="231"/>
      <c r="H3" s="59"/>
      <c r="I3" s="59"/>
      <c r="J3" s="59"/>
      <c r="K3" s="59"/>
      <c r="L3" s="46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1"/>
      <c r="H4" s="59"/>
      <c r="I4" s="59"/>
      <c r="J4" s="59"/>
      <c r="K4" s="59"/>
      <c r="L4" s="466"/>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15"/>
      <c r="H6" s="241" t="s">
        <v>53</v>
      </c>
      <c r="I6" s="241"/>
      <c r="J6" s="883" t="s">
        <v>53</v>
      </c>
      <c r="K6" s="883"/>
      <c r="L6" s="883"/>
      <c r="M6" s="883"/>
      <c r="N6" s="65"/>
      <c r="O6" s="418" t="s">
        <v>185</v>
      </c>
      <c r="P6" s="415" t="s">
        <v>197</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row>
    <row r="8" spans="1:128" s="72" customFormat="1" ht="21" thickBot="1" x14ac:dyDescent="0.35">
      <c r="A8" s="69"/>
      <c r="B8" s="153" t="s">
        <v>104</v>
      </c>
      <c r="C8" s="153"/>
      <c r="D8" s="153"/>
      <c r="E8" s="153"/>
      <c r="F8" s="153"/>
      <c r="G8" s="282">
        <v>41090</v>
      </c>
      <c r="H8" s="282">
        <v>41274</v>
      </c>
      <c r="I8" s="324"/>
      <c r="J8" s="687">
        <v>43830</v>
      </c>
      <c r="K8" s="688">
        <f>'June''21 State of Activities'!H8</f>
        <v>44196</v>
      </c>
      <c r="L8" s="689"/>
      <c r="M8" s="687">
        <v>44196</v>
      </c>
      <c r="N8" s="71"/>
      <c r="O8" s="942" t="s">
        <v>391</v>
      </c>
      <c r="P8" s="942"/>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3" t="s">
        <v>154</v>
      </c>
      <c r="D9" s="423"/>
      <c r="E9" s="423"/>
      <c r="F9" s="73"/>
      <c r="G9" s="265">
        <v>127719</v>
      </c>
      <c r="H9" s="265">
        <v>67566.5</v>
      </c>
      <c r="I9" s="323"/>
      <c r="J9" s="327">
        <v>160000</v>
      </c>
      <c r="K9" s="327">
        <f>'June''21 State of Activities'!H10</f>
        <v>68172.509999999995</v>
      </c>
      <c r="L9" s="327"/>
      <c r="M9" s="327">
        <v>160000</v>
      </c>
      <c r="N9" s="68"/>
      <c r="O9" s="381">
        <f>M9-J9</f>
        <v>0</v>
      </c>
      <c r="P9" s="416">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3" t="s">
        <v>219</v>
      </c>
      <c r="D10" s="423"/>
      <c r="E10" s="423"/>
      <c r="F10" s="73"/>
      <c r="G10" s="264">
        <v>875436</v>
      </c>
      <c r="H10" s="264">
        <v>372424.1</v>
      </c>
      <c r="I10" s="327"/>
      <c r="J10" s="323">
        <v>5000</v>
      </c>
      <c r="K10" s="323">
        <f>10471.96+(5268.48+3381.01)*1.14</f>
        <v>20332.378599999996</v>
      </c>
      <c r="L10" s="327"/>
      <c r="M10" s="323">
        <v>10000</v>
      </c>
      <c r="N10" s="68"/>
      <c r="O10" s="513">
        <f>M10-J10</f>
        <v>5000</v>
      </c>
      <c r="P10" s="439">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3" t="s">
        <v>106</v>
      </c>
      <c r="D11" s="423"/>
      <c r="E11" s="423"/>
      <c r="F11" s="73"/>
      <c r="G11" s="265"/>
      <c r="H11" s="265"/>
      <c r="I11" s="323"/>
      <c r="J11" s="323"/>
      <c r="K11" s="323"/>
      <c r="L11" s="323"/>
      <c r="M11" s="323"/>
      <c r="N11" s="68"/>
      <c r="O11" s="513"/>
      <c r="P11" s="427"/>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3" t="s">
        <v>220</v>
      </c>
      <c r="E12" s="423"/>
      <c r="F12" s="73"/>
      <c r="G12" s="265">
        <v>94235.25</v>
      </c>
      <c r="H12" s="265">
        <v>37190.379999999997</v>
      </c>
      <c r="I12" s="323"/>
      <c r="J12" s="323">
        <f>3708.33*12</f>
        <v>44499.96</v>
      </c>
      <c r="K12" s="323">
        <f>3541.67*12</f>
        <v>42500.04</v>
      </c>
      <c r="L12" s="323"/>
      <c r="M12" s="323">
        <v>44500</v>
      </c>
      <c r="N12" s="68"/>
      <c r="O12" s="513">
        <f t="shared" ref="O12:O19" si="0">M12-J12</f>
        <v>4.0000000000873115E-2</v>
      </c>
      <c r="P12" s="439">
        <f t="shared" ref="P12:P18" si="1">O12/M12</f>
        <v>8.9887640451400261E-7</v>
      </c>
      <c r="Q12" s="68"/>
      <c r="R12" s="472"/>
      <c r="S12" s="473"/>
      <c r="T12" s="472"/>
      <c r="U12" s="472"/>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3" t="s">
        <v>163</v>
      </c>
      <c r="E13" s="423"/>
      <c r="F13" s="73"/>
      <c r="G13" s="265"/>
      <c r="H13" s="265"/>
      <c r="I13" s="323"/>
      <c r="J13" s="323">
        <v>13000</v>
      </c>
      <c r="K13" s="323">
        <f>750*12</f>
        <v>9000</v>
      </c>
      <c r="L13" s="323"/>
      <c r="M13" s="323">
        <v>18000</v>
      </c>
      <c r="N13" s="68"/>
      <c r="O13" s="513">
        <f t="shared" si="0"/>
        <v>5000</v>
      </c>
      <c r="P13" s="439">
        <f t="shared" si="1"/>
        <v>0.27777777777777779</v>
      </c>
      <c r="Q13" s="68"/>
      <c r="R13" s="68"/>
      <c r="S13" s="390"/>
      <c r="T13" s="474"/>
      <c r="U13" s="363"/>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3" t="s">
        <v>107</v>
      </c>
      <c r="D14" s="423"/>
      <c r="E14" s="423"/>
      <c r="F14" s="73"/>
      <c r="G14" s="265">
        <v>0</v>
      </c>
      <c r="H14" s="265">
        <v>3517</v>
      </c>
      <c r="I14" s="323"/>
      <c r="J14" s="323">
        <v>15000</v>
      </c>
      <c r="K14" s="323">
        <f>'June''21 State of Activities'!H17</f>
        <v>12695.06</v>
      </c>
      <c r="L14" s="323"/>
      <c r="M14" s="323">
        <v>20000</v>
      </c>
      <c r="N14" s="68"/>
      <c r="O14" s="513">
        <f t="shared" si="0"/>
        <v>5000</v>
      </c>
      <c r="P14" s="439">
        <f t="shared" si="1"/>
        <v>0.25</v>
      </c>
      <c r="Q14" s="68"/>
      <c r="R14" s="68"/>
      <c r="S14" s="390"/>
      <c r="T14" s="474"/>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3" t="s">
        <v>389</v>
      </c>
      <c r="D15" s="423"/>
      <c r="E15" s="423"/>
      <c r="F15" s="73"/>
      <c r="G15" s="265">
        <v>31459</v>
      </c>
      <c r="H15" s="265">
        <v>13920.35</v>
      </c>
      <c r="I15" s="323"/>
      <c r="J15" s="323">
        <v>25000</v>
      </c>
      <c r="K15" s="323">
        <v>25000</v>
      </c>
      <c r="L15" s="323"/>
      <c r="M15" s="323">
        <v>25000</v>
      </c>
      <c r="N15" s="68"/>
      <c r="O15" s="513">
        <f t="shared" si="0"/>
        <v>0</v>
      </c>
      <c r="P15" s="439">
        <f t="shared" si="1"/>
        <v>0</v>
      </c>
      <c r="Q15" s="68"/>
      <c r="R15" s="68"/>
      <c r="S15" s="390"/>
      <c r="T15" s="474"/>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3" t="s">
        <v>390</v>
      </c>
      <c r="D16" s="423"/>
      <c r="E16" s="423"/>
      <c r="F16" s="73"/>
      <c r="G16" s="265"/>
      <c r="H16" s="265"/>
      <c r="I16" s="323"/>
      <c r="J16" s="323">
        <v>20000</v>
      </c>
      <c r="K16" s="323"/>
      <c r="L16" s="323"/>
      <c r="M16" s="323">
        <v>15000</v>
      </c>
      <c r="N16" s="68"/>
      <c r="O16" s="513">
        <f t="shared" si="0"/>
        <v>-5000</v>
      </c>
      <c r="P16" s="439">
        <f t="shared" si="1"/>
        <v>-0.33333333333333331</v>
      </c>
      <c r="Q16" s="68"/>
      <c r="R16" s="68"/>
      <c r="S16" s="390"/>
      <c r="T16" s="474"/>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3" t="s">
        <v>342</v>
      </c>
      <c r="D17" s="423"/>
      <c r="E17" s="423"/>
      <c r="F17" s="73"/>
      <c r="G17" s="265"/>
      <c r="H17" s="265"/>
      <c r="I17" s="323"/>
      <c r="J17" s="323">
        <v>2000</v>
      </c>
      <c r="K17" s="323"/>
      <c r="L17" s="323"/>
      <c r="M17" s="323">
        <v>1000</v>
      </c>
      <c r="N17" s="68"/>
      <c r="O17" s="513">
        <f t="shared" si="0"/>
        <v>-1000</v>
      </c>
      <c r="P17" s="439">
        <f t="shared" si="1"/>
        <v>-1</v>
      </c>
      <c r="Q17" s="68"/>
      <c r="R17" s="68"/>
      <c r="S17" s="390"/>
      <c r="T17" s="474"/>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44" t="s">
        <v>345</v>
      </c>
      <c r="D18" s="944"/>
      <c r="E18" s="944"/>
      <c r="F18" s="944"/>
      <c r="G18" s="265"/>
      <c r="H18" s="265"/>
      <c r="I18" s="323"/>
      <c r="J18" s="323">
        <v>2000</v>
      </c>
      <c r="K18" s="323"/>
      <c r="L18" s="323"/>
      <c r="M18" s="323">
        <v>3000</v>
      </c>
      <c r="N18" s="68"/>
      <c r="O18" s="513">
        <f t="shared" si="0"/>
        <v>1000</v>
      </c>
      <c r="P18" s="439">
        <f t="shared" si="1"/>
        <v>0.33333333333333331</v>
      </c>
      <c r="Q18" s="68"/>
      <c r="R18" s="68"/>
      <c r="S18" s="390"/>
      <c r="T18" s="474"/>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3" t="s">
        <v>392</v>
      </c>
      <c r="D19" s="423"/>
      <c r="E19" s="423"/>
      <c r="F19" s="73"/>
      <c r="G19" s="265">
        <v>1125</v>
      </c>
      <c r="H19" s="265">
        <v>6050</v>
      </c>
      <c r="I19" s="323"/>
      <c r="J19" s="323">
        <v>2000</v>
      </c>
      <c r="K19" s="323">
        <f>'June''21 State of Activities'!H24</f>
        <v>0</v>
      </c>
      <c r="L19" s="323"/>
      <c r="M19" s="323">
        <f>'June''21 State of Activities'!J24</f>
        <v>0</v>
      </c>
      <c r="N19" s="68"/>
      <c r="O19" s="513">
        <f t="shared" si="0"/>
        <v>-2000</v>
      </c>
      <c r="P19" s="439"/>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44" t="s">
        <v>343</v>
      </c>
      <c r="D20" s="944"/>
      <c r="E20" s="944"/>
      <c r="F20" s="944"/>
      <c r="G20" s="265"/>
      <c r="H20" s="265"/>
      <c r="I20" s="323"/>
      <c r="J20" s="323"/>
      <c r="K20" s="323">
        <v>659.25</v>
      </c>
      <c r="L20" s="323"/>
      <c r="M20" s="323"/>
      <c r="N20" s="68"/>
      <c r="O20" s="513">
        <f>J20-M20</f>
        <v>0</v>
      </c>
      <c r="P20" s="439"/>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3" t="s">
        <v>222</v>
      </c>
      <c r="D21" s="423"/>
      <c r="E21" s="423"/>
      <c r="F21" s="73"/>
      <c r="G21" s="266">
        <v>31250</v>
      </c>
      <c r="H21" s="266">
        <v>15624.98</v>
      </c>
      <c r="I21" s="323"/>
      <c r="J21" s="266">
        <v>9315</v>
      </c>
      <c r="K21" s="266">
        <f>'June''21 State of Activities'!H25*0.2</f>
        <v>10548</v>
      </c>
      <c r="L21" s="323"/>
      <c r="M21" s="266">
        <v>9315</v>
      </c>
      <c r="N21" s="68"/>
      <c r="O21" s="514">
        <f>J21-M21</f>
        <v>0</v>
      </c>
      <c r="P21" s="417">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3"/>
      <c r="D22" s="73" t="s">
        <v>109</v>
      </c>
      <c r="E22" s="423"/>
      <c r="F22" s="73"/>
      <c r="G22" s="235">
        <v>1161224.25</v>
      </c>
      <c r="H22" s="235">
        <v>516293.30999999994</v>
      </c>
      <c r="I22" s="233"/>
      <c r="J22" s="265">
        <f>SUM(J9:J21)</f>
        <v>297814.95999999996</v>
      </c>
      <c r="K22" s="265">
        <f>SUM(K9:K21)</f>
        <v>188907.23859999998</v>
      </c>
      <c r="L22" s="323"/>
      <c r="M22" s="265">
        <f>SUM(M9:M21)</f>
        <v>305815</v>
      </c>
      <c r="N22" s="68"/>
      <c r="O22" s="276">
        <f>SUM(O9:O21)</f>
        <v>8000.0400000000009</v>
      </c>
      <c r="P22" s="439">
        <f>O22/M22</f>
        <v>2.615973709595671E-2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223</v>
      </c>
      <c r="D23" s="423"/>
      <c r="E23" s="423"/>
      <c r="F23" s="73"/>
      <c r="G23" s="242">
        <v>150176</v>
      </c>
      <c r="H23" s="242">
        <v>47700.27</v>
      </c>
      <c r="I23" s="233"/>
      <c r="J23" s="323">
        <v>19000</v>
      </c>
      <c r="K23" s="323">
        <v>19000</v>
      </c>
      <c r="L23" s="323"/>
      <c r="M23" s="323">
        <v>19000</v>
      </c>
      <c r="N23" s="68"/>
      <c r="O23" s="513">
        <f>J23-M23</f>
        <v>0</v>
      </c>
      <c r="P23" s="416">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224</v>
      </c>
      <c r="D24" s="423"/>
      <c r="E24" s="423"/>
      <c r="F24" s="73"/>
      <c r="G24" s="233"/>
      <c r="H24" s="233"/>
      <c r="I24" s="233"/>
      <c r="J24" s="266">
        <v>40000</v>
      </c>
      <c r="K24" s="266">
        <v>37641.19</v>
      </c>
      <c r="L24" s="323"/>
      <c r="M24" s="266">
        <v>38000</v>
      </c>
      <c r="N24" s="68"/>
      <c r="O24" s="380">
        <f>M24-J24</f>
        <v>-2000</v>
      </c>
      <c r="P24" s="467">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3"/>
      <c r="D25" s="73" t="s">
        <v>111</v>
      </c>
      <c r="E25" s="423"/>
      <c r="F25" s="73"/>
      <c r="G25" s="235">
        <v>1311400.25</v>
      </c>
      <c r="H25" s="235">
        <v>563993.57999999996</v>
      </c>
      <c r="I25" s="233"/>
      <c r="J25" s="265">
        <f>SUM(J22:J24)</f>
        <v>356814.95999999996</v>
      </c>
      <c r="K25" s="265">
        <f>SUM(K22:K24)</f>
        <v>245548.42859999998</v>
      </c>
      <c r="L25" s="323"/>
      <c r="M25" s="265">
        <f>SUM(M22:M24)</f>
        <v>362815</v>
      </c>
      <c r="N25" s="68"/>
      <c r="O25" s="276">
        <f>M25-J25</f>
        <v>6000.0400000000373</v>
      </c>
      <c r="P25" s="439">
        <f>O25/M25</f>
        <v>1.6537463996802882E-2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3"/>
      <c r="D26" s="73"/>
      <c r="E26" s="423"/>
      <c r="F26" s="73"/>
      <c r="G26" s="235"/>
      <c r="H26" s="235"/>
      <c r="I26" s="233"/>
      <c r="J26" s="323"/>
      <c r="K26" s="323"/>
      <c r="L26" s="323"/>
      <c r="M26" s="323"/>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115</v>
      </c>
      <c r="C27" s="87"/>
      <c r="D27" s="87"/>
      <c r="E27" s="87"/>
      <c r="F27" s="87"/>
      <c r="G27" s="242"/>
      <c r="H27" s="68"/>
      <c r="I27" s="68"/>
      <c r="J27" s="323"/>
      <c r="K27" s="370"/>
      <c r="L27" s="370"/>
      <c r="M27" s="370"/>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225</v>
      </c>
      <c r="D28" s="79"/>
      <c r="E28" s="79"/>
      <c r="F28" s="79"/>
      <c r="G28" s="233">
        <v>733747.79999999993</v>
      </c>
      <c r="H28" s="276">
        <v>361976</v>
      </c>
      <c r="I28" s="276"/>
      <c r="J28" s="323"/>
      <c r="K28" s="402"/>
      <c r="L28" s="402"/>
      <c r="M28" s="402"/>
    </row>
    <row r="29" spans="1:61" s="68" customFormat="1" ht="20.25" x14ac:dyDescent="0.2">
      <c r="A29" s="67"/>
      <c r="B29" s="67"/>
      <c r="C29" s="79"/>
      <c r="D29" s="885" t="s">
        <v>226</v>
      </c>
      <c r="E29" s="885"/>
      <c r="F29" s="885"/>
      <c r="G29" s="233"/>
      <c r="H29" s="276"/>
      <c r="I29" s="276"/>
      <c r="J29" s="720">
        <f>110984.34+54648</f>
        <v>165632.34</v>
      </c>
      <c r="K29" s="720">
        <v>146508.01999999999</v>
      </c>
      <c r="L29" s="720"/>
      <c r="M29" s="720">
        <v>170000</v>
      </c>
      <c r="O29" s="513">
        <f t="shared" ref="O29:O47" si="2">M29-J29</f>
        <v>4367.6600000000035</v>
      </c>
      <c r="P29" s="439">
        <f>O29/M29</f>
        <v>2.5692117647058844E-2</v>
      </c>
    </row>
    <row r="30" spans="1:61" s="68" customFormat="1" ht="20.25" x14ac:dyDescent="0.2">
      <c r="A30" s="67"/>
      <c r="B30" s="67"/>
      <c r="C30" s="79"/>
      <c r="D30" s="885" t="s">
        <v>227</v>
      </c>
      <c r="E30" s="885"/>
      <c r="F30" s="885"/>
      <c r="G30" s="233"/>
      <c r="H30" s="276"/>
      <c r="I30" s="276"/>
      <c r="J30" s="720">
        <v>63684</v>
      </c>
      <c r="K30" s="720">
        <f>35778.69+23251.49+605.09+292.95</f>
        <v>59928.22</v>
      </c>
      <c r="L30" s="720"/>
      <c r="M30" s="720">
        <f>(22.5*(64*26+100))+(19.06*(50*26+100))</f>
        <v>66374</v>
      </c>
      <c r="O30" s="513">
        <f t="shared" si="2"/>
        <v>2690</v>
      </c>
      <c r="P30" s="439">
        <f>O30/M30</f>
        <v>4.0527917558079968E-2</v>
      </c>
      <c r="R30" s="263"/>
    </row>
    <row r="31" spans="1:61" s="68" customFormat="1" ht="20.25" x14ac:dyDescent="0.2">
      <c r="A31" s="67"/>
      <c r="B31" s="67"/>
      <c r="C31" s="79"/>
      <c r="D31" s="885" t="s">
        <v>117</v>
      </c>
      <c r="E31" s="885"/>
      <c r="F31" s="885"/>
      <c r="G31" s="233"/>
      <c r="H31" s="276"/>
      <c r="I31" s="276"/>
      <c r="J31" s="720">
        <f>(J29+J30)*0.185</f>
        <v>42423.522899999996</v>
      </c>
      <c r="K31" s="720">
        <f>(K29+K30)*0.192</f>
        <v>39635.75808</v>
      </c>
      <c r="L31" s="720"/>
      <c r="M31" s="720">
        <f>(M29+M30)*0.185</f>
        <v>43729.19</v>
      </c>
      <c r="O31" s="513">
        <f t="shared" si="2"/>
        <v>1305.667100000006</v>
      </c>
      <c r="P31" s="439">
        <f>O31/M31</f>
        <v>2.9858021609821858E-2</v>
      </c>
    </row>
    <row r="32" spans="1:61" s="68" customFormat="1" ht="20.25" x14ac:dyDescent="0.2">
      <c r="A32" s="67"/>
      <c r="B32" s="67"/>
      <c r="C32" s="79" t="s">
        <v>285</v>
      </c>
      <c r="D32" s="79"/>
      <c r="E32" s="79"/>
      <c r="F32" s="79"/>
      <c r="G32" s="233">
        <v>44745.18</v>
      </c>
      <c r="H32" s="233">
        <v>20974.21</v>
      </c>
      <c r="I32" s="233"/>
      <c r="J32" s="720"/>
      <c r="K32" s="721"/>
      <c r="L32" s="720"/>
      <c r="M32" s="720"/>
      <c r="O32" s="513">
        <f t="shared" si="2"/>
        <v>0</v>
      </c>
      <c r="P32" s="439"/>
    </row>
    <row r="33" spans="1:16" s="68" customFormat="1" ht="20.25" x14ac:dyDescent="0.2">
      <c r="A33" s="67"/>
      <c r="B33" s="67"/>
      <c r="C33" s="79"/>
      <c r="D33" s="885" t="s">
        <v>228</v>
      </c>
      <c r="E33" s="885"/>
      <c r="F33" s="885"/>
      <c r="G33" s="233"/>
      <c r="H33" s="233"/>
      <c r="I33" s="233"/>
      <c r="J33" s="720">
        <f>17368.36/8*12</f>
        <v>26052.54</v>
      </c>
      <c r="K33" s="720">
        <v>27183.82</v>
      </c>
      <c r="L33" s="720"/>
      <c r="M33" s="720">
        <v>27500</v>
      </c>
      <c r="O33" s="513">
        <f t="shared" si="2"/>
        <v>1447.4599999999991</v>
      </c>
      <c r="P33" s="439">
        <f t="shared" ref="P33:P40" si="3">O33/M33</f>
        <v>5.2634909090909059E-2</v>
      </c>
    </row>
    <row r="34" spans="1:16" s="68" customFormat="1" ht="20.25" x14ac:dyDescent="0.2">
      <c r="A34" s="67"/>
      <c r="B34" s="67"/>
      <c r="C34" s="79"/>
      <c r="D34" s="885" t="s">
        <v>229</v>
      </c>
      <c r="E34" s="885"/>
      <c r="F34" s="885"/>
      <c r="G34" s="233"/>
      <c r="H34" s="233"/>
      <c r="I34" s="233"/>
      <c r="J34" s="720">
        <f>12089.81/8*12+800-400</f>
        <v>18534.715</v>
      </c>
      <c r="K34" s="720">
        <v>15510.83</v>
      </c>
      <c r="L34" s="720"/>
      <c r="M34" s="720">
        <v>19374</v>
      </c>
      <c r="O34" s="513">
        <f t="shared" si="2"/>
        <v>839.28499999999985</v>
      </c>
      <c r="P34" s="439">
        <f t="shared" si="3"/>
        <v>4.3320171363683282E-2</v>
      </c>
    </row>
    <row r="35" spans="1:16" s="68" customFormat="1" ht="20.25" x14ac:dyDescent="0.2">
      <c r="A35" s="67"/>
      <c r="B35" s="67"/>
      <c r="C35" s="79"/>
      <c r="D35" s="885" t="s">
        <v>311</v>
      </c>
      <c r="E35" s="885"/>
      <c r="F35" s="885"/>
      <c r="G35" s="233"/>
      <c r="H35" s="233"/>
      <c r="I35" s="233"/>
      <c r="J35" s="720">
        <f>10143.6/8*12</f>
        <v>15215.400000000001</v>
      </c>
      <c r="K35" s="720">
        <v>12450.36</v>
      </c>
      <c r="L35" s="720"/>
      <c r="M35" s="720">
        <v>15000</v>
      </c>
      <c r="O35" s="513">
        <f t="shared" si="2"/>
        <v>-215.40000000000146</v>
      </c>
      <c r="P35" s="439">
        <f t="shared" si="3"/>
        <v>-1.4360000000000097E-2</v>
      </c>
    </row>
    <row r="36" spans="1:16" s="68" customFormat="1" ht="20.25" x14ac:dyDescent="0.2">
      <c r="A36" s="67"/>
      <c r="B36" s="67"/>
      <c r="C36" s="79"/>
      <c r="D36" s="885" t="s">
        <v>230</v>
      </c>
      <c r="E36" s="885"/>
      <c r="F36" s="885"/>
      <c r="G36" s="233"/>
      <c r="H36" s="233"/>
      <c r="I36" s="233"/>
      <c r="J36" s="720">
        <v>513.5</v>
      </c>
      <c r="K36" s="720">
        <v>377</v>
      </c>
      <c r="L36" s="720"/>
      <c r="M36" s="720">
        <v>250</v>
      </c>
      <c r="O36" s="513">
        <f t="shared" si="2"/>
        <v>-263.5</v>
      </c>
      <c r="P36" s="439">
        <f t="shared" si="3"/>
        <v>-1.054</v>
      </c>
    </row>
    <row r="37" spans="1:16" s="68" customFormat="1" ht="20.25" x14ac:dyDescent="0.2">
      <c r="A37" s="67"/>
      <c r="B37" s="67"/>
      <c r="C37" s="79" t="s">
        <v>231</v>
      </c>
      <c r="D37" s="79"/>
      <c r="E37" s="79"/>
      <c r="F37" s="79"/>
      <c r="G37" s="233">
        <v>27200</v>
      </c>
      <c r="H37" s="233">
        <v>11327</v>
      </c>
      <c r="I37" s="233"/>
      <c r="J37" s="720">
        <f>22772+1411</f>
        <v>24183</v>
      </c>
      <c r="K37" s="720">
        <v>25080</v>
      </c>
      <c r="L37" s="720"/>
      <c r="M37" s="720">
        <f>20430+6774</f>
        <v>27204</v>
      </c>
      <c r="O37" s="513">
        <f t="shared" si="2"/>
        <v>3021</v>
      </c>
      <c r="P37" s="439">
        <f t="shared" si="3"/>
        <v>0.11104984561093957</v>
      </c>
    </row>
    <row r="38" spans="1:16" s="68" customFormat="1" ht="20.25" x14ac:dyDescent="0.2">
      <c r="A38" s="67"/>
      <c r="B38" s="67"/>
      <c r="C38" s="79" t="s">
        <v>108</v>
      </c>
      <c r="D38" s="79"/>
      <c r="E38" s="79"/>
      <c r="F38" s="79"/>
      <c r="G38" s="233">
        <v>150176</v>
      </c>
      <c r="H38" s="276">
        <v>47700.27</v>
      </c>
      <c r="I38" s="276"/>
      <c r="J38" s="720">
        <f>J21</f>
        <v>9315</v>
      </c>
      <c r="K38" s="720">
        <f>K21</f>
        <v>10548</v>
      </c>
      <c r="L38" s="720"/>
      <c r="M38" s="720">
        <f>M21</f>
        <v>9315</v>
      </c>
      <c r="O38" s="513">
        <f t="shared" si="2"/>
        <v>0</v>
      </c>
      <c r="P38" s="439">
        <f t="shared" si="3"/>
        <v>0</v>
      </c>
    </row>
    <row r="39" spans="1:16" s="68" customFormat="1" ht="20.25" x14ac:dyDescent="0.2">
      <c r="A39" s="67"/>
      <c r="B39" s="67"/>
      <c r="C39" s="79" t="s">
        <v>320</v>
      </c>
      <c r="D39" s="79"/>
      <c r="E39" s="79"/>
      <c r="F39" s="79"/>
      <c r="G39" s="233"/>
      <c r="H39" s="276"/>
      <c r="I39" s="276"/>
      <c r="J39" s="720">
        <f>2845+(332.08+24.92)*4</f>
        <v>4273</v>
      </c>
      <c r="K39" s="720">
        <v>4075</v>
      </c>
      <c r="L39" s="720"/>
      <c r="M39" s="720">
        <f>360*12</f>
        <v>4320</v>
      </c>
      <c r="O39" s="513">
        <f t="shared" si="2"/>
        <v>47</v>
      </c>
      <c r="P39" s="439">
        <f t="shared" si="3"/>
        <v>1.087962962962963E-2</v>
      </c>
    </row>
    <row r="40" spans="1:16" s="68" customFormat="1" ht="20.25" x14ac:dyDescent="0.2">
      <c r="A40" s="67"/>
      <c r="B40" s="67"/>
      <c r="C40" s="79" t="s">
        <v>232</v>
      </c>
      <c r="D40" s="79"/>
      <c r="E40" s="79"/>
      <c r="F40" s="79"/>
      <c r="G40" s="233"/>
      <c r="H40" s="276"/>
      <c r="I40" s="276"/>
      <c r="J40" s="720">
        <f>393+75</f>
        <v>468</v>
      </c>
      <c r="K40" s="720">
        <v>1496.32</v>
      </c>
      <c r="L40" s="720"/>
      <c r="M40" s="720">
        <v>500</v>
      </c>
      <c r="O40" s="513">
        <f t="shared" si="2"/>
        <v>32</v>
      </c>
      <c r="P40" s="439">
        <f t="shared" si="3"/>
        <v>6.4000000000000001E-2</v>
      </c>
    </row>
    <row r="41" spans="1:16" s="68" customFormat="1" ht="20.25" x14ac:dyDescent="0.2">
      <c r="A41" s="67"/>
      <c r="B41" s="67"/>
      <c r="C41" s="79" t="s">
        <v>393</v>
      </c>
      <c r="D41" s="79"/>
      <c r="E41" s="79"/>
      <c r="F41" s="79"/>
      <c r="G41" s="233">
        <v>10993.12</v>
      </c>
      <c r="H41" s="276">
        <v>4904.57</v>
      </c>
      <c r="I41" s="276"/>
      <c r="J41" s="720">
        <f>2414+307*4</f>
        <v>3642</v>
      </c>
      <c r="K41" s="720">
        <v>3429.9</v>
      </c>
      <c r="L41" s="720"/>
      <c r="M41" s="720">
        <f>307*12</f>
        <v>3684</v>
      </c>
      <c r="O41" s="513">
        <f t="shared" si="2"/>
        <v>42</v>
      </c>
      <c r="P41" s="439">
        <f>O41/M41</f>
        <v>1.1400651465798045E-2</v>
      </c>
    </row>
    <row r="42" spans="1:16" s="68" customFormat="1" ht="20.25" x14ac:dyDescent="0.2">
      <c r="A42" s="67"/>
      <c r="B42" s="67"/>
      <c r="C42" s="79" t="s">
        <v>233</v>
      </c>
      <c r="D42" s="79"/>
      <c r="E42" s="79"/>
      <c r="F42" s="79"/>
      <c r="G42" s="233">
        <v>10250.949999999999</v>
      </c>
      <c r="H42" s="276">
        <v>3982.99</v>
      </c>
      <c r="I42" s="276"/>
      <c r="J42" s="720">
        <v>600</v>
      </c>
      <c r="K42" s="720">
        <f>56.6+402.81</f>
        <v>459.41</v>
      </c>
      <c r="L42" s="720"/>
      <c r="M42" s="720">
        <v>600</v>
      </c>
      <c r="O42" s="513">
        <f t="shared" si="2"/>
        <v>0</v>
      </c>
      <c r="P42" s="439">
        <f>O42/M42</f>
        <v>0</v>
      </c>
    </row>
    <row r="43" spans="1:16" s="68" customFormat="1" ht="20.25" x14ac:dyDescent="0.2">
      <c r="A43" s="67"/>
      <c r="B43" s="67"/>
      <c r="C43" s="79" t="s">
        <v>126</v>
      </c>
      <c r="D43" s="79"/>
      <c r="E43" s="79"/>
      <c r="F43" s="79"/>
      <c r="G43" s="233">
        <v>4412.53</v>
      </c>
      <c r="H43" s="277">
        <v>5667</v>
      </c>
      <c r="I43" s="277"/>
      <c r="J43" s="720">
        <f>122.96+1237.38+391.65</f>
        <v>1751.9900000000002</v>
      </c>
      <c r="K43" s="720">
        <v>1040.8800000000001</v>
      </c>
      <c r="L43" s="722"/>
      <c r="M43" s="722">
        <f>394*4</f>
        <v>1576</v>
      </c>
      <c r="O43" s="513">
        <f t="shared" si="2"/>
        <v>-175.99000000000024</v>
      </c>
      <c r="P43" s="439">
        <f>O43/M43</f>
        <v>-0.11166878172588847</v>
      </c>
    </row>
    <row r="44" spans="1:16" s="68" customFormat="1" ht="20.25" x14ac:dyDescent="0.2">
      <c r="A44" s="67"/>
      <c r="B44" s="67"/>
      <c r="C44" s="79" t="s">
        <v>124</v>
      </c>
      <c r="D44" s="79"/>
      <c r="E44" s="79"/>
      <c r="F44" s="79"/>
      <c r="G44" s="233">
        <v>7901</v>
      </c>
      <c r="H44" s="276">
        <v>4149.6000000000004</v>
      </c>
      <c r="I44" s="276"/>
      <c r="J44" s="720">
        <f>367.55/8*12</f>
        <v>551.32500000000005</v>
      </c>
      <c r="K44" s="720">
        <v>436.35</v>
      </c>
      <c r="L44" s="720"/>
      <c r="M44" s="720">
        <v>600</v>
      </c>
      <c r="O44" s="513">
        <f t="shared" si="2"/>
        <v>48.674999999999955</v>
      </c>
      <c r="P44" s="439">
        <f>O44/M44</f>
        <v>8.1124999999999919E-2</v>
      </c>
    </row>
    <row r="45" spans="1:16" s="68" customFormat="1" ht="20.25" hidden="1" x14ac:dyDescent="0.2">
      <c r="A45" s="67"/>
      <c r="B45" s="67"/>
      <c r="C45" s="79" t="s">
        <v>234</v>
      </c>
      <c r="D45" s="79"/>
      <c r="E45" s="79"/>
      <c r="F45" s="79"/>
      <c r="G45" s="233"/>
      <c r="H45" s="276"/>
      <c r="I45" s="276"/>
      <c r="J45" s="720"/>
      <c r="K45" s="720"/>
      <c r="L45" s="720"/>
      <c r="M45" s="720">
        <v>0</v>
      </c>
      <c r="O45" s="513">
        <f t="shared" si="2"/>
        <v>0</v>
      </c>
      <c r="P45" s="439"/>
    </row>
    <row r="46" spans="1:16" s="76" customFormat="1" ht="20.25" x14ac:dyDescent="0.2">
      <c r="A46" s="79"/>
      <c r="B46" s="79"/>
      <c r="C46" s="79" t="s">
        <v>120</v>
      </c>
      <c r="D46" s="79"/>
      <c r="E46" s="79"/>
      <c r="F46" s="79"/>
      <c r="G46" s="233">
        <v>5428.37</v>
      </c>
      <c r="H46" s="276">
        <v>2024.52</v>
      </c>
      <c r="I46" s="276"/>
      <c r="J46" s="720">
        <f>208.6/8*12</f>
        <v>312.89999999999998</v>
      </c>
      <c r="K46" s="720">
        <v>205.44</v>
      </c>
      <c r="L46" s="720"/>
      <c r="M46" s="720">
        <v>320</v>
      </c>
      <c r="O46" s="513">
        <f t="shared" si="2"/>
        <v>7.1000000000000227</v>
      </c>
      <c r="P46" s="439">
        <f>O46/M46</f>
        <v>2.2187500000000072E-2</v>
      </c>
    </row>
    <row r="47" spans="1:16" s="76" customFormat="1" ht="20.25" x14ac:dyDescent="0.2">
      <c r="A47" s="79"/>
      <c r="B47" s="79"/>
      <c r="C47" s="79" t="s">
        <v>235</v>
      </c>
      <c r="D47" s="79"/>
      <c r="E47" s="79"/>
      <c r="F47" s="79"/>
      <c r="G47" s="233">
        <v>83462.91</v>
      </c>
      <c r="H47" s="233">
        <v>18995.71</v>
      </c>
      <c r="I47" s="233"/>
      <c r="J47" s="723">
        <v>200</v>
      </c>
      <c r="K47" s="723">
        <f>201.52+30+216.21+94.56</f>
        <v>542.29</v>
      </c>
      <c r="L47" s="720"/>
      <c r="M47" s="720">
        <v>225</v>
      </c>
      <c r="O47" s="513">
        <f t="shared" si="2"/>
        <v>25</v>
      </c>
      <c r="P47" s="515">
        <f>O47/M47</f>
        <v>0.1111111111111111</v>
      </c>
    </row>
    <row r="48" spans="1:16" s="68" customFormat="1" ht="21" thickBot="1" x14ac:dyDescent="0.25">
      <c r="A48" s="67"/>
      <c r="B48" s="67"/>
      <c r="C48" s="67"/>
      <c r="D48" s="73" t="s">
        <v>132</v>
      </c>
      <c r="E48" s="67"/>
      <c r="F48" s="67"/>
      <c r="G48" s="242">
        <v>1078317.8599999999</v>
      </c>
      <c r="H48" s="242">
        <v>481701.87000000005</v>
      </c>
      <c r="I48" s="233"/>
      <c r="J48" s="469">
        <f>SUM(J29:J47)</f>
        <v>377353.23290000006</v>
      </c>
      <c r="K48" s="469">
        <f>SUM(K29:K47)</f>
        <v>348907.59807999997</v>
      </c>
      <c r="L48" s="323"/>
      <c r="M48" s="469">
        <f>SUM(M29:M47)</f>
        <v>390571.19</v>
      </c>
      <c r="O48" s="469">
        <f>J48-M48</f>
        <v>-13217.957099999941</v>
      </c>
      <c r="P48" s="467">
        <f>O48/M48</f>
        <v>-3.384263212040791E-2</v>
      </c>
    </row>
    <row r="49" spans="1:19" s="68" customFormat="1" ht="21" thickBot="1" x14ac:dyDescent="0.25">
      <c r="A49" s="67"/>
      <c r="B49" s="67"/>
      <c r="C49" s="67"/>
      <c r="D49" s="67" t="s">
        <v>133</v>
      </c>
      <c r="E49" s="67"/>
      <c r="F49" s="67"/>
      <c r="G49" s="242">
        <v>233082.39000000013</v>
      </c>
      <c r="H49" s="242">
        <v>82291.709999999905</v>
      </c>
      <c r="I49" s="233"/>
      <c r="J49" s="470">
        <f>J25-J48</f>
        <v>-20538.272900000098</v>
      </c>
      <c r="K49" s="470">
        <f>K25-K48</f>
        <v>-103359.16947999998</v>
      </c>
      <c r="L49" s="323"/>
      <c r="M49" s="470">
        <f>M25-M48</f>
        <v>-27756.190000000002</v>
      </c>
      <c r="O49" s="380">
        <f>M49-J49</f>
        <v>-7217.9170999999042</v>
      </c>
      <c r="P49" s="467">
        <f>O49/M49</f>
        <v>0.26004711381496898</v>
      </c>
    </row>
    <row r="50" spans="1:19" s="68" customFormat="1" ht="20.25" x14ac:dyDescent="0.2">
      <c r="A50" s="67"/>
      <c r="B50" s="67"/>
      <c r="C50" s="67"/>
      <c r="D50" s="67"/>
      <c r="E50" s="67"/>
      <c r="F50" s="67"/>
      <c r="G50" s="233"/>
      <c r="H50" s="233"/>
      <c r="I50" s="233"/>
      <c r="J50" s="323"/>
      <c r="K50" s="323"/>
      <c r="L50" s="323"/>
      <c r="M50" s="323"/>
    </row>
    <row r="51" spans="1:19" s="65" customFormat="1" ht="26.25" x14ac:dyDescent="0.2">
      <c r="A51" s="269"/>
      <c r="B51" s="269"/>
      <c r="C51" s="79" t="s">
        <v>270</v>
      </c>
      <c r="E51" s="79"/>
      <c r="F51" s="79"/>
      <c r="G51" s="271"/>
      <c r="H51" s="233"/>
      <c r="I51" s="233"/>
      <c r="J51" s="323">
        <f>-23415.22-24000</f>
        <v>-47415.22</v>
      </c>
      <c r="K51" s="323">
        <v>-44886</v>
      </c>
      <c r="L51" s="323"/>
      <c r="M51" s="323"/>
      <c r="O51" s="276">
        <f>M51-J51</f>
        <v>47415.22</v>
      </c>
      <c r="P51" s="416"/>
      <c r="S51" s="719"/>
    </row>
    <row r="52" spans="1:19" s="68" customFormat="1" ht="20.25" x14ac:dyDescent="0.2">
      <c r="A52" s="67"/>
      <c r="B52" s="67"/>
      <c r="C52" s="79" t="s">
        <v>236</v>
      </c>
      <c r="E52" s="67"/>
      <c r="G52" s="233"/>
      <c r="H52" s="233"/>
      <c r="I52" s="233"/>
      <c r="J52" s="323">
        <f>J37</f>
        <v>24183</v>
      </c>
      <c r="K52" s="323">
        <f>K37</f>
        <v>25080</v>
      </c>
      <c r="L52" s="323"/>
      <c r="M52" s="323">
        <f>M37</f>
        <v>27204</v>
      </c>
      <c r="O52" s="276">
        <f>M52-J52</f>
        <v>3021</v>
      </c>
      <c r="P52" s="416">
        <v>3.5414486921529216E-2</v>
      </c>
    </row>
    <row r="53" spans="1:19" s="68" customFormat="1" ht="24" thickBot="1" x14ac:dyDescent="0.25">
      <c r="A53" s="67"/>
      <c r="B53" s="399"/>
      <c r="C53" s="67"/>
      <c r="D53" s="943" t="s">
        <v>237</v>
      </c>
      <c r="E53" s="943"/>
      <c r="F53" s="943"/>
      <c r="G53" s="233"/>
      <c r="H53" s="233"/>
      <c r="I53" s="233"/>
      <c r="J53" s="471">
        <f>J49+J51+J52</f>
        <v>-43770.492900000099</v>
      </c>
      <c r="K53" s="471">
        <f>K49+K51+K52</f>
        <v>-123165.16947999998</v>
      </c>
      <c r="L53" s="327"/>
      <c r="M53" s="471">
        <f>M49+M51+M52</f>
        <v>-552.19000000000233</v>
      </c>
      <c r="N53" s="390"/>
      <c r="O53" s="468">
        <f>M53-J53</f>
        <v>43218.302900000097</v>
      </c>
      <c r="P53" s="505">
        <v>2.1062768618503362E-2</v>
      </c>
    </row>
    <row r="54" spans="1:19" s="68" customFormat="1" ht="42" customHeight="1" thickTop="1" x14ac:dyDescent="0.2">
      <c r="A54" s="67"/>
      <c r="B54" s="67"/>
      <c r="C54" s="67"/>
      <c r="D54" s="67"/>
      <c r="E54" s="67"/>
      <c r="F54" s="67"/>
      <c r="G54" s="233"/>
      <c r="H54" s="233"/>
      <c r="I54" s="233"/>
      <c r="J54" s="323"/>
      <c r="K54" s="323"/>
      <c r="L54" s="323"/>
      <c r="M54" s="323"/>
    </row>
    <row r="55" spans="1:19" s="76" customFormat="1" ht="20.25" x14ac:dyDescent="0.2">
      <c r="A55" s="79"/>
      <c r="B55" s="79"/>
      <c r="C55" s="79"/>
      <c r="D55" s="79"/>
      <c r="E55" s="79"/>
      <c r="F55" s="79"/>
      <c r="G55" s="233"/>
      <c r="H55" s="233"/>
      <c r="I55" s="233"/>
      <c r="J55" s="233"/>
      <c r="K55" s="233"/>
      <c r="L55" s="233"/>
      <c r="M55" s="233"/>
    </row>
    <row r="56" spans="1:19" s="76" customFormat="1" ht="20.25" x14ac:dyDescent="0.2">
      <c r="A56" s="79"/>
      <c r="B56" s="79"/>
      <c r="C56" s="79"/>
      <c r="D56" s="79"/>
      <c r="E56" s="79"/>
      <c r="F56" s="79"/>
      <c r="G56" s="233"/>
      <c r="H56" s="233"/>
      <c r="I56" s="233"/>
      <c r="J56" s="233"/>
      <c r="K56" s="233"/>
      <c r="L56" s="233"/>
      <c r="M56" s="233"/>
    </row>
    <row r="57" spans="1:19" s="76" customFormat="1" ht="20.25" x14ac:dyDescent="0.2">
      <c r="A57" s="79"/>
      <c r="B57" s="79"/>
      <c r="C57" s="67"/>
      <c r="D57" s="79"/>
      <c r="F57" s="79"/>
      <c r="G57" s="233"/>
      <c r="H57" s="233"/>
      <c r="I57" s="233"/>
      <c r="J57" s="233"/>
      <c r="K57" s="233"/>
      <c r="L57" s="233"/>
      <c r="M57" s="233"/>
    </row>
    <row r="58" spans="1:19" s="76" customFormat="1" ht="20.25" x14ac:dyDescent="0.2">
      <c r="A58" s="79"/>
      <c r="B58" s="79"/>
      <c r="C58" s="79"/>
      <c r="D58" s="79"/>
      <c r="E58" s="79"/>
      <c r="F58" s="79"/>
      <c r="G58" s="233"/>
      <c r="H58" s="233"/>
      <c r="I58" s="233"/>
      <c r="J58" s="233"/>
      <c r="K58" s="233"/>
      <c r="L58" s="233"/>
      <c r="M58" s="233"/>
    </row>
    <row r="59" spans="1:19" s="68" customFormat="1" ht="20.25" x14ac:dyDescent="0.2">
      <c r="A59" s="67"/>
      <c r="B59" s="67"/>
      <c r="C59" s="67"/>
      <c r="D59" s="67"/>
      <c r="E59" s="67"/>
      <c r="F59" s="67"/>
      <c r="G59" s="238"/>
      <c r="H59" s="238"/>
      <c r="I59" s="238"/>
      <c r="J59" s="238"/>
      <c r="K59" s="238"/>
      <c r="L59" s="238"/>
      <c r="M59" s="238"/>
    </row>
    <row r="60" spans="1:19" s="68" customFormat="1" ht="20.25" x14ac:dyDescent="0.2">
      <c r="A60" s="67"/>
      <c r="B60" s="67"/>
      <c r="C60" s="67"/>
      <c r="D60" s="67"/>
      <c r="E60" s="67"/>
      <c r="F60" s="67"/>
      <c r="G60" s="238"/>
      <c r="H60" s="238"/>
      <c r="I60" s="238"/>
      <c r="J60" s="238"/>
      <c r="K60" s="238"/>
      <c r="L60" s="238"/>
      <c r="M60" s="238"/>
    </row>
    <row r="61" spans="1:19" s="68" customFormat="1" ht="23.25" x14ac:dyDescent="0.2">
      <c r="A61" s="67"/>
      <c r="B61" s="272"/>
      <c r="C61" s="67"/>
      <c r="D61" s="67"/>
      <c r="E61" s="67"/>
      <c r="F61" s="67"/>
      <c r="G61" s="233"/>
      <c r="H61" s="233"/>
      <c r="I61" s="233"/>
      <c r="J61" s="233"/>
      <c r="K61" s="233"/>
      <c r="L61" s="233"/>
      <c r="M61" s="233"/>
    </row>
    <row r="62" spans="1:19" s="76" customFormat="1" ht="20.25" x14ac:dyDescent="0.2">
      <c r="A62" s="79"/>
      <c r="B62" s="79"/>
      <c r="D62" s="79"/>
      <c r="E62" s="79"/>
      <c r="F62" s="79"/>
      <c r="G62" s="233"/>
      <c r="H62" s="233"/>
      <c r="I62" s="233"/>
      <c r="J62" s="233"/>
      <c r="K62" s="233"/>
      <c r="L62" s="233"/>
      <c r="M62" s="233"/>
    </row>
    <row r="63" spans="1:19" s="76" customFormat="1" ht="20.25" x14ac:dyDescent="0.2">
      <c r="A63" s="79"/>
      <c r="B63" s="79"/>
      <c r="D63" s="79"/>
      <c r="E63" s="79"/>
      <c r="F63" s="79"/>
      <c r="G63" s="233"/>
      <c r="H63" s="233"/>
      <c r="I63" s="233"/>
      <c r="J63" s="233"/>
      <c r="K63" s="233"/>
      <c r="L63" s="233"/>
      <c r="M63" s="233"/>
    </row>
    <row r="64" spans="1:19" s="68" customFormat="1" ht="20.25" x14ac:dyDescent="0.2">
      <c r="A64" s="67"/>
      <c r="B64" s="67"/>
      <c r="D64" s="79"/>
      <c r="E64" s="67"/>
      <c r="F64" s="67"/>
      <c r="G64" s="233"/>
      <c r="H64" s="233"/>
      <c r="I64" s="233"/>
      <c r="J64" s="233"/>
      <c r="K64" s="233"/>
      <c r="L64" s="233"/>
      <c r="M64" s="233"/>
    </row>
    <row r="65" spans="1:13" s="68" customFormat="1" ht="23.25" x14ac:dyDescent="0.2">
      <c r="A65" s="67"/>
      <c r="B65" s="272"/>
      <c r="C65" s="67"/>
      <c r="D65" s="67"/>
      <c r="E65" s="67"/>
      <c r="F65" s="67"/>
      <c r="G65" s="238"/>
      <c r="H65" s="238"/>
      <c r="I65" s="238"/>
      <c r="J65" s="238"/>
      <c r="K65" s="238"/>
      <c r="L65" s="238"/>
      <c r="M65" s="238"/>
    </row>
    <row r="66" spans="1:13" s="68" customFormat="1" ht="20.25" x14ac:dyDescent="0.2">
      <c r="A66" s="67"/>
      <c r="B66" s="67"/>
      <c r="C66" s="67"/>
      <c r="D66" s="67"/>
      <c r="E66" s="67"/>
      <c r="F66" s="67"/>
      <c r="G66" s="233"/>
      <c r="H66" s="233"/>
      <c r="I66" s="233"/>
      <c r="J66" s="233"/>
      <c r="K66" s="233"/>
      <c r="L66" s="233"/>
      <c r="M66" s="233"/>
    </row>
    <row r="67" spans="1:13" s="82" customFormat="1" ht="26.25" x14ac:dyDescent="0.2">
      <c r="A67" s="269"/>
      <c r="B67" s="269"/>
      <c r="C67" s="269"/>
      <c r="D67" s="269"/>
      <c r="E67" s="269"/>
      <c r="F67" s="269"/>
      <c r="G67" s="270"/>
      <c r="H67" s="238"/>
      <c r="I67" s="238"/>
      <c r="J67" s="238"/>
      <c r="K67" s="238"/>
      <c r="L67" s="238"/>
      <c r="M67" s="238"/>
    </row>
    <row r="68" spans="1:13" s="18" customFormat="1" ht="20.25" x14ac:dyDescent="0.3">
      <c r="A68" s="122"/>
      <c r="B68" s="122"/>
      <c r="C68" s="122"/>
      <c r="D68" s="122"/>
      <c r="E68" s="122"/>
      <c r="F68" s="122"/>
      <c r="G68" s="273"/>
      <c r="H68" s="278"/>
      <c r="I68" s="278"/>
      <c r="J68" s="278"/>
      <c r="K68" s="278"/>
      <c r="L68" s="278"/>
      <c r="M68" s="278"/>
    </row>
    <row r="69" spans="1:13" ht="20.25" x14ac:dyDescent="0.3">
      <c r="H69" s="278"/>
      <c r="I69" s="278"/>
      <c r="J69" s="278"/>
      <c r="K69" s="278"/>
      <c r="L69" s="278"/>
      <c r="M69" s="278"/>
    </row>
    <row r="70" spans="1:13" ht="20.25" x14ac:dyDescent="0.3">
      <c r="H70" s="278"/>
      <c r="I70" s="278"/>
      <c r="J70" s="278"/>
      <c r="K70" s="278"/>
      <c r="L70" s="278"/>
      <c r="M70" s="278"/>
    </row>
    <row r="71" spans="1:13" ht="20.25" x14ac:dyDescent="0.3">
      <c r="H71" s="275"/>
      <c r="I71" s="275"/>
      <c r="J71" s="275"/>
      <c r="K71" s="275"/>
      <c r="L71" s="275"/>
      <c r="M71" s="275"/>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98</v>
      </c>
      <c r="B1" s="59"/>
      <c r="C1" s="60"/>
      <c r="D1" s="60"/>
      <c r="E1" s="60"/>
      <c r="F1" s="59"/>
      <c r="G1" s="231"/>
    </row>
    <row r="2" spans="1:9" ht="26.25" x14ac:dyDescent="0.4">
      <c r="A2" s="58" t="s">
        <v>268</v>
      </c>
      <c r="B2" s="59"/>
      <c r="C2" s="60"/>
      <c r="D2" s="60"/>
      <c r="E2" s="60"/>
      <c r="F2" s="59"/>
      <c r="G2" s="231"/>
    </row>
    <row r="3" spans="1:9" ht="26.25" x14ac:dyDescent="0.4">
      <c r="A3" s="58" t="s">
        <v>324</v>
      </c>
      <c r="B3" s="59"/>
      <c r="C3" s="60"/>
      <c r="D3" s="60"/>
      <c r="E3" s="60"/>
      <c r="F3" s="59"/>
      <c r="G3" s="231"/>
    </row>
    <row r="4" spans="1:9" ht="21" thickBot="1" x14ac:dyDescent="0.25">
      <c r="A4" s="61"/>
      <c r="B4" s="61"/>
      <c r="C4" s="61"/>
      <c r="D4" s="61"/>
      <c r="E4" s="61"/>
      <c r="F4" s="61"/>
      <c r="G4" s="232"/>
    </row>
    <row r="5" spans="1:9" ht="27.75" thickTop="1" thickBot="1" x14ac:dyDescent="0.25">
      <c r="A5" s="64"/>
      <c r="B5" s="64"/>
      <c r="C5" s="64"/>
      <c r="D5" s="64"/>
      <c r="E5" s="64"/>
      <c r="F5" s="64"/>
      <c r="G5" s="619" t="s">
        <v>53</v>
      </c>
    </row>
    <row r="6" spans="1:9" ht="21" thickTop="1" x14ac:dyDescent="0.2">
      <c r="A6" s="67"/>
      <c r="B6" s="67"/>
      <c r="C6" s="67"/>
      <c r="D6" s="67"/>
      <c r="E6" s="67"/>
      <c r="F6" s="67"/>
      <c r="G6" s="233"/>
    </row>
    <row r="7" spans="1:9" ht="21" thickBot="1" x14ac:dyDescent="0.35">
      <c r="A7" s="69"/>
      <c r="B7" s="153" t="s">
        <v>104</v>
      </c>
      <c r="C7" s="153"/>
      <c r="D7" s="153"/>
      <c r="E7" s="153"/>
      <c r="F7" s="153"/>
      <c r="G7" s="282"/>
    </row>
    <row r="8" spans="1:9" ht="20.25" x14ac:dyDescent="0.2">
      <c r="A8" s="73"/>
      <c r="B8" s="73"/>
      <c r="C8" s="423" t="s">
        <v>105</v>
      </c>
      <c r="D8" s="423"/>
      <c r="E8" s="423"/>
      <c r="F8" s="73"/>
      <c r="G8" s="264">
        <v>791718</v>
      </c>
    </row>
    <row r="9" spans="1:9" ht="20.25" x14ac:dyDescent="0.2">
      <c r="A9" s="73"/>
      <c r="B9" s="73"/>
      <c r="C9" s="423" t="s">
        <v>325</v>
      </c>
      <c r="D9" s="423"/>
      <c r="E9" s="423"/>
      <c r="F9" s="73"/>
      <c r="G9" s="265">
        <v>25000</v>
      </c>
    </row>
    <row r="10" spans="1:9" ht="20.25" x14ac:dyDescent="0.2">
      <c r="A10" s="73"/>
      <c r="B10" s="395"/>
      <c r="C10" s="423" t="s">
        <v>154</v>
      </c>
      <c r="D10" s="423"/>
      <c r="E10" s="423"/>
      <c r="F10" s="73"/>
      <c r="G10" s="265">
        <v>147000</v>
      </c>
    </row>
    <row r="11" spans="1:9" ht="20.25" x14ac:dyDescent="0.2">
      <c r="A11" s="73"/>
      <c r="B11" s="395"/>
      <c r="C11" s="423" t="s">
        <v>183</v>
      </c>
      <c r="D11" s="423"/>
      <c r="E11" s="423"/>
      <c r="F11" s="73"/>
      <c r="G11" s="265">
        <v>43322</v>
      </c>
      <c r="I11" s="244"/>
    </row>
    <row r="12" spans="1:9" ht="20.25" x14ac:dyDescent="0.2">
      <c r="A12" s="73"/>
      <c r="B12" s="395"/>
      <c r="C12" s="423" t="s">
        <v>106</v>
      </c>
      <c r="D12" s="423"/>
      <c r="E12" s="423"/>
      <c r="F12" s="73"/>
      <c r="G12" s="265"/>
    </row>
    <row r="13" spans="1:9" ht="20.25" x14ac:dyDescent="0.2">
      <c r="A13" s="73"/>
      <c r="B13" s="395"/>
      <c r="C13" s="77"/>
      <c r="D13" s="423" t="s">
        <v>143</v>
      </c>
      <c r="E13" s="423"/>
      <c r="F13" s="73"/>
      <c r="G13" s="265">
        <f>43500+158022</f>
        <v>201522</v>
      </c>
    </row>
    <row r="14" spans="1:9" ht="20.25" x14ac:dyDescent="0.2">
      <c r="A14" s="73"/>
      <c r="B14" s="395"/>
      <c r="C14" s="77"/>
      <c r="D14" s="423" t="s">
        <v>163</v>
      </c>
      <c r="E14" s="423"/>
      <c r="F14" s="73"/>
      <c r="G14" s="265">
        <v>13000</v>
      </c>
    </row>
    <row r="15" spans="1:9" ht="20.25" x14ac:dyDescent="0.2">
      <c r="A15" s="73"/>
      <c r="B15" s="395"/>
      <c r="C15" s="423" t="s">
        <v>107</v>
      </c>
      <c r="D15" s="423"/>
      <c r="E15" s="423"/>
      <c r="F15" s="73"/>
      <c r="G15" s="265">
        <v>12500</v>
      </c>
    </row>
    <row r="16" spans="1:9" ht="20.25" x14ac:dyDescent="0.2">
      <c r="A16" s="73"/>
      <c r="B16" s="395"/>
      <c r="C16" s="423" t="s">
        <v>114</v>
      </c>
      <c r="D16" s="423"/>
      <c r="E16" s="423"/>
      <c r="F16" s="73"/>
      <c r="G16" s="265">
        <v>1200</v>
      </c>
    </row>
    <row r="17" spans="1:9" ht="20.25" x14ac:dyDescent="0.2">
      <c r="A17" s="73"/>
      <c r="B17" s="395"/>
      <c r="C17" s="423" t="s">
        <v>242</v>
      </c>
      <c r="D17" s="423"/>
      <c r="E17" s="423"/>
      <c r="F17" s="73"/>
      <c r="G17" s="265">
        <v>4200</v>
      </c>
    </row>
    <row r="18" spans="1:9" ht="20.25" x14ac:dyDescent="0.2">
      <c r="A18" s="73"/>
      <c r="B18" s="395"/>
      <c r="C18" s="423" t="s">
        <v>327</v>
      </c>
      <c r="D18" s="423"/>
      <c r="E18" s="423"/>
      <c r="F18" s="73"/>
      <c r="G18" s="265">
        <v>1500</v>
      </c>
    </row>
    <row r="19" spans="1:9" ht="20.25" x14ac:dyDescent="0.2">
      <c r="A19" s="73"/>
      <c r="B19" s="395"/>
      <c r="C19" s="423" t="s">
        <v>243</v>
      </c>
      <c r="D19" s="423"/>
      <c r="E19" s="423"/>
      <c r="F19" s="73"/>
      <c r="G19" s="265"/>
    </row>
    <row r="20" spans="1:9" ht="20.25" x14ac:dyDescent="0.2">
      <c r="A20" s="73"/>
      <c r="B20" s="395"/>
      <c r="C20" s="423"/>
      <c r="D20" s="423" t="s">
        <v>11</v>
      </c>
      <c r="E20" s="423"/>
      <c r="F20" s="73"/>
      <c r="G20" s="265">
        <f>73338-45000</f>
        <v>28338</v>
      </c>
    </row>
    <row r="21" spans="1:9" ht="20.25" x14ac:dyDescent="0.2">
      <c r="A21" s="73"/>
      <c r="B21" s="395"/>
      <c r="C21" s="423"/>
      <c r="D21" s="423" t="s">
        <v>17</v>
      </c>
      <c r="E21" s="423"/>
      <c r="F21" s="73"/>
      <c r="G21" s="265">
        <v>45000</v>
      </c>
    </row>
    <row r="22" spans="1:9" ht="20.25" x14ac:dyDescent="0.2">
      <c r="A22" s="73"/>
      <c r="B22" s="395"/>
      <c r="C22" s="423" t="s">
        <v>329</v>
      </c>
      <c r="D22" s="423"/>
      <c r="E22" s="423"/>
      <c r="F22" s="73"/>
      <c r="G22" s="265">
        <v>2500</v>
      </c>
    </row>
    <row r="23" spans="1:9" ht="20.25" x14ac:dyDescent="0.2">
      <c r="A23" s="73"/>
      <c r="B23" s="395"/>
      <c r="C23" s="423" t="s">
        <v>113</v>
      </c>
      <c r="D23" s="423"/>
      <c r="E23" s="423"/>
      <c r="F23" s="73"/>
      <c r="G23" s="323">
        <v>46575</v>
      </c>
    </row>
    <row r="24" spans="1:9" ht="20.25" x14ac:dyDescent="0.2">
      <c r="A24" s="73"/>
      <c r="B24" s="395"/>
      <c r="C24" s="423" t="s">
        <v>330</v>
      </c>
      <c r="D24" s="423"/>
      <c r="E24" s="423"/>
      <c r="F24" s="73"/>
      <c r="G24" s="323">
        <v>1531</v>
      </c>
    </row>
    <row r="25" spans="1:9" ht="20.25" x14ac:dyDescent="0.2">
      <c r="A25" s="73"/>
      <c r="B25" s="395"/>
      <c r="C25" s="423" t="s">
        <v>106</v>
      </c>
      <c r="D25" s="423"/>
      <c r="E25" s="423"/>
      <c r="F25" s="73"/>
      <c r="G25" s="323">
        <v>19000</v>
      </c>
    </row>
    <row r="26" spans="1:9" ht="20.25" x14ac:dyDescent="0.2">
      <c r="A26" s="73"/>
      <c r="B26" s="395"/>
      <c r="C26" s="423" t="s">
        <v>326</v>
      </c>
      <c r="D26" s="423"/>
      <c r="E26" s="423"/>
      <c r="F26" s="73"/>
      <c r="G26" s="323">
        <v>51000</v>
      </c>
    </row>
    <row r="27" spans="1:9" ht="20.25" x14ac:dyDescent="0.2">
      <c r="A27" s="73"/>
      <c r="B27" s="395"/>
      <c r="C27" s="423" t="s">
        <v>328</v>
      </c>
      <c r="D27" s="423"/>
      <c r="E27" s="423"/>
      <c r="F27" s="73"/>
      <c r="G27" s="323">
        <v>20655</v>
      </c>
    </row>
    <row r="28" spans="1:9" ht="20.25" x14ac:dyDescent="0.2">
      <c r="A28" s="73"/>
      <c r="B28" s="395"/>
      <c r="C28" s="423"/>
      <c r="D28" s="73" t="s">
        <v>109</v>
      </c>
      <c r="E28" s="423"/>
      <c r="F28" s="73"/>
      <c r="G28" s="243">
        <f>SUM(G8:G27)</f>
        <v>1455561</v>
      </c>
      <c r="I28" s="244"/>
    </row>
    <row r="29" spans="1:9" ht="20.25" x14ac:dyDescent="0.2">
      <c r="A29" s="73"/>
      <c r="B29" s="395"/>
      <c r="C29" s="423"/>
      <c r="D29" s="73"/>
      <c r="E29" s="423"/>
      <c r="F29" s="73"/>
      <c r="G29" s="235"/>
    </row>
    <row r="30" spans="1:9" ht="21" thickBot="1" x14ac:dyDescent="0.25">
      <c r="A30" s="73"/>
      <c r="B30" s="396" t="s">
        <v>115</v>
      </c>
      <c r="C30" s="87"/>
      <c r="D30" s="87"/>
      <c r="E30" s="87"/>
      <c r="F30" s="87"/>
      <c r="G30" s="242"/>
    </row>
    <row r="31" spans="1:9" ht="20.25" x14ac:dyDescent="0.2">
      <c r="A31" s="67"/>
      <c r="B31" s="397"/>
      <c r="C31" s="79" t="s">
        <v>116</v>
      </c>
      <c r="D31" s="79"/>
      <c r="E31" s="79"/>
      <c r="F31" s="79"/>
      <c r="G31" s="233">
        <v>889720</v>
      </c>
    </row>
    <row r="32" spans="1:9" ht="20.25" x14ac:dyDescent="0.2">
      <c r="A32" s="67"/>
      <c r="B32" s="397"/>
      <c r="C32" s="79" t="s">
        <v>117</v>
      </c>
      <c r="D32" s="79"/>
      <c r="E32" s="79"/>
      <c r="F32" s="79"/>
      <c r="G32" s="233">
        <v>192602</v>
      </c>
    </row>
    <row r="33" spans="1:7" ht="20.25" x14ac:dyDescent="0.2">
      <c r="A33" s="67"/>
      <c r="B33" s="397"/>
      <c r="C33" s="79" t="s">
        <v>118</v>
      </c>
      <c r="D33" s="79"/>
      <c r="E33" s="79"/>
      <c r="F33" s="79"/>
      <c r="G33" s="233">
        <v>3600</v>
      </c>
    </row>
    <row r="34" spans="1:7" ht="20.25" x14ac:dyDescent="0.2">
      <c r="A34" s="67"/>
      <c r="B34" s="397"/>
      <c r="C34" s="79" t="s">
        <v>108</v>
      </c>
      <c r="D34" s="79"/>
      <c r="E34" s="79"/>
      <c r="F34" s="79"/>
      <c r="G34" s="233">
        <f>G23</f>
        <v>46575</v>
      </c>
    </row>
    <row r="35" spans="1:7" ht="20.25" x14ac:dyDescent="0.2">
      <c r="A35" s="67"/>
      <c r="B35" s="397"/>
      <c r="C35" s="79" t="s">
        <v>119</v>
      </c>
      <c r="D35" s="79"/>
      <c r="E35" s="79"/>
      <c r="F35" s="79"/>
      <c r="G35" s="233">
        <v>17595</v>
      </c>
    </row>
    <row r="36" spans="1:7" ht="20.25" x14ac:dyDescent="0.2">
      <c r="A36" s="67"/>
      <c r="B36" s="397"/>
      <c r="C36" s="79" t="s">
        <v>120</v>
      </c>
      <c r="D36" s="79"/>
      <c r="E36" s="79"/>
      <c r="F36" s="79"/>
      <c r="G36" s="233">
        <v>2821</v>
      </c>
    </row>
    <row r="37" spans="1:7" ht="20.25" x14ac:dyDescent="0.2">
      <c r="A37" s="67"/>
      <c r="B37" s="397"/>
      <c r="C37" s="79" t="s">
        <v>121</v>
      </c>
      <c r="D37" s="79"/>
      <c r="E37" s="79"/>
      <c r="F37" s="79"/>
      <c r="G37" s="233">
        <v>5032</v>
      </c>
    </row>
    <row r="38" spans="1:7" ht="20.25" x14ac:dyDescent="0.2">
      <c r="A38" s="67"/>
      <c r="B38" s="397"/>
      <c r="C38" s="79" t="s">
        <v>122</v>
      </c>
      <c r="D38" s="79"/>
      <c r="E38" s="79"/>
      <c r="F38" s="79"/>
      <c r="G38" s="233">
        <v>12216</v>
      </c>
    </row>
    <row r="39" spans="1:7" ht="20.25" x14ac:dyDescent="0.2">
      <c r="A39" s="67"/>
      <c r="B39" s="397"/>
      <c r="C39" s="79" t="s">
        <v>123</v>
      </c>
      <c r="D39" s="79"/>
      <c r="E39" s="79"/>
      <c r="F39" s="79"/>
      <c r="G39" s="233">
        <v>39500</v>
      </c>
    </row>
    <row r="40" spans="1:7" ht="20.25" x14ac:dyDescent="0.2">
      <c r="A40" s="67"/>
      <c r="B40" s="397"/>
      <c r="C40" s="79" t="s">
        <v>124</v>
      </c>
      <c r="D40" s="79"/>
      <c r="E40" s="79"/>
      <c r="F40" s="79"/>
      <c r="G40" s="233">
        <v>4840</v>
      </c>
    </row>
    <row r="41" spans="1:7" ht="20.25" x14ac:dyDescent="0.2">
      <c r="A41" s="67"/>
      <c r="B41" s="397"/>
      <c r="C41" s="79" t="s">
        <v>125</v>
      </c>
      <c r="D41" s="79"/>
      <c r="E41" s="79"/>
      <c r="F41" s="79"/>
      <c r="G41" s="233">
        <v>1735</v>
      </c>
    </row>
    <row r="42" spans="1:7" ht="20.25" x14ac:dyDescent="0.2">
      <c r="A42" s="67"/>
      <c r="B42" s="397"/>
      <c r="C42" s="79" t="s">
        <v>170</v>
      </c>
      <c r="D42" s="79"/>
      <c r="E42" s="79"/>
      <c r="F42" s="79"/>
      <c r="G42" s="233">
        <v>12125</v>
      </c>
    </row>
    <row r="43" spans="1:7" ht="20.25" x14ac:dyDescent="0.2">
      <c r="A43" s="79"/>
      <c r="B43" s="393"/>
      <c r="C43" s="79" t="s">
        <v>126</v>
      </c>
      <c r="D43" s="79"/>
      <c r="E43" s="79"/>
      <c r="F43" s="79"/>
      <c r="G43" s="323">
        <v>12252</v>
      </c>
    </row>
    <row r="44" spans="1:7" ht="20.25" x14ac:dyDescent="0.2">
      <c r="A44" s="79"/>
      <c r="B44" s="393"/>
      <c r="C44" s="79" t="s">
        <v>127</v>
      </c>
      <c r="D44" s="79"/>
      <c r="E44" s="79"/>
      <c r="F44" s="79"/>
      <c r="G44" s="233">
        <v>13564</v>
      </c>
    </row>
    <row r="45" spans="1:7" ht="20.25" x14ac:dyDescent="0.2">
      <c r="A45" s="79"/>
      <c r="B45" s="393"/>
      <c r="C45" s="79" t="s">
        <v>134</v>
      </c>
      <c r="D45" s="79"/>
      <c r="E45" s="79"/>
      <c r="F45" s="79"/>
      <c r="G45" s="233">
        <v>875</v>
      </c>
    </row>
    <row r="46" spans="1:7" ht="20.25" x14ac:dyDescent="0.2">
      <c r="A46" s="79"/>
      <c r="B46" s="393"/>
      <c r="C46" s="79" t="s">
        <v>128</v>
      </c>
      <c r="D46" s="79"/>
      <c r="E46" s="79"/>
      <c r="F46" s="79"/>
      <c r="G46" s="323">
        <f>10039+1500</f>
        <v>11539</v>
      </c>
    </row>
    <row r="47" spans="1:7" ht="20.25" x14ac:dyDescent="0.2">
      <c r="A47" s="67"/>
      <c r="B47" s="397"/>
      <c r="C47" s="79" t="s">
        <v>204</v>
      </c>
      <c r="D47" s="79"/>
      <c r="E47" s="79"/>
      <c r="F47" s="79"/>
      <c r="G47" s="233">
        <f>12623+2660</f>
        <v>15283</v>
      </c>
    </row>
    <row r="48" spans="1:7" ht="20.25" x14ac:dyDescent="0.2">
      <c r="A48" s="79"/>
      <c r="B48" s="393"/>
      <c r="C48" s="79" t="s">
        <v>129</v>
      </c>
      <c r="D48" s="79"/>
      <c r="E48" s="79"/>
      <c r="F48" s="79"/>
      <c r="G48" s="323">
        <v>39977</v>
      </c>
    </row>
    <row r="49" spans="1:7" ht="20.25" x14ac:dyDescent="0.2">
      <c r="A49" s="79"/>
      <c r="B49" s="393"/>
      <c r="C49" s="79" t="s">
        <v>130</v>
      </c>
      <c r="D49" s="79"/>
      <c r="E49" s="79"/>
      <c r="F49" s="79"/>
      <c r="G49" s="323">
        <v>19556</v>
      </c>
    </row>
    <row r="50" spans="1:7" ht="20.25" x14ac:dyDescent="0.2">
      <c r="A50" s="79"/>
      <c r="B50" s="393"/>
      <c r="C50" s="79" t="s">
        <v>169</v>
      </c>
      <c r="D50" s="79"/>
      <c r="E50" s="79"/>
      <c r="F50" s="79"/>
      <c r="G50" s="233">
        <v>56100</v>
      </c>
    </row>
    <row r="51" spans="1:7" ht="20.25" x14ac:dyDescent="0.2">
      <c r="A51" s="79"/>
      <c r="B51" s="393"/>
      <c r="C51" s="79" t="s">
        <v>131</v>
      </c>
      <c r="D51" s="79"/>
      <c r="E51" s="79"/>
      <c r="F51" s="79"/>
      <c r="G51" s="233">
        <f>750+86095</f>
        <v>86845</v>
      </c>
    </row>
    <row r="52" spans="1:7" ht="21" thickBot="1" x14ac:dyDescent="0.25">
      <c r="A52" s="79"/>
      <c r="B52" s="393"/>
      <c r="C52" s="79"/>
      <c r="D52" s="79"/>
      <c r="E52" s="79"/>
      <c r="F52" s="79"/>
      <c r="G52" s="242"/>
    </row>
    <row r="53" spans="1:7" ht="20.25" x14ac:dyDescent="0.2">
      <c r="A53" s="67"/>
      <c r="B53" s="397"/>
      <c r="C53" s="67"/>
      <c r="D53" s="73" t="s">
        <v>132</v>
      </c>
      <c r="E53" s="67"/>
      <c r="F53" s="67"/>
      <c r="G53" s="238">
        <f>SUM(G31:G51)</f>
        <v>1484352</v>
      </c>
    </row>
    <row r="54" spans="1:7" ht="21" thickBot="1" x14ac:dyDescent="0.25">
      <c r="A54" s="67"/>
      <c r="B54" s="397"/>
      <c r="C54" s="67"/>
      <c r="D54" s="73"/>
      <c r="E54" s="67"/>
      <c r="F54" s="67"/>
      <c r="G54" s="242"/>
    </row>
    <row r="55" spans="1:7" ht="21" thickBot="1" x14ac:dyDescent="0.25">
      <c r="A55" s="67"/>
      <c r="B55" s="397"/>
      <c r="C55" s="67"/>
      <c r="D55" s="67" t="s">
        <v>133</v>
      </c>
      <c r="E55" s="67"/>
      <c r="F55" s="67"/>
      <c r="G55" s="242">
        <f>G28-G53</f>
        <v>-28791</v>
      </c>
    </row>
    <row r="56" spans="1:7" ht="20.25" x14ac:dyDescent="0.2">
      <c r="A56" s="67"/>
      <c r="B56" s="397"/>
      <c r="C56" s="67"/>
      <c r="D56" s="67"/>
      <c r="E56" s="67"/>
      <c r="F56" s="67"/>
      <c r="G56" s="233"/>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8" hidden="1" customWidth="1"/>
    <col min="4" max="7" width="15" customWidth="1"/>
    <col min="8" max="8" width="14.625" customWidth="1"/>
  </cols>
  <sheetData>
    <row r="1" spans="1:130" ht="21" x14ac:dyDescent="0.35">
      <c r="A1" s="593" t="s">
        <v>98</v>
      </c>
      <c r="B1" s="59"/>
      <c r="C1" s="60"/>
      <c r="D1" s="60"/>
      <c r="E1" s="60"/>
      <c r="F1" s="59"/>
      <c r="G1" s="231"/>
      <c r="H1" s="59"/>
      <c r="I1" s="59"/>
      <c r="J1" s="59"/>
      <c r="K1" s="59"/>
      <c r="L1" s="466"/>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3" t="s">
        <v>306</v>
      </c>
      <c r="B2" s="59"/>
      <c r="C2" s="60"/>
      <c r="D2" s="60"/>
      <c r="E2" s="60"/>
      <c r="F2" s="59"/>
      <c r="G2" s="231"/>
      <c r="H2" s="59"/>
      <c r="I2" s="59"/>
      <c r="J2" s="59"/>
      <c r="K2" s="59"/>
      <c r="L2" s="46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3" t="str">
        <f>'June''21 State of Activities'!A3</f>
        <v>Six Months Ended June 30, 2021 and 2020</v>
      </c>
      <c r="B3" s="59"/>
      <c r="C3" s="60"/>
      <c r="D3" s="60"/>
      <c r="E3" s="60"/>
      <c r="F3" s="59"/>
      <c r="G3" s="231"/>
      <c r="H3" s="59"/>
      <c r="I3" s="59"/>
      <c r="J3" s="59"/>
      <c r="K3" s="59"/>
      <c r="L3" s="46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45" t="s">
        <v>286</v>
      </c>
      <c r="B5" s="946"/>
      <c r="C5" s="946"/>
      <c r="D5" s="946"/>
      <c r="E5" s="946"/>
      <c r="F5" s="946"/>
      <c r="G5" s="946"/>
      <c r="H5" s="947"/>
    </row>
    <row r="6" spans="1:130" ht="7.5" customHeight="1" thickBot="1" x14ac:dyDescent="0.25">
      <c r="E6" s="559"/>
      <c r="F6" s="559"/>
      <c r="G6" s="559"/>
    </row>
    <row r="7" spans="1:130" ht="15.75" x14ac:dyDescent="0.25">
      <c r="A7" s="560" t="s">
        <v>287</v>
      </c>
      <c r="B7" s="561" t="s">
        <v>288</v>
      </c>
      <c r="C7" s="561" t="s">
        <v>289</v>
      </c>
      <c r="D7" s="561" t="s">
        <v>290</v>
      </c>
      <c r="E7" s="561" t="s">
        <v>291</v>
      </c>
      <c r="F7" s="561" t="s">
        <v>292</v>
      </c>
      <c r="G7" s="561" t="s">
        <v>293</v>
      </c>
      <c r="H7" s="560" t="s">
        <v>294</v>
      </c>
    </row>
    <row r="8" spans="1:130" ht="16.5" thickBot="1" x14ac:dyDescent="0.3">
      <c r="A8" s="562"/>
      <c r="B8" s="563" t="s">
        <v>295</v>
      </c>
      <c r="C8" s="563" t="s">
        <v>295</v>
      </c>
      <c r="D8" s="563" t="s">
        <v>295</v>
      </c>
      <c r="E8" s="563" t="s">
        <v>295</v>
      </c>
      <c r="F8" s="563" t="s">
        <v>295</v>
      </c>
      <c r="G8" s="563" t="s">
        <v>295</v>
      </c>
      <c r="H8" s="564" t="s">
        <v>296</v>
      </c>
    </row>
    <row r="9" spans="1:130" x14ac:dyDescent="0.2">
      <c r="A9" s="565">
        <v>42741</v>
      </c>
      <c r="B9" s="566">
        <v>1059.72</v>
      </c>
      <c r="C9" s="567">
        <f>6123.86-3246.88</f>
        <v>2876.9799999999996</v>
      </c>
      <c r="D9" s="566">
        <f>160.4+1401.46</f>
        <v>1561.8600000000001</v>
      </c>
      <c r="E9" s="566">
        <f>2007.36+883.16</f>
        <v>2890.52</v>
      </c>
      <c r="F9" s="566">
        <v>4174.08</v>
      </c>
      <c r="G9" s="566">
        <v>3187.95</v>
      </c>
      <c r="H9" s="566">
        <f>G9-F9</f>
        <v>-986.13000000000011</v>
      </c>
    </row>
    <row r="10" spans="1:130" x14ac:dyDescent="0.2">
      <c r="A10" s="568">
        <v>42748</v>
      </c>
      <c r="B10" s="569">
        <v>1351.72</v>
      </c>
      <c r="C10" s="570">
        <f>7232.22-3246.88</f>
        <v>3985.34</v>
      </c>
      <c r="D10" s="569">
        <v>3927.82</v>
      </c>
      <c r="E10" s="569">
        <v>3364.16</v>
      </c>
      <c r="F10" s="566">
        <v>4643.2299999999996</v>
      </c>
      <c r="G10" s="566">
        <v>3858.57</v>
      </c>
      <c r="H10" s="566">
        <f t="shared" ref="H10:H21" si="0">G10-F10</f>
        <v>-784.6599999999994</v>
      </c>
    </row>
    <row r="11" spans="1:130" x14ac:dyDescent="0.2">
      <c r="A11" s="568">
        <v>42755</v>
      </c>
      <c r="B11" s="569">
        <v>1237.58</v>
      </c>
      <c r="C11" s="571">
        <f>5493.18-2496.78</f>
        <v>2996.4</v>
      </c>
      <c r="D11" s="569">
        <v>3463.28</v>
      </c>
      <c r="E11" s="569">
        <v>3723.22</v>
      </c>
      <c r="F11" s="566">
        <v>3257.98</v>
      </c>
      <c r="G11" s="566">
        <v>2816.13</v>
      </c>
      <c r="H11" s="566">
        <f t="shared" si="0"/>
        <v>-441.84999999999991</v>
      </c>
    </row>
    <row r="12" spans="1:130" x14ac:dyDescent="0.2">
      <c r="A12" s="568">
        <v>42762</v>
      </c>
      <c r="B12" s="569">
        <v>1829.66</v>
      </c>
      <c r="C12" s="571">
        <f>6125.18-2535</f>
        <v>3590.1800000000003</v>
      </c>
      <c r="D12" s="569">
        <v>2947.54</v>
      </c>
      <c r="E12" s="569">
        <v>3026.63</v>
      </c>
      <c r="F12" s="566">
        <v>3503.82</v>
      </c>
      <c r="G12" s="566">
        <v>2957.14</v>
      </c>
      <c r="H12" s="566">
        <f t="shared" si="0"/>
        <v>-546.68000000000029</v>
      </c>
    </row>
    <row r="13" spans="1:130" x14ac:dyDescent="0.2">
      <c r="A13" s="568">
        <v>42769</v>
      </c>
      <c r="B13" s="569">
        <v>2363.12</v>
      </c>
      <c r="C13" s="571">
        <f>-3488.68+8424.94</f>
        <v>4936.26</v>
      </c>
      <c r="D13" s="569">
        <v>3434.46</v>
      </c>
      <c r="E13" s="569">
        <v>2986.58</v>
      </c>
      <c r="F13" s="566">
        <v>4063.43</v>
      </c>
      <c r="G13" s="566">
        <v>3878.62</v>
      </c>
      <c r="H13" s="566">
        <f t="shared" si="0"/>
        <v>-184.80999999999995</v>
      </c>
    </row>
    <row r="14" spans="1:130" x14ac:dyDescent="0.2">
      <c r="A14" s="568">
        <v>42776</v>
      </c>
      <c r="B14" s="569">
        <v>1902.16</v>
      </c>
      <c r="C14" s="571">
        <f>-2931.5+7254.06</f>
        <v>4322.5600000000004</v>
      </c>
      <c r="D14" s="569">
        <v>2818.82</v>
      </c>
      <c r="E14" s="569">
        <f>2800.67</f>
        <v>2800.67</v>
      </c>
      <c r="F14" s="566">
        <v>4002.46</v>
      </c>
      <c r="G14" s="566">
        <v>2987.96</v>
      </c>
      <c r="H14" s="566">
        <f t="shared" si="0"/>
        <v>-1014.5</v>
      </c>
    </row>
    <row r="15" spans="1:130" x14ac:dyDescent="0.2">
      <c r="A15" s="568">
        <v>42783</v>
      </c>
      <c r="B15" s="569">
        <v>2134.56</v>
      </c>
      <c r="C15" s="571">
        <f>-3653.28+8329.5-700</f>
        <v>3976.2199999999993</v>
      </c>
      <c r="D15" s="569">
        <v>2157.96</v>
      </c>
      <c r="E15" s="569">
        <v>2584.04</v>
      </c>
      <c r="F15" s="566">
        <v>2886.61</v>
      </c>
      <c r="G15" s="566">
        <v>3373.08</v>
      </c>
      <c r="H15" s="566">
        <f t="shared" si="0"/>
        <v>486.4699999999998</v>
      </c>
    </row>
    <row r="16" spans="1:130" x14ac:dyDescent="0.2">
      <c r="A16" s="568">
        <v>42790</v>
      </c>
      <c r="B16" s="569">
        <v>1676.08</v>
      </c>
      <c r="C16" s="571">
        <f>-2869.88+6693.6</f>
        <v>3823.7200000000003</v>
      </c>
      <c r="D16" s="569">
        <v>3063.52</v>
      </c>
      <c r="E16" s="569">
        <v>3161.19</v>
      </c>
      <c r="F16" s="566">
        <v>3994.7</v>
      </c>
      <c r="G16" s="566">
        <v>3335.8</v>
      </c>
      <c r="H16" s="566">
        <f t="shared" si="0"/>
        <v>-658.89999999999964</v>
      </c>
    </row>
    <row r="17" spans="1:8" x14ac:dyDescent="0.2">
      <c r="A17" s="568">
        <v>42797</v>
      </c>
      <c r="B17" s="569">
        <v>1418.9</v>
      </c>
      <c r="C17" s="571">
        <f>-3427.32+8141.08</f>
        <v>4713.76</v>
      </c>
      <c r="D17" s="569">
        <v>4534.3</v>
      </c>
      <c r="E17" s="569">
        <v>3860.23</v>
      </c>
      <c r="F17" s="566">
        <v>4172.5600000000004</v>
      </c>
      <c r="G17" s="566">
        <v>2335.96</v>
      </c>
      <c r="H17" s="566">
        <f t="shared" si="0"/>
        <v>-1836.6000000000004</v>
      </c>
    </row>
    <row r="18" spans="1:8" x14ac:dyDescent="0.2">
      <c r="A18" s="568">
        <v>42804</v>
      </c>
      <c r="B18" s="569">
        <v>1013.74</v>
      </c>
      <c r="C18" s="571">
        <f>-2919.8+6449.26</f>
        <v>3529.46</v>
      </c>
      <c r="D18" s="569">
        <v>3673.88</v>
      </c>
      <c r="E18" s="569">
        <v>4004</v>
      </c>
      <c r="F18" s="566">
        <v>3762.8</v>
      </c>
      <c r="G18" s="566">
        <v>1711.94</v>
      </c>
      <c r="H18" s="566">
        <f t="shared" si="0"/>
        <v>-2050.86</v>
      </c>
    </row>
    <row r="19" spans="1:8" x14ac:dyDescent="0.2">
      <c r="A19" s="568">
        <v>42811</v>
      </c>
      <c r="B19" s="572">
        <v>3629.96</v>
      </c>
      <c r="C19" s="571">
        <f>-3708.38+7621.78</f>
        <v>3913.3999999999996</v>
      </c>
      <c r="D19" s="569">
        <v>4030.4</v>
      </c>
      <c r="E19" s="569">
        <v>3222.03</v>
      </c>
      <c r="F19" s="566">
        <v>4340.3</v>
      </c>
      <c r="G19" s="566">
        <v>942.16</v>
      </c>
      <c r="H19" s="566">
        <f t="shared" si="0"/>
        <v>-3398.1400000000003</v>
      </c>
    </row>
    <row r="20" spans="1:8" x14ac:dyDescent="0.2">
      <c r="A20" s="568">
        <v>42818</v>
      </c>
      <c r="B20" s="572">
        <v>3364</v>
      </c>
      <c r="C20" s="571">
        <f>-3726.84+7846.28</f>
        <v>4119.4399999999996</v>
      </c>
      <c r="D20" s="569">
        <v>3975.2</v>
      </c>
      <c r="E20" s="569">
        <v>3684.17</v>
      </c>
      <c r="F20" s="566">
        <v>3849.95</v>
      </c>
      <c r="G20" s="566">
        <v>1706.08</v>
      </c>
      <c r="H20" s="566">
        <f t="shared" si="0"/>
        <v>-2143.87</v>
      </c>
    </row>
    <row r="21" spans="1:8" ht="15" thickBot="1" x14ac:dyDescent="0.25">
      <c r="A21" s="568">
        <v>42825</v>
      </c>
      <c r="B21" s="572">
        <v>3587</v>
      </c>
      <c r="C21" s="571">
        <f>-3329.82+7562.9</f>
        <v>4233.08</v>
      </c>
      <c r="D21" s="569">
        <v>4280.8</v>
      </c>
      <c r="E21" s="572">
        <v>4118.96</v>
      </c>
      <c r="F21" s="573">
        <v>4082.74</v>
      </c>
      <c r="G21" s="573">
        <v>2002.52</v>
      </c>
      <c r="H21" s="566">
        <f t="shared" si="0"/>
        <v>-2080.2199999999998</v>
      </c>
    </row>
    <row r="22" spans="1:8" ht="16.5" thickBot="1" x14ac:dyDescent="0.25">
      <c r="A22" s="574" t="s">
        <v>297</v>
      </c>
      <c r="B22" s="575">
        <f t="shared" ref="B22:H22" si="1">SUM(B9:B21)</f>
        <v>26568.2</v>
      </c>
      <c r="C22" s="575">
        <f t="shared" si="1"/>
        <v>51016.80000000001</v>
      </c>
      <c r="D22" s="575">
        <f t="shared" si="1"/>
        <v>43869.84</v>
      </c>
      <c r="E22" s="575">
        <f t="shared" si="1"/>
        <v>43426.399999999994</v>
      </c>
      <c r="F22" s="575">
        <f t="shared" si="1"/>
        <v>50734.659999999996</v>
      </c>
      <c r="G22" s="575">
        <f t="shared" si="1"/>
        <v>35093.909999999989</v>
      </c>
      <c r="H22" s="575">
        <f t="shared" si="1"/>
        <v>-15640.749999999998</v>
      </c>
    </row>
    <row r="23" spans="1:8" x14ac:dyDescent="0.2">
      <c r="A23" s="576">
        <v>42832</v>
      </c>
      <c r="B23" s="569">
        <v>3525.02</v>
      </c>
      <c r="C23" s="566">
        <v>4517.8999999999996</v>
      </c>
      <c r="D23" s="566">
        <v>4162.12</v>
      </c>
      <c r="E23" s="566">
        <v>4043.7</v>
      </c>
      <c r="F23" s="566">
        <v>3768.69</v>
      </c>
      <c r="G23" s="566">
        <v>2018.44</v>
      </c>
      <c r="H23" s="566">
        <f>G23-F23</f>
        <v>-1750.25</v>
      </c>
    </row>
    <row r="24" spans="1:8" x14ac:dyDescent="0.2">
      <c r="A24" s="576">
        <v>42839</v>
      </c>
      <c r="B24" s="569">
        <v>3842.84</v>
      </c>
      <c r="C24" s="566">
        <v>4554.42</v>
      </c>
      <c r="D24" s="569">
        <v>4616</v>
      </c>
      <c r="E24" s="569">
        <v>4136.18</v>
      </c>
      <c r="F24" s="566">
        <v>4345.16</v>
      </c>
      <c r="G24" s="566">
        <v>5284.52</v>
      </c>
      <c r="H24" s="566">
        <f t="shared" ref="H24:H63" si="2">G24-F24</f>
        <v>939.36000000000058</v>
      </c>
    </row>
    <row r="25" spans="1:8" x14ac:dyDescent="0.2">
      <c r="A25" s="576">
        <v>42846</v>
      </c>
      <c r="B25" s="569">
        <v>5337.82</v>
      </c>
      <c r="C25" s="569">
        <v>4041.14</v>
      </c>
      <c r="D25" s="569">
        <v>3729.1</v>
      </c>
      <c r="E25" s="569">
        <v>4132.83</v>
      </c>
      <c r="F25" s="566">
        <v>4267.46</v>
      </c>
      <c r="G25" s="566">
        <v>4715.9799999999996</v>
      </c>
      <c r="H25" s="566">
        <f t="shared" si="2"/>
        <v>448.51999999999953</v>
      </c>
    </row>
    <row r="26" spans="1:8" x14ac:dyDescent="0.2">
      <c r="A26" s="576">
        <v>42853</v>
      </c>
      <c r="B26" s="569">
        <v>4973.68</v>
      </c>
      <c r="C26" s="569">
        <v>4321.8599999999997</v>
      </c>
      <c r="D26" s="569">
        <v>3706.08</v>
      </c>
      <c r="E26" s="569">
        <v>4536.74</v>
      </c>
      <c r="F26" s="566">
        <v>3953.61</v>
      </c>
      <c r="G26" s="566">
        <v>4499.7</v>
      </c>
      <c r="H26" s="566">
        <f t="shared" si="2"/>
        <v>546.08999999999969</v>
      </c>
    </row>
    <row r="27" spans="1:8" x14ac:dyDescent="0.2">
      <c r="A27" s="576">
        <v>42860</v>
      </c>
      <c r="B27" s="569">
        <v>3187.22</v>
      </c>
      <c r="C27" s="569">
        <v>4732.8999999999996</v>
      </c>
      <c r="D27" s="569">
        <v>3421.72</v>
      </c>
      <c r="E27" s="569">
        <f>3478.64+72+758.56</f>
        <v>4309.2</v>
      </c>
      <c r="F27" s="566">
        <v>4192.32</v>
      </c>
      <c r="G27" s="566">
        <v>4204.16</v>
      </c>
      <c r="H27" s="566">
        <f t="shared" si="2"/>
        <v>11.840000000000146</v>
      </c>
    </row>
    <row r="28" spans="1:8" x14ac:dyDescent="0.2">
      <c r="A28" s="576">
        <v>42867</v>
      </c>
      <c r="B28" s="569">
        <v>2237.2399999999998</v>
      </c>
      <c r="C28" s="569">
        <v>4138.8999999999996</v>
      </c>
      <c r="D28" s="569">
        <v>3907.94</v>
      </c>
      <c r="E28" s="569">
        <f>4050.94+212.76</f>
        <v>4263.7</v>
      </c>
      <c r="F28" s="566">
        <v>4361.47</v>
      </c>
      <c r="G28" s="566">
        <v>4571.82</v>
      </c>
      <c r="H28" s="566">
        <f t="shared" si="2"/>
        <v>210.34999999999945</v>
      </c>
    </row>
    <row r="29" spans="1:8" x14ac:dyDescent="0.2">
      <c r="A29" s="576">
        <v>42874</v>
      </c>
      <c r="B29" s="569">
        <v>3446.22</v>
      </c>
      <c r="C29" s="569">
        <v>5447.82</v>
      </c>
      <c r="D29" s="569">
        <f>3359.74+70.28</f>
        <v>3430.02</v>
      </c>
      <c r="E29" s="569">
        <v>3958.56</v>
      </c>
      <c r="F29" s="566">
        <v>3957.78</v>
      </c>
      <c r="G29" s="566">
        <v>4089.18</v>
      </c>
      <c r="H29" s="566">
        <f t="shared" si="2"/>
        <v>131.39999999999964</v>
      </c>
    </row>
    <row r="30" spans="1:8" x14ac:dyDescent="0.2">
      <c r="A30" s="576">
        <v>42881</v>
      </c>
      <c r="B30" s="569">
        <v>3507.94</v>
      </c>
      <c r="C30" s="569">
        <v>4315.03</v>
      </c>
      <c r="D30" s="569">
        <v>3880.8</v>
      </c>
      <c r="E30" s="569">
        <v>4314.9799999999996</v>
      </c>
      <c r="F30" s="566">
        <v>3634.01</v>
      </c>
      <c r="G30" s="566">
        <v>3993.63</v>
      </c>
      <c r="H30" s="566">
        <f t="shared" si="2"/>
        <v>359.61999999999989</v>
      </c>
    </row>
    <row r="31" spans="1:8" x14ac:dyDescent="0.2">
      <c r="A31" s="576">
        <v>42888</v>
      </c>
      <c r="B31" s="569">
        <v>3609.72</v>
      </c>
      <c r="C31" s="569">
        <v>3053.8</v>
      </c>
      <c r="D31" s="569">
        <v>2686.82</v>
      </c>
      <c r="E31" s="569">
        <v>2987.04</v>
      </c>
      <c r="F31" s="566">
        <v>2684.24</v>
      </c>
      <c r="G31" s="566">
        <v>2384.3200000000002</v>
      </c>
      <c r="H31" s="566">
        <f t="shared" si="2"/>
        <v>-299.91999999999962</v>
      </c>
    </row>
    <row r="32" spans="1:8" x14ac:dyDescent="0.2">
      <c r="A32" s="576">
        <v>42895</v>
      </c>
      <c r="B32" s="569">
        <v>2033.76</v>
      </c>
      <c r="C32" s="569">
        <v>4194.8599999999997</v>
      </c>
      <c r="D32" s="569">
        <v>3006.14</v>
      </c>
      <c r="E32" s="569">
        <v>3675.8</v>
      </c>
      <c r="F32" s="566">
        <v>3674.42</v>
      </c>
      <c r="G32" s="566">
        <v>3297.66</v>
      </c>
      <c r="H32" s="566">
        <f t="shared" si="2"/>
        <v>-376.76000000000022</v>
      </c>
    </row>
    <row r="33" spans="1:8" x14ac:dyDescent="0.2">
      <c r="A33" s="576">
        <v>42902</v>
      </c>
      <c r="B33" s="569">
        <v>2786.98</v>
      </c>
      <c r="C33" s="569">
        <v>3980.08</v>
      </c>
      <c r="D33" s="569">
        <v>3579.53</v>
      </c>
      <c r="E33" s="569">
        <v>4147.8999999999996</v>
      </c>
      <c r="F33" s="566">
        <v>4182.5200000000004</v>
      </c>
      <c r="G33" s="566">
        <v>3252.16</v>
      </c>
      <c r="H33" s="566">
        <f t="shared" si="2"/>
        <v>-930.36000000000058</v>
      </c>
    </row>
    <row r="34" spans="1:8" x14ac:dyDescent="0.2">
      <c r="A34" s="576">
        <v>42909</v>
      </c>
      <c r="B34" s="572">
        <v>2436.9</v>
      </c>
      <c r="C34" s="569">
        <v>4001.26</v>
      </c>
      <c r="D34" s="569">
        <v>3401.21</v>
      </c>
      <c r="E34" s="569">
        <v>3774.82</v>
      </c>
      <c r="F34" s="566">
        <v>3596.56</v>
      </c>
      <c r="G34" s="566">
        <v>3139.68</v>
      </c>
      <c r="H34" s="566">
        <f t="shared" si="2"/>
        <v>-456.88000000000011</v>
      </c>
    </row>
    <row r="35" spans="1:8" ht="15" thickBot="1" x14ac:dyDescent="0.25">
      <c r="A35" s="576">
        <v>42916</v>
      </c>
      <c r="B35" s="572">
        <v>2410.56</v>
      </c>
      <c r="C35" s="569">
        <v>3928.74</v>
      </c>
      <c r="D35" s="572">
        <v>3288.01</v>
      </c>
      <c r="E35" s="572">
        <v>3466.07</v>
      </c>
      <c r="F35" s="573">
        <v>3867.92</v>
      </c>
      <c r="G35" s="573">
        <v>3368.72</v>
      </c>
      <c r="H35" s="566">
        <f t="shared" si="2"/>
        <v>-499.20000000000027</v>
      </c>
    </row>
    <row r="36" spans="1:8" ht="16.5" thickBot="1" x14ac:dyDescent="0.25">
      <c r="A36" s="574" t="s">
        <v>298</v>
      </c>
      <c r="B36" s="575">
        <f t="shared" ref="B36:H36" si="3">SUM(B23:B35)</f>
        <v>43335.9</v>
      </c>
      <c r="C36" s="575">
        <f t="shared" si="3"/>
        <v>55228.710000000006</v>
      </c>
      <c r="D36" s="575">
        <f t="shared" si="3"/>
        <v>46815.49</v>
      </c>
      <c r="E36" s="575">
        <f t="shared" si="3"/>
        <v>51747.520000000004</v>
      </c>
      <c r="F36" s="575">
        <f t="shared" si="3"/>
        <v>50486.159999999989</v>
      </c>
      <c r="G36" s="575">
        <f t="shared" si="3"/>
        <v>48819.970000000008</v>
      </c>
      <c r="H36" s="575">
        <f t="shared" si="3"/>
        <v>-1666.1900000000019</v>
      </c>
    </row>
    <row r="37" spans="1:8" x14ac:dyDescent="0.2">
      <c r="A37" s="576">
        <v>42923</v>
      </c>
      <c r="B37" s="566">
        <f>899.92+2410.56</f>
        <v>3310.48</v>
      </c>
      <c r="C37" s="566">
        <v>3059.59</v>
      </c>
      <c r="D37" s="566">
        <f>952.56+2445.69</f>
        <v>3398.25</v>
      </c>
      <c r="E37" s="566">
        <f>1313.52+1315.48</f>
        <v>2629</v>
      </c>
      <c r="F37" s="566">
        <v>3092.18</v>
      </c>
      <c r="G37" s="566">
        <v>2501.6799999999998</v>
      </c>
      <c r="H37" s="566">
        <f t="shared" si="2"/>
        <v>-590.5</v>
      </c>
    </row>
    <row r="38" spans="1:8" x14ac:dyDescent="0.2">
      <c r="A38" s="568">
        <v>42930</v>
      </c>
      <c r="B38" s="566">
        <v>2613.8200000000002</v>
      </c>
      <c r="C38" s="566">
        <v>4164.28</v>
      </c>
      <c r="D38" s="569">
        <v>3621.49</v>
      </c>
      <c r="E38" s="569">
        <v>3328.78</v>
      </c>
      <c r="F38" s="566">
        <v>4363</v>
      </c>
      <c r="G38" s="566">
        <v>3463.97</v>
      </c>
      <c r="H38" s="566">
        <f t="shared" si="2"/>
        <v>-899.0300000000002</v>
      </c>
    </row>
    <row r="39" spans="1:8" x14ac:dyDescent="0.2">
      <c r="A39" s="568">
        <v>42937</v>
      </c>
      <c r="B39" s="569">
        <v>2285.09</v>
      </c>
      <c r="C39" s="569">
        <v>3698.36</v>
      </c>
      <c r="D39" s="569">
        <v>3478.53</v>
      </c>
      <c r="E39" s="569">
        <v>4114.08</v>
      </c>
      <c r="F39" s="566">
        <v>3936.33</v>
      </c>
      <c r="G39" s="566">
        <v>3416.66</v>
      </c>
      <c r="H39" s="566">
        <f t="shared" si="2"/>
        <v>-519.67000000000007</v>
      </c>
    </row>
    <row r="40" spans="1:8" x14ac:dyDescent="0.2">
      <c r="A40" s="568">
        <v>42944</v>
      </c>
      <c r="B40" s="569">
        <v>1982.06</v>
      </c>
      <c r="C40" s="569">
        <v>3907.78</v>
      </c>
      <c r="D40" s="569">
        <v>3713.11</v>
      </c>
      <c r="E40" s="569">
        <v>4010.57</v>
      </c>
      <c r="F40" s="566">
        <v>3962.85</v>
      </c>
      <c r="G40" s="566">
        <v>3139.68</v>
      </c>
      <c r="H40" s="566">
        <f t="shared" si="2"/>
        <v>-823.17000000000007</v>
      </c>
    </row>
    <row r="41" spans="1:8" x14ac:dyDescent="0.2">
      <c r="A41" s="568">
        <v>42951</v>
      </c>
      <c r="B41" s="569">
        <v>2442</v>
      </c>
      <c r="C41" s="569">
        <v>3807.12</v>
      </c>
      <c r="D41" s="569">
        <v>3318.21</v>
      </c>
      <c r="E41" s="569">
        <v>3520.16</v>
      </c>
      <c r="F41" s="566">
        <v>3810.8</v>
      </c>
      <c r="G41" s="566">
        <v>3171.9</v>
      </c>
      <c r="H41" s="566">
        <f t="shared" si="2"/>
        <v>-638.90000000000009</v>
      </c>
    </row>
    <row r="42" spans="1:8" x14ac:dyDescent="0.2">
      <c r="A42" s="568">
        <v>42958</v>
      </c>
      <c r="B42" s="569">
        <v>2003.68</v>
      </c>
      <c r="C42" s="569">
        <v>3636.64</v>
      </c>
      <c r="D42" s="569">
        <v>2999.63</v>
      </c>
      <c r="E42" s="569">
        <v>3150.64</v>
      </c>
      <c r="F42" s="566">
        <v>3905.08</v>
      </c>
      <c r="G42" s="566">
        <v>3339.76</v>
      </c>
      <c r="H42" s="566">
        <f t="shared" si="2"/>
        <v>-565.31999999999971</v>
      </c>
    </row>
    <row r="43" spans="1:8" x14ac:dyDescent="0.2">
      <c r="A43" s="568">
        <v>42965</v>
      </c>
      <c r="B43" s="569">
        <v>1971.38</v>
      </c>
      <c r="C43" s="569">
        <v>3658.28</v>
      </c>
      <c r="D43" s="569">
        <v>4080.16</v>
      </c>
      <c r="E43" s="569">
        <v>3780.2</v>
      </c>
      <c r="F43" s="566">
        <v>3747.05</v>
      </c>
      <c r="G43" s="566">
        <v>3333.42</v>
      </c>
      <c r="H43" s="566">
        <f t="shared" si="2"/>
        <v>-413.63000000000011</v>
      </c>
    </row>
    <row r="44" spans="1:8" x14ac:dyDescent="0.2">
      <c r="A44" s="568">
        <v>42972</v>
      </c>
      <c r="B44" s="569">
        <v>2725.14</v>
      </c>
      <c r="C44" s="569">
        <v>4096.0200000000004</v>
      </c>
      <c r="D44" s="569">
        <v>4309.82</v>
      </c>
      <c r="E44" s="569">
        <v>3361.86</v>
      </c>
      <c r="F44" s="566">
        <v>3788.4</v>
      </c>
      <c r="G44" s="566">
        <v>3772.14</v>
      </c>
      <c r="H44" s="566">
        <f t="shared" si="2"/>
        <v>-16.260000000000218</v>
      </c>
    </row>
    <row r="45" spans="1:8" x14ac:dyDescent="0.2">
      <c r="A45" s="568">
        <v>42979</v>
      </c>
      <c r="B45" s="569">
        <v>2749.96</v>
      </c>
      <c r="C45" s="569">
        <v>3825.18</v>
      </c>
      <c r="D45" s="569">
        <v>3712.48</v>
      </c>
      <c r="E45" s="569">
        <v>3605.07</v>
      </c>
      <c r="F45" s="566">
        <v>3858.34</v>
      </c>
      <c r="G45" s="566">
        <v>3206</v>
      </c>
      <c r="H45" s="566">
        <f t="shared" si="2"/>
        <v>-652.34000000000015</v>
      </c>
    </row>
    <row r="46" spans="1:8" x14ac:dyDescent="0.2">
      <c r="A46" s="568">
        <v>42986</v>
      </c>
      <c r="B46" s="569">
        <v>2323.9</v>
      </c>
      <c r="C46" s="569">
        <v>2717.46</v>
      </c>
      <c r="D46" s="569">
        <v>3072.96</v>
      </c>
      <c r="E46" s="569">
        <f>753.86+2730.15</f>
        <v>3484.01</v>
      </c>
      <c r="F46" s="566">
        <v>3265.99</v>
      </c>
      <c r="G46" s="566">
        <v>2271.2199999999998</v>
      </c>
      <c r="H46" s="566">
        <f t="shared" si="2"/>
        <v>-994.77</v>
      </c>
    </row>
    <row r="47" spans="1:8" x14ac:dyDescent="0.2">
      <c r="A47" s="568">
        <v>42993</v>
      </c>
      <c r="B47" s="569">
        <v>2621.61</v>
      </c>
      <c r="C47" s="569">
        <v>3748.38</v>
      </c>
      <c r="D47" s="569">
        <v>3926.25</v>
      </c>
      <c r="E47" s="569">
        <v>3212.96</v>
      </c>
      <c r="F47" s="566">
        <v>3712.16</v>
      </c>
      <c r="G47" s="566">
        <v>2688.36</v>
      </c>
      <c r="H47" s="566">
        <f t="shared" si="2"/>
        <v>-1023.7999999999997</v>
      </c>
    </row>
    <row r="48" spans="1:8" x14ac:dyDescent="0.2">
      <c r="A48" s="568">
        <v>43000</v>
      </c>
      <c r="B48" s="569">
        <v>2394.14</v>
      </c>
      <c r="C48" s="569">
        <v>3766.8</v>
      </c>
      <c r="D48" s="569">
        <v>4164.1899999999996</v>
      </c>
      <c r="E48" s="569">
        <v>4004.92</v>
      </c>
      <c r="F48" s="566">
        <v>3509.17</v>
      </c>
      <c r="G48" s="566">
        <v>3180.04</v>
      </c>
      <c r="H48" s="566">
        <f t="shared" si="2"/>
        <v>-329.13000000000011</v>
      </c>
    </row>
    <row r="49" spans="1:8" ht="15" thickBot="1" x14ac:dyDescent="0.25">
      <c r="A49" s="568">
        <v>43007</v>
      </c>
      <c r="B49" s="572">
        <v>2669.64</v>
      </c>
      <c r="C49" s="572">
        <v>4136.58</v>
      </c>
      <c r="D49" s="572">
        <v>3566.31</v>
      </c>
      <c r="E49" s="572">
        <v>3837.41</v>
      </c>
      <c r="F49" s="573">
        <v>3803.3</v>
      </c>
      <c r="G49" s="573">
        <v>2437.88</v>
      </c>
      <c r="H49" s="566">
        <f t="shared" si="2"/>
        <v>-1365.42</v>
      </c>
    </row>
    <row r="50" spans="1:8" ht="16.5" thickBot="1" x14ac:dyDescent="0.25">
      <c r="A50" s="574" t="s">
        <v>299</v>
      </c>
      <c r="B50" s="575">
        <f>SUM(B37:B49)</f>
        <v>32092.899999999998</v>
      </c>
      <c r="C50" s="575">
        <f>SUM(C37:C49)</f>
        <v>48222.47</v>
      </c>
      <c r="D50" s="575">
        <f>SUM(D37:D49)</f>
        <v>47361.39</v>
      </c>
      <c r="E50" s="575">
        <f>SUM(E37:E49)</f>
        <v>46039.66</v>
      </c>
      <c r="F50" s="575">
        <f t="shared" ref="F50:H50" si="4">SUM(F37:F49)</f>
        <v>48754.649999999994</v>
      </c>
      <c r="G50" s="575">
        <f t="shared" si="4"/>
        <v>39922.71</v>
      </c>
      <c r="H50" s="575">
        <f t="shared" si="4"/>
        <v>-8831.9399999999987</v>
      </c>
    </row>
    <row r="51" spans="1:8" x14ac:dyDescent="0.2">
      <c r="A51" s="576">
        <v>43014</v>
      </c>
      <c r="B51" s="566">
        <v>3051.16</v>
      </c>
      <c r="C51" s="566">
        <v>4721</v>
      </c>
      <c r="D51" s="566">
        <f>1531.24+2227.04</f>
        <v>3758.2799999999997</v>
      </c>
      <c r="E51" s="566">
        <v>3921.83</v>
      </c>
      <c r="F51" s="566">
        <v>3911.96</v>
      </c>
      <c r="G51" s="566">
        <v>3047.82</v>
      </c>
      <c r="H51" s="566">
        <f t="shared" si="2"/>
        <v>-864.13999999999987</v>
      </c>
    </row>
    <row r="52" spans="1:8" x14ac:dyDescent="0.2">
      <c r="A52" s="568">
        <v>43021</v>
      </c>
      <c r="B52" s="569">
        <v>2579.96</v>
      </c>
      <c r="C52" s="569">
        <v>4035.24</v>
      </c>
      <c r="D52" s="569">
        <v>4232.92</v>
      </c>
      <c r="E52" s="569">
        <v>3403.46</v>
      </c>
      <c r="F52" s="566">
        <v>3093.5</v>
      </c>
      <c r="G52" s="566">
        <v>2010.94</v>
      </c>
      <c r="H52" s="566">
        <f t="shared" si="2"/>
        <v>-1082.56</v>
      </c>
    </row>
    <row r="53" spans="1:8" x14ac:dyDescent="0.2">
      <c r="A53" s="568">
        <v>43028</v>
      </c>
      <c r="B53" s="569">
        <v>3119.16</v>
      </c>
      <c r="C53" s="569">
        <v>2972.08</v>
      </c>
      <c r="D53" s="569">
        <v>3057.22</v>
      </c>
      <c r="E53" s="569">
        <v>3116.16</v>
      </c>
      <c r="F53" s="566">
        <v>4261.32</v>
      </c>
      <c r="G53" s="566">
        <v>3314.5</v>
      </c>
      <c r="H53" s="566">
        <f t="shared" si="2"/>
        <v>-946.81999999999971</v>
      </c>
    </row>
    <row r="54" spans="1:8" x14ac:dyDescent="0.2">
      <c r="A54" s="568">
        <v>43035</v>
      </c>
      <c r="B54" s="569">
        <v>2378.1999999999998</v>
      </c>
      <c r="C54" s="569">
        <v>3341.66</v>
      </c>
      <c r="D54" s="569">
        <v>3745.65</v>
      </c>
      <c r="E54" s="569">
        <v>3664.58</v>
      </c>
      <c r="F54" s="566">
        <v>3860.55</v>
      </c>
      <c r="G54" s="566">
        <v>2905</v>
      </c>
      <c r="H54" s="566">
        <f t="shared" si="2"/>
        <v>-955.55000000000018</v>
      </c>
    </row>
    <row r="55" spans="1:8" x14ac:dyDescent="0.2">
      <c r="A55" s="568">
        <v>43042</v>
      </c>
      <c r="B55" s="569">
        <v>2153.36</v>
      </c>
      <c r="C55" s="569">
        <v>3165.08</v>
      </c>
      <c r="D55" s="569">
        <f>3171.04+47.44+30.24</f>
        <v>3248.72</v>
      </c>
      <c r="E55" s="569">
        <v>3792.71</v>
      </c>
      <c r="F55" s="566">
        <v>3942.48</v>
      </c>
      <c r="G55" s="566">
        <v>3169.18</v>
      </c>
      <c r="H55" s="566">
        <f t="shared" si="2"/>
        <v>-773.30000000000018</v>
      </c>
    </row>
    <row r="56" spans="1:8" x14ac:dyDescent="0.2">
      <c r="A56" s="568">
        <v>43049</v>
      </c>
      <c r="B56" s="569">
        <v>1549.7</v>
      </c>
      <c r="C56" s="569">
        <v>3024.18</v>
      </c>
      <c r="D56" s="569">
        <v>3967.37</v>
      </c>
      <c r="E56" s="569">
        <v>3804.52</v>
      </c>
      <c r="F56" s="566">
        <v>3933.48</v>
      </c>
      <c r="G56" s="566">
        <v>2670.04</v>
      </c>
      <c r="H56" s="566">
        <f t="shared" si="2"/>
        <v>-1263.44</v>
      </c>
    </row>
    <row r="57" spans="1:8" x14ac:dyDescent="0.2">
      <c r="A57" s="568">
        <v>43056</v>
      </c>
      <c r="B57" s="569">
        <f>(5311.2-178.1)*0.5</f>
        <v>2566.5499999999997</v>
      </c>
      <c r="C57" s="569">
        <v>3500.86</v>
      </c>
      <c r="D57" s="569">
        <v>4007.55</v>
      </c>
      <c r="E57" s="569">
        <v>3693.64</v>
      </c>
      <c r="F57" s="566">
        <v>3860.4</v>
      </c>
      <c r="G57" s="566">
        <v>2400.7199999999998</v>
      </c>
      <c r="H57" s="566">
        <f t="shared" si="2"/>
        <v>-1459.6800000000003</v>
      </c>
    </row>
    <row r="58" spans="1:8" x14ac:dyDescent="0.2">
      <c r="A58" s="568">
        <v>43063</v>
      </c>
      <c r="B58" s="569">
        <f>(5311.2-178.1)*0.5</f>
        <v>2566.5499999999997</v>
      </c>
      <c r="C58" s="569">
        <v>4015.8</v>
      </c>
      <c r="D58" s="569">
        <v>4445.62</v>
      </c>
      <c r="E58" s="569">
        <v>3499.88</v>
      </c>
      <c r="F58" s="566">
        <v>1675.8</v>
      </c>
      <c r="G58" s="566">
        <v>1268.44</v>
      </c>
      <c r="H58" s="566">
        <f t="shared" si="2"/>
        <v>-407.3599999999999</v>
      </c>
    </row>
    <row r="59" spans="1:8" x14ac:dyDescent="0.2">
      <c r="A59" s="568">
        <v>43070</v>
      </c>
      <c r="B59" s="569">
        <v>3577.34</v>
      </c>
      <c r="C59" s="569">
        <v>2434.3200000000002</v>
      </c>
      <c r="D59" s="569">
        <v>1953.09</v>
      </c>
      <c r="E59" s="569">
        <v>2000.54</v>
      </c>
      <c r="F59" s="566">
        <v>3669.06</v>
      </c>
      <c r="G59" s="566">
        <v>2816.72</v>
      </c>
      <c r="H59" s="566">
        <f t="shared" si="2"/>
        <v>-852.34000000000015</v>
      </c>
    </row>
    <row r="60" spans="1:8" x14ac:dyDescent="0.2">
      <c r="A60" s="568">
        <v>43077</v>
      </c>
      <c r="B60" s="569">
        <v>3486.12</v>
      </c>
      <c r="C60" s="569">
        <v>3291.9</v>
      </c>
      <c r="D60" s="569">
        <v>3710.06</v>
      </c>
      <c r="E60" s="569">
        <f>2372.46+627.88</f>
        <v>3000.34</v>
      </c>
      <c r="F60" s="566">
        <v>3225.52</v>
      </c>
      <c r="G60" s="566">
        <v>2427</v>
      </c>
      <c r="H60" s="566">
        <f t="shared" si="2"/>
        <v>-798.52</v>
      </c>
    </row>
    <row r="61" spans="1:8" x14ac:dyDescent="0.2">
      <c r="A61" s="568">
        <v>43084</v>
      </c>
      <c r="B61" s="569">
        <v>3539.16</v>
      </c>
      <c r="C61" s="569">
        <v>4047.94</v>
      </c>
      <c r="D61" s="569">
        <v>3873.59</v>
      </c>
      <c r="E61" s="569">
        <v>4104.09</v>
      </c>
      <c r="F61" s="566">
        <v>2933.78</v>
      </c>
      <c r="G61" s="566">
        <v>2427</v>
      </c>
      <c r="H61" s="566">
        <f t="shared" si="2"/>
        <v>-506.7800000000002</v>
      </c>
    </row>
    <row r="62" spans="1:8" x14ac:dyDescent="0.2">
      <c r="A62" s="568">
        <v>43091</v>
      </c>
      <c r="B62" s="569">
        <v>1609.64</v>
      </c>
      <c r="C62" s="569">
        <v>3903.54</v>
      </c>
      <c r="D62" s="569">
        <v>3580.24</v>
      </c>
      <c r="E62" s="569">
        <v>3625.1</v>
      </c>
      <c r="F62" s="566">
        <v>3555.5</v>
      </c>
      <c r="G62" s="566">
        <v>2649.12</v>
      </c>
      <c r="H62" s="566">
        <f t="shared" si="2"/>
        <v>-906.38000000000011</v>
      </c>
    </row>
    <row r="63" spans="1:8" ht="15" thickBot="1" x14ac:dyDescent="0.25">
      <c r="A63" s="577">
        <v>43098</v>
      </c>
      <c r="B63" s="578">
        <v>5154.84</v>
      </c>
      <c r="C63" s="578">
        <v>2331.48</v>
      </c>
      <c r="D63" s="578">
        <v>2383.63</v>
      </c>
      <c r="E63" s="578">
        <v>2256.69</v>
      </c>
      <c r="F63" s="579">
        <v>2486.06</v>
      </c>
      <c r="G63" s="579">
        <v>2088.3000000000002</v>
      </c>
      <c r="H63" s="566">
        <f t="shared" si="2"/>
        <v>-397.75999999999976</v>
      </c>
    </row>
    <row r="64" spans="1:8" ht="16.5" thickBot="1" x14ac:dyDescent="0.25">
      <c r="A64" s="574" t="s">
        <v>300</v>
      </c>
      <c r="B64" s="575">
        <f>SUM(B51:B63)</f>
        <v>37331.74</v>
      </c>
      <c r="C64" s="575">
        <f>SUM(C51:C63)</f>
        <v>44785.08</v>
      </c>
      <c r="D64" s="575">
        <f>SUM(D51:D63)</f>
        <v>45963.939999999988</v>
      </c>
      <c r="E64" s="575">
        <f>SUM(E51:E63)</f>
        <v>43883.54</v>
      </c>
      <c r="F64" s="575">
        <f>SUM(F51:F63)</f>
        <v>44409.409999999996</v>
      </c>
      <c r="G64" s="575">
        <f t="shared" ref="G64" si="5">SUM(G51:G63)</f>
        <v>33194.78</v>
      </c>
      <c r="H64" s="575">
        <f>SUM(H51:H63)</f>
        <v>-11214.63</v>
      </c>
    </row>
    <row r="65" spans="1:8" ht="15.75" x14ac:dyDescent="0.25">
      <c r="A65" s="580" t="s">
        <v>301</v>
      </c>
      <c r="B65" s="581">
        <f t="shared" ref="B65:H65" si="6">SUM(B9:B63)-B22-B36-B50</f>
        <v>139328.74</v>
      </c>
      <c r="C65" s="581">
        <f t="shared" si="6"/>
        <v>199253.05999999985</v>
      </c>
      <c r="D65" s="581">
        <f t="shared" si="6"/>
        <v>184010.66000000003</v>
      </c>
      <c r="E65" s="581">
        <f t="shared" si="6"/>
        <v>185097.12000000014</v>
      </c>
      <c r="F65" s="581">
        <f t="shared" si="6"/>
        <v>194384.88000000003</v>
      </c>
      <c r="G65" s="581">
        <f t="shared" si="6"/>
        <v>157031.36999999994</v>
      </c>
      <c r="H65" s="581">
        <f t="shared" si="6"/>
        <v>-37353.509999999995</v>
      </c>
    </row>
    <row r="66" spans="1:8" x14ac:dyDescent="0.2">
      <c r="A66" s="56" t="s">
        <v>302</v>
      </c>
      <c r="B66" s="582">
        <f t="shared" ref="B66:G66" si="7">AVERAGE(B9:B21)</f>
        <v>2043.7076923076925</v>
      </c>
      <c r="C66" s="583">
        <f t="shared" si="7"/>
        <v>3924.3692307692318</v>
      </c>
      <c r="D66" s="583">
        <f t="shared" si="7"/>
        <v>3374.6030769230765</v>
      </c>
      <c r="E66" s="583">
        <f t="shared" si="7"/>
        <v>3340.4923076923073</v>
      </c>
      <c r="F66" s="583">
        <f t="shared" si="7"/>
        <v>3902.6661538461535</v>
      </c>
      <c r="G66" s="582">
        <f t="shared" si="7"/>
        <v>2699.5315384615378</v>
      </c>
      <c r="H66" s="584">
        <f>G66-F66</f>
        <v>-1203.1346153846157</v>
      </c>
    </row>
    <row r="67" spans="1:8" x14ac:dyDescent="0.2">
      <c r="A67" s="56" t="s">
        <v>303</v>
      </c>
      <c r="B67" s="585">
        <f t="shared" ref="B67:G67" si="8">AVERAGE(B23:B35)</f>
        <v>3333.5307692307692</v>
      </c>
      <c r="C67" s="586">
        <f t="shared" si="8"/>
        <v>4248.3623076923086</v>
      </c>
      <c r="D67" s="586">
        <f t="shared" si="8"/>
        <v>3601.1915384615381</v>
      </c>
      <c r="E67" s="586">
        <f t="shared" si="8"/>
        <v>3980.5784615384619</v>
      </c>
      <c r="F67" s="586">
        <f t="shared" si="8"/>
        <v>3883.5507692307683</v>
      </c>
      <c r="G67" s="585">
        <f t="shared" si="8"/>
        <v>3755.3823076923081</v>
      </c>
      <c r="H67" s="587">
        <f>G67-F67</f>
        <v>-128.16846153846018</v>
      </c>
    </row>
    <row r="68" spans="1:8" x14ac:dyDescent="0.2">
      <c r="A68" s="56" t="s">
        <v>304</v>
      </c>
      <c r="B68" s="585">
        <f t="shared" ref="B68:F68" si="9">AVERAGE(B37:B49)</f>
        <v>2468.6846153846154</v>
      </c>
      <c r="C68" s="586">
        <f t="shared" si="9"/>
        <v>3709.4207692307691</v>
      </c>
      <c r="D68" s="586">
        <f t="shared" si="9"/>
        <v>3643.1838461538459</v>
      </c>
      <c r="E68" s="586">
        <f t="shared" si="9"/>
        <v>3541.5123076923078</v>
      </c>
      <c r="F68" s="586">
        <f t="shared" si="9"/>
        <v>3750.3576923076917</v>
      </c>
      <c r="G68" s="586">
        <f>AVERAGE(G37:G49)</f>
        <v>3070.9776923076925</v>
      </c>
      <c r="H68" s="587">
        <f>G68-F68</f>
        <v>-679.3799999999992</v>
      </c>
    </row>
    <row r="69" spans="1:8" x14ac:dyDescent="0.2">
      <c r="A69" s="56" t="s">
        <v>305</v>
      </c>
      <c r="B69" s="588">
        <f t="shared" ref="B69:G69" si="10">AVERAGE(B51:B63)</f>
        <v>2871.6723076923076</v>
      </c>
      <c r="C69" s="589">
        <f t="shared" si="10"/>
        <v>3445.0061538461541</v>
      </c>
      <c r="D69" s="589">
        <f t="shared" si="10"/>
        <v>3535.6876923076916</v>
      </c>
      <c r="E69" s="590">
        <f t="shared" si="10"/>
        <v>3375.6569230769232</v>
      </c>
      <c r="F69" s="590">
        <f t="shared" si="10"/>
        <v>3416.1084615384611</v>
      </c>
      <c r="G69" s="590">
        <f t="shared" si="10"/>
        <v>2553.4446153846152</v>
      </c>
      <c r="H69" s="591">
        <f>G69-F69</f>
        <v>-862.66384615384595</v>
      </c>
    </row>
    <row r="71" spans="1:8" x14ac:dyDescent="0.2">
      <c r="H71" s="558"/>
    </row>
    <row r="74" spans="1:8" x14ac:dyDescent="0.2">
      <c r="C74" s="559"/>
    </row>
    <row r="75" spans="1:8" x14ac:dyDescent="0.2">
      <c r="C75" s="559"/>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4"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98</v>
      </c>
      <c r="B1" s="59"/>
      <c r="C1" s="60"/>
      <c r="D1" s="60"/>
      <c r="E1" s="60"/>
      <c r="F1" s="59"/>
      <c r="G1" s="231"/>
      <c r="H1" s="506"/>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268</v>
      </c>
      <c r="B2" s="59"/>
      <c r="C2" s="60"/>
      <c r="D2" s="60"/>
      <c r="E2" s="60"/>
      <c r="F2" s="59"/>
      <c r="G2" s="231"/>
      <c r="H2" s="506"/>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263</v>
      </c>
      <c r="B3" s="59"/>
      <c r="C3" s="60"/>
      <c r="D3" s="60"/>
      <c r="E3" s="60"/>
      <c r="F3" s="59"/>
      <c r="G3" s="231"/>
      <c r="H3" s="506"/>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269</v>
      </c>
      <c r="B4" s="59"/>
      <c r="C4" s="60"/>
      <c r="D4" s="60"/>
      <c r="E4" s="60"/>
      <c r="F4" s="59"/>
      <c r="G4" s="231"/>
      <c r="H4" s="506"/>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2"/>
      <c r="H5" s="507"/>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3" t="s">
        <v>53</v>
      </c>
      <c r="H6" s="492"/>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3"/>
      <c r="H7" s="370"/>
    </row>
    <row r="8" spans="1:143" s="72" customFormat="1" ht="21" thickBot="1" x14ac:dyDescent="0.35">
      <c r="A8" s="69"/>
      <c r="B8" s="153" t="s">
        <v>104</v>
      </c>
      <c r="C8" s="153"/>
      <c r="D8" s="153"/>
      <c r="E8" s="153"/>
      <c r="F8" s="153"/>
      <c r="G8" s="282"/>
      <c r="H8" s="508"/>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3" t="s">
        <v>105</v>
      </c>
      <c r="D9" s="423"/>
      <c r="E9" s="423"/>
      <c r="F9" s="73"/>
      <c r="G9" s="264">
        <v>1015000</v>
      </c>
      <c r="H9" s="370"/>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3" t="s">
        <v>177</v>
      </c>
      <c r="D10" s="423"/>
      <c r="E10" s="423"/>
      <c r="F10" s="73"/>
      <c r="G10" s="265">
        <v>13000</v>
      </c>
      <c r="H10" s="370"/>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5"/>
      <c r="C11" s="423" t="s">
        <v>154</v>
      </c>
      <c r="D11" s="423"/>
      <c r="E11" s="423"/>
      <c r="F11" s="73"/>
      <c r="G11" s="265">
        <v>195000</v>
      </c>
      <c r="H11" s="370"/>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5"/>
      <c r="C12" s="423" t="s">
        <v>183</v>
      </c>
      <c r="D12" s="423"/>
      <c r="E12" s="423"/>
      <c r="F12" s="73"/>
      <c r="G12" s="265">
        <v>40000</v>
      </c>
      <c r="H12" s="370"/>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5"/>
      <c r="C13" s="423" t="s">
        <v>106</v>
      </c>
      <c r="D13" s="423"/>
      <c r="E13" s="423"/>
      <c r="F13" s="73"/>
      <c r="G13" s="265"/>
      <c r="H13" s="370"/>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5"/>
      <c r="C14" s="77"/>
      <c r="D14" s="423" t="s">
        <v>143</v>
      </c>
      <c r="E14" s="423"/>
      <c r="F14" s="73"/>
      <c r="G14" s="265">
        <f>43900+41500+122000</f>
        <v>207400</v>
      </c>
      <c r="H14" s="370"/>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5"/>
      <c r="C15" s="77"/>
      <c r="D15" s="423" t="s">
        <v>163</v>
      </c>
      <c r="E15" s="423"/>
      <c r="F15" s="73"/>
      <c r="G15" s="265">
        <v>11000</v>
      </c>
      <c r="H15" s="370"/>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5"/>
      <c r="C16" s="423" t="s">
        <v>107</v>
      </c>
      <c r="D16" s="423"/>
      <c r="E16" s="423"/>
      <c r="F16" s="73"/>
      <c r="G16" s="265">
        <v>9500</v>
      </c>
      <c r="H16" s="370"/>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5"/>
      <c r="C17" s="423" t="s">
        <v>114</v>
      </c>
      <c r="D17" s="423"/>
      <c r="E17" s="423"/>
      <c r="F17" s="73"/>
      <c r="G17" s="265">
        <v>1000</v>
      </c>
      <c r="H17" s="370"/>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5"/>
      <c r="C18" s="423" t="s">
        <v>242</v>
      </c>
      <c r="D18" s="423"/>
      <c r="E18" s="423"/>
      <c r="F18" s="73"/>
      <c r="G18" s="265">
        <v>3000</v>
      </c>
      <c r="H18" s="370"/>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5"/>
      <c r="C19" s="423" t="s">
        <v>243</v>
      </c>
      <c r="D19" s="423"/>
      <c r="E19" s="423"/>
      <c r="F19" s="73"/>
      <c r="G19" s="265">
        <f>25000+8000+20000</f>
        <v>53000</v>
      </c>
      <c r="H19" s="370"/>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5"/>
      <c r="C20" s="423" t="s">
        <v>149</v>
      </c>
      <c r="D20" s="423"/>
      <c r="E20" s="423"/>
      <c r="F20" s="73"/>
      <c r="G20" s="265">
        <v>500</v>
      </c>
      <c r="H20" s="370"/>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5"/>
      <c r="C21" s="423" t="s">
        <v>168</v>
      </c>
      <c r="D21" s="423"/>
      <c r="E21" s="423"/>
      <c r="F21" s="73"/>
      <c r="G21" s="265"/>
      <c r="H21" s="370"/>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5"/>
      <c r="C22" s="423" t="s">
        <v>113</v>
      </c>
      <c r="D22" s="423"/>
      <c r="E22" s="423"/>
      <c r="F22" s="73"/>
      <c r="G22" s="266">
        <v>46575</v>
      </c>
      <c r="H22" s="370"/>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5"/>
      <c r="C23" s="423"/>
      <c r="D23" s="73" t="s">
        <v>109</v>
      </c>
      <c r="E23" s="423"/>
      <c r="F23" s="73"/>
      <c r="G23" s="235">
        <f>SUM(G9:G22)</f>
        <v>1594975</v>
      </c>
      <c r="H23" s="370"/>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5"/>
      <c r="C24" s="73" t="s">
        <v>110</v>
      </c>
      <c r="D24" s="423"/>
      <c r="E24" s="423"/>
      <c r="F24" s="73"/>
      <c r="G24" s="242">
        <f>68000+18000</f>
        <v>86000</v>
      </c>
      <c r="H24" s="370"/>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5"/>
      <c r="C25" s="423"/>
      <c r="D25" s="73" t="s">
        <v>111</v>
      </c>
      <c r="E25" s="423"/>
      <c r="F25" s="73"/>
      <c r="G25" s="235">
        <f>SUM(G23:G24)</f>
        <v>1680975</v>
      </c>
      <c r="H25" s="370"/>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5"/>
      <c r="C26" s="423"/>
      <c r="D26" s="73"/>
      <c r="E26" s="423"/>
      <c r="F26" s="73"/>
      <c r="G26" s="235"/>
      <c r="H26" s="370"/>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6" t="s">
        <v>115</v>
      </c>
      <c r="C27" s="87"/>
      <c r="D27" s="87"/>
      <c r="E27" s="87"/>
      <c r="F27" s="87"/>
      <c r="G27" s="242"/>
      <c r="H27" s="370"/>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7"/>
      <c r="C28" s="79" t="s">
        <v>116</v>
      </c>
      <c r="D28" s="79"/>
      <c r="E28" s="79"/>
      <c r="F28" s="79"/>
      <c r="G28" s="233">
        <f>ROUND((898643.55+40000)*1.02,-2)</f>
        <v>957400</v>
      </c>
      <c r="H28" s="370"/>
    </row>
    <row r="29" spans="1:143" s="68" customFormat="1" ht="20.25" x14ac:dyDescent="0.2">
      <c r="A29" s="67"/>
      <c r="B29" s="397"/>
      <c r="C29" s="79" t="s">
        <v>117</v>
      </c>
      <c r="D29" s="79"/>
      <c r="E29" s="79"/>
      <c r="F29" s="79"/>
      <c r="G29" s="233">
        <f>ROUNDUP(G28*0.195,-2)</f>
        <v>186700</v>
      </c>
      <c r="H29" s="370"/>
    </row>
    <row r="30" spans="1:143" s="68" customFormat="1" ht="20.25" x14ac:dyDescent="0.2">
      <c r="A30" s="67"/>
      <c r="B30" s="397"/>
      <c r="C30" s="79" t="s">
        <v>118</v>
      </c>
      <c r="D30" s="79"/>
      <c r="E30" s="79"/>
      <c r="F30" s="79"/>
      <c r="G30" s="233">
        <f>48831-G22</f>
        <v>2256</v>
      </c>
      <c r="H30" s="370"/>
    </row>
    <row r="31" spans="1:143" s="68" customFormat="1" ht="20.25" x14ac:dyDescent="0.2">
      <c r="A31" s="67"/>
      <c r="B31" s="397"/>
      <c r="C31" s="79" t="s">
        <v>108</v>
      </c>
      <c r="D31" s="79"/>
      <c r="E31" s="79"/>
      <c r="F31" s="79"/>
      <c r="G31" s="233">
        <f>G22</f>
        <v>46575</v>
      </c>
      <c r="H31" s="370"/>
    </row>
    <row r="32" spans="1:143" s="68" customFormat="1" ht="20.25" x14ac:dyDescent="0.2">
      <c r="A32" s="67"/>
      <c r="B32" s="397"/>
      <c r="C32" s="79" t="s">
        <v>119</v>
      </c>
      <c r="D32" s="79"/>
      <c r="E32" s="79"/>
      <c r="F32" s="79"/>
      <c r="G32" s="233">
        <v>14000</v>
      </c>
      <c r="H32" s="370"/>
    </row>
    <row r="33" spans="1:8" s="68" customFormat="1" ht="20.25" x14ac:dyDescent="0.2">
      <c r="A33" s="67"/>
      <c r="B33" s="397"/>
      <c r="C33" s="79" t="s">
        <v>120</v>
      </c>
      <c r="D33" s="79"/>
      <c r="E33" s="79"/>
      <c r="F33" s="79"/>
      <c r="G33" s="233">
        <v>3500</v>
      </c>
      <c r="H33" s="370"/>
    </row>
    <row r="34" spans="1:8" s="68" customFormat="1" ht="20.25" x14ac:dyDescent="0.2">
      <c r="A34" s="67"/>
      <c r="B34" s="397"/>
      <c r="C34" s="79" t="s">
        <v>121</v>
      </c>
      <c r="D34" s="79"/>
      <c r="E34" s="79"/>
      <c r="F34" s="79"/>
      <c r="G34" s="233">
        <v>7000</v>
      </c>
      <c r="H34" s="370"/>
    </row>
    <row r="35" spans="1:8" s="68" customFormat="1" ht="20.25" x14ac:dyDescent="0.2">
      <c r="A35" s="67"/>
      <c r="B35" s="397"/>
      <c r="C35" s="79" t="s">
        <v>122</v>
      </c>
      <c r="D35" s="79"/>
      <c r="E35" s="79"/>
      <c r="F35" s="79"/>
      <c r="G35" s="233">
        <v>13500</v>
      </c>
      <c r="H35" s="370"/>
    </row>
    <row r="36" spans="1:8" s="68" customFormat="1" ht="20.25" x14ac:dyDescent="0.2">
      <c r="A36" s="67"/>
      <c r="B36" s="397"/>
      <c r="C36" s="79" t="s">
        <v>123</v>
      </c>
      <c r="D36" s="79"/>
      <c r="E36" s="79"/>
      <c r="F36" s="79"/>
      <c r="G36" s="233">
        <v>40000</v>
      </c>
      <c r="H36" s="370"/>
    </row>
    <row r="37" spans="1:8" s="68" customFormat="1" ht="20.25" x14ac:dyDescent="0.2">
      <c r="A37" s="67"/>
      <c r="B37" s="397"/>
      <c r="C37" s="79" t="s">
        <v>124</v>
      </c>
      <c r="D37" s="79"/>
      <c r="E37" s="79"/>
      <c r="F37" s="79"/>
      <c r="G37" s="233">
        <v>6600</v>
      </c>
      <c r="H37" s="370"/>
    </row>
    <row r="38" spans="1:8" s="68" customFormat="1" ht="20.25" x14ac:dyDescent="0.2">
      <c r="A38" s="67"/>
      <c r="B38" s="397"/>
      <c r="C38" s="79" t="s">
        <v>125</v>
      </c>
      <c r="D38" s="79"/>
      <c r="E38" s="79"/>
      <c r="F38" s="79"/>
      <c r="G38" s="233">
        <v>1500</v>
      </c>
      <c r="H38" s="370"/>
    </row>
    <row r="39" spans="1:8" s="68" customFormat="1" ht="20.25" x14ac:dyDescent="0.2">
      <c r="A39" s="67"/>
      <c r="B39" s="397"/>
      <c r="C39" s="79" t="s">
        <v>170</v>
      </c>
      <c r="D39" s="79"/>
      <c r="E39" s="79"/>
      <c r="F39" s="79"/>
      <c r="G39" s="233">
        <v>13700</v>
      </c>
      <c r="H39" s="370"/>
    </row>
    <row r="40" spans="1:8" s="76" customFormat="1" ht="20.25" x14ac:dyDescent="0.2">
      <c r="A40" s="79"/>
      <c r="B40" s="393"/>
      <c r="C40" s="79" t="s">
        <v>126</v>
      </c>
      <c r="D40" s="79"/>
      <c r="E40" s="79"/>
      <c r="F40" s="79"/>
      <c r="G40" s="323">
        <f>ROUNDUP(13248.87*1.05,-2)</f>
        <v>14000</v>
      </c>
      <c r="H40" s="369"/>
    </row>
    <row r="41" spans="1:8" s="76" customFormat="1" ht="20.25" x14ac:dyDescent="0.2">
      <c r="A41" s="79"/>
      <c r="B41" s="393"/>
      <c r="C41" s="79" t="s">
        <v>127</v>
      </c>
      <c r="D41" s="79"/>
      <c r="E41" s="79"/>
      <c r="F41" s="79"/>
      <c r="G41" s="233">
        <f>ROUNDUP(12343.85*1.03,-2)</f>
        <v>12800</v>
      </c>
      <c r="H41" s="369"/>
    </row>
    <row r="42" spans="1:8" s="76" customFormat="1" ht="20.25" x14ac:dyDescent="0.2">
      <c r="A42" s="79"/>
      <c r="B42" s="393"/>
      <c r="C42" s="79" t="s">
        <v>134</v>
      </c>
      <c r="D42" s="79"/>
      <c r="E42" s="79"/>
      <c r="F42" s="79"/>
      <c r="G42" s="233">
        <v>3000</v>
      </c>
      <c r="H42" s="369"/>
    </row>
    <row r="43" spans="1:8" s="76" customFormat="1" ht="20.25" x14ac:dyDescent="0.2">
      <c r="A43" s="79"/>
      <c r="B43" s="393"/>
      <c r="C43" s="79" t="s">
        <v>128</v>
      </c>
      <c r="D43" s="79"/>
      <c r="E43" s="79"/>
      <c r="F43" s="79"/>
      <c r="G43" s="323">
        <f>ROUNDUP((3067.88+8008.83)*1.05,-2)</f>
        <v>11700</v>
      </c>
      <c r="H43" s="369"/>
    </row>
    <row r="44" spans="1:8" s="68" customFormat="1" ht="20.25" x14ac:dyDescent="0.2">
      <c r="A44" s="67"/>
      <c r="B44" s="397"/>
      <c r="C44" s="79" t="s">
        <v>204</v>
      </c>
      <c r="D44" s="79"/>
      <c r="E44" s="79"/>
      <c r="F44" s="79"/>
      <c r="G44" s="233">
        <v>17000</v>
      </c>
      <c r="H44" s="370"/>
    </row>
    <row r="45" spans="1:8" s="76" customFormat="1" ht="20.25" x14ac:dyDescent="0.2">
      <c r="A45" s="79"/>
      <c r="B45" s="393"/>
      <c r="C45" s="79" t="s">
        <v>129</v>
      </c>
      <c r="D45" s="79"/>
      <c r="E45" s="79"/>
      <c r="F45" s="79"/>
      <c r="G45" s="323">
        <v>41000</v>
      </c>
      <c r="H45" s="369"/>
    </row>
    <row r="46" spans="1:8" s="76" customFormat="1" ht="20.25" x14ac:dyDescent="0.2">
      <c r="A46" s="79"/>
      <c r="B46" s="393"/>
      <c r="C46" s="79" t="s">
        <v>130</v>
      </c>
      <c r="D46" s="79"/>
      <c r="E46" s="79"/>
      <c r="F46" s="79"/>
      <c r="G46" s="323">
        <f>ROUNDUP((1800+4675.64+34905.29+1033.01-10000-2673-17150-1033+14000)*1.01,-2)</f>
        <v>25900</v>
      </c>
      <c r="H46" s="369"/>
    </row>
    <row r="47" spans="1:8" s="76" customFormat="1" ht="20.25" x14ac:dyDescent="0.2">
      <c r="A47" s="79"/>
      <c r="B47" s="393"/>
      <c r="C47" s="79" t="s">
        <v>171</v>
      </c>
      <c r="D47" s="79"/>
      <c r="E47" s="79"/>
      <c r="F47" s="79"/>
      <c r="G47" s="233">
        <v>36000</v>
      </c>
      <c r="H47" s="369"/>
    </row>
    <row r="48" spans="1:8" s="76" customFormat="1" ht="20.25" x14ac:dyDescent="0.2">
      <c r="A48" s="79"/>
      <c r="B48" s="393"/>
      <c r="C48" s="79" t="s">
        <v>169</v>
      </c>
      <c r="D48" s="79"/>
      <c r="E48" s="79"/>
      <c r="F48" s="79"/>
      <c r="G48" s="233">
        <f>ROUNDUP(46266.27*1.02,-2)</f>
        <v>47200</v>
      </c>
      <c r="H48" s="369"/>
    </row>
    <row r="49" spans="1:8" s="76" customFormat="1" ht="20.25" x14ac:dyDescent="0.2">
      <c r="A49" s="79"/>
      <c r="B49" s="393"/>
      <c r="C49" s="79" t="s">
        <v>131</v>
      </c>
      <c r="D49" s="79"/>
      <c r="E49" s="79"/>
      <c r="F49" s="79"/>
      <c r="G49" s="233">
        <f>ROUND((2604.31+166143.24-12000)*1.01,-2)</f>
        <v>158300</v>
      </c>
      <c r="H49" s="369"/>
    </row>
    <row r="50" spans="1:8" s="76" customFormat="1" ht="20.25" hidden="1" x14ac:dyDescent="0.2">
      <c r="A50" s="79"/>
      <c r="B50" s="393"/>
      <c r="C50" s="79" t="s">
        <v>264</v>
      </c>
      <c r="D50" s="79"/>
      <c r="E50" s="79"/>
      <c r="F50" s="79"/>
      <c r="G50" s="233"/>
      <c r="H50" s="369"/>
    </row>
    <row r="51" spans="1:8" s="68" customFormat="1" ht="20.25" x14ac:dyDescent="0.2">
      <c r="A51" s="67"/>
      <c r="B51" s="397"/>
      <c r="C51" s="67"/>
      <c r="D51" s="73" t="s">
        <v>132</v>
      </c>
      <c r="E51" s="67"/>
      <c r="F51" s="67"/>
      <c r="G51" s="238">
        <f>SUM(G28:G50)</f>
        <v>1659631</v>
      </c>
      <c r="H51" s="370"/>
    </row>
    <row r="52" spans="1:8" s="68" customFormat="1" ht="10.5" customHeight="1" thickBot="1" x14ac:dyDescent="0.25">
      <c r="A52" s="67"/>
      <c r="B52" s="397"/>
      <c r="C52" s="67"/>
      <c r="D52" s="73"/>
      <c r="E52" s="67"/>
      <c r="F52" s="67"/>
      <c r="G52" s="242"/>
      <c r="H52" s="370"/>
    </row>
    <row r="53" spans="1:8" s="68" customFormat="1" ht="21" thickBot="1" x14ac:dyDescent="0.25">
      <c r="A53" s="67"/>
      <c r="B53" s="397"/>
      <c r="C53" s="67"/>
      <c r="D53" s="67" t="s">
        <v>133</v>
      </c>
      <c r="E53" s="67"/>
      <c r="F53" s="67"/>
      <c r="G53" s="242">
        <f>G25-G51</f>
        <v>21344</v>
      </c>
      <c r="H53" s="370"/>
    </row>
    <row r="54" spans="1:8" s="68" customFormat="1" ht="11.25" customHeight="1" x14ac:dyDescent="0.2">
      <c r="A54" s="67"/>
      <c r="B54" s="397"/>
      <c r="C54" s="67"/>
      <c r="D54" s="67"/>
      <c r="E54" s="67"/>
      <c r="F54" s="67"/>
      <c r="G54" s="233"/>
      <c r="H54" s="370"/>
    </row>
    <row r="55" spans="1:8" s="76" customFormat="1" ht="20.25" x14ac:dyDescent="0.2">
      <c r="A55" s="79"/>
      <c r="B55" s="393"/>
      <c r="C55" s="79"/>
      <c r="D55" s="79"/>
      <c r="F55" s="79"/>
      <c r="G55" s="247"/>
      <c r="H55" s="369"/>
    </row>
    <row r="56" spans="1:8" s="76" customFormat="1" ht="20.25" x14ac:dyDescent="0.2">
      <c r="A56" s="79"/>
      <c r="B56" s="393"/>
      <c r="C56" s="79"/>
      <c r="D56" s="79"/>
      <c r="F56" s="79"/>
      <c r="G56" s="233"/>
      <c r="H56" s="369"/>
    </row>
    <row r="57" spans="1:8" s="76" customFormat="1" ht="20.25" x14ac:dyDescent="0.2">
      <c r="A57" s="79"/>
      <c r="B57" s="393"/>
      <c r="C57" s="79"/>
      <c r="D57" s="79"/>
      <c r="F57" s="79"/>
      <c r="G57" s="233"/>
      <c r="H57" s="369"/>
    </row>
    <row r="58" spans="1:8" s="76" customFormat="1" ht="20.25" x14ac:dyDescent="0.2">
      <c r="A58" s="79"/>
      <c r="B58" s="79"/>
      <c r="C58" s="79"/>
      <c r="D58" s="79"/>
      <c r="F58" s="79"/>
      <c r="G58" s="233"/>
      <c r="H58" s="369"/>
    </row>
    <row r="59" spans="1:8" s="76" customFormat="1" ht="20.25" x14ac:dyDescent="0.2">
      <c r="A59" s="79"/>
      <c r="B59" s="79"/>
      <c r="C59" s="79"/>
      <c r="D59" s="79"/>
      <c r="F59" s="79"/>
      <c r="G59" s="233"/>
      <c r="H59" s="369"/>
    </row>
    <row r="60" spans="1:8" s="76" customFormat="1" ht="20.25" x14ac:dyDescent="0.2">
      <c r="A60" s="79"/>
      <c r="B60" s="79"/>
      <c r="C60" s="79"/>
      <c r="D60" s="79"/>
      <c r="F60" s="79"/>
      <c r="G60" s="233"/>
      <c r="H60" s="369"/>
    </row>
    <row r="61" spans="1:8" s="76" customFormat="1" ht="20.25" x14ac:dyDescent="0.2">
      <c r="A61" s="79"/>
      <c r="B61" s="79"/>
      <c r="C61" s="67"/>
      <c r="D61" s="79"/>
      <c r="F61" s="79"/>
      <c r="G61" s="233"/>
      <c r="H61" s="369"/>
    </row>
    <row r="62" spans="1:8" s="76" customFormat="1" ht="20.25" x14ac:dyDescent="0.2">
      <c r="A62" s="79"/>
      <c r="B62" s="79"/>
      <c r="C62" s="79"/>
      <c r="D62" s="79"/>
      <c r="E62" s="79"/>
      <c r="F62" s="79"/>
      <c r="G62" s="233"/>
      <c r="H62" s="369"/>
    </row>
    <row r="63" spans="1:8" s="76" customFormat="1" ht="20.25" x14ac:dyDescent="0.2">
      <c r="A63" s="79"/>
      <c r="B63" s="79"/>
      <c r="C63" s="67"/>
      <c r="D63" s="67"/>
      <c r="G63" s="233"/>
      <c r="H63" s="369"/>
    </row>
    <row r="64" spans="1:8" s="76" customFormat="1" ht="20.25" x14ac:dyDescent="0.2">
      <c r="A64" s="79"/>
      <c r="B64" s="79"/>
      <c r="C64" s="79"/>
      <c r="D64" s="79"/>
      <c r="E64" s="79"/>
      <c r="F64" s="79"/>
      <c r="G64" s="233"/>
      <c r="H64" s="369"/>
    </row>
    <row r="65" spans="1:8" s="76" customFormat="1" ht="20.25" x14ac:dyDescent="0.2">
      <c r="A65" s="79"/>
      <c r="B65" s="79"/>
      <c r="C65" s="79"/>
      <c r="D65" s="79"/>
      <c r="E65" s="79"/>
      <c r="F65" s="79"/>
      <c r="G65" s="233"/>
      <c r="H65" s="369"/>
    </row>
    <row r="66" spans="1:8" s="76" customFormat="1" ht="20.25" x14ac:dyDescent="0.2">
      <c r="A66" s="79"/>
      <c r="B66" s="79"/>
      <c r="C66" s="79"/>
      <c r="D66" s="79"/>
      <c r="E66" s="79"/>
      <c r="F66" s="79"/>
      <c r="G66" s="233"/>
      <c r="H66" s="369"/>
    </row>
    <row r="67" spans="1:8" s="76" customFormat="1" ht="20.25" x14ac:dyDescent="0.2">
      <c r="A67" s="79"/>
      <c r="B67" s="79"/>
      <c r="C67" s="79"/>
      <c r="D67" s="79"/>
      <c r="E67" s="79"/>
      <c r="F67" s="79"/>
      <c r="G67" s="233"/>
      <c r="H67" s="369"/>
    </row>
    <row r="68" spans="1:8" s="76" customFormat="1" ht="20.25" x14ac:dyDescent="0.2">
      <c r="A68" s="79"/>
      <c r="B68" s="79"/>
      <c r="C68" s="67"/>
      <c r="D68" s="79"/>
      <c r="F68" s="79"/>
      <c r="G68" s="233"/>
      <c r="H68" s="369"/>
    </row>
    <row r="69" spans="1:8" s="76" customFormat="1" ht="20.25" x14ac:dyDescent="0.2">
      <c r="A69" s="79"/>
      <c r="B69" s="79"/>
      <c r="C69" s="79"/>
      <c r="D69" s="79"/>
      <c r="E69" s="79"/>
      <c r="F69" s="79"/>
      <c r="G69" s="233"/>
      <c r="H69" s="369"/>
    </row>
    <row r="70" spans="1:8" s="68" customFormat="1" ht="20.25" x14ac:dyDescent="0.2">
      <c r="A70" s="67"/>
      <c r="B70" s="67"/>
      <c r="C70" s="67"/>
      <c r="D70" s="67"/>
      <c r="E70" s="67"/>
      <c r="F70" s="67"/>
      <c r="G70" s="238"/>
      <c r="H70" s="370"/>
    </row>
    <row r="71" spans="1:8" s="68" customFormat="1" ht="20.25" x14ac:dyDescent="0.2">
      <c r="A71" s="67"/>
      <c r="B71" s="67"/>
      <c r="C71" s="67"/>
      <c r="D71" s="67"/>
      <c r="E71" s="67"/>
      <c r="F71" s="67"/>
      <c r="G71" s="238"/>
      <c r="H71" s="370"/>
    </row>
    <row r="72" spans="1:8" s="68" customFormat="1" ht="23.25" x14ac:dyDescent="0.2">
      <c r="A72" s="67"/>
      <c r="B72" s="272"/>
      <c r="C72" s="67"/>
      <c r="D72" s="67"/>
      <c r="E72" s="67"/>
      <c r="F72" s="67"/>
      <c r="G72" s="233"/>
      <c r="H72" s="370"/>
    </row>
    <row r="73" spans="1:8" s="76" customFormat="1" ht="20.25" x14ac:dyDescent="0.2">
      <c r="A73" s="79"/>
      <c r="B73" s="79"/>
      <c r="D73" s="79"/>
      <c r="E73" s="79"/>
      <c r="F73" s="79"/>
      <c r="G73" s="233"/>
      <c r="H73" s="369"/>
    </row>
    <row r="74" spans="1:8" s="76" customFormat="1" ht="20.25" x14ac:dyDescent="0.2">
      <c r="A74" s="79"/>
      <c r="B74" s="79"/>
      <c r="D74" s="79"/>
      <c r="E74" s="79"/>
      <c r="F74" s="79"/>
      <c r="G74" s="233"/>
      <c r="H74" s="369"/>
    </row>
    <row r="75" spans="1:8" s="68" customFormat="1" ht="20.25" x14ac:dyDescent="0.2">
      <c r="A75" s="67"/>
      <c r="B75" s="67"/>
      <c r="D75" s="79"/>
      <c r="E75" s="67"/>
      <c r="F75" s="67"/>
      <c r="G75" s="233"/>
      <c r="H75" s="370"/>
    </row>
    <row r="76" spans="1:8" s="68" customFormat="1" ht="23.25" x14ac:dyDescent="0.2">
      <c r="A76" s="67"/>
      <c r="B76" s="272"/>
      <c r="C76" s="67"/>
      <c r="D76" s="67"/>
      <c r="E76" s="67"/>
      <c r="F76" s="67"/>
      <c r="G76" s="238"/>
      <c r="H76" s="370"/>
    </row>
    <row r="77" spans="1:8" s="68" customFormat="1" ht="20.25" x14ac:dyDescent="0.2">
      <c r="A77" s="67"/>
      <c r="B77" s="67"/>
      <c r="C77" s="67"/>
      <c r="D77" s="67"/>
      <c r="E77" s="67"/>
      <c r="F77" s="67"/>
      <c r="G77" s="233"/>
      <c r="H77" s="370"/>
    </row>
    <row r="78" spans="1:8" s="82" customFormat="1" ht="26.25" x14ac:dyDescent="0.2">
      <c r="A78" s="269"/>
      <c r="B78" s="269"/>
      <c r="C78" s="269"/>
      <c r="D78" s="269"/>
      <c r="E78" s="269"/>
      <c r="F78" s="269"/>
      <c r="G78" s="270"/>
      <c r="H78" s="509"/>
    </row>
    <row r="79" spans="1:8" s="18" customFormat="1" x14ac:dyDescent="0.2">
      <c r="A79" s="122"/>
      <c r="B79" s="122"/>
      <c r="C79" s="122"/>
      <c r="D79" s="122"/>
      <c r="E79" s="122"/>
      <c r="F79" s="122"/>
      <c r="G79" s="273"/>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98</v>
      </c>
      <c r="B1" s="59"/>
      <c r="C1" s="60"/>
      <c r="D1" s="60"/>
      <c r="E1" s="60"/>
      <c r="F1" s="59"/>
      <c r="G1" s="59"/>
    </row>
    <row r="2" spans="1:23" ht="26.25" x14ac:dyDescent="0.4">
      <c r="A2" s="58" t="s">
        <v>186</v>
      </c>
      <c r="B2" s="59"/>
      <c r="C2" s="60"/>
      <c r="D2" s="60"/>
      <c r="E2" s="60"/>
      <c r="F2" s="59"/>
      <c r="G2" s="59"/>
    </row>
    <row r="3" spans="1:23" ht="11.25" customHeight="1" thickBot="1" x14ac:dyDescent="0.25">
      <c r="A3" s="61"/>
      <c r="B3" s="61"/>
      <c r="C3" s="61"/>
      <c r="D3" s="61"/>
      <c r="E3" s="61"/>
      <c r="F3" s="61"/>
      <c r="G3" s="321"/>
    </row>
    <row r="4" spans="1:23" ht="27.75" thickTop="1" thickBot="1" x14ac:dyDescent="0.25">
      <c r="A4" s="64"/>
      <c r="B4" s="64"/>
      <c r="C4" s="64"/>
      <c r="D4" s="64" t="s">
        <v>52</v>
      </c>
      <c r="E4" s="64"/>
      <c r="F4" s="64"/>
      <c r="G4" s="408" t="s">
        <v>53</v>
      </c>
      <c r="H4" s="408"/>
      <c r="I4" s="408"/>
      <c r="J4" s="408"/>
      <c r="K4" s="408"/>
      <c r="L4" s="408"/>
      <c r="M4" s="408"/>
      <c r="N4" s="408"/>
      <c r="O4" s="408"/>
      <c r="P4" s="408"/>
      <c r="Q4" s="408"/>
      <c r="R4" s="408"/>
      <c r="S4" s="408"/>
      <c r="T4" s="408"/>
      <c r="U4" s="408"/>
      <c r="V4" s="408"/>
      <c r="W4" s="408"/>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11"/>
      <c r="B6" s="948" t="s">
        <v>187</v>
      </c>
      <c r="C6" s="948"/>
      <c r="D6" s="948"/>
      <c r="E6" s="948"/>
      <c r="F6" s="948"/>
      <c r="G6" s="412">
        <v>42004</v>
      </c>
      <c r="H6" s="412">
        <v>41639</v>
      </c>
      <c r="I6" s="412">
        <v>41274</v>
      </c>
      <c r="J6" s="412">
        <v>41090</v>
      </c>
      <c r="K6" s="412">
        <v>40724</v>
      </c>
      <c r="L6" s="412">
        <v>40359</v>
      </c>
      <c r="M6" s="412">
        <v>39994</v>
      </c>
      <c r="N6" s="412">
        <v>39629</v>
      </c>
      <c r="O6" s="412">
        <v>39263</v>
      </c>
      <c r="P6" s="412">
        <v>38898</v>
      </c>
      <c r="Q6" s="412">
        <v>38533</v>
      </c>
      <c r="R6" s="412">
        <v>38168</v>
      </c>
      <c r="S6" s="412">
        <v>37802</v>
      </c>
      <c r="T6" s="412">
        <v>37437</v>
      </c>
      <c r="U6" s="412">
        <v>37072</v>
      </c>
      <c r="V6" s="412">
        <v>36707</v>
      </c>
      <c r="W6" s="412">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188</v>
      </c>
      <c r="D8" s="73"/>
      <c r="E8" s="73"/>
      <c r="F8" s="73"/>
      <c r="G8" s="245">
        <v>333525.67</v>
      </c>
      <c r="H8" s="245">
        <v>210919</v>
      </c>
      <c r="I8" s="245">
        <v>214148</v>
      </c>
      <c r="J8" s="245">
        <v>156809</v>
      </c>
      <c r="K8" s="245">
        <v>240314</v>
      </c>
      <c r="L8" s="245">
        <v>142815</v>
      </c>
      <c r="M8" s="245">
        <v>82502</v>
      </c>
      <c r="N8" s="245">
        <v>45758</v>
      </c>
      <c r="O8" s="245">
        <v>105458</v>
      </c>
      <c r="P8" s="245">
        <v>29475</v>
      </c>
      <c r="Q8" s="245">
        <v>22537</v>
      </c>
      <c r="R8" s="245">
        <v>42935</v>
      </c>
      <c r="S8" s="245">
        <v>144393</v>
      </c>
      <c r="T8" s="245">
        <v>42414</v>
      </c>
      <c r="U8" s="245">
        <f>69880+9123</f>
        <v>79003</v>
      </c>
      <c r="V8" s="245">
        <v>92767</v>
      </c>
      <c r="W8" s="245">
        <v>13150</v>
      </c>
    </row>
    <row r="9" spans="1:23" ht="20.25" x14ac:dyDescent="0.2">
      <c r="A9" s="409"/>
      <c r="B9" s="409"/>
      <c r="C9" s="73" t="s">
        <v>189</v>
      </c>
      <c r="D9" s="79"/>
      <c r="E9" s="79"/>
      <c r="F9" s="79"/>
      <c r="G9" s="281">
        <v>247907.12</v>
      </c>
      <c r="H9" s="281">
        <v>311775</v>
      </c>
      <c r="I9" s="281">
        <v>243797</v>
      </c>
      <c r="J9" s="281">
        <v>347870</v>
      </c>
      <c r="K9" s="281">
        <v>298266</v>
      </c>
      <c r="L9" s="281">
        <v>296605</v>
      </c>
      <c r="M9" s="281">
        <v>349918</v>
      </c>
      <c r="N9" s="281">
        <v>366842</v>
      </c>
      <c r="O9" s="281">
        <v>209667</v>
      </c>
      <c r="P9" s="281">
        <v>234735</v>
      </c>
      <c r="Q9" s="281">
        <v>254712</v>
      </c>
      <c r="R9" s="281">
        <v>250225</v>
      </c>
      <c r="S9" s="281">
        <v>85795</v>
      </c>
      <c r="T9" s="281">
        <v>185461</v>
      </c>
      <c r="U9" s="281">
        <v>99322</v>
      </c>
      <c r="V9" s="281">
        <v>80619</v>
      </c>
      <c r="W9" s="281">
        <v>49127</v>
      </c>
    </row>
    <row r="10" spans="1:23" ht="20.25" x14ac:dyDescent="0.2">
      <c r="A10" s="409"/>
      <c r="B10" s="409"/>
      <c r="C10" s="949" t="s">
        <v>164</v>
      </c>
      <c r="D10" s="949"/>
      <c r="E10" s="949"/>
      <c r="F10" s="949"/>
      <c r="G10" s="281">
        <v>0</v>
      </c>
      <c r="H10" s="281">
        <v>5142</v>
      </c>
      <c r="I10" s="281"/>
      <c r="J10" s="281"/>
      <c r="K10" s="281"/>
      <c r="L10" s="281"/>
      <c r="M10" s="281"/>
      <c r="N10" s="281"/>
      <c r="O10" s="281"/>
      <c r="P10" s="281"/>
      <c r="Q10" s="281"/>
      <c r="R10" s="281">
        <v>23</v>
      </c>
      <c r="S10" s="281">
        <v>4823</v>
      </c>
      <c r="T10" s="281">
        <v>6130</v>
      </c>
      <c r="U10" s="281">
        <v>19833</v>
      </c>
      <c r="V10" s="281"/>
      <c r="W10" s="281"/>
    </row>
    <row r="11" spans="1:23" ht="20.25" x14ac:dyDescent="0.2">
      <c r="A11" s="409"/>
      <c r="B11" s="409"/>
      <c r="C11" s="73" t="s">
        <v>190</v>
      </c>
      <c r="D11" s="409"/>
      <c r="E11" s="409"/>
      <c r="F11" s="409"/>
      <c r="G11" s="235">
        <v>31129.64</v>
      </c>
      <c r="H11" s="235">
        <v>30012</v>
      </c>
      <c r="I11" s="235">
        <v>30964</v>
      </c>
      <c r="J11" s="235">
        <v>30506</v>
      </c>
      <c r="K11" s="235">
        <v>28900</v>
      </c>
      <c r="L11" s="235">
        <v>28036</v>
      </c>
      <c r="M11" s="235"/>
      <c r="N11" s="235"/>
      <c r="O11" s="235"/>
      <c r="P11" s="235"/>
      <c r="Q11" s="235"/>
      <c r="R11" s="235"/>
      <c r="S11" s="235"/>
      <c r="T11" s="235"/>
      <c r="U11" s="235"/>
      <c r="V11" s="235"/>
      <c r="W11" s="235"/>
    </row>
    <row r="12" spans="1:23" ht="20.25" x14ac:dyDescent="0.2">
      <c r="A12" s="409"/>
      <c r="B12" s="409"/>
      <c r="C12" s="73" t="s">
        <v>161</v>
      </c>
      <c r="D12" s="78"/>
      <c r="E12" s="78"/>
      <c r="F12" s="78"/>
      <c r="G12" s="236">
        <v>5968.8799999999992</v>
      </c>
      <c r="H12" s="236">
        <v>4730</v>
      </c>
      <c r="I12" s="236">
        <v>3598</v>
      </c>
      <c r="J12" s="236">
        <f>1663+577</f>
        <v>2240</v>
      </c>
      <c r="K12" s="236">
        <f>5202</f>
        <v>5202</v>
      </c>
      <c r="L12" s="236">
        <v>1840</v>
      </c>
      <c r="M12" s="236">
        <v>1427</v>
      </c>
      <c r="N12" s="236">
        <v>360</v>
      </c>
      <c r="O12" s="236">
        <v>312</v>
      </c>
      <c r="P12" s="236"/>
      <c r="Q12" s="236">
        <v>5593</v>
      </c>
      <c r="R12" s="236">
        <v>3952</v>
      </c>
      <c r="S12" s="236">
        <v>13154</v>
      </c>
      <c r="T12" s="236">
        <v>2441</v>
      </c>
      <c r="U12" s="236"/>
      <c r="V12" s="236"/>
      <c r="W12" s="236"/>
    </row>
    <row r="13" spans="1:23" ht="20.25" x14ac:dyDescent="0.2">
      <c r="A13" s="73"/>
      <c r="B13" s="67"/>
      <c r="C13" s="67" t="s">
        <v>60</v>
      </c>
      <c r="D13" s="67"/>
      <c r="E13" s="67"/>
      <c r="F13" s="67"/>
      <c r="G13" s="238">
        <f>SUM(G8:G12)</f>
        <v>618531.31000000006</v>
      </c>
      <c r="H13" s="238">
        <f>SUM(H8:H12)</f>
        <v>562578</v>
      </c>
      <c r="I13" s="238">
        <f>SUM(I8:I12)</f>
        <v>492507</v>
      </c>
      <c r="J13" s="238">
        <f>SUM(J8:J12)</f>
        <v>537425</v>
      </c>
      <c r="K13" s="238">
        <f>SUM(K8:K12)</f>
        <v>572682</v>
      </c>
      <c r="L13" s="238">
        <f t="shared" ref="L13:W13" si="0">SUM(L8:L12)</f>
        <v>469296</v>
      </c>
      <c r="M13" s="238">
        <f t="shared" si="0"/>
        <v>433847</v>
      </c>
      <c r="N13" s="238">
        <f t="shared" si="0"/>
        <v>412960</v>
      </c>
      <c r="O13" s="238">
        <f t="shared" si="0"/>
        <v>315437</v>
      </c>
      <c r="P13" s="238">
        <f t="shared" si="0"/>
        <v>264210</v>
      </c>
      <c r="Q13" s="238">
        <f t="shared" si="0"/>
        <v>282842</v>
      </c>
      <c r="R13" s="238">
        <f t="shared" si="0"/>
        <v>297135</v>
      </c>
      <c r="S13" s="238">
        <f t="shared" si="0"/>
        <v>248165</v>
      </c>
      <c r="T13" s="238">
        <f t="shared" si="0"/>
        <v>236446</v>
      </c>
      <c r="U13" s="238">
        <f t="shared" si="0"/>
        <v>198158</v>
      </c>
      <c r="V13" s="238">
        <f t="shared" si="0"/>
        <v>173386</v>
      </c>
      <c r="W13" s="238">
        <f t="shared" si="0"/>
        <v>62277</v>
      </c>
    </row>
    <row r="14" spans="1:23" ht="20.25" x14ac:dyDescent="0.2">
      <c r="A14" s="73"/>
      <c r="B14" s="73"/>
      <c r="C14" s="73"/>
      <c r="D14" s="73"/>
      <c r="E14" s="73"/>
      <c r="F14" s="73"/>
      <c r="G14" s="237"/>
      <c r="H14" s="237"/>
      <c r="I14" s="237"/>
      <c r="J14" s="237"/>
      <c r="K14" s="237"/>
      <c r="L14" s="237"/>
      <c r="M14" s="237"/>
      <c r="N14" s="237"/>
      <c r="O14" s="237"/>
      <c r="P14" s="237"/>
      <c r="Q14" s="237"/>
      <c r="R14" s="237"/>
      <c r="S14" s="237"/>
      <c r="T14" s="237"/>
      <c r="U14" s="237"/>
      <c r="V14" s="237"/>
      <c r="W14" s="237"/>
    </row>
    <row r="15" spans="1:23" ht="20.25" x14ac:dyDescent="0.3">
      <c r="A15" s="69"/>
      <c r="B15" s="267" t="s">
        <v>191</v>
      </c>
      <c r="C15" s="267"/>
      <c r="D15" s="267"/>
      <c r="E15" s="267"/>
      <c r="F15" s="267"/>
      <c r="G15" s="268"/>
      <c r="H15" s="268"/>
      <c r="I15" s="268"/>
      <c r="J15" s="268"/>
      <c r="K15" s="268"/>
      <c r="L15" s="268"/>
      <c r="M15" s="268"/>
      <c r="N15" s="268"/>
      <c r="O15" s="268"/>
      <c r="P15" s="268"/>
      <c r="Q15" s="268"/>
      <c r="R15" s="268"/>
      <c r="S15" s="268"/>
      <c r="T15" s="268"/>
      <c r="U15" s="268"/>
      <c r="V15" s="268"/>
      <c r="W15" s="268"/>
    </row>
    <row r="16" spans="1:23" ht="20.25" x14ac:dyDescent="0.3">
      <c r="A16" s="69"/>
      <c r="B16" s="267"/>
      <c r="C16" s="267"/>
      <c r="D16" s="267"/>
      <c r="E16" s="267"/>
      <c r="F16" s="267"/>
      <c r="G16" s="268">
        <v>121148.45000000001</v>
      </c>
      <c r="H16" s="268">
        <v>88948</v>
      </c>
      <c r="I16" s="268">
        <v>81381</v>
      </c>
      <c r="J16" s="268">
        <v>85951</v>
      </c>
      <c r="K16" s="268">
        <v>75213</v>
      </c>
      <c r="L16" s="268">
        <v>103757</v>
      </c>
      <c r="M16" s="268">
        <v>72661</v>
      </c>
      <c r="N16" s="268">
        <v>91918</v>
      </c>
      <c r="O16" s="268">
        <v>80411</v>
      </c>
      <c r="P16" s="268">
        <v>57354</v>
      </c>
      <c r="Q16" s="268">
        <v>59451</v>
      </c>
      <c r="R16" s="268">
        <v>70947</v>
      </c>
      <c r="S16" s="268">
        <v>80279</v>
      </c>
      <c r="T16" s="268">
        <v>84266</v>
      </c>
      <c r="U16" s="268">
        <v>45164</v>
      </c>
      <c r="V16" s="268">
        <v>15210</v>
      </c>
      <c r="W16" s="268">
        <v>15599</v>
      </c>
    </row>
    <row r="17" spans="1:23" ht="20.25" hidden="1" x14ac:dyDescent="0.2">
      <c r="A17" s="73"/>
      <c r="B17" s="73"/>
      <c r="C17" s="73"/>
      <c r="D17" s="73"/>
      <c r="E17" s="73"/>
      <c r="F17" s="73"/>
      <c r="G17" s="237"/>
      <c r="H17" s="237"/>
      <c r="I17" s="237"/>
      <c r="J17" s="237"/>
      <c r="K17" s="237"/>
      <c r="L17" s="237"/>
      <c r="M17" s="237"/>
      <c r="N17" s="237"/>
      <c r="O17" s="237"/>
      <c r="P17" s="237"/>
      <c r="Q17" s="237"/>
      <c r="R17" s="237"/>
      <c r="S17" s="237"/>
      <c r="T17" s="237"/>
      <c r="U17" s="237"/>
      <c r="V17" s="237"/>
      <c r="W17" s="237"/>
    </row>
    <row r="18" spans="1:23" ht="20.25" hidden="1" x14ac:dyDescent="0.2">
      <c r="A18" s="73"/>
      <c r="B18" s="73"/>
      <c r="C18" s="73"/>
      <c r="D18" s="73"/>
      <c r="E18" s="73"/>
      <c r="F18" s="73"/>
      <c r="G18" s="233"/>
      <c r="H18" s="233"/>
      <c r="I18" s="233"/>
      <c r="J18" s="233"/>
      <c r="K18" s="233"/>
      <c r="L18" s="233"/>
      <c r="M18" s="233"/>
      <c r="N18" s="233"/>
      <c r="O18" s="233"/>
      <c r="P18" s="233"/>
      <c r="Q18" s="233"/>
      <c r="R18" s="233"/>
      <c r="S18" s="233"/>
      <c r="T18" s="233"/>
      <c r="U18" s="233"/>
      <c r="V18" s="233"/>
      <c r="W18" s="233"/>
    </row>
    <row r="19" spans="1:23" ht="27" thickBot="1" x14ac:dyDescent="0.25">
      <c r="A19" s="81" t="s">
        <v>62</v>
      </c>
      <c r="B19" s="81"/>
      <c r="C19" s="81"/>
      <c r="D19" s="81"/>
      <c r="E19" s="81"/>
      <c r="F19" s="81"/>
      <c r="G19" s="246">
        <f>G13+G16</f>
        <v>739679.76</v>
      </c>
      <c r="H19" s="246">
        <f>H13+H16</f>
        <v>651526</v>
      </c>
      <c r="I19" s="246">
        <f>I13+I16</f>
        <v>573888</v>
      </c>
      <c r="J19" s="246">
        <f>J13+J16</f>
        <v>623376</v>
      </c>
      <c r="K19" s="246">
        <f>K13+K16</f>
        <v>647895</v>
      </c>
      <c r="L19" s="246">
        <f t="shared" ref="L19:W19" si="1">L13+L16</f>
        <v>573053</v>
      </c>
      <c r="M19" s="246">
        <f t="shared" si="1"/>
        <v>506508</v>
      </c>
      <c r="N19" s="246">
        <f t="shared" si="1"/>
        <v>504878</v>
      </c>
      <c r="O19" s="246">
        <f t="shared" si="1"/>
        <v>395848</v>
      </c>
      <c r="P19" s="246">
        <f t="shared" si="1"/>
        <v>321564</v>
      </c>
      <c r="Q19" s="246">
        <f t="shared" si="1"/>
        <v>342293</v>
      </c>
      <c r="R19" s="246">
        <f t="shared" si="1"/>
        <v>368082</v>
      </c>
      <c r="S19" s="246">
        <f t="shared" si="1"/>
        <v>328444</v>
      </c>
      <c r="T19" s="246">
        <f t="shared" si="1"/>
        <v>320712</v>
      </c>
      <c r="U19" s="246">
        <f t="shared" si="1"/>
        <v>243322</v>
      </c>
      <c r="V19" s="246">
        <f t="shared" si="1"/>
        <v>188596</v>
      </c>
      <c r="W19" s="246">
        <f t="shared" si="1"/>
        <v>77876</v>
      </c>
    </row>
    <row r="20" spans="1:23" ht="21.75" thickTop="1" thickBot="1" x14ac:dyDescent="0.25">
      <c r="A20" s="73"/>
      <c r="B20" s="73"/>
      <c r="C20" s="73"/>
      <c r="D20" s="73"/>
      <c r="E20" s="73"/>
      <c r="F20" s="73"/>
      <c r="G20" s="326"/>
      <c r="H20" s="326"/>
      <c r="I20" s="326"/>
      <c r="J20" s="326"/>
      <c r="K20" s="326"/>
      <c r="L20" s="326"/>
      <c r="M20" s="326"/>
      <c r="N20" s="326"/>
      <c r="O20" s="326"/>
      <c r="P20" s="326"/>
      <c r="Q20" s="326"/>
      <c r="R20" s="326"/>
      <c r="S20" s="326"/>
      <c r="T20" s="326"/>
      <c r="U20" s="326"/>
      <c r="V20" s="326"/>
      <c r="W20" s="326"/>
    </row>
    <row r="21" spans="1:23" ht="27.75" thickTop="1" thickBot="1" x14ac:dyDescent="0.25">
      <c r="A21" s="64"/>
      <c r="B21" s="64"/>
      <c r="C21" s="64"/>
      <c r="D21" s="64" t="s">
        <v>63</v>
      </c>
      <c r="E21" s="64"/>
      <c r="F21" s="64"/>
      <c r="G21" s="241"/>
      <c r="H21" s="241"/>
      <c r="I21" s="241"/>
      <c r="J21" s="241"/>
      <c r="K21" s="241"/>
      <c r="L21" s="241"/>
      <c r="M21" s="241"/>
      <c r="N21" s="241"/>
      <c r="O21" s="241"/>
      <c r="P21" s="241"/>
      <c r="Q21" s="241"/>
      <c r="R21" s="241"/>
      <c r="S21" s="241"/>
      <c r="T21" s="241"/>
      <c r="U21" s="241"/>
      <c r="V21" s="241"/>
      <c r="W21" s="241"/>
    </row>
    <row r="22" spans="1:23" ht="21" thickTop="1" x14ac:dyDescent="0.2">
      <c r="A22" s="73"/>
      <c r="B22" s="73"/>
      <c r="C22" s="73"/>
      <c r="D22" s="73"/>
      <c r="E22" s="73"/>
      <c r="F22" s="73"/>
      <c r="G22" s="235"/>
      <c r="H22" s="235"/>
      <c r="I22" s="235"/>
      <c r="J22" s="235"/>
      <c r="K22" s="235"/>
      <c r="L22" s="235"/>
      <c r="M22" s="235"/>
      <c r="N22" s="235"/>
      <c r="O22" s="235"/>
      <c r="P22" s="235"/>
      <c r="Q22" s="235"/>
      <c r="R22" s="235"/>
      <c r="S22" s="235"/>
      <c r="T22" s="235"/>
      <c r="U22" s="235"/>
      <c r="V22" s="235"/>
      <c r="W22" s="235"/>
    </row>
    <row r="23" spans="1:23" ht="24" hidden="1" thickBot="1" x14ac:dyDescent="0.25">
      <c r="A23" s="73"/>
      <c r="B23" s="86" t="s">
        <v>64</v>
      </c>
      <c r="C23" s="87"/>
      <c r="D23" s="87"/>
      <c r="E23" s="87"/>
      <c r="F23" s="87"/>
      <c r="G23" s="242"/>
      <c r="H23" s="242"/>
      <c r="I23" s="242"/>
      <c r="J23" s="242"/>
      <c r="K23" s="242"/>
      <c r="L23" s="242"/>
      <c r="M23" s="242"/>
      <c r="N23" s="242"/>
      <c r="O23" s="242"/>
      <c r="P23" s="242"/>
      <c r="Q23" s="242"/>
      <c r="R23" s="242"/>
      <c r="S23" s="242"/>
      <c r="T23" s="242"/>
      <c r="U23" s="242"/>
      <c r="V23" s="242"/>
      <c r="W23" s="242"/>
    </row>
    <row r="24" spans="1:23" ht="20.25" hidden="1" x14ac:dyDescent="0.2">
      <c r="A24" s="73"/>
      <c r="B24" s="73"/>
      <c r="C24" s="73"/>
      <c r="D24" s="73"/>
      <c r="E24" s="73"/>
      <c r="F24" s="73"/>
      <c r="G24" s="235"/>
      <c r="H24" s="235"/>
      <c r="I24" s="235"/>
      <c r="J24" s="235"/>
      <c r="K24" s="235"/>
      <c r="L24" s="235"/>
      <c r="M24" s="235"/>
      <c r="N24" s="235"/>
      <c r="O24" s="235"/>
      <c r="P24" s="235"/>
      <c r="Q24" s="235"/>
      <c r="R24" s="235"/>
      <c r="S24" s="235"/>
      <c r="T24" s="235"/>
      <c r="U24" s="235"/>
      <c r="V24" s="235"/>
      <c r="W24" s="235"/>
    </row>
    <row r="25" spans="1:23" ht="21" thickBot="1" x14ac:dyDescent="0.35">
      <c r="A25" s="69"/>
      <c r="B25" s="153" t="s">
        <v>192</v>
      </c>
      <c r="C25" s="154"/>
      <c r="D25" s="153"/>
      <c r="E25" s="153"/>
      <c r="F25" s="153"/>
      <c r="G25" s="234"/>
      <c r="H25" s="234"/>
      <c r="I25" s="234"/>
      <c r="J25" s="234"/>
      <c r="K25" s="234"/>
      <c r="L25" s="234"/>
      <c r="M25" s="234"/>
      <c r="N25" s="234"/>
      <c r="O25" s="234"/>
      <c r="P25" s="234"/>
      <c r="Q25" s="234"/>
      <c r="R25" s="234"/>
      <c r="S25" s="234"/>
      <c r="T25" s="234"/>
      <c r="U25" s="234"/>
      <c r="V25" s="234"/>
      <c r="W25" s="234"/>
    </row>
    <row r="26" spans="1:23" ht="20.25" x14ac:dyDescent="0.2">
      <c r="A26" s="409"/>
      <c r="B26" s="409"/>
      <c r="C26" s="409"/>
      <c r="D26" s="409" t="s">
        <v>153</v>
      </c>
      <c r="E26" s="77"/>
      <c r="F26" s="409"/>
      <c r="G26" s="247">
        <v>31278.429999999997</v>
      </c>
      <c r="H26" s="247">
        <v>51714</v>
      </c>
      <c r="I26" s="247">
        <v>52083</v>
      </c>
      <c r="J26" s="247">
        <v>69820</v>
      </c>
      <c r="K26" s="247">
        <v>81032</v>
      </c>
      <c r="L26" s="247">
        <v>64928</v>
      </c>
      <c r="M26" s="247">
        <v>89064</v>
      </c>
      <c r="N26" s="247">
        <v>102814</v>
      </c>
      <c r="O26" s="247">
        <v>27734</v>
      </c>
      <c r="P26" s="247">
        <v>33537</v>
      </c>
      <c r="Q26" s="247">
        <v>47914</v>
      </c>
      <c r="R26" s="247">
        <v>42054</v>
      </c>
      <c r="S26" s="247">
        <v>32004</v>
      </c>
      <c r="T26" s="247">
        <v>28904</v>
      </c>
      <c r="U26" s="247">
        <v>2405</v>
      </c>
      <c r="V26" s="247">
        <v>7686</v>
      </c>
      <c r="W26" s="247">
        <v>0</v>
      </c>
    </row>
    <row r="27" spans="1:23" ht="20.25" x14ac:dyDescent="0.2">
      <c r="A27" s="409"/>
      <c r="B27" s="409"/>
      <c r="C27" s="409"/>
      <c r="D27" s="409" t="s">
        <v>193</v>
      </c>
      <c r="E27" s="77"/>
      <c r="F27" s="409"/>
      <c r="G27" s="233">
        <v>16019.88</v>
      </c>
      <c r="H27" s="233">
        <v>26466</v>
      </c>
      <c r="I27" s="233">
        <v>33722</v>
      </c>
      <c r="J27" s="233">
        <v>37279</v>
      </c>
      <c r="K27" s="233">
        <v>34130</v>
      </c>
      <c r="L27" s="233">
        <v>30917</v>
      </c>
      <c r="M27" s="233">
        <v>24891</v>
      </c>
      <c r="N27" s="233">
        <v>22167</v>
      </c>
      <c r="O27" s="233">
        <v>16739</v>
      </c>
      <c r="P27" s="233">
        <v>13502</v>
      </c>
      <c r="Q27" s="233">
        <v>10581</v>
      </c>
      <c r="R27" s="233">
        <v>28556</v>
      </c>
      <c r="S27" s="233">
        <v>22953</v>
      </c>
      <c r="T27" s="233">
        <v>13246</v>
      </c>
      <c r="U27" s="233">
        <v>10214</v>
      </c>
      <c r="V27" s="233">
        <v>5966</v>
      </c>
      <c r="W27" s="233">
        <v>2341</v>
      </c>
    </row>
    <row r="28" spans="1:23" ht="20.25" x14ac:dyDescent="0.2">
      <c r="A28" s="409"/>
      <c r="B28" s="409"/>
      <c r="C28" s="409"/>
      <c r="D28" s="409" t="s">
        <v>92</v>
      </c>
      <c r="E28" s="77"/>
      <c r="F28" s="409"/>
      <c r="G28" s="235">
        <v>19094</v>
      </c>
      <c r="H28" s="235">
        <v>21990</v>
      </c>
      <c r="I28" s="235">
        <v>17053</v>
      </c>
      <c r="J28" s="235">
        <v>23081</v>
      </c>
      <c r="K28" s="235">
        <v>20125</v>
      </c>
      <c r="L28" s="235">
        <v>23900</v>
      </c>
      <c r="M28" s="235">
        <v>25993</v>
      </c>
      <c r="N28" s="235">
        <v>25084</v>
      </c>
      <c r="O28" s="235">
        <v>17164</v>
      </c>
      <c r="P28" s="235">
        <v>23194</v>
      </c>
      <c r="Q28" s="235">
        <v>17986</v>
      </c>
      <c r="R28" s="235">
        <v>19684</v>
      </c>
      <c r="S28" s="235">
        <v>15461</v>
      </c>
      <c r="T28" s="235">
        <v>11736</v>
      </c>
      <c r="U28" s="235">
        <v>6552</v>
      </c>
      <c r="V28" s="235">
        <v>4625</v>
      </c>
      <c r="W28" s="235"/>
    </row>
    <row r="29" spans="1:23" ht="20.25" x14ac:dyDescent="0.2">
      <c r="A29" s="409"/>
      <c r="B29" s="409"/>
      <c r="C29" s="409"/>
      <c r="D29" s="409" t="s">
        <v>194</v>
      </c>
      <c r="E29" s="77"/>
      <c r="F29" s="409"/>
      <c r="G29" s="235"/>
      <c r="H29" s="235">
        <v>463</v>
      </c>
      <c r="I29" s="235">
        <f>1236+16400</f>
        <v>17636</v>
      </c>
      <c r="J29" s="235">
        <v>13302</v>
      </c>
      <c r="K29" s="235">
        <v>5311</v>
      </c>
      <c r="L29" s="235">
        <v>12315</v>
      </c>
      <c r="M29" s="235"/>
      <c r="N29" s="235"/>
      <c r="O29" s="235"/>
      <c r="P29" s="235">
        <v>20000</v>
      </c>
      <c r="Q29" s="235"/>
      <c r="R29" s="235">
        <v>25000</v>
      </c>
      <c r="S29" s="235"/>
      <c r="T29" s="235"/>
      <c r="U29" s="235"/>
      <c r="V29" s="235"/>
      <c r="W29" s="235">
        <v>48000</v>
      </c>
    </row>
    <row r="30" spans="1:23" ht="20.25" x14ac:dyDescent="0.2">
      <c r="A30" s="409"/>
      <c r="B30" s="409"/>
      <c r="C30" s="409"/>
      <c r="D30" s="79" t="s">
        <v>99</v>
      </c>
      <c r="E30" s="77"/>
      <c r="F30" s="409"/>
      <c r="G30" s="235">
        <v>136592.41</v>
      </c>
      <c r="H30" s="235">
        <v>101837</v>
      </c>
      <c r="I30" s="235">
        <v>31429</v>
      </c>
      <c r="J30" s="235">
        <v>21927</v>
      </c>
      <c r="K30" s="235">
        <v>24493</v>
      </c>
      <c r="L30" s="235">
        <v>23546</v>
      </c>
      <c r="M30" s="235">
        <v>29986</v>
      </c>
      <c r="N30" s="235">
        <v>97627</v>
      </c>
      <c r="O30" s="235">
        <v>91085</v>
      </c>
      <c r="P30" s="235">
        <v>6118</v>
      </c>
      <c r="Q30" s="235">
        <v>42621</v>
      </c>
      <c r="R30" s="235"/>
      <c r="S30" s="235">
        <v>13218</v>
      </c>
      <c r="T30" s="235">
        <v>36938</v>
      </c>
      <c r="U30" s="235">
        <v>40000</v>
      </c>
      <c r="V30" s="235">
        <v>38354</v>
      </c>
      <c r="W30" s="235">
        <v>11775</v>
      </c>
    </row>
    <row r="31" spans="1:23" ht="20.25" x14ac:dyDescent="0.2">
      <c r="A31" s="409"/>
      <c r="B31" s="409"/>
      <c r="C31" s="409"/>
      <c r="D31" s="78" t="s">
        <v>195</v>
      </c>
      <c r="E31" s="152"/>
      <c r="F31" s="78"/>
      <c r="G31" s="235"/>
      <c r="H31" s="235"/>
      <c r="I31" s="235"/>
      <c r="J31" s="235"/>
      <c r="K31" s="235"/>
      <c r="L31" s="235"/>
      <c r="M31" s="235"/>
      <c r="N31" s="235"/>
      <c r="O31" s="235"/>
      <c r="P31" s="235"/>
      <c r="Q31" s="235"/>
      <c r="R31" s="235"/>
      <c r="S31" s="235"/>
      <c r="T31" s="235"/>
      <c r="U31" s="235"/>
      <c r="V31" s="235"/>
      <c r="W31" s="235"/>
    </row>
    <row r="32" spans="1:23" ht="20.25" x14ac:dyDescent="0.2">
      <c r="A32" s="409"/>
      <c r="B32" s="409"/>
      <c r="C32" s="80" t="s">
        <v>75</v>
      </c>
      <c r="D32" s="409"/>
      <c r="E32" s="77"/>
      <c r="F32" s="409"/>
      <c r="G32" s="243">
        <f>SUM(G26:G31)</f>
        <v>202984.72</v>
      </c>
      <c r="H32" s="243">
        <f>SUM(H26:H31)</f>
        <v>202470</v>
      </c>
      <c r="I32" s="243">
        <f>SUM(I26:I31)</f>
        <v>151923</v>
      </c>
      <c r="J32" s="243">
        <f>SUM(J26:J31)</f>
        <v>165409</v>
      </c>
      <c r="K32" s="243">
        <f>SUM(K26:K31)</f>
        <v>165091</v>
      </c>
      <c r="L32" s="243">
        <f t="shared" ref="L32:W32" si="2">SUM(L26:L31)</f>
        <v>155606</v>
      </c>
      <c r="M32" s="243">
        <f t="shared" si="2"/>
        <v>169934</v>
      </c>
      <c r="N32" s="243">
        <f t="shared" si="2"/>
        <v>247692</v>
      </c>
      <c r="O32" s="243">
        <f t="shared" si="2"/>
        <v>152722</v>
      </c>
      <c r="P32" s="243">
        <f t="shared" si="2"/>
        <v>96351</v>
      </c>
      <c r="Q32" s="243">
        <f t="shared" si="2"/>
        <v>119102</v>
      </c>
      <c r="R32" s="243">
        <f t="shared" si="2"/>
        <v>115294</v>
      </c>
      <c r="S32" s="243">
        <f t="shared" si="2"/>
        <v>83636</v>
      </c>
      <c r="T32" s="243">
        <f t="shared" si="2"/>
        <v>90824</v>
      </c>
      <c r="U32" s="243">
        <f t="shared" si="2"/>
        <v>59171</v>
      </c>
      <c r="V32" s="243">
        <f t="shared" si="2"/>
        <v>56631</v>
      </c>
      <c r="W32" s="243">
        <f t="shared" si="2"/>
        <v>62116</v>
      </c>
    </row>
    <row r="33" spans="1:23" ht="20.25" x14ac:dyDescent="0.2">
      <c r="A33" s="409"/>
      <c r="B33" s="409"/>
      <c r="C33" s="409"/>
      <c r="D33" s="409"/>
      <c r="E33" s="409"/>
      <c r="F33" s="409"/>
      <c r="G33" s="235"/>
      <c r="H33" s="235"/>
      <c r="I33" s="235"/>
      <c r="J33" s="235"/>
      <c r="K33" s="235"/>
      <c r="L33" s="235"/>
      <c r="M33" s="235"/>
      <c r="N33" s="235"/>
      <c r="O33" s="235"/>
      <c r="P33" s="235"/>
      <c r="Q33" s="235"/>
      <c r="R33" s="235"/>
      <c r="S33" s="235"/>
      <c r="T33" s="235"/>
      <c r="U33" s="235"/>
      <c r="V33" s="235"/>
      <c r="W33" s="235"/>
    </row>
    <row r="34" spans="1:23" ht="20.25" x14ac:dyDescent="0.2">
      <c r="A34" s="73"/>
      <c r="B34" s="73"/>
      <c r="C34" s="73"/>
      <c r="D34" s="73"/>
      <c r="E34" s="73"/>
      <c r="F34" s="73"/>
      <c r="G34" s="414"/>
      <c r="H34" s="414"/>
      <c r="I34" s="414"/>
      <c r="J34" s="414"/>
      <c r="K34" s="414"/>
      <c r="L34" s="237"/>
      <c r="M34" s="237"/>
      <c r="N34" s="237"/>
      <c r="O34" s="237"/>
      <c r="P34" s="237"/>
      <c r="Q34" s="237"/>
      <c r="R34" s="237"/>
      <c r="S34" s="237"/>
      <c r="T34" s="237"/>
      <c r="U34" s="237"/>
      <c r="V34" s="237"/>
      <c r="W34" s="237"/>
    </row>
    <row r="35" spans="1:23" ht="24" thickBot="1" x14ac:dyDescent="0.25">
      <c r="A35" s="73"/>
      <c r="B35" s="86" t="s">
        <v>196</v>
      </c>
      <c r="C35" s="87"/>
      <c r="D35" s="87"/>
      <c r="E35" s="87"/>
      <c r="F35" s="87"/>
      <c r="G35" s="242"/>
      <c r="H35" s="242"/>
      <c r="I35" s="242"/>
      <c r="J35" s="242"/>
      <c r="K35" s="242"/>
      <c r="L35" s="242"/>
      <c r="M35" s="242"/>
      <c r="N35" s="242"/>
      <c r="O35" s="242"/>
      <c r="P35" s="242"/>
      <c r="Q35" s="242"/>
      <c r="R35" s="242"/>
      <c r="S35" s="242"/>
      <c r="T35" s="242"/>
      <c r="U35" s="242"/>
      <c r="V35" s="242"/>
      <c r="W35" s="242"/>
    </row>
    <row r="36" spans="1:23" ht="23.25" x14ac:dyDescent="0.2">
      <c r="A36" s="73"/>
      <c r="B36" s="272"/>
      <c r="C36" s="67"/>
      <c r="D36" s="409" t="s">
        <v>95</v>
      </c>
      <c r="E36" s="67"/>
      <c r="F36" s="67"/>
      <c r="G36" s="233">
        <v>55367.21</v>
      </c>
      <c r="H36" s="233">
        <v>52578</v>
      </c>
      <c r="I36" s="233">
        <v>54372</v>
      </c>
      <c r="J36" s="233">
        <v>74343</v>
      </c>
      <c r="K36" s="233">
        <v>140489</v>
      </c>
      <c r="L36" s="233">
        <v>85282</v>
      </c>
      <c r="M36" s="233">
        <v>9601</v>
      </c>
      <c r="N36" s="233">
        <v>9601</v>
      </c>
      <c r="O36" s="233">
        <v>5248</v>
      </c>
      <c r="P36" s="233">
        <v>4472</v>
      </c>
      <c r="Q36" s="233">
        <v>15207</v>
      </c>
      <c r="R36" s="233"/>
      <c r="S36" s="233"/>
      <c r="T36" s="233"/>
      <c r="U36" s="233"/>
      <c r="V36" s="233"/>
      <c r="W36" s="233"/>
    </row>
    <row r="37" spans="1:23" ht="21" thickBot="1" x14ac:dyDescent="0.25">
      <c r="A37" s="409"/>
      <c r="B37" s="409"/>
      <c r="C37" s="77"/>
      <c r="D37" s="409" t="s">
        <v>89</v>
      </c>
      <c r="E37" s="410"/>
      <c r="F37" s="410"/>
      <c r="G37" s="242">
        <v>481327.83000000013</v>
      </c>
      <c r="H37" s="242">
        <v>396478</v>
      </c>
      <c r="I37" s="242">
        <v>367593</v>
      </c>
      <c r="J37" s="242">
        <v>383624</v>
      </c>
      <c r="K37" s="242">
        <v>342315</v>
      </c>
      <c r="L37" s="242">
        <v>332165</v>
      </c>
      <c r="M37" s="242">
        <v>326973</v>
      </c>
      <c r="N37" s="242">
        <v>247585</v>
      </c>
      <c r="O37" s="242">
        <v>237878</v>
      </c>
      <c r="P37" s="242">
        <v>220741</v>
      </c>
      <c r="Q37" s="242">
        <v>207984</v>
      </c>
      <c r="R37" s="242">
        <v>252788</v>
      </c>
      <c r="S37" s="242">
        <v>244808</v>
      </c>
      <c r="T37" s="242">
        <v>229888</v>
      </c>
      <c r="U37" s="242">
        <v>184151</v>
      </c>
      <c r="V37" s="242">
        <v>131965</v>
      </c>
      <c r="W37" s="242">
        <v>15760</v>
      </c>
    </row>
    <row r="38" spans="1:23" ht="23.25" x14ac:dyDescent="0.2">
      <c r="A38" s="73"/>
      <c r="B38" s="89" t="s">
        <v>67</v>
      </c>
      <c r="C38" s="90"/>
      <c r="D38" s="90"/>
      <c r="E38" s="67"/>
      <c r="F38" s="67"/>
      <c r="G38" s="238">
        <f>G36+G37</f>
        <v>536695.04000000015</v>
      </c>
      <c r="H38" s="238">
        <f>H36+H37</f>
        <v>449056</v>
      </c>
      <c r="I38" s="238">
        <f>I36+I37</f>
        <v>421965</v>
      </c>
      <c r="J38" s="238">
        <f>J36+J37</f>
        <v>457967</v>
      </c>
      <c r="K38" s="238">
        <f>K36+K37</f>
        <v>482804</v>
      </c>
      <c r="L38" s="238">
        <f t="shared" ref="L38:W38" si="3">L36+L37</f>
        <v>417447</v>
      </c>
      <c r="M38" s="238">
        <f t="shared" si="3"/>
        <v>336574</v>
      </c>
      <c r="N38" s="238">
        <f t="shared" si="3"/>
        <v>257186</v>
      </c>
      <c r="O38" s="238">
        <f t="shared" si="3"/>
        <v>243126</v>
      </c>
      <c r="P38" s="238">
        <f t="shared" si="3"/>
        <v>225213</v>
      </c>
      <c r="Q38" s="238">
        <f t="shared" si="3"/>
        <v>223191</v>
      </c>
      <c r="R38" s="238">
        <f t="shared" si="3"/>
        <v>252788</v>
      </c>
      <c r="S38" s="238">
        <f t="shared" si="3"/>
        <v>244808</v>
      </c>
      <c r="T38" s="238">
        <f t="shared" si="3"/>
        <v>229888</v>
      </c>
      <c r="U38" s="238">
        <f t="shared" si="3"/>
        <v>184151</v>
      </c>
      <c r="V38" s="238">
        <f t="shared" si="3"/>
        <v>131965</v>
      </c>
      <c r="W38" s="238">
        <f t="shared" si="3"/>
        <v>15760</v>
      </c>
    </row>
    <row r="39" spans="1:23" ht="20.25" x14ac:dyDescent="0.2">
      <c r="A39" s="73"/>
      <c r="B39" s="73"/>
      <c r="C39" s="73"/>
      <c r="D39" s="73"/>
      <c r="E39" s="73"/>
      <c r="F39" s="73"/>
      <c r="G39" s="236"/>
      <c r="H39" s="236"/>
      <c r="I39" s="236"/>
      <c r="J39" s="236"/>
      <c r="K39" s="236"/>
      <c r="L39" s="236"/>
      <c r="M39" s="236"/>
      <c r="N39" s="236"/>
      <c r="O39" s="236"/>
      <c r="P39" s="236"/>
      <c r="Q39" s="236"/>
      <c r="R39" s="236"/>
      <c r="S39" s="236"/>
      <c r="T39" s="236"/>
      <c r="U39" s="236"/>
      <c r="V39" s="236"/>
      <c r="W39" s="236"/>
    </row>
    <row r="40" spans="1:23" ht="27" thickBot="1" x14ac:dyDescent="0.25">
      <c r="A40" s="81" t="s">
        <v>68</v>
      </c>
      <c r="B40" s="81"/>
      <c r="C40" s="81"/>
      <c r="D40" s="81"/>
      <c r="E40" s="81"/>
      <c r="F40" s="81"/>
      <c r="G40" s="355">
        <f>G32+G38</f>
        <v>739679.76000000013</v>
      </c>
      <c r="H40" s="355">
        <f>H32+H38</f>
        <v>651526</v>
      </c>
      <c r="I40" s="355">
        <f>I32+I38</f>
        <v>573888</v>
      </c>
      <c r="J40" s="355">
        <f>J32+J38</f>
        <v>623376</v>
      </c>
      <c r="K40" s="355">
        <f>K32+K38</f>
        <v>647895</v>
      </c>
      <c r="L40" s="355">
        <f t="shared" ref="L40:W40" si="4">L32+L38</f>
        <v>573053</v>
      </c>
      <c r="M40" s="355">
        <f t="shared" si="4"/>
        <v>506508</v>
      </c>
      <c r="N40" s="355">
        <f t="shared" si="4"/>
        <v>504878</v>
      </c>
      <c r="O40" s="355">
        <f t="shared" si="4"/>
        <v>395848</v>
      </c>
      <c r="P40" s="355">
        <f t="shared" si="4"/>
        <v>321564</v>
      </c>
      <c r="Q40" s="355">
        <f t="shared" si="4"/>
        <v>342293</v>
      </c>
      <c r="R40" s="355">
        <f t="shared" si="4"/>
        <v>368082</v>
      </c>
      <c r="S40" s="355">
        <f t="shared" si="4"/>
        <v>328444</v>
      </c>
      <c r="T40" s="355">
        <f t="shared" si="4"/>
        <v>320712</v>
      </c>
      <c r="U40" s="355">
        <f t="shared" si="4"/>
        <v>243322</v>
      </c>
      <c r="V40" s="355">
        <f t="shared" si="4"/>
        <v>188596</v>
      </c>
      <c r="W40" s="355">
        <f t="shared" si="4"/>
        <v>77876</v>
      </c>
    </row>
    <row r="41" spans="1:23" ht="15" thickTop="1" x14ac:dyDescent="0.2">
      <c r="D41" s="343"/>
      <c r="H41" s="18"/>
      <c r="I41" s="18"/>
      <c r="J41" s="18"/>
      <c r="K41" s="18"/>
      <c r="L41" s="18"/>
      <c r="M41" s="18"/>
      <c r="N41" s="18"/>
      <c r="O41" s="18"/>
      <c r="P41" s="18"/>
      <c r="Q41" s="18"/>
      <c r="R41" s="18"/>
      <c r="S41" s="18"/>
      <c r="T41" s="18"/>
      <c r="U41" s="18"/>
      <c r="V41" s="18"/>
      <c r="W41" s="18"/>
    </row>
    <row r="42" spans="1:23" s="244" customFormat="1" x14ac:dyDescent="0.2">
      <c r="A42" s="413"/>
      <c r="B42" s="413"/>
      <c r="C42" s="413"/>
      <c r="D42" s="413"/>
      <c r="E42" s="413"/>
      <c r="F42" s="413"/>
      <c r="G42" s="273"/>
    </row>
    <row r="43" spans="1:23" s="244" customFormat="1" x14ac:dyDescent="0.2">
      <c r="A43" s="413"/>
      <c r="B43" s="413"/>
      <c r="C43" s="413"/>
      <c r="D43" s="413"/>
      <c r="E43" s="413"/>
      <c r="F43" s="413"/>
      <c r="G43" s="273"/>
    </row>
    <row r="44" spans="1:23" s="244" customFormat="1" x14ac:dyDescent="0.2">
      <c r="A44" s="413"/>
      <c r="B44" s="413"/>
      <c r="C44" s="413"/>
      <c r="D44" s="413"/>
      <c r="E44" s="413"/>
      <c r="F44" s="413"/>
      <c r="G44" s="273"/>
    </row>
    <row r="45" spans="1:23" s="244" customFormat="1" x14ac:dyDescent="0.2">
      <c r="A45" s="413"/>
      <c r="B45" s="413"/>
      <c r="C45" s="413"/>
      <c r="D45" s="413"/>
      <c r="E45" s="413"/>
      <c r="F45" s="413"/>
      <c r="G45" s="273"/>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June'21 Revenues &amp; Expenses</vt:lpstr>
      <vt:lpstr>June'21 AR Aging </vt:lpstr>
      <vt:lpstr>June'21 Financial Position</vt:lpstr>
      <vt:lpstr>June'21 State of Activities</vt:lpstr>
      <vt:lpstr>June'21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'June''21 AR Aging '!Print_Area</vt:lpstr>
      <vt:lpstr>'June''21 Financial Position'!Print_Area</vt:lpstr>
      <vt:lpstr>'June''21 Revenues &amp; Expenses'!Print_Area</vt:lpstr>
      <vt:lpstr>'June''21 State of Activities'!Print_Area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2021-05-21T15:32:53Z</cp:lastPrinted>
  <dcterms:created xsi:type="dcterms:W3CDTF">2011-11-03T17:20:29Z</dcterms:created>
  <dcterms:modified xsi:type="dcterms:W3CDTF">2021-07-27T18:49:38Z</dcterms:modified>
</cp:coreProperties>
</file>