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ire\Desktop\"/>
    </mc:Choice>
  </mc:AlternateContent>
  <bookViews>
    <workbookView xWindow="90" yWindow="35820" windowWidth="14955" windowHeight="9060" tabRatio="787" firstSheet="1" activeTab="4"/>
  </bookViews>
  <sheets>
    <sheet name="Updated  Operating Budget" sheetId="26" state="hidden" r:id="rId1"/>
    <sheet name="Notes" sheetId="15" r:id="rId2"/>
    <sheet name="Data" sheetId="19" state="hidden" r:id="rId3"/>
    <sheet name="Updated Operating Budget" sheetId="25" state="hidden" r:id="rId4"/>
    <sheet name="June'22 Revenues &amp; Expenses" sheetId="3" r:id="rId5"/>
    <sheet name="June'22 AR Aging " sheetId="6" r:id="rId6"/>
    <sheet name="June'22 Financial Position" sheetId="5" r:id="rId7"/>
    <sheet name="June'22 State of Activities" sheetId="12" r:id="rId8"/>
    <sheet name="June'22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13">Budget!$A$1:$G$54</definedName>
    <definedName name="_xlnm.Print_Area" localSheetId="9">'June''20 Transportation'!$A$1:$P$63</definedName>
    <definedName name="_xlnm.Print_Area" localSheetId="5">'June''22 AR Aging '!$A$1:$G$135</definedName>
    <definedName name="_xlnm.Print_Area" localSheetId="6">'June''22 Financial Position'!$A$1:$L$68</definedName>
    <definedName name="_xlnm.Print_Area" localSheetId="4">'June''22 Revenues &amp; Expenses'!$A$1:$L$73</definedName>
    <definedName name="_xlnm.Print_Area" localSheetId="7">'June''22 State of Activities'!$A$1:$O$72</definedName>
    <definedName name="_xlnm.Print_Area" localSheetId="1">Notes!$A$4:$H$109</definedName>
    <definedName name="_xlnm.Print_Area" localSheetId="10">'Transportation Projections'!$A$1:$P$53</definedName>
    <definedName name="_xlnm.Print_Area" localSheetId="14">'YE Historic Data'!$A$1:$W$41</definedName>
    <definedName name="_xlnm.Print_Titles" localSheetId="1">Notes!$1:$3</definedName>
  </definedNames>
  <calcPr calcId="162913"/>
</workbook>
</file>

<file path=xl/calcChain.xml><?xml version="1.0" encoding="utf-8"?>
<calcChain xmlns="http://schemas.openxmlformats.org/spreadsheetml/2006/main">
  <c r="G101" i="15" l="1"/>
  <c r="E17" i="15"/>
  <c r="B1715" i="19"/>
  <c r="B1714" i="19"/>
  <c r="C1665" i="19"/>
  <c r="C1666" i="19" s="1"/>
  <c r="C1660" i="19"/>
  <c r="B1660" i="19" s="1"/>
  <c r="C1659" i="19"/>
  <c r="B1664" i="19"/>
  <c r="B1663" i="19"/>
  <c r="B1662" i="19"/>
  <c r="B1661" i="19"/>
  <c r="O39" i="24"/>
  <c r="O33" i="24"/>
  <c r="O10" i="24"/>
  <c r="C1667" i="19" l="1"/>
  <c r="B1666" i="19"/>
  <c r="B1665" i="19"/>
  <c r="J10" i="24"/>
  <c r="J27" i="24"/>
  <c r="J53" i="12"/>
  <c r="J51" i="12"/>
  <c r="H32" i="5"/>
  <c r="G50" i="12"/>
  <c r="B1667" i="19" l="1"/>
  <c r="H22" i="5"/>
  <c r="G46" i="12"/>
  <c r="J40" i="12"/>
  <c r="H42" i="5"/>
  <c r="G53" i="12"/>
  <c r="G51" i="12"/>
  <c r="G49" i="12"/>
  <c r="G48" i="12"/>
  <c r="G47" i="12"/>
  <c r="G40" i="12"/>
  <c r="G34" i="12"/>
  <c r="L51" i="5"/>
  <c r="L45" i="5"/>
  <c r="H51" i="5"/>
  <c r="J9" i="3"/>
  <c r="G9" i="3"/>
  <c r="H9" i="3"/>
  <c r="J67" i="3"/>
  <c r="J66" i="3"/>
  <c r="J60" i="3"/>
  <c r="J59" i="3"/>
  <c r="H50" i="3"/>
  <c r="B1668" i="19" l="1"/>
  <c r="I30" i="3"/>
  <c r="I22" i="3"/>
  <c r="J22" i="3" s="1"/>
  <c r="H14" i="3"/>
  <c r="G14" i="3" s="1"/>
  <c r="J14" i="3"/>
  <c r="H11" i="3"/>
  <c r="G11" i="3" s="1"/>
  <c r="J11" i="3"/>
  <c r="C13" i="6"/>
  <c r="D71" i="6"/>
  <c r="E51" i="6"/>
  <c r="F44" i="6"/>
  <c r="C31" i="6"/>
  <c r="B1669" i="19" l="1"/>
  <c r="J51" i="24"/>
  <c r="J46" i="24"/>
  <c r="J44" i="24"/>
  <c r="J35" i="24"/>
  <c r="J34" i="24"/>
  <c r="C1671" i="19" l="1"/>
  <c r="B1670" i="19"/>
  <c r="G8" i="3"/>
  <c r="B1671" i="19" l="1"/>
  <c r="C1672" i="19"/>
  <c r="E102" i="15"/>
  <c r="G61" i="15"/>
  <c r="B1612" i="19"/>
  <c r="B1672" i="19" l="1"/>
  <c r="M9" i="24"/>
  <c r="B1673" i="19" l="1"/>
  <c r="B1613" i="19"/>
  <c r="J47" i="24"/>
  <c r="C1675" i="19" l="1"/>
  <c r="B1674" i="19"/>
  <c r="C1615" i="19"/>
  <c r="B1614" i="19"/>
  <c r="B1675" i="19" l="1"/>
  <c r="C1676" i="19"/>
  <c r="B1615" i="19"/>
  <c r="G62" i="12"/>
  <c r="G63" i="12"/>
  <c r="K60" i="3"/>
  <c r="C1677" i="19" l="1"/>
  <c r="B1676" i="19"/>
  <c r="B1616" i="19"/>
  <c r="C1617" i="19"/>
  <c r="J25" i="3"/>
  <c r="C1678" i="19" l="1"/>
  <c r="B1677" i="19"/>
  <c r="B1617" i="19"/>
  <c r="C136" i="6"/>
  <c r="G64" i="6"/>
  <c r="I63" i="3" s="1"/>
  <c r="B1678" i="19" l="1"/>
  <c r="I62" i="3"/>
  <c r="J63" i="3"/>
  <c r="C1619" i="19"/>
  <c r="B1618" i="19"/>
  <c r="D107" i="15"/>
  <c r="E103" i="15"/>
  <c r="F90" i="15"/>
  <c r="K49" i="3"/>
  <c r="D92" i="15"/>
  <c r="D90" i="15"/>
  <c r="E90" i="15"/>
  <c r="F91" i="15"/>
  <c r="B1570" i="19"/>
  <c r="C1575" i="19"/>
  <c r="C1576" i="19" s="1"/>
  <c r="C1577" i="19" s="1"/>
  <c r="C1580" i="19" s="1"/>
  <c r="C1589" i="19" s="1"/>
  <c r="C1595" i="19" s="1"/>
  <c r="C1596" i="19" s="1"/>
  <c r="C1597" i="19" s="1"/>
  <c r="C1600" i="19" s="1"/>
  <c r="C1602" i="19" s="1"/>
  <c r="C1605" i="19" s="1"/>
  <c r="C1606" i="19" s="1"/>
  <c r="C1609" i="19" s="1"/>
  <c r="C1610" i="19" s="1"/>
  <c r="B1611" i="19" s="1"/>
  <c r="B1679" i="19" l="1"/>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O45" i="24"/>
  <c r="O41" i="24"/>
  <c r="O55" i="24"/>
  <c r="O51" i="24"/>
  <c r="O50" i="24"/>
  <c r="O49" i="24"/>
  <c r="O48" i="24"/>
  <c r="O47" i="24"/>
  <c r="O46" i="24"/>
  <c r="O43" i="24"/>
  <c r="O40" i="24"/>
  <c r="O38" i="24"/>
  <c r="O37" i="24"/>
  <c r="O34" i="24"/>
  <c r="O28" i="24"/>
  <c r="O27" i="24"/>
  <c r="O21" i="24"/>
  <c r="O20" i="24"/>
  <c r="O19" i="24"/>
  <c r="O18" i="24"/>
  <c r="O17" i="24"/>
  <c r="O11" i="24"/>
  <c r="B1680" i="19" l="1"/>
  <c r="B1620" i="19"/>
  <c r="O44" i="24"/>
  <c r="J16" i="24"/>
  <c r="O16" i="24" s="1"/>
  <c r="K51" i="24"/>
  <c r="K46" i="24"/>
  <c r="K45" i="24"/>
  <c r="K44" i="24"/>
  <c r="K41" i="24"/>
  <c r="K34" i="24"/>
  <c r="K35" i="24" s="1"/>
  <c r="K25" i="24"/>
  <c r="K42" i="24" s="1"/>
  <c r="C1682" i="19" l="1"/>
  <c r="B1681" i="19"/>
  <c r="K26" i="24"/>
  <c r="C1622" i="19"/>
  <c r="B1621" i="19"/>
  <c r="B1682" i="19" l="1"/>
  <c r="B1622" i="19"/>
  <c r="L40" i="12"/>
  <c r="L65" i="12"/>
  <c r="L64" i="12"/>
  <c r="L63" i="12"/>
  <c r="L62" i="12"/>
  <c r="L54" i="12"/>
  <c r="L53" i="12"/>
  <c r="L52" i="12"/>
  <c r="L51" i="12"/>
  <c r="L50" i="12"/>
  <c r="L49" i="12"/>
  <c r="L48" i="12"/>
  <c r="L47" i="12"/>
  <c r="L46" i="12"/>
  <c r="L45" i="12"/>
  <c r="L44" i="12"/>
  <c r="L43" i="12"/>
  <c r="L42" i="12"/>
  <c r="L41" i="12"/>
  <c r="L39" i="12"/>
  <c r="L38" i="12"/>
  <c r="L37" i="12"/>
  <c r="L36" i="12"/>
  <c r="L33" i="12"/>
  <c r="L32" i="12"/>
  <c r="L28" i="12"/>
  <c r="L25" i="12"/>
  <c r="L24" i="12"/>
  <c r="L23" i="12"/>
  <c r="M23" i="12" s="1"/>
  <c r="L22" i="12"/>
  <c r="L21" i="12"/>
  <c r="L20" i="12"/>
  <c r="L19" i="12"/>
  <c r="L18" i="12"/>
  <c r="L17" i="12"/>
  <c r="L16" i="12"/>
  <c r="L14" i="12"/>
  <c r="L12" i="12"/>
  <c r="L11" i="12"/>
  <c r="L10" i="12"/>
  <c r="L9" i="12"/>
  <c r="H71" i="12"/>
  <c r="J71" i="12" s="1"/>
  <c r="H54" i="12"/>
  <c r="H53" i="12"/>
  <c r="H51" i="12"/>
  <c r="H40" i="12"/>
  <c r="H23" i="12"/>
  <c r="J60" i="5"/>
  <c r="J51" i="5"/>
  <c r="L60" i="3"/>
  <c r="H61" i="3"/>
  <c r="J61" i="3" s="1"/>
  <c r="F102" i="15"/>
  <c r="I48" i="3"/>
  <c r="K48" i="3" s="1"/>
  <c r="I50" i="3"/>
  <c r="I47" i="3"/>
  <c r="B1683" i="19" l="1"/>
  <c r="B1623" i="19"/>
  <c r="F103" i="15"/>
  <c r="K59" i="3"/>
  <c r="L59" i="3" s="1"/>
  <c r="B1684" i="19" l="1"/>
  <c r="B1624" i="19"/>
  <c r="K61" i="3"/>
  <c r="L61" i="3" s="1"/>
  <c r="J13" i="24"/>
  <c r="O13" i="24" s="1"/>
  <c r="J30" i="3"/>
  <c r="J14" i="24"/>
  <c r="O14" i="24" s="1"/>
  <c r="B1568" i="19"/>
  <c r="C1525" i="19"/>
  <c r="C1526" i="19" s="1"/>
  <c r="B1526" i="19" s="1"/>
  <c r="J56" i="24"/>
  <c r="C1686" i="19" l="1"/>
  <c r="B1685" i="19"/>
  <c r="B1625" i="19"/>
  <c r="C1626" i="19"/>
  <c r="B1525" i="19"/>
  <c r="O35" i="24"/>
  <c r="J22" i="24"/>
  <c r="O22" i="24" s="1"/>
  <c r="K47" i="3"/>
  <c r="G90" i="15" s="1"/>
  <c r="B1686" i="19" l="1"/>
  <c r="B1626" i="19"/>
  <c r="C1528" i="19"/>
  <c r="B1527" i="19"/>
  <c r="B1687" i="19" l="1"/>
  <c r="C1688" i="19"/>
  <c r="B1627" i="19"/>
  <c r="C1628" i="19"/>
  <c r="C1529" i="19"/>
  <c r="B1528" i="19"/>
  <c r="C1689" i="19" l="1"/>
  <c r="B1688" i="19"/>
  <c r="B1628" i="19"/>
  <c r="B1529" i="19"/>
  <c r="B1689" i="19" l="1"/>
  <c r="B1629" i="19"/>
  <c r="B1530" i="19"/>
  <c r="B1504" i="19"/>
  <c r="C1505" i="19"/>
  <c r="J34" i="3"/>
  <c r="B1690" i="19" l="1"/>
  <c r="B1630" i="19"/>
  <c r="B1531" i="19"/>
  <c r="B1505" i="19"/>
  <c r="C128" i="6"/>
  <c r="B1691" i="19" l="1"/>
  <c r="B1631" i="19"/>
  <c r="B1532" i="19"/>
  <c r="C1533" i="19"/>
  <c r="B1506" i="19"/>
  <c r="C1507" i="19"/>
  <c r="F92" i="15"/>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692" i="19" l="1"/>
  <c r="B1632" i="19"/>
  <c r="B1533" i="19"/>
  <c r="B1502" i="19"/>
  <c r="C1503" i="19"/>
  <c r="B1503" i="19" s="1"/>
  <c r="B1507" i="19"/>
  <c r="B1482" i="19"/>
  <c r="B1488" i="19"/>
  <c r="B1499" i="19"/>
  <c r="B1500" i="19"/>
  <c r="B1501" i="19"/>
  <c r="B1487" i="19"/>
  <c r="B1495" i="19"/>
  <c r="G66" i="12"/>
  <c r="K67" i="3"/>
  <c r="I46" i="3"/>
  <c r="G91" i="15" s="1"/>
  <c r="G92" i="15"/>
  <c r="C1694" i="19" l="1"/>
  <c r="B1693" i="19"/>
  <c r="B1633" i="19"/>
  <c r="B1534" i="19"/>
  <c r="G67" i="12"/>
  <c r="B1508" i="19"/>
  <c r="C1695" i="19" l="1"/>
  <c r="B1694" i="19"/>
  <c r="C1635" i="19"/>
  <c r="B1634" i="19"/>
  <c r="C1536" i="19"/>
  <c r="B1535" i="19"/>
  <c r="B1509" i="19"/>
  <c r="C1510" i="19"/>
  <c r="E44" i="6"/>
  <c r="B1695" i="19" l="1"/>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696" i="19" l="1"/>
  <c r="B1636" i="19"/>
  <c r="C1637" i="19"/>
  <c r="B1537" i="19"/>
  <c r="B1511" i="19"/>
  <c r="C1512" i="19"/>
  <c r="M23" i="24"/>
  <c r="O23" i="24" s="1"/>
  <c r="J15" i="12"/>
  <c r="L15" i="12" s="1"/>
  <c r="B1697" i="19" l="1"/>
  <c r="B1637" i="19"/>
  <c r="B1538" i="19"/>
  <c r="B1512" i="19"/>
  <c r="C71" i="6"/>
  <c r="G70" i="6"/>
  <c r="H28" i="3" s="1"/>
  <c r="J28" i="3" s="1"/>
  <c r="G69" i="6"/>
  <c r="C1699" i="19" l="1"/>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699" i="19" l="1"/>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00" i="19" l="1"/>
  <c r="B1640" i="19"/>
  <c r="B1541" i="19"/>
  <c r="B1515" i="19"/>
  <c r="M20" i="26"/>
  <c r="L20" i="26"/>
  <c r="I12" i="26"/>
  <c r="H29" i="26"/>
  <c r="H56" i="26" s="1"/>
  <c r="H60" i="26" s="1"/>
  <c r="L44" i="26"/>
  <c r="L54" i="26" s="1"/>
  <c r="M54" i="26" s="1"/>
  <c r="L24" i="26"/>
  <c r="M24" i="26"/>
  <c r="L21" i="26"/>
  <c r="M21" i="26"/>
  <c r="G60" i="26"/>
  <c r="B1701" i="19" l="1"/>
  <c r="B1641" i="19"/>
  <c r="C1642" i="19"/>
  <c r="B1542" i="19"/>
  <c r="C1543" i="19"/>
  <c r="B1516" i="19"/>
  <c r="I56" i="26"/>
  <c r="L12" i="26"/>
  <c r="L29" i="26" s="1"/>
  <c r="M29" i="26" s="1"/>
  <c r="M12" i="26"/>
  <c r="I29" i="26"/>
  <c r="B1702" i="19" l="1"/>
  <c r="B1642" i="19"/>
  <c r="B1543" i="19"/>
  <c r="B1517" i="19"/>
  <c r="C1518" i="19"/>
  <c r="I60" i="26"/>
  <c r="L56" i="26"/>
  <c r="M56" i="26" s="1"/>
  <c r="B1703" i="19" l="1"/>
  <c r="B1643" i="19"/>
  <c r="C1545" i="19"/>
  <c r="B1544" i="19"/>
  <c r="B1518" i="19"/>
  <c r="B1704" i="19" l="1"/>
  <c r="C1705" i="19"/>
  <c r="B1644" i="19"/>
  <c r="B1545" i="19"/>
  <c r="C1546" i="19"/>
  <c r="B1519" i="19"/>
  <c r="F108" i="15"/>
  <c r="D106" i="15"/>
  <c r="D105" i="15"/>
  <c r="D104" i="15"/>
  <c r="B1705" i="19" l="1"/>
  <c r="B1645" i="19"/>
  <c r="C1646" i="19"/>
  <c r="B1546" i="19"/>
  <c r="B1520" i="19"/>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07" i="19" l="1"/>
  <c r="B1706" i="19"/>
  <c r="B1646" i="19"/>
  <c r="B1547" i="19"/>
  <c r="C1548" i="19"/>
  <c r="C1522" i="19"/>
  <c r="B1521" i="19"/>
  <c r="K56" i="24"/>
  <c r="K66" i="24"/>
  <c r="H34" i="12"/>
  <c r="L8" i="5"/>
  <c r="G108" i="15"/>
  <c r="K46" i="3"/>
  <c r="B1707" i="19" l="1"/>
  <c r="B1647" i="19"/>
  <c r="B1548" i="19"/>
  <c r="B1522" i="19"/>
  <c r="B1708" i="19" l="1"/>
  <c r="B1648" i="19"/>
  <c r="B1549" i="19"/>
  <c r="C1550" i="19"/>
  <c r="B1524" i="19"/>
  <c r="B1523" i="19"/>
  <c r="G75" i="3"/>
  <c r="M71" i="3"/>
  <c r="G71" i="3"/>
  <c r="F71" i="3"/>
  <c r="L67" i="3"/>
  <c r="K66" i="3"/>
  <c r="L66" i="3" s="1"/>
  <c r="K65" i="3"/>
  <c r="L65" i="3" s="1"/>
  <c r="H64" i="3"/>
  <c r="K64" i="3" s="1"/>
  <c r="J71" i="3"/>
  <c r="H55" i="3"/>
  <c r="G55" i="3"/>
  <c r="I52" i="3"/>
  <c r="J52" i="3" s="1"/>
  <c r="J55" i="3" s="1"/>
  <c r="F52" i="3"/>
  <c r="F55" i="3" s="1"/>
  <c r="K50" i="3"/>
  <c r="I43" i="3"/>
  <c r="K43" i="3" s="1"/>
  <c r="I41" i="3"/>
  <c r="K41" i="3" s="1"/>
  <c r="I40" i="3"/>
  <c r="K35" i="3"/>
  <c r="B1709" i="19" l="1"/>
  <c r="C1650" i="19"/>
  <c r="B1649" i="19"/>
  <c r="B1550" i="19"/>
  <c r="I55" i="3"/>
  <c r="L71" i="3"/>
  <c r="L73" i="3" s="1"/>
  <c r="G28" i="3"/>
  <c r="K40" i="3"/>
  <c r="K55" i="3" s="1"/>
  <c r="L55" i="3" s="1"/>
  <c r="I75" i="3"/>
  <c r="K71" i="3"/>
  <c r="B1260" i="19"/>
  <c r="B1259" i="19"/>
  <c r="B1258" i="19"/>
  <c r="B1257" i="19"/>
  <c r="B1256" i="19"/>
  <c r="B1255" i="19"/>
  <c r="B1254" i="19"/>
  <c r="B1253" i="19"/>
  <c r="B1252" i="19"/>
  <c r="B1251" i="19"/>
  <c r="B1250" i="19"/>
  <c r="B1249" i="19"/>
  <c r="B1248" i="19"/>
  <c r="B1247" i="19"/>
  <c r="B1246" i="19"/>
  <c r="B1245" i="19"/>
  <c r="B1710" i="19" l="1"/>
  <c r="B1650" i="19"/>
  <c r="C1552" i="19"/>
  <c r="B1551" i="19"/>
  <c r="B1711" i="19" l="1"/>
  <c r="C1712" i="19"/>
  <c r="B1712" i="19" s="1"/>
  <c r="B1651" i="19"/>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P18" i="24"/>
  <c r="B1652" i="19" l="1"/>
  <c r="B1553" i="19"/>
  <c r="M24" i="24"/>
  <c r="O24" i="24" s="1"/>
  <c r="J25" i="24"/>
  <c r="J9" i="24"/>
  <c r="O9" i="24" s="1"/>
  <c r="B1653" i="19" l="1"/>
  <c r="B1554" i="19"/>
  <c r="C1555" i="19"/>
  <c r="P14" i="24"/>
  <c r="A4" i="24"/>
  <c r="A3" i="24"/>
  <c r="P50" i="24"/>
  <c r="P48" i="24"/>
  <c r="P47" i="24"/>
  <c r="P46" i="24"/>
  <c r="P45" i="24"/>
  <c r="P44" i="24"/>
  <c r="P43" i="24"/>
  <c r="P41" i="24"/>
  <c r="M56" i="24"/>
  <c r="O56" i="24" s="1"/>
  <c r="P40" i="24"/>
  <c r="P39" i="24"/>
  <c r="P38" i="24"/>
  <c r="P37" i="24"/>
  <c r="P34" i="24"/>
  <c r="P33" i="24"/>
  <c r="P28" i="24"/>
  <c r="P27" i="24"/>
  <c r="J42" i="24"/>
  <c r="P16" i="24"/>
  <c r="P13" i="24"/>
  <c r="P10" i="24"/>
  <c r="B1654" i="19" l="1"/>
  <c r="C1655" i="19"/>
  <c r="J52" i="24"/>
  <c r="K52" i="24"/>
  <c r="B1555" i="19"/>
  <c r="P35" i="24"/>
  <c r="K29" i="24"/>
  <c r="M66" i="24"/>
  <c r="P9" i="24"/>
  <c r="J66" i="24"/>
  <c r="B1655" i="19" l="1"/>
  <c r="C1656" i="19"/>
  <c r="K53" i="24"/>
  <c r="K57" i="24" s="1"/>
  <c r="K60" i="24"/>
  <c r="K63" i="24"/>
  <c r="B1556" i="19"/>
  <c r="J60" i="24"/>
  <c r="J63" i="24"/>
  <c r="B1656" i="19" l="1"/>
  <c r="B1557" i="19"/>
  <c r="C1558" i="19"/>
  <c r="F104" i="15"/>
  <c r="F105" i="15"/>
  <c r="E105" i="15"/>
  <c r="E104" i="15"/>
  <c r="F94" i="15"/>
  <c r="D95" i="15"/>
  <c r="B1657" i="19" l="1"/>
  <c r="B1558" i="19"/>
  <c r="C1559" i="19"/>
  <c r="E109"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658" i="19" l="1"/>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659" i="19" l="1"/>
  <c r="B1560" i="19"/>
  <c r="J34" i="12"/>
  <c r="L34" i="12" s="1"/>
  <c r="G35" i="12"/>
  <c r="J26" i="12"/>
  <c r="M25" i="24" l="1"/>
  <c r="L26" i="12"/>
  <c r="B1561" i="19"/>
  <c r="C1562" i="19"/>
  <c r="O42" i="24" l="1"/>
  <c r="P42" i="24" s="1"/>
  <c r="M26" i="24"/>
  <c r="M29" i="24" s="1"/>
  <c r="O25" i="24"/>
  <c r="B1562" i="19"/>
  <c r="M52" i="24" l="1"/>
  <c r="M53" i="24" s="1"/>
  <c r="B1563" i="19"/>
  <c r="C1564" i="19"/>
  <c r="M60" i="24" l="1"/>
  <c r="M63" i="24"/>
  <c r="O52" i="24"/>
  <c r="P52" i="24" s="1"/>
  <c r="M57" i="24"/>
  <c r="B1564" i="19"/>
  <c r="R32" i="18"/>
  <c r="R30" i="18"/>
  <c r="B1565" i="19" l="1"/>
  <c r="J13" i="18"/>
  <c r="J24" i="18"/>
  <c r="M31" i="18"/>
  <c r="J31" i="18"/>
  <c r="R31" i="18" s="1"/>
  <c r="S33" i="18" s="1"/>
  <c r="R19" i="18"/>
  <c r="R50" i="18"/>
  <c r="R48" i="18"/>
  <c r="R45" i="18"/>
  <c r="S45" i="18" s="1"/>
  <c r="R44" i="18"/>
  <c r="R43" i="18"/>
  <c r="S43" i="18" s="1"/>
  <c r="R42" i="18"/>
  <c r="R41" i="18"/>
  <c r="S41" i="18" s="1"/>
  <c r="R38" i="18"/>
  <c r="B1566" i="19" l="1"/>
  <c r="M16" i="12"/>
  <c r="J44" i="18"/>
  <c r="B1567" i="19" l="1"/>
  <c r="J42" i="18"/>
  <c r="J40" i="18"/>
  <c r="B1569" i="19" l="1"/>
  <c r="M32" i="18"/>
  <c r="J47" i="18" l="1"/>
  <c r="J45" i="18"/>
  <c r="J16" i="18" l="1"/>
  <c r="J48" i="18" l="1"/>
  <c r="J43" i="18"/>
  <c r="J19" i="18"/>
  <c r="K48" i="18" l="1"/>
  <c r="K43" i="18"/>
  <c r="K41" i="18"/>
  <c r="K38" i="18"/>
  <c r="K31" i="18"/>
  <c r="K13" i="18"/>
  <c r="M45" i="18" l="1"/>
  <c r="M44" i="18"/>
  <c r="M43" i="18"/>
  <c r="M42" i="18"/>
  <c r="M41" i="18"/>
  <c r="M38" i="18"/>
  <c r="M19" i="18"/>
  <c r="M13" i="18"/>
  <c r="J15" i="24" l="1"/>
  <c r="O15" i="24" s="1"/>
  <c r="J35" i="12"/>
  <c r="L35" i="12" s="1"/>
  <c r="H35" i="12"/>
  <c r="J26" i="24" l="1"/>
  <c r="P15" i="24"/>
  <c r="H16" i="5"/>
  <c r="J55" i="5"/>
  <c r="J48" i="5"/>
  <c r="J16" i="5"/>
  <c r="J23" i="5"/>
  <c r="G94" i="15"/>
  <c r="G98" i="15" s="1"/>
  <c r="O26" i="24" l="1"/>
  <c r="P26" i="24" s="1"/>
  <c r="J29" i="24"/>
  <c r="J57" i="5"/>
  <c r="J25" i="5"/>
  <c r="J35" i="5" s="1"/>
  <c r="G71" i="6"/>
  <c r="O29" i="24" l="1"/>
  <c r="P29" i="24" s="1"/>
  <c r="J53" i="24"/>
  <c r="O53" i="24" l="1"/>
  <c r="P53" i="24" s="1"/>
  <c r="J57" i="24"/>
  <c r="O57" i="24" s="1"/>
  <c r="G68" i="15"/>
  <c r="F38" i="15"/>
  <c r="F45" i="15" s="1"/>
  <c r="D38" i="15"/>
  <c r="G572" i="19" l="1"/>
  <c r="G571" i="19"/>
  <c r="G616" i="19" l="1"/>
  <c r="J18" i="18"/>
  <c r="O18" i="18" s="1"/>
  <c r="M53" i="18"/>
  <c r="M22" i="18"/>
  <c r="M39" i="18" s="1"/>
  <c r="M21" i="18"/>
  <c r="M15" i="18"/>
  <c r="M63" i="18"/>
  <c r="J66" i="12"/>
  <c r="L66" i="12" s="1"/>
  <c r="J56" i="12"/>
  <c r="J67" i="12" l="1"/>
  <c r="M23" i="18"/>
  <c r="M26" i="18" s="1"/>
  <c r="M49" i="18"/>
  <c r="J27" i="12"/>
  <c r="J29" i="12" s="1"/>
  <c r="J58" i="12" s="1"/>
  <c r="L62" i="5" s="1"/>
  <c r="C100" i="6"/>
  <c r="G65" i="6"/>
  <c r="C8" i="6"/>
  <c r="H8" i="3"/>
  <c r="J8" i="3" l="1"/>
  <c r="J11" i="18"/>
  <c r="O11" i="18" s="1"/>
  <c r="H71" i="3"/>
  <c r="I71" i="3"/>
  <c r="J69" i="12"/>
  <c r="J72" i="12" s="1"/>
  <c r="M60" i="18"/>
  <c r="M57" i="18"/>
  <c r="M50" i="18"/>
  <c r="M54" i="18" s="1"/>
  <c r="O17" i="18"/>
  <c r="E73" i="6" l="1"/>
  <c r="O47" i="23" l="1"/>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J29" i="23" l="1"/>
  <c r="O29" i="23" l="1"/>
  <c r="J31" i="23"/>
  <c r="O31" i="23" s="1"/>
  <c r="J46" i="23"/>
  <c r="O46" i="23" s="1"/>
  <c r="J44" i="23"/>
  <c r="O44" i="23" s="1"/>
  <c r="M43" i="23"/>
  <c r="O43" i="23" s="1"/>
  <c r="M37" i="23" l="1"/>
  <c r="J37" i="23"/>
  <c r="O37" i="23" l="1"/>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O12" i="23" l="1"/>
  <c r="P12" i="23" s="1"/>
  <c r="O38" i="23"/>
  <c r="O52" i="23"/>
  <c r="M48" i="23"/>
  <c r="O22" i="23"/>
  <c r="P38" i="23"/>
  <c r="P31" i="23"/>
  <c r="P37" i="23"/>
  <c r="P40" i="23"/>
  <c r="J22" i="23"/>
  <c r="J25" i="23" s="1"/>
  <c r="K48" i="23"/>
  <c r="K22" i="23"/>
  <c r="K25" i="23" s="1"/>
  <c r="P13" i="23"/>
  <c r="P30" i="23"/>
  <c r="J48" i="23"/>
  <c r="M22" i="23"/>
  <c r="M25" i="23" s="1"/>
  <c r="O21" i="23"/>
  <c r="O48" i="23" l="1"/>
  <c r="K49" i="23"/>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N593" i="19" s="1"/>
  <c r="N594" i="19" s="1"/>
  <c r="N595" i="19" s="1"/>
  <c r="N596" i="19"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51" i="12"/>
  <c r="M62" i="12"/>
  <c r="M53" i="12"/>
  <c r="M52" i="12"/>
  <c r="M50" i="12"/>
  <c r="M49" i="12"/>
  <c r="M47" i="12"/>
  <c r="M46" i="12"/>
  <c r="M45" i="12"/>
  <c r="M43" i="12"/>
  <c r="M42" i="12"/>
  <c r="M41" i="12"/>
  <c r="M40" i="12"/>
  <c r="M39" i="12"/>
  <c r="M38" i="12"/>
  <c r="M37" i="12"/>
  <c r="M36" i="12"/>
  <c r="M33" i="12"/>
  <c r="M32" i="12"/>
  <c r="M28" i="12"/>
  <c r="M22" i="12"/>
  <c r="M21" i="12"/>
  <c r="M20" i="12"/>
  <c r="M19" i="12"/>
  <c r="M15" i="12"/>
  <c r="M14" i="12"/>
  <c r="M12" i="12"/>
  <c r="M10" i="12"/>
  <c r="M9" i="12"/>
  <c r="H66" i="12"/>
  <c r="H67" i="12" l="1"/>
  <c r="O24" i="18"/>
  <c r="P24" i="18" s="1"/>
  <c r="O44" i="18"/>
  <c r="P44" i="18" s="1"/>
  <c r="O43" i="18"/>
  <c r="P43" i="18" s="1"/>
  <c r="O42" i="18"/>
  <c r="P42" i="18" s="1"/>
  <c r="G67" i="6" l="1"/>
  <c r="G40" i="6" l="1"/>
  <c r="H30" i="3" s="1"/>
  <c r="G30" i="3" s="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23" i="3" s="1"/>
  <c r="J23" i="3" l="1"/>
  <c r="G23" i="3"/>
  <c r="E80" i="15"/>
  <c r="D32" i="6" l="1"/>
  <c r="D73" i="6" s="1"/>
  <c r="J21" i="18" l="1"/>
  <c r="O21" i="18" s="1"/>
  <c r="M26" i="12" l="1"/>
  <c r="G8" i="12"/>
  <c r="J8" i="12" s="1"/>
  <c r="M8" i="24" l="1"/>
  <c r="J8" i="24"/>
  <c r="E81" i="15"/>
  <c r="M34" i="12" l="1"/>
  <c r="B323" i="19"/>
  <c r="K26" i="18" l="1"/>
  <c r="K50" i="18" s="1"/>
  <c r="K54" i="18" s="1"/>
  <c r="O22" i="18"/>
  <c r="J63" i="18" l="1"/>
  <c r="J8" i="18"/>
  <c r="J53" i="18"/>
  <c r="O53" i="18" s="1"/>
  <c r="O9" i="18" l="1"/>
  <c r="P9" i="18" s="1"/>
  <c r="O39" i="18"/>
  <c r="P39" i="18" s="1"/>
  <c r="J57" i="18" l="1"/>
  <c r="O49" i="18"/>
  <c r="P49" i="18" s="1"/>
  <c r="J60" i="18"/>
  <c r="M8" i="18"/>
  <c r="M63" i="12" l="1"/>
  <c r="M35" i="12"/>
  <c r="M17" i="12"/>
  <c r="G56" i="12" l="1"/>
  <c r="G27" i="12"/>
  <c r="L27" i="12" s="1"/>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H31" i="3" l="1"/>
  <c r="J31" i="3"/>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31" i="3" l="1"/>
  <c r="G40" i="17"/>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5" i="3" s="1"/>
  <c r="H75" i="3" l="1"/>
  <c r="K75" i="3" s="1"/>
  <c r="E14" i="15"/>
  <c r="L23" i="5" l="1"/>
  <c r="L25" i="5" s="1"/>
  <c r="L35" i="5" s="1"/>
  <c r="H55" i="5"/>
  <c r="L68" i="5" l="1"/>
  <c r="D210" i="6" l="1"/>
  <c r="D211" i="6"/>
  <c r="D212" i="6"/>
  <c r="M66" i="12" l="1"/>
  <c r="F210" i="6" l="1"/>
  <c r="G31" i="6" l="1"/>
  <c r="G60" i="6"/>
  <c r="G51" i="6"/>
  <c r="G50" i="6"/>
  <c r="H25" i="3" s="1"/>
  <c r="G25" i="3" s="1"/>
  <c r="H34" i="3" l="1"/>
  <c r="G34" i="3" s="1"/>
  <c r="N214" i="6"/>
  <c r="M214" i="6"/>
  <c r="L214" i="6"/>
  <c r="K214" i="6"/>
  <c r="J214" i="6"/>
  <c r="I214" i="6"/>
  <c r="H214" i="6"/>
  <c r="G214" i="6"/>
  <c r="C56" i="6" l="1"/>
  <c r="F27" i="6"/>
  <c r="F73" i="6" s="1"/>
  <c r="C32" i="6"/>
  <c r="C213" i="6" l="1"/>
  <c r="G54" i="6" l="1"/>
  <c r="G55" i="6"/>
  <c r="G56" i="6" l="1"/>
  <c r="G20" i="6" l="1"/>
  <c r="C14" i="6"/>
  <c r="C73" i="6" s="1"/>
  <c r="G12" i="6"/>
  <c r="M27" i="12" l="1"/>
  <c r="L29" i="12" l="1"/>
  <c r="M29" i="12" l="1"/>
  <c r="L56" i="12"/>
  <c r="M56" i="12" s="1"/>
  <c r="G29" i="12" l="1"/>
  <c r="G58" i="12" l="1"/>
  <c r="H62" i="5" s="1"/>
  <c r="H58" i="12"/>
  <c r="J62" i="5" s="1"/>
  <c r="H60" i="5" s="1"/>
  <c r="J63" i="5" l="1"/>
  <c r="J65" i="5" s="1"/>
  <c r="H69" i="12"/>
  <c r="H72" i="12" s="1"/>
  <c r="G71" i="12" s="1"/>
  <c r="L63" i="5"/>
  <c r="J75" i="12" s="1"/>
  <c r="L58" i="12"/>
  <c r="M58" i="12" s="1"/>
  <c r="L65" i="5" l="1"/>
  <c r="L71" i="5" s="1"/>
  <c r="C211" i="6" l="1"/>
  <c r="G39" i="6"/>
  <c r="G32" i="6"/>
  <c r="G11" i="6"/>
  <c r="E15" i="15" l="1"/>
  <c r="H22" i="3"/>
  <c r="G22" i="3" s="1"/>
  <c r="G44" i="6"/>
  <c r="E12" i="15"/>
  <c r="D214" i="6"/>
  <c r="G14" i="6"/>
  <c r="E13" i="15" s="1"/>
  <c r="G27" i="6"/>
  <c r="F214" i="6" l="1"/>
  <c r="H61" i="5" l="1"/>
  <c r="H63" i="5" l="1"/>
  <c r="G69" i="12"/>
  <c r="G72" i="12" s="1"/>
  <c r="L67" i="12"/>
  <c r="M67" i="12" s="1"/>
  <c r="G105" i="15"/>
  <c r="G109" i="15" s="1"/>
  <c r="L69" i="12" l="1"/>
  <c r="G7" i="6"/>
  <c r="H10" i="3" s="1"/>
  <c r="G10" i="3" s="1"/>
  <c r="G35" i="3" s="1"/>
  <c r="H35" i="3" l="1"/>
  <c r="C212" i="6"/>
  <c r="G8" i="6"/>
  <c r="G73" i="6" s="1"/>
  <c r="J80" i="3" l="1"/>
  <c r="C75" i="6"/>
  <c r="J79" i="3"/>
  <c r="J10" i="3"/>
  <c r="J35" i="3" s="1"/>
  <c r="I35" i="3"/>
  <c r="H19" i="5"/>
  <c r="E11" i="15"/>
  <c r="E18" i="15" s="1"/>
  <c r="C210" i="6"/>
  <c r="C214" i="6" s="1"/>
  <c r="J81" i="3" l="1"/>
  <c r="E75" i="6"/>
  <c r="F75" i="6"/>
  <c r="D75" i="6"/>
  <c r="G75" i="6"/>
  <c r="F17" i="15"/>
  <c r="F15" i="15"/>
  <c r="F14" i="15"/>
  <c r="F13" i="15"/>
  <c r="F12" i="15"/>
  <c r="F11" i="15"/>
  <c r="F16" i="15"/>
  <c r="C102" i="6"/>
  <c r="H23" i="5"/>
  <c r="H25" i="5" s="1"/>
  <c r="H35" i="5" s="1"/>
  <c r="F18" i="15" l="1"/>
  <c r="F98" i="15" l="1"/>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<sst xmlns="http://schemas.openxmlformats.org/spreadsheetml/2006/main" count="1002" uniqueCount="575">
  <si>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</si>
  <si>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</si>
  <si>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</si>
  <si>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</si>
  <si>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</si>
  <si>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</si>
  <si>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</si>
  <si>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</si>
  <si>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</si>
  <si>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</si>
  <si>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</si>
  <si>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</si>
  <si>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</si>
  <si>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</si>
  <si>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</si>
  <si>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</si>
  <si>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</si>
  <si>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</si>
  <si>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</si>
  <si>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</si>
  <si>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</si>
  <si>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</si>
  <si>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</si>
  <si>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</si>
  <si>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</si>
  <si>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</si>
  <si>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</si>
  <si>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</si>
  <si>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</si>
  <si>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</si>
  <si>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</si>
  <si>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</si>
  <si>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</si>
  <si>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</si>
  <si>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</si>
  <si>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</si>
  <si>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</si>
  <si>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</si>
  <si>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</si>
  <si>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</si>
  <si>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</si>
  <si>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</si>
  <si>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</si>
  <si>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</si>
  <si>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</si>
  <si>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</si>
  <si>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</si>
  <si>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</si>
  <si>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</si>
  <si>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</si>
  <si>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</si>
  <si>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</si>
  <si>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</si>
  <si>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</si>
  <si>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</si>
  <si>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</si>
  <si>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</si>
  <si>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</si>
  <si>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</si>
  <si>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</si>
  <si>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</si>
  <si>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</si>
  <si>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</si>
  <si>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</si>
  <si>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</si>
  <si>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</si>
  <si>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</si>
  <si>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</si>
  <si>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</si>
  <si>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</si>
  <si>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</si>
  <si>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</si>
  <si>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</si>
  <si>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</si>
  <si>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</si>
  <si>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</si>
  <si>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</si>
  <si>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</si>
  <si>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</si>
  <si>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</si>
  <si>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</si>
  <si>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</si>
  <si>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</si>
  <si>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</si>
  <si>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</si>
  <si>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</si>
  <si>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</si>
  <si>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</si>
  <si>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</si>
  <si>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</si>
  <si>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</si>
  <si>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</si>
  <si>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</si>
  <si>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</si>
  <si>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</si>
  <si>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</si>
  <si>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</si>
  <si>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</si>
  <si>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</si>
  <si>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</si>
  <si>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</si>
  <si>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</si>
  <si>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</si>
  <si>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</si>
  <si>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</si>
  <si>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</si>
  <si>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</si>
  <si>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</si>
  <si>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</si>
  <si>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</si>
  <si>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</si>
  <si>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</si>
  <si>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</si>
  <si>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</si>
  <si>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</si>
  <si>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</si>
  <si>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</si>
  <si>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</si>
  <si>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</si>
  <si>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</si>
  <si>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</si>
  <si>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</si>
  <si>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</si>
  <si>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</si>
  <si>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</si>
  <si>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</si>
  <si>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</si>
  <si>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</si>
  <si>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</si>
  <si>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</si>
  <si>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</si>
  <si>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</si>
  <si>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</si>
  <si>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</si>
  <si>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</si>
  <si>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</si>
  <si>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</si>
  <si>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</si>
  <si>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</si>
  <si>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</si>
  <si>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</si>
  <si>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</si>
  <si>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</si>
  <si>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</si>
  <si>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</si>
  <si>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</si>
  <si>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</si>
  <si>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</si>
  <si>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</si>
  <si>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</si>
  <si>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</si>
  <si>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</si>
  <si>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</si>
  <si>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</si>
  <si>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</si>
  <si>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</si>
  <si>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</si>
  <si>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</si>
  <si>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</si>
  <si>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</si>
  <si>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</si>
  <si>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</si>
  <si>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</si>
  <si>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</si>
  <si>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</si>
  <si>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</si>
  <si>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</si>
  <si>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</si>
  <si>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</si>
  <si>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</si>
  <si>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</si>
  <si>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</si>
  <si>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</si>
  <si>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</si>
  <si>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</si>
  <si>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</si>
  <si>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</si>
  <si>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</si>
  <si>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</si>
  <si>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</si>
  <si>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</si>
  <si>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</si>
  <si>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</si>
  <si>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</si>
  <si>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</si>
  <si>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</si>
  <si>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</si>
  <si>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</si>
  <si>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</si>
  <si>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</si>
  <si>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</si>
  <si>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</si>
  <si>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</si>
  <si>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</si>
  <si>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</si>
  <si>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</si>
  <si>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</si>
  <si>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</si>
  <si>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</si>
  <si>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</si>
  <si>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</si>
  <si>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</si>
  <si>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</si>
  <si>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</si>
  <si>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</si>
  <si>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</si>
  <si>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</si>
  <si>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</si>
  <si>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</si>
  <si>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</si>
  <si>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</si>
  <si>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</si>
  <si>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</si>
  <si>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</si>
  <si>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</si>
  <si>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</si>
  <si>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</si>
  <si>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</si>
  <si>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</si>
  <si>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</si>
  <si>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</si>
  <si>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</si>
  <si>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</si>
  <si>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</si>
  <si>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</si>
  <si>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</si>
  <si>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</si>
  <si>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</si>
  <si>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</si>
  <si>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</si>
  <si>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</si>
  <si>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</si>
  <si>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</si>
  <si>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</si>
  <si>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</si>
  <si>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</si>
  <si>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</si>
  <si>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</si>
  <si>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</si>
  <si>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</si>
  <si>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</si>
  <si>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</si>
  <si>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</si>
  <si>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</si>
  <si>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</si>
  <si>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</si>
  <si>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</si>
  <si>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</si>
  <si>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</si>
  <si>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</si>
  <si>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</si>
  <si>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</si>
  <si>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</si>
  <si>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</si>
  <si>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</si>
  <si>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</si>
  <si>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</si>
  <si>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</si>
  <si>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</si>
  <si>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</si>
  <si>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</si>
  <si>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</si>
  <si>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</si>
  <si>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</si>
  <si>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</si>
  <si>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</si>
  <si>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</si>
  <si>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</si>
  <si>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</si>
  <si>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</si>
  <si>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</si>
  <si>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</si>
  <si>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</si>
  <si>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</si>
  <si>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</si>
  <si>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</si>
  <si>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</si>
  <si>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</si>
  <si>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</si>
  <si>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</si>
  <si>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</si>
  <si>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</si>
  <si>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</si>
  <si>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</si>
  <si>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</si>
  <si>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</si>
  <si>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</si>
  <si>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</si>
  <si>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</si>
  <si>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</si>
  <si>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</si>
  <si>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</si>
  <si>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</si>
  <si>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</si>
  <si>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</si>
  <si>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</si>
  <si>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</si>
  <si>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</si>
  <si>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</si>
  <si>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</si>
  <si>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</si>
  <si>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</si>
  <si>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</si>
  <si>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</si>
  <si>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</si>
  <si>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</si>
  <si>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</si>
  <si>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</si>
  <si>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</si>
  <si>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</si>
  <si>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</si>
  <si>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</si>
  <si>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</si>
  <si>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</si>
  <si>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</si>
  <si>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</si>
  <si>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</si>
  <si>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</si>
  <si>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</si>
  <si>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</si>
  <si>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</si>
  <si>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</si>
  <si>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</si>
  <si>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</si>
  <si>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</si>
  <si>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</si>
  <si>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</si>
  <si>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</si>
  <si>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</si>
  <si>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</si>
  <si>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</si>
  <si>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</si>
  <si>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</si>
  <si>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</si>
  <si>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</si>
  <si>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</si>
  <si>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</si>
  <si>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</si>
  <si>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</si>
  <si>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</si>
  <si>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</si>
  <si>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</si>
  <si>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</si>
  <si>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</si>
  <si>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</si>
  <si>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</si>
  <si>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</si>
  <si>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</si>
  <si>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</si>
  <si>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</si>
  <si>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</si>
  <si>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</si>
  <si>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</si>
  <si>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</si>
  <si>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</si>
  <si>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</si>
  <si>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</si>
  <si>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</si>
  <si>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</si>
  <si>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</si>
  <si>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</si>
  <si>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</si>
  <si>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</si>
  <si>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</si>
  <si>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</si>
  <si>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</si>
  <si>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</si>
  <si>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</si>
  <si>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</si>
  <si>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</si>
  <si>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</si>
  <si>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</si>
  <si>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</si>
  <si>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</si>
  <si>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</si>
  <si>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</si>
  <si>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</si>
  <si>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</si>
  <si>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</si>
  <si>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</si>
  <si>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</si>
  <si>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</si>
  <si>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</si>
  <si>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</si>
  <si>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</si>
  <si>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</si>
  <si>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</si>
  <si>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</si>
  <si>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</si>
  <si>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</si>
  <si>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</si>
  <si>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</si>
  <si>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</si>
  <si>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</si>
  <si>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</si>
  <si>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</si>
  <si>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</si>
  <si>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</si>
  <si>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</si>
  <si>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</si>
  <si>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</si>
  <si>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</si>
  <si>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</si>
  <si>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</si>
  <si>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</si>
  <si>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</si>
  <si>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</si>
  <si>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</si>
  <si>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</si>
  <si>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</si>
  <si>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</si>
  <si>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</si>
  <si>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</si>
  <si>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</si>
  <si>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</si>
  <si>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</si>
  <si>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</si>
  <si>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</si>
  <si>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</si>
  <si>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</si>
  <si>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</si>
  <si>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</si>
  <si>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</si>
  <si>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</si>
  <si>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</si>
  <si>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</si>
  <si>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</si>
  <si>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</si>
  <si>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</si>
  <si>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</si>
  <si>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</si>
  <si>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</si>
  <si>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</si>
  <si>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</si>
  <si>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</si>
  <si>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</si>
  <si>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</si>
  <si>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</si>
  <si>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</si>
  <si>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Transportation Clients  </t>
  </si>
  <si>
    <t>NY Connects ADRC         10/20 to 09/21</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</si>
  <si>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</si>
  <si>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</si>
  <si>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</si>
  <si>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On January 13, 2021, we sold a 2014 Dodge Grand Caravan for $3,150 with original cost $21,152. </t>
  </si>
  <si>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</si>
  <si>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</si>
  <si>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</si>
  <si>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</si>
  <si>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</si>
  <si>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</si>
  <si>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</si>
  <si>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</si>
  <si>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</si>
  <si>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</si>
  <si>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</si>
  <si>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</si>
  <si>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</si>
  <si>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</si>
  <si>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</si>
  <si>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</si>
  <si>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</si>
  <si>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</si>
  <si>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</si>
  <si>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</si>
  <si>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</si>
  <si>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</si>
  <si>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NYSDOH 08/21 to 07/21 - Year#3 of 5</t>
  </si>
  <si>
    <t>NYSDOH 07/21 to 06/22 - Year#3 of 5</t>
  </si>
  <si>
    <t xml:space="preserve">NY Connects Expansion &amp; Enhancement Program </t>
  </si>
  <si>
    <t>QuickBooks AR at 08/31/2021</t>
  </si>
  <si>
    <t>Paycheck Protection Program (PPP) Loan Forgiveness</t>
  </si>
  <si>
    <t>Foundation Revenue - FCH, Dyson, Rip Van Winkle</t>
  </si>
  <si>
    <t>Total Grant Receivable - August 2021</t>
  </si>
  <si>
    <t>Tobacco Yr#2 - June 2021 Voucher</t>
  </si>
  <si>
    <t>Rural Health Network - 3rd Qrt Voucher</t>
  </si>
  <si>
    <t>In Person Assistors &amp; Navigators- Yr#3 of 5</t>
  </si>
  <si>
    <t xml:space="preserve">General Operating Support (12-Months) </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</si>
  <si>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</si>
  <si>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</si>
  <si>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</si>
  <si>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</si>
  <si>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</si>
  <si>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</si>
  <si>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</si>
  <si>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</si>
  <si>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Foundation Revenue-Community Foundation of the Hudson Valley</t>
  </si>
  <si>
    <t xml:space="preserve">Add Back Deprecation </t>
  </si>
  <si>
    <t>NYSARH 04/21 to 3/22 - $29,668</t>
  </si>
  <si>
    <t>NYSARH - (0% of $29,668)</t>
  </si>
  <si>
    <t xml:space="preserve">Rural Health Network Program- Yr#4 of 5 </t>
  </si>
  <si>
    <t>NYSDOH 01/22 to 12/22 Yr#4 (Quarterly Voucher)</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</si>
  <si>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</si>
  <si>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</si>
  <si>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</si>
  <si>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</si>
  <si>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</si>
  <si>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</si>
  <si>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</si>
  <si>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</si>
  <si>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</si>
  <si>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</si>
  <si>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For the Years Ended December 31, 2021</t>
  </si>
  <si>
    <t>New Program for 2021/2022 Yr - HEALing Community Study Impact</t>
  </si>
  <si>
    <t>Capped @  $15,000</t>
  </si>
  <si>
    <t>Capped @  $20,000</t>
  </si>
  <si>
    <t>2022 Operating Support</t>
  </si>
  <si>
    <t>April</t>
  </si>
  <si>
    <t>MIPPA                              04/22 to 8/22</t>
  </si>
  <si>
    <t>NY Connects E&amp;EP         04/22 to 03/23</t>
  </si>
  <si>
    <t>Greene County Public Health Department</t>
  </si>
  <si>
    <t>CC Dept of Human Servicces - 1st Quarter Voucher</t>
  </si>
  <si>
    <t>RHN Program - Jan - Mar 2022 Voucher</t>
  </si>
  <si>
    <t>Funds pending on NYS SFS Website</t>
  </si>
  <si>
    <t>County Government - 2021</t>
  </si>
  <si>
    <t>Greene County Public Health</t>
  </si>
  <si>
    <t xml:space="preserve">Increase in Vehicle Fuel </t>
  </si>
  <si>
    <t>Tobacco</t>
  </si>
  <si>
    <t>Amazon &amp; B&amp;H Photo</t>
  </si>
  <si>
    <t>Camera Equipment</t>
  </si>
  <si>
    <t>NY Connects</t>
  </si>
  <si>
    <t>Intelligent Tech Solutions</t>
  </si>
  <si>
    <t>TV Display for Outreach</t>
  </si>
  <si>
    <t>Grants Receivable</t>
  </si>
  <si>
    <t xml:space="preserve"> Full Staffing compared with 2021, wage increases</t>
  </si>
  <si>
    <t>Grants Receivable Aging Summary as of June 30, 2022</t>
  </si>
  <si>
    <t>June</t>
  </si>
  <si>
    <t>Payments Received After June 30, 2022</t>
  </si>
  <si>
    <t>May</t>
  </si>
  <si>
    <t>Tobacco-Free - May 2022 Voucher</t>
  </si>
  <si>
    <t>OFA: MIPPA - May 2020 Voucher</t>
  </si>
  <si>
    <t>OFA: NY Connects - May'21 Voucher</t>
  </si>
  <si>
    <t>OFA: Senior Transportation - May 2021 Voucher</t>
  </si>
  <si>
    <t>Navigator Program - May'21 Voucher</t>
  </si>
  <si>
    <t>Tobacco - May &amp; June 2020 - 20% Held back</t>
  </si>
  <si>
    <t>HEALing Community Study - May 2021 Voucher</t>
  </si>
  <si>
    <t>OFA: NY Connects E&amp;EP -  May'21 Voucher</t>
  </si>
  <si>
    <t>OFA: Senior Transportation - May 2022 Voucher</t>
  </si>
  <si>
    <t>Tobacco Yr#3 - May 2021 Voucher</t>
  </si>
  <si>
    <t>Tobacco -Free Program - May 2022 Voucher</t>
  </si>
  <si>
    <t>Navigator Program - May 2022 Voucher</t>
  </si>
  <si>
    <t>Navigator Program - April 2021 Voucher</t>
  </si>
  <si>
    <t>OFA: Senior Transportation - April 2021 Voucher</t>
  </si>
  <si>
    <t>Medicaid Claims - Month of April 2021</t>
  </si>
  <si>
    <t>Tobacco Yr#3 - April 2021 Voucher</t>
  </si>
  <si>
    <t>Navigator Yr#3-April 2021 Voucher</t>
  </si>
  <si>
    <t>March &amp; Older</t>
  </si>
  <si>
    <t>Grants Receivable at 06/30/2022</t>
  </si>
  <si>
    <t>June 30th AR Balance at July 25, 2022</t>
  </si>
  <si>
    <t>Heath Research Inc (HRI)</t>
  </si>
  <si>
    <t>OFA: MIPPA -  April'21 Voucher</t>
  </si>
  <si>
    <t>Total AR Payments Received After June 30, 2022</t>
  </si>
  <si>
    <t>Kinderhook Toyota (Donation for Columbia Cty Cancer Fund)</t>
  </si>
  <si>
    <t>Bank of Greene County Foundation (Community Cancer Funds)</t>
  </si>
  <si>
    <t>As of June 30, 2022</t>
  </si>
  <si>
    <t xml:space="preserve">NYS Assocaition for Rural Health </t>
  </si>
  <si>
    <t>NYSARH -Repayment of $100K loan</t>
  </si>
  <si>
    <t>NYSARH -Interest on $100K loan</t>
  </si>
  <si>
    <t xml:space="preserve">Tobacco Free Communities Grant - Yr#4 of 5 </t>
  </si>
  <si>
    <t>In Person Assistors &amp; Navigators- Yr#4 of 5</t>
  </si>
  <si>
    <t xml:space="preserve">Medicare Improvements for Patients &amp; Providers (MIPPA) </t>
  </si>
  <si>
    <t xml:space="preserve">Coarc Strategic Planning </t>
  </si>
  <si>
    <r>
      <t xml:space="preserve">Greene County DSS </t>
    </r>
    <r>
      <rPr>
        <sz val="10"/>
        <color theme="1"/>
        <rFont val="Arial"/>
        <family val="2"/>
      </rPr>
      <t>(HEAP Program )</t>
    </r>
    <r>
      <rPr>
        <b/>
        <sz val="10"/>
        <color rgb="FFFF0000"/>
        <rFont val="Arial"/>
        <family val="2"/>
      </rPr>
      <t xml:space="preserve"> </t>
    </r>
  </si>
  <si>
    <t>7146-01</t>
  </si>
  <si>
    <r>
      <t xml:space="preserve">Health Research Inc (HRI)  </t>
    </r>
    <r>
      <rPr>
        <sz val="11"/>
        <color rgb="FFFF0000"/>
        <rFont val="Arial"/>
        <family val="2"/>
      </rPr>
      <t>(NEW-RHN Tech Asistance)</t>
    </r>
  </si>
  <si>
    <t>Six Months Ended June 30, 2022 and 2021</t>
  </si>
  <si>
    <t>Transportation - Other: CMH, Greene Cty</t>
  </si>
  <si>
    <t>June'22 vs.'21</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</si>
  <si>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2022 our Grant Receivable is $261K.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</si>
  <si>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June 30, 2022, investment account value is $379K. Initial investment during the month of March 2016 was $152K. Change in value for the 2022 year is a decrease of &lt;$55.6K&gt;. On July 22, 2021, we transferred $100,000 into the investment account from our operating account and on March 23, 2022 we transferred another $100,000.</t>
    </r>
  </si>
  <si>
    <r>
      <t>è</t>
    </r>
    <r>
      <rPr>
        <b/>
        <sz val="12"/>
        <color theme="1"/>
        <rFont val="Times New Roman"/>
        <family val="1"/>
      </rPr>
      <t xml:space="preserve">Accounts Payable - </t>
    </r>
    <r>
      <rPr>
        <sz val="12"/>
        <color theme="1"/>
        <rFont val="Calibri"/>
        <family val="2"/>
        <scheme val="minor"/>
      </rPr>
      <t xml:space="preserve">At June 30, 2022, accounts payable lability is $25,249. All accounts payable liability is being paid timely within 28 days. </t>
    </r>
  </si>
  <si>
    <t>Ending Balance at June 30, 2022</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</si>
  <si>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June 30, 2022,</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</si>
  <si>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June 30, 2022: </t>
    </r>
  </si>
  <si>
    <r>
      <t>è</t>
    </r>
    <r>
      <rPr>
        <b/>
        <sz val="12"/>
        <color theme="1"/>
        <rFont val="Times New Roman"/>
        <family val="1"/>
      </rPr>
      <t xml:space="preserve"> Cash</t>
    </r>
    <r>
      <rPr>
        <sz val="12"/>
        <color theme="1"/>
        <rFont val="Calibri"/>
        <family val="2"/>
      </rPr>
      <t xml:space="preserve"> -  Cash balance in the operating checking account started the 2022 year off with $406.5K and ended on the month of June 2022 with $388K.  Low balance on March 30, 2022 was $141K &amp; the high balance on February 10, 2022 was $412K. Average daily balance for the 2022 &amp; 2021 years were $300K and $395K, respectively. On July 22, 2021 we transferred $100,000 to the Investment account, on February 17, 2022 we loaned $100,000 to NYSARH and on March 23, 2022 we transferred $100,000 to the Investment account. NYSARH repaid the $100K loan on June 15, 2022, with an additional $750 in interest.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</si>
</sst>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sz val="11"/>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3">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7">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horizontal="left"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41" fontId="0" fillId="0" borderId="48"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horizontal="left"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applyAlignment="1">
      <alignment horizontal="left"/>
    </xf>
    <xf numFmtId="41" fontId="0" fillId="0" borderId="47" xfId="1" applyNumberFormat="1" applyFont="1" applyFill="1" applyBorder="1" applyAlignment="1"/>
    <xf numFmtId="41" fontId="0" fillId="0" borderId="14"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0" fillId="0" borderId="6" xfId="1" applyNumberFormat="1" applyFont="1" applyFill="1" applyBorder="1" applyAlignment="1"/>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14" fontId="0" fillId="0" borderId="24" xfId="0" applyNumberFormat="1" applyFont="1" applyFill="1" applyBorder="1" applyAlignment="1">
      <alignment horizontal="left"/>
    </xf>
    <xf numFmtId="0" fontId="0" fillId="0" borderId="16" xfId="0" applyFill="1" applyBorder="1"/>
    <xf numFmtId="0" fontId="0" fillId="0" borderId="71" xfId="0" applyFill="1" applyBorder="1"/>
    <xf numFmtId="0" fontId="0" fillId="0" borderId="24" xfId="0" applyFill="1" applyBorder="1"/>
    <xf numFmtId="0" fontId="0" fillId="0" borderId="72" xfId="0" applyFill="1" applyBorder="1"/>
    <xf numFmtId="0" fontId="61"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2"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47" xfId="0" applyNumberFormat="1" applyFill="1" applyBorder="1" applyAlignment="1">
      <alignment horizontal="center"/>
    </xf>
    <xf numFmtId="38" fontId="0" fillId="0" borderId="47" xfId="1" applyNumberFormat="1" applyFont="1" applyFill="1" applyBorder="1" applyAlignment="1"/>
    <xf numFmtId="38" fontId="33" fillId="0" borderId="48" xfId="1" applyNumberFormat="1" applyFont="1" applyFill="1" applyBorder="1" applyAlignment="1">
      <alignment horizontal="right"/>
    </xf>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2" xfId="1" applyNumberFormat="1" applyFont="1" applyFill="1" applyBorder="1" applyAlignment="1">
      <alignment vertical="center"/>
    </xf>
    <xf numFmtId="41" fontId="5" fillId="0" borderId="0" xfId="1" applyNumberFormat="1" applyFont="1" applyFill="1" applyBorder="1" applyAlignment="1"/>
    <xf numFmtId="41" fontId="0" fillId="0" borderId="47" xfId="1" applyNumberFormat="1" applyFont="1" applyFill="1" applyBorder="1" applyAlignment="1">
      <alignment horizontal="center"/>
    </xf>
    <xf numFmtId="38" fontId="0" fillId="0" borderId="48" xfId="1" applyNumberFormat="1" applyFont="1" applyFill="1" applyBorder="1" applyAlignment="1">
      <alignment horizontal="right"/>
    </xf>
    <xf numFmtId="38" fontId="33" fillId="0" borderId="49" xfId="1" applyNumberFormat="1" applyFont="1" applyFill="1" applyBorder="1" applyAlignment="1">
      <alignment horizontal="right"/>
    </xf>
    <xf numFmtId="38" fontId="33" fillId="0" borderId="48" xfId="1" applyNumberFormat="1" applyFont="1" applyFill="1" applyBorder="1" applyAlignment="1"/>
    <xf numFmtId="41" fontId="0" fillId="0" borderId="62" xfId="1" applyNumberFormat="1" applyFont="1" applyFill="1" applyBorder="1" applyAlignment="1">
      <alignment horizont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Data!$A$1309:$A$1712</c:f>
              <c:numCache>
                <c:formatCode>[$-F800]dddd\,\ mmmm\ dd\,\ yyyy</c:formatCode>
                <c:ptCount val="40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numCache>
            </c:numRef>
          </c:cat>
          <c:val>
            <c:numRef>
              <c:f>Data!$B$1309:$B$1712</c:f>
              <c:numCache>
                <c:formatCode>#,##0_);[Red]\(#,##0\)</c:formatCode>
                <c:ptCount val="404"/>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293888.99</c:v>
                </c:pt>
                <c:pt idx="303">
                  <c:v>321342.32</c:v>
                </c:pt>
                <c:pt idx="304">
                  <c:v>328875.55</c:v>
                </c:pt>
                <c:pt idx="305">
                  <c:v>311978.17</c:v>
                </c:pt>
                <c:pt idx="306">
                  <c:v>311978.17</c:v>
                </c:pt>
                <c:pt idx="307">
                  <c:v>323791.65000000002</c:v>
                </c:pt>
                <c:pt idx="308">
                  <c:v>323791.65000000002</c:v>
                </c:pt>
                <c:pt idx="309">
                  <c:v>304395.95</c:v>
                </c:pt>
                <c:pt idx="310">
                  <c:v>304395.95</c:v>
                </c:pt>
                <c:pt idx="311">
                  <c:v>304395.95</c:v>
                </c:pt>
                <c:pt idx="312">
                  <c:v>354177.58</c:v>
                </c:pt>
                <c:pt idx="313">
                  <c:v>354177.58</c:v>
                </c:pt>
                <c:pt idx="314">
                  <c:v>272443</c:v>
                </c:pt>
                <c:pt idx="315">
                  <c:v>271968.02</c:v>
                </c:pt>
                <c:pt idx="316">
                  <c:v>287143.02</c:v>
                </c:pt>
                <c:pt idx="317">
                  <c:v>287143.02</c:v>
                </c:pt>
                <c:pt idx="318">
                  <c:v>171561.3</c:v>
                </c:pt>
                <c:pt idx="319">
                  <c:v>171561.3</c:v>
                </c:pt>
                <c:pt idx="320">
                  <c:v>194069.16</c:v>
                </c:pt>
                <c:pt idx="321">
                  <c:v>184965.34</c:v>
                </c:pt>
                <c:pt idx="322">
                  <c:v>140741.59</c:v>
                </c:pt>
                <c:pt idx="323">
                  <c:v>140708.63</c:v>
                </c:pt>
                <c:pt idx="324">
                  <c:v>281239.25</c:v>
                </c:pt>
                <c:pt idx="325">
                  <c:v>283716.02</c:v>
                </c:pt>
                <c:pt idx="326">
                  <c:v>283716.02</c:v>
                </c:pt>
                <c:pt idx="327">
                  <c:v>300477.89</c:v>
                </c:pt>
                <c:pt idx="328">
                  <c:v>300477.89</c:v>
                </c:pt>
                <c:pt idx="329">
                  <c:v>301029.09000000003</c:v>
                </c:pt>
                <c:pt idx="330">
                  <c:v>296794.44</c:v>
                </c:pt>
                <c:pt idx="331">
                  <c:v>296989.44</c:v>
                </c:pt>
                <c:pt idx="332">
                  <c:v>274755.46000000002</c:v>
                </c:pt>
                <c:pt idx="333">
                  <c:v>274755.46000000002</c:v>
                </c:pt>
                <c:pt idx="334">
                  <c:v>273817.88</c:v>
                </c:pt>
                <c:pt idx="335">
                  <c:v>273375.03999999998</c:v>
                </c:pt>
                <c:pt idx="336">
                  <c:v>306978.36</c:v>
                </c:pt>
                <c:pt idx="337">
                  <c:v>306978.36</c:v>
                </c:pt>
                <c:pt idx="338">
                  <c:v>266613.8</c:v>
                </c:pt>
                <c:pt idx="339">
                  <c:v>271958.33</c:v>
                </c:pt>
                <c:pt idx="340">
                  <c:v>271799.48</c:v>
                </c:pt>
                <c:pt idx="341">
                  <c:v>271799.48</c:v>
                </c:pt>
                <c:pt idx="342">
                  <c:v>231449.55</c:v>
                </c:pt>
                <c:pt idx="343">
                  <c:v>255926.54</c:v>
                </c:pt>
                <c:pt idx="344">
                  <c:v>256457.54</c:v>
                </c:pt>
                <c:pt idx="345">
                  <c:v>255982.56</c:v>
                </c:pt>
                <c:pt idx="346">
                  <c:v>255982.56</c:v>
                </c:pt>
                <c:pt idx="347">
                  <c:v>255982.56</c:v>
                </c:pt>
                <c:pt idx="348">
                  <c:v>237408.49</c:v>
                </c:pt>
                <c:pt idx="349">
                  <c:v>237595.16</c:v>
                </c:pt>
                <c:pt idx="350">
                  <c:v>237595.16</c:v>
                </c:pt>
                <c:pt idx="351">
                  <c:v>237595.16</c:v>
                </c:pt>
                <c:pt idx="352">
                  <c:v>198176.08</c:v>
                </c:pt>
                <c:pt idx="353">
                  <c:v>206509.41</c:v>
                </c:pt>
                <c:pt idx="354">
                  <c:v>196309.39</c:v>
                </c:pt>
                <c:pt idx="355">
                  <c:v>217592.12</c:v>
                </c:pt>
                <c:pt idx="356">
                  <c:v>217592.12</c:v>
                </c:pt>
                <c:pt idx="357">
                  <c:v>217592.12</c:v>
                </c:pt>
                <c:pt idx="358">
                  <c:v>217592.12</c:v>
                </c:pt>
                <c:pt idx="359">
                  <c:v>221731.08</c:v>
                </c:pt>
                <c:pt idx="360">
                  <c:v>217798.74</c:v>
                </c:pt>
                <c:pt idx="361">
                  <c:v>176485.8</c:v>
                </c:pt>
                <c:pt idx="362">
                  <c:v>176485.8</c:v>
                </c:pt>
                <c:pt idx="363">
                  <c:v>176485.8</c:v>
                </c:pt>
                <c:pt idx="364">
                  <c:v>317719.40999999997</c:v>
                </c:pt>
                <c:pt idx="365">
                  <c:v>317244.43</c:v>
                </c:pt>
                <c:pt idx="366">
                  <c:v>317244.43</c:v>
                </c:pt>
                <c:pt idx="367">
                  <c:v>317244.43</c:v>
                </c:pt>
                <c:pt idx="368">
                  <c:v>317244.43</c:v>
                </c:pt>
                <c:pt idx="369">
                  <c:v>317244.43</c:v>
                </c:pt>
                <c:pt idx="370">
                  <c:v>311632.77</c:v>
                </c:pt>
                <c:pt idx="371">
                  <c:v>311632.77</c:v>
                </c:pt>
                <c:pt idx="372">
                  <c:v>272576.3</c:v>
                </c:pt>
                <c:pt idx="373">
                  <c:v>272576.3</c:v>
                </c:pt>
                <c:pt idx="374">
                  <c:v>262789.33</c:v>
                </c:pt>
                <c:pt idx="375">
                  <c:v>262314.34999999998</c:v>
                </c:pt>
                <c:pt idx="376">
                  <c:v>262577.34999999998</c:v>
                </c:pt>
                <c:pt idx="377">
                  <c:v>262577.34999999998</c:v>
                </c:pt>
                <c:pt idx="378">
                  <c:v>359115.13</c:v>
                </c:pt>
                <c:pt idx="379">
                  <c:v>359115.13</c:v>
                </c:pt>
                <c:pt idx="380">
                  <c:v>359115.13</c:v>
                </c:pt>
                <c:pt idx="381">
                  <c:v>317912.34000000003</c:v>
                </c:pt>
                <c:pt idx="382">
                  <c:v>318373.34000000003</c:v>
                </c:pt>
                <c:pt idx="383">
                  <c:v>319350.08</c:v>
                </c:pt>
                <c:pt idx="384">
                  <c:v>329131.38</c:v>
                </c:pt>
                <c:pt idx="385">
                  <c:v>329131.38</c:v>
                </c:pt>
                <c:pt idx="386">
                  <c:v>329131.38</c:v>
                </c:pt>
                <c:pt idx="387">
                  <c:v>329131.38</c:v>
                </c:pt>
                <c:pt idx="388">
                  <c:v>358518.98</c:v>
                </c:pt>
                <c:pt idx="389">
                  <c:v>388026.98</c:v>
                </c:pt>
                <c:pt idx="390">
                  <c:v>388026.98</c:v>
                </c:pt>
                <c:pt idx="391">
                  <c:v>388026.98</c:v>
                </c:pt>
                <c:pt idx="392">
                  <c:v>347383.35</c:v>
                </c:pt>
                <c:pt idx="393">
                  <c:v>347507.35</c:v>
                </c:pt>
                <c:pt idx="394">
                  <c:v>347648.35</c:v>
                </c:pt>
                <c:pt idx="395">
                  <c:v>347173.37</c:v>
                </c:pt>
                <c:pt idx="396">
                  <c:v>347173.37</c:v>
                </c:pt>
                <c:pt idx="397">
                  <c:v>347422.37</c:v>
                </c:pt>
                <c:pt idx="398">
                  <c:v>347422.37</c:v>
                </c:pt>
                <c:pt idx="399">
                  <c:v>353674.1</c:v>
                </c:pt>
                <c:pt idx="400">
                  <c:v>355815.56</c:v>
                </c:pt>
                <c:pt idx="401">
                  <c:v>319836.78000000003</c:v>
                </c:pt>
                <c:pt idx="402">
                  <c:v>296807.06</c:v>
                </c:pt>
                <c:pt idx="403">
                  <c:v>296807.06</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Data!$F$574:$F$603</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Data!$G$574:$G$603</c:f>
              <c:numCache>
                <c:formatCode>"$"#,##0_);[Red]\("$"#,##0\)</c:formatCode>
                <c:ptCount val="30"/>
                <c:pt idx="0">
                  <c:v>326352.59000000003</c:v>
                </c:pt>
                <c:pt idx="1">
                  <c:v>247842.14</c:v>
                </c:pt>
                <c:pt idx="2">
                  <c:v>256001.05</c:v>
                </c:pt>
                <c:pt idx="3">
                  <c:v>319553.11</c:v>
                </c:pt>
                <c:pt idx="4">
                  <c:v>373887.89</c:v>
                </c:pt>
                <c:pt idx="5">
                  <c:v>387259.9</c:v>
                </c:pt>
                <c:pt idx="6">
                  <c:v>393896.48</c:v>
                </c:pt>
                <c:pt idx="7">
                  <c:v>318622.86</c:v>
                </c:pt>
                <c:pt idx="8">
                  <c:v>310792.11</c:v>
                </c:pt>
                <c:pt idx="9">
                  <c:v>337545.3</c:v>
                </c:pt>
                <c:pt idx="10">
                  <c:v>407385.79</c:v>
                </c:pt>
                <c:pt idx="11">
                  <c:v>325944.61</c:v>
                </c:pt>
                <c:pt idx="12">
                  <c:v>416865.56</c:v>
                </c:pt>
                <c:pt idx="13">
                  <c:v>403762.36</c:v>
                </c:pt>
                <c:pt idx="14">
                  <c:v>218522.99</c:v>
                </c:pt>
                <c:pt idx="15">
                  <c:v>281784.46000000002</c:v>
                </c:pt>
                <c:pt idx="16">
                  <c:v>231705.38</c:v>
                </c:pt>
                <c:pt idx="17">
                  <c:v>254786.13</c:v>
                </c:pt>
                <c:pt idx="18">
                  <c:v>323671.89</c:v>
                </c:pt>
                <c:pt idx="19">
                  <c:v>334383.06</c:v>
                </c:pt>
                <c:pt idx="20">
                  <c:v>325598.5</c:v>
                </c:pt>
                <c:pt idx="21">
                  <c:v>397934.47</c:v>
                </c:pt>
                <c:pt idx="22">
                  <c:v>304557.78000000003</c:v>
                </c:pt>
                <c:pt idx="23">
                  <c:v>339829.81</c:v>
                </c:pt>
                <c:pt idx="24">
                  <c:v>483670.84</c:v>
                </c:pt>
                <c:pt idx="25">
                  <c:v>402809.53</c:v>
                </c:pt>
                <c:pt idx="26">
                  <c:v>306323.40999999997</c:v>
                </c:pt>
                <c:pt idx="27">
                  <c:v>319539.63</c:v>
                </c:pt>
                <c:pt idx="28">
                  <c:v>234732.53</c:v>
                </c:pt>
                <c:pt idx="29">
                  <c:v>261303.37</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Data!$J$598</c:f>
              <c:strCache>
                <c:ptCount val="1"/>
                <c:pt idx="0">
                  <c:v>Apr-22</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Data!$J$526:$J$600</c:f>
              <c:numCache>
                <c:formatCode>mmm\-yy</c:formatCode>
                <c:ptCount val="7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numCache>
            </c:numRef>
          </c:xVal>
          <c:yVal>
            <c:numRef>
              <c:f>Data!$K$526:$K$600</c:f>
              <c:numCache>
                <c:formatCode>_("$"* #,##0_);_("$"* \(#,##0\);_("$"* "-"_);_(@_)</c:formatCode>
                <c:ptCount val="7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inorUnit val="50"/>
      </c:valAx>
      <c:valAx>
        <c:axId val="41692422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'June''22 AR Aging '!$B$210</c:f>
              <c:strCache>
                <c:ptCount val="1"/>
                <c:pt idx="0">
                  <c:v>Current Month</c:v>
                </c:pt>
              </c:strCache>
            </c:strRef>
          </c:tx>
          <c:spPr>
            <a:solidFill>
              <a:srgbClr val="0070C0"/>
            </a:solidFill>
          </c:spPr>
          <c:invertIfNegative val="0"/>
          <c:val>
            <c:numRef>
              <c:f>'June''22 AR Aging '!$C$210:$N$210</c:f>
            </c:numRef>
          </c:val>
          <c:extLst>
            <c:ext xmlns:c15="http://schemas.microsoft.com/office/drawing/2012/chart" uri="{02D57815-91ED-43cb-92C2-25804820EDAC}">
              <c15:filteredCategoryTitle>
                <c15:cat>
                  <c:multiLvlStrRef>
                    <c:extLst>
                      <c:ext uri="{02D57815-91ED-43cb-92C2-25804820EDAC}">
                        <c15:formulaRef>
                          <c15:sqref>'June''22 AR Aging '!$C$209:$N$209</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'June''22 AR Aging '!$B$211</c:f>
              <c:strCache>
                <c:ptCount val="1"/>
                <c:pt idx="0">
                  <c:v>Previous Month</c:v>
                </c:pt>
              </c:strCache>
            </c:strRef>
          </c:tx>
          <c:spPr>
            <a:solidFill>
              <a:schemeClr val="accent6">
                <a:lumMod val="40000"/>
                <a:lumOff val="60000"/>
              </a:schemeClr>
            </a:solidFill>
          </c:spPr>
          <c:invertIfNegative val="0"/>
          <c:val>
            <c:numRef>
              <c:f>'June''22 AR Aging '!$C$211:$N$211</c:f>
            </c:numRef>
          </c:val>
          <c:extLst>
            <c:ext xmlns:c15="http://schemas.microsoft.com/office/drawing/2012/chart" uri="{02D57815-91ED-43cb-92C2-25804820EDAC}">
              <c15:filteredCategoryTitle>
                <c15:cat>
                  <c:multiLvlStrRef>
                    <c:extLst>
                      <c:ext uri="{02D57815-91ED-43cb-92C2-25804820EDAC}">
                        <c15:formulaRef>
                          <c15:sqref>'June''22 AR Aging '!$C$209:$N$209</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'June''22 AR Aging '!$B$212</c:f>
              <c:strCache>
                <c:ptCount val="1"/>
                <c:pt idx="0">
                  <c:v>Three Months Ago</c:v>
                </c:pt>
              </c:strCache>
            </c:strRef>
          </c:tx>
          <c:spPr>
            <a:solidFill>
              <a:schemeClr val="accent3">
                <a:lumMod val="75000"/>
              </a:schemeClr>
            </a:solidFill>
          </c:spPr>
          <c:invertIfNegative val="0"/>
          <c:val>
            <c:numRef>
              <c:f>'June''22 AR Aging '!$C$212:$N$212</c:f>
            </c:numRef>
          </c:val>
          <c:extLst>
            <c:ext xmlns:c15="http://schemas.microsoft.com/office/drawing/2012/chart" uri="{02D57815-91ED-43cb-92C2-25804820EDAC}">
              <c15:filteredCategoryTitle>
                <c15:cat>
                  <c:multiLvlStrRef>
                    <c:extLst>
                      <c:ext uri="{02D57815-91ED-43cb-92C2-25804820EDAC}">
                        <c15:formulaRef>
                          <c15:sqref>'June''22 AR Aging '!$C$209:$N$209</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'June''22 AR Aging '!$B$213</c:f>
              <c:strCache>
                <c:ptCount val="1"/>
                <c:pt idx="0">
                  <c:v>Older than Three Months</c:v>
                </c:pt>
              </c:strCache>
            </c:strRef>
          </c:tx>
          <c:spPr>
            <a:solidFill>
              <a:schemeClr val="accent4">
                <a:lumMod val="40000"/>
                <a:lumOff val="60000"/>
              </a:schemeClr>
            </a:solidFill>
          </c:spPr>
          <c:invertIfNegative val="0"/>
          <c:val>
            <c:numRef>
              <c:f>'June''22 AR Aging '!$C$213:$N$213</c:f>
            </c:numRef>
          </c:val>
          <c:extLst>
            <c:ext xmlns:c15="http://schemas.microsoft.com/office/drawing/2012/chart" uri="{02D57815-91ED-43cb-92C2-25804820EDAC}">
              <c15:filteredCategoryTitle>
                <c15:cat>
                  <c:multiLvlStrRef>
                    <c:extLst>
                      <c:ext uri="{02D57815-91ED-43cb-92C2-25804820EDAC}">
                        <c15:formulaRef>
                          <c15:sqref>'June''22 AR Aging '!$C$209:$N$209</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203</xdr:row>
      <xdr:rowOff>47625</xdr:rowOff>
    </xdr:from>
    <xdr:to>
      <xdr:col>8</xdr:col>
      <xdr:colOff>523875</xdr:colOff>
      <xdr:row>240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ay/Documents/Audit%20&amp;%20Finanace%20Committe/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row r="71">
          <cell r="G7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449</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90" t="s">
        <v>49</v>
      </c>
      <c r="H5" s="890"/>
      <c r="I5" s="890"/>
      <c r="J5" s="890"/>
      <c r="K5" s="890"/>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809" t="s">
        <v>450</v>
      </c>
      <c r="H7" s="810" t="s">
        <v>451</v>
      </c>
      <c r="I7" s="810" t="s">
        <v>452</v>
      </c>
      <c r="J7" s="810"/>
      <c r="K7" s="811" t="s">
        <v>457</v>
      </c>
      <c r="L7" s="891" t="s">
        <v>421</v>
      </c>
      <c r="M7" s="891"/>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18908</v>
      </c>
      <c r="H9" s="322">
        <v>61000</v>
      </c>
      <c r="I9" s="322">
        <f>G9+H9</f>
        <v>79908</v>
      </c>
      <c r="J9" s="322"/>
      <c r="K9" s="264">
        <v>90000</v>
      </c>
      <c r="L9" s="510">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16159</v>
      </c>
      <c r="H10" s="322">
        <v>25547</v>
      </c>
      <c r="I10" s="322">
        <f>G10+H10</f>
        <v>41706</v>
      </c>
      <c r="J10" s="322"/>
      <c r="K10" s="264">
        <v>50397</v>
      </c>
      <c r="L10" s="510">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f t="shared" ref="I11:I28" si="1">G11+H11</f>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78605</v>
      </c>
      <c r="H12" s="322">
        <f>239968-H10-H13-H14</f>
        <v>121781</v>
      </c>
      <c r="I12" s="322">
        <f t="shared" si="1"/>
        <v>200386</v>
      </c>
      <c r="J12" s="322"/>
      <c r="K12" s="264">
        <v>169789</v>
      </c>
      <c r="L12" s="510">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6000</v>
      </c>
      <c r="H13" s="322">
        <f>1500*8</f>
        <v>12000</v>
      </c>
      <c r="I13" s="322">
        <f t="shared" si="1"/>
        <v>18000</v>
      </c>
      <c r="J13" s="322"/>
      <c r="K13" s="264">
        <v>18000</v>
      </c>
      <c r="L13" s="510">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409</v>
      </c>
      <c r="E14" s="421"/>
      <c r="F14" s="73"/>
      <c r="G14" s="322">
        <v>39088</v>
      </c>
      <c r="H14" s="322">
        <v>80640</v>
      </c>
      <c r="I14" s="322">
        <f t="shared" si="1"/>
        <v>119728</v>
      </c>
      <c r="J14" s="322"/>
      <c r="K14" s="264">
        <v>114072</v>
      </c>
      <c r="L14" s="510">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380</v>
      </c>
      <c r="D15" s="421"/>
      <c r="E15" s="421"/>
      <c r="F15" s="73"/>
      <c r="G15" s="322">
        <v>5511</v>
      </c>
      <c r="H15" s="322">
        <f>17000-G15</f>
        <v>11489</v>
      </c>
      <c r="I15" s="322">
        <f t="shared" si="1"/>
        <v>17000</v>
      </c>
      <c r="J15" s="322"/>
      <c r="K15" s="264">
        <v>17000</v>
      </c>
      <c r="L15" s="510">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228</v>
      </c>
      <c r="H16" s="322">
        <v>684</v>
      </c>
      <c r="I16" s="322">
        <f t="shared" si="1"/>
        <v>912</v>
      </c>
      <c r="J16" s="322"/>
      <c r="K16" s="264">
        <v>1200</v>
      </c>
      <c r="L16" s="510">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-405</v>
      </c>
      <c r="H17" s="322">
        <f>400*8-1000</f>
        <v>2200</v>
      </c>
      <c r="I17" s="322">
        <f t="shared" si="1"/>
        <v>1795</v>
      </c>
      <c r="J17" s="322"/>
      <c r="K17" s="264">
        <v>4680</v>
      </c>
      <c r="L17" s="510">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12304</v>
      </c>
      <c r="H18" s="322">
        <v>1500</v>
      </c>
      <c r="I18" s="322">
        <f t="shared" si="1"/>
        <v>13804</v>
      </c>
      <c r="J18" s="322"/>
      <c r="K18" s="264">
        <v>1500</v>
      </c>
      <c r="L18" s="510">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422</v>
      </c>
      <c r="D19" s="421"/>
      <c r="E19" s="421"/>
      <c r="F19" s="73"/>
      <c r="G19" s="322"/>
      <c r="H19" s="322"/>
      <c r="I19" s="322">
        <f t="shared" si="1"/>
        <v>0</v>
      </c>
      <c r="J19" s="322"/>
      <c r="K19" s="264"/>
      <c r="L19" s="510">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0">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08"/>
      <c r="D21" s="421" t="s">
        <v>17</v>
      </c>
      <c r="E21" s="808"/>
      <c r="F21" s="808"/>
      <c r="G21" s="322">
        <f>48000/12*4</f>
        <v>16000</v>
      </c>
      <c r="H21" s="322">
        <f>48000-G21</f>
        <v>32000</v>
      </c>
      <c r="I21" s="322">
        <f t="shared" si="1"/>
        <v>48000</v>
      </c>
      <c r="J21" s="322"/>
      <c r="K21" s="264">
        <v>48000</v>
      </c>
      <c r="L21" s="510">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08"/>
      <c r="D22" s="421" t="s">
        <v>453</v>
      </c>
      <c r="E22" s="808"/>
      <c r="F22" s="808"/>
      <c r="G22" s="322">
        <v>3000</v>
      </c>
      <c r="H22" s="322">
        <v>12000</v>
      </c>
      <c r="I22" s="322">
        <f t="shared" si="1"/>
        <v>15000</v>
      </c>
      <c r="J22" s="322"/>
      <c r="K22" s="264">
        <v>0</v>
      </c>
      <c r="L22" s="510">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324</v>
      </c>
      <c r="D23" s="808"/>
      <c r="E23" s="808"/>
      <c r="F23" s="808"/>
      <c r="G23" s="322">
        <v>3150</v>
      </c>
      <c r="H23" s="322">
        <v>0</v>
      </c>
      <c r="I23" s="322">
        <f t="shared" si="1"/>
        <v>3150</v>
      </c>
      <c r="J23" s="322"/>
      <c r="K23" s="264"/>
      <c r="L23" s="510">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109</v>
      </c>
      <c r="D24" s="808"/>
      <c r="E24" s="808"/>
      <c r="F24" s="808"/>
      <c r="G24" s="322">
        <v>17580</v>
      </c>
      <c r="H24" s="322">
        <f>H35</f>
        <v>35160</v>
      </c>
      <c r="I24" s="322">
        <f t="shared" si="1"/>
        <v>52740</v>
      </c>
      <c r="J24" s="322"/>
      <c r="K24" s="322">
        <v>46576</v>
      </c>
      <c r="L24" s="510">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425</v>
      </c>
      <c r="D25" s="808"/>
      <c r="E25" s="808"/>
      <c r="F25" s="808"/>
      <c r="G25" s="322">
        <v>5055</v>
      </c>
      <c r="H25" s="322">
        <f>15000+250</f>
        <v>15250</v>
      </c>
      <c r="I25" s="322">
        <f t="shared" si="1"/>
        <v>20305</v>
      </c>
      <c r="J25" s="322"/>
      <c r="K25" s="322">
        <v>21600</v>
      </c>
      <c r="L25" s="510">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102</v>
      </c>
      <c r="D26" s="808"/>
      <c r="E26" s="808"/>
      <c r="F26" s="808"/>
      <c r="G26" s="322">
        <f>18500/12*4</f>
        <v>6166.666666666667</v>
      </c>
      <c r="H26" s="322">
        <f>18500-G26</f>
        <v>12333.333333333332</v>
      </c>
      <c r="I26" s="322">
        <f t="shared" si="1"/>
        <v>18500</v>
      </c>
      <c r="J26" s="322"/>
      <c r="K26" s="322">
        <v>19000</v>
      </c>
      <c r="L26" s="510">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321</v>
      </c>
      <c r="D27" s="808"/>
      <c r="E27" s="808"/>
      <c r="F27" s="808"/>
      <c r="G27" s="322">
        <f>41600/12*4</f>
        <v>13866.666666666666</v>
      </c>
      <c r="H27" s="322">
        <f>3466.67*8</f>
        <v>27733.360000000001</v>
      </c>
      <c r="I27" s="322">
        <f t="shared" si="1"/>
        <v>41600.026666666665</v>
      </c>
      <c r="J27" s="322"/>
      <c r="K27" s="322">
        <v>50000</v>
      </c>
      <c r="L27" s="510">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323</v>
      </c>
      <c r="D28" s="808"/>
      <c r="E28" s="808"/>
      <c r="F28" s="808"/>
      <c r="G28" s="322">
        <f>27832-G26-G27</f>
        <v>7798.6666666666661</v>
      </c>
      <c r="H28" s="322">
        <v>11317</v>
      </c>
      <c r="I28" s="322">
        <f t="shared" si="1"/>
        <v>19115.666666666664</v>
      </c>
      <c r="J28" s="322"/>
      <c r="K28" s="322">
        <v>16835</v>
      </c>
      <c r="L28" s="510">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105</v>
      </c>
      <c r="E29" s="421"/>
      <c r="F29" s="73"/>
      <c r="G29" s="759">
        <f>SUM(G8:G28)</f>
        <v>457054.00000000006</v>
      </c>
      <c r="H29" s="759">
        <f>SUM(H8:H28)</f>
        <v>990861.69333333336</v>
      </c>
      <c r="I29" s="759">
        <f>SUM(I8:I28)</f>
        <v>1447915.6933333334</v>
      </c>
      <c r="J29" s="759"/>
      <c r="K29" s="759">
        <f>SUM(K8:K28)</f>
        <v>1400835</v>
      </c>
      <c r="L29" s="760">
        <f>SUM(L8:L28)</f>
        <v>47080.693333333329</v>
      </c>
      <c r="M29" s="761">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6"/>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62">
        <v>932770</v>
      </c>
      <c r="L32" s="510">
        <f>I32-K32</f>
        <v>-15224.489999999991</v>
      </c>
      <c r="M32" s="437">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63">
        <v>181856</v>
      </c>
      <c r="L33" s="510">
        <f>I33-K33</f>
        <v>9496.7999999999884</v>
      </c>
      <c r="M33" s="437">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63">
        <v>1800</v>
      </c>
      <c r="L34" s="510">
        <f t="shared" ref="L34:L49" si="4">I34-K34</f>
        <v>0</v>
      </c>
      <c r="M34" s="437">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63">
        <v>46576</v>
      </c>
      <c r="L35" s="510">
        <f t="shared" si="4"/>
        <v>6164</v>
      </c>
      <c r="M35" s="437">
        <f t="shared" si="5"/>
        <v>0.13234283751288217</v>
      </c>
    </row>
    <row r="36" spans="1:15" s="68" customFormat="1" ht="20.25" x14ac:dyDescent="0.2">
      <c r="A36" s="67"/>
      <c r="B36" s="67"/>
      <c r="C36" s="79" t="s">
        <v>115</v>
      </c>
      <c r="D36" s="79"/>
      <c r="E36" s="79"/>
      <c r="F36" s="79"/>
      <c r="G36" s="232">
        <v>6970</v>
      </c>
      <c r="H36" s="322">
        <v>13232</v>
      </c>
      <c r="I36" s="322">
        <f t="shared" si="3"/>
        <v>20202</v>
      </c>
      <c r="J36" s="322"/>
      <c r="K36" s="763">
        <v>19873</v>
      </c>
      <c r="L36" s="510">
        <f t="shared" si="4"/>
        <v>329</v>
      </c>
      <c r="M36" s="437">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63">
        <v>2736</v>
      </c>
      <c r="L37" s="510">
        <f t="shared" si="4"/>
        <v>0</v>
      </c>
      <c r="M37" s="437">
        <f t="shared" si="5"/>
        <v>0</v>
      </c>
      <c r="O37" s="812"/>
    </row>
    <row r="38" spans="1:15" s="68" customFormat="1" ht="20.25" x14ac:dyDescent="0.2">
      <c r="A38" s="67"/>
      <c r="B38" s="67"/>
      <c r="C38" s="79" t="s">
        <v>117</v>
      </c>
      <c r="D38" s="79"/>
      <c r="E38" s="79"/>
      <c r="F38" s="79"/>
      <c r="G38" s="232">
        <v>1426</v>
      </c>
      <c r="H38" s="322">
        <v>4352</v>
      </c>
      <c r="I38" s="322">
        <f t="shared" si="3"/>
        <v>5778</v>
      </c>
      <c r="J38" s="322"/>
      <c r="K38" s="763">
        <v>5022</v>
      </c>
      <c r="L38" s="510">
        <f t="shared" si="4"/>
        <v>756</v>
      </c>
      <c r="M38" s="437">
        <f t="shared" si="5"/>
        <v>0.15053763440860216</v>
      </c>
    </row>
    <row r="39" spans="1:15" s="68" customFormat="1" ht="20.25" x14ac:dyDescent="0.2">
      <c r="A39" s="67"/>
      <c r="B39" s="67"/>
      <c r="C39" s="79" t="s">
        <v>118</v>
      </c>
      <c r="D39" s="79"/>
      <c r="E39" s="79"/>
      <c r="F39" s="79"/>
      <c r="G39" s="232">
        <v>286</v>
      </c>
      <c r="H39" s="322">
        <v>7958</v>
      </c>
      <c r="I39" s="322">
        <f t="shared" si="3"/>
        <v>8244</v>
      </c>
      <c r="J39" s="322"/>
      <c r="K39" s="763">
        <v>6244</v>
      </c>
      <c r="L39" s="510">
        <f t="shared" si="4"/>
        <v>2000</v>
      </c>
      <c r="M39" s="437">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63">
        <v>40180</v>
      </c>
      <c r="L40" s="510">
        <f t="shared" si="4"/>
        <v>1541</v>
      </c>
      <c r="M40" s="437">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63">
        <v>4270</v>
      </c>
      <c r="L41" s="510">
        <f t="shared" si="4"/>
        <v>943</v>
      </c>
      <c r="M41" s="437">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63">
        <v>1020</v>
      </c>
      <c r="L42" s="510">
        <f t="shared" si="4"/>
        <v>0</v>
      </c>
      <c r="M42" s="437">
        <f t="shared" si="5"/>
        <v>0</v>
      </c>
    </row>
    <row r="43" spans="1:15" s="68" customFormat="1" ht="20.25" x14ac:dyDescent="0.2">
      <c r="A43" s="67"/>
      <c r="B43" s="67"/>
      <c r="C43" s="79" t="s">
        <v>166</v>
      </c>
      <c r="D43" s="79"/>
      <c r="E43" s="79"/>
      <c r="F43" s="79"/>
      <c r="G43" s="232">
        <v>10200</v>
      </c>
      <c r="H43" s="322">
        <f>2800+125+25</f>
        <v>2950</v>
      </c>
      <c r="I43" s="322">
        <f t="shared" si="3"/>
        <v>13150</v>
      </c>
      <c r="J43" s="322"/>
      <c r="K43" s="763">
        <v>13618</v>
      </c>
      <c r="L43" s="510">
        <f t="shared" si="4"/>
        <v>-468</v>
      </c>
      <c r="M43" s="437">
        <f t="shared" si="5"/>
        <v>-3.4366279923630491E-2</v>
      </c>
    </row>
    <row r="44" spans="1:15" s="68" customFormat="1" ht="20.25" x14ac:dyDescent="0.2">
      <c r="A44" s="67"/>
      <c r="B44" s="67"/>
      <c r="C44" s="892" t="s">
        <v>326</v>
      </c>
      <c r="D44" s="892"/>
      <c r="E44" s="892"/>
      <c r="F44" s="892"/>
      <c r="G44" s="232"/>
      <c r="H44" s="322">
        <f>SUM([1]Transportaton!N46:S46)</f>
        <v>0</v>
      </c>
      <c r="I44" s="322">
        <f t="shared" si="3"/>
        <v>0</v>
      </c>
      <c r="J44" s="322"/>
      <c r="K44" s="322">
        <f t="shared" si="3"/>
        <v>0</v>
      </c>
      <c r="L44" s="510">
        <f t="shared" si="4"/>
        <v>0</v>
      </c>
      <c r="M44" s="437"/>
      <c r="O44" s="742"/>
    </row>
    <row r="45" spans="1:15" s="68" customFormat="1" ht="20.25" x14ac:dyDescent="0.2">
      <c r="A45" s="67"/>
      <c r="B45" s="67"/>
      <c r="C45" s="79" t="s">
        <v>122</v>
      </c>
      <c r="D45" s="79"/>
      <c r="E45" s="79"/>
      <c r="F45" s="79"/>
      <c r="G45" s="322">
        <v>7626</v>
      </c>
      <c r="H45" s="322">
        <v>7740</v>
      </c>
      <c r="I45" s="322">
        <f t="shared" si="3"/>
        <v>15366</v>
      </c>
      <c r="J45" s="322"/>
      <c r="K45" s="763">
        <v>13802</v>
      </c>
      <c r="L45" s="510">
        <f t="shared" si="4"/>
        <v>1564</v>
      </c>
      <c r="M45" s="437">
        <f t="shared" si="5"/>
        <v>0.11331691059266773</v>
      </c>
    </row>
    <row r="46" spans="1:15" s="68" customFormat="1" ht="20.25" x14ac:dyDescent="0.2">
      <c r="A46" s="67"/>
      <c r="B46" s="67"/>
      <c r="C46" s="79" t="s">
        <v>123</v>
      </c>
      <c r="D46" s="79"/>
      <c r="E46" s="79"/>
      <c r="F46" s="79"/>
      <c r="G46" s="322">
        <v>3742</v>
      </c>
      <c r="H46" s="322">
        <v>7566</v>
      </c>
      <c r="I46" s="322">
        <f t="shared" si="3"/>
        <v>11308</v>
      </c>
      <c r="J46" s="322"/>
      <c r="K46" s="763">
        <v>10740</v>
      </c>
      <c r="L46" s="510">
        <f t="shared" si="4"/>
        <v>568</v>
      </c>
      <c r="M46" s="437">
        <f t="shared" si="5"/>
        <v>5.2886405959031657E-2</v>
      </c>
      <c r="O46" s="742"/>
    </row>
    <row r="47" spans="1:15" s="68" customFormat="1" ht="20.25" x14ac:dyDescent="0.2">
      <c r="A47" s="67"/>
      <c r="B47" s="67"/>
      <c r="C47" s="79" t="s">
        <v>130</v>
      </c>
      <c r="D47" s="79"/>
      <c r="E47" s="79"/>
      <c r="F47" s="79"/>
      <c r="G47" s="232">
        <v>340</v>
      </c>
      <c r="H47" s="322">
        <v>1140</v>
      </c>
      <c r="I47" s="322">
        <f t="shared" si="3"/>
        <v>1480</v>
      </c>
      <c r="J47" s="322"/>
      <c r="K47" s="763">
        <v>1470</v>
      </c>
      <c r="L47" s="510">
        <f t="shared" si="4"/>
        <v>10</v>
      </c>
      <c r="M47" s="437">
        <f t="shared" si="5"/>
        <v>6.8027210884353739E-3</v>
      </c>
    </row>
    <row r="48" spans="1:15" s="68" customFormat="1" ht="20.25" x14ac:dyDescent="0.2">
      <c r="A48" s="67"/>
      <c r="B48" s="67"/>
      <c r="C48" s="79" t="s">
        <v>124</v>
      </c>
      <c r="D48" s="79"/>
      <c r="E48" s="79"/>
      <c r="F48" s="79"/>
      <c r="G48" s="322"/>
      <c r="H48" s="322">
        <v>2500</v>
      </c>
      <c r="I48" s="322">
        <f t="shared" si="3"/>
        <v>2500</v>
      </c>
      <c r="J48" s="322"/>
      <c r="K48" s="763">
        <v>3000</v>
      </c>
      <c r="L48" s="510">
        <f t="shared" si="4"/>
        <v>-500</v>
      </c>
      <c r="M48" s="437">
        <f t="shared" si="5"/>
        <v>-0.16666666666666666</v>
      </c>
      <c r="O48" s="742"/>
    </row>
    <row r="49" spans="1:17" s="68" customFormat="1" ht="20.25" customHeight="1" x14ac:dyDescent="0.2">
      <c r="A49" s="67"/>
      <c r="B49" s="67"/>
      <c r="C49" s="79" t="s">
        <v>199</v>
      </c>
      <c r="D49" s="79"/>
      <c r="E49" s="79"/>
      <c r="F49" s="79"/>
      <c r="G49" s="232">
        <v>462</v>
      </c>
      <c r="H49" s="322">
        <v>4500</v>
      </c>
      <c r="I49" s="322">
        <f t="shared" si="3"/>
        <v>4962</v>
      </c>
      <c r="J49" s="322"/>
      <c r="K49" s="763">
        <v>9980</v>
      </c>
      <c r="L49" s="510">
        <f t="shared" si="4"/>
        <v>-5018</v>
      </c>
      <c r="M49" s="437">
        <f t="shared" si="5"/>
        <v>-0.50280561122244494</v>
      </c>
    </row>
    <row r="50" spans="1:17" s="76" customFormat="1" ht="20.25" x14ac:dyDescent="0.2">
      <c r="A50" s="79"/>
      <c r="B50" s="79"/>
      <c r="C50" s="79" t="s">
        <v>126</v>
      </c>
      <c r="D50" s="79"/>
      <c r="E50" s="79"/>
      <c r="F50" s="79"/>
      <c r="G50" s="322">
        <v>5810</v>
      </c>
      <c r="H50" s="322">
        <v>21380</v>
      </c>
      <c r="I50" s="322">
        <f>G50+H50</f>
        <v>27190</v>
      </c>
      <c r="J50" s="322"/>
      <c r="K50" s="763">
        <v>8437</v>
      </c>
      <c r="L50" s="510">
        <f>I50-K50</f>
        <v>18753</v>
      </c>
      <c r="M50" s="437">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63">
        <v>54075</v>
      </c>
      <c r="L51" s="510">
        <f t="shared" ref="L51:L53" si="7">I51-K51</f>
        <v>3373</v>
      </c>
      <c r="M51" s="437">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63">
        <v>42592</v>
      </c>
      <c r="L52" s="510">
        <f t="shared" si="7"/>
        <v>28895</v>
      </c>
      <c r="M52" s="437">
        <f t="shared" si="8"/>
        <v>0.67841378662659657</v>
      </c>
    </row>
    <row r="53" spans="1:17" s="68" customFormat="1" ht="21" thickBot="1" x14ac:dyDescent="0.25">
      <c r="A53" s="67"/>
      <c r="B53" s="67"/>
      <c r="C53" s="79" t="s">
        <v>411</v>
      </c>
      <c r="D53" s="79"/>
      <c r="E53" s="79"/>
      <c r="F53" s="79"/>
      <c r="G53" s="241">
        <v>660</v>
      </c>
      <c r="H53" s="399">
        <f>660/4*5</f>
        <v>825</v>
      </c>
      <c r="I53" s="399">
        <f t="shared" si="6"/>
        <v>1485</v>
      </c>
      <c r="J53" s="399"/>
      <c r="K53" s="764">
        <v>1980</v>
      </c>
      <c r="L53" s="513">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61">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65" t="s">
        <v>426</v>
      </c>
      <c r="D56"/>
      <c r="E56" s="67"/>
      <c r="F56" s="67"/>
      <c r="G56" s="242">
        <f>G29-G54</f>
        <v>-10571.309999999939</v>
      </c>
      <c r="H56" s="242">
        <f>H29-H54</f>
        <v>3758.6933333333582</v>
      </c>
      <c r="I56" s="242">
        <f>G56+H56</f>
        <v>-6812.6166666665813</v>
      </c>
      <c r="J56" s="232"/>
      <c r="K56" s="242">
        <f>K29-K54</f>
        <v>-1206</v>
      </c>
      <c r="L56" s="766">
        <f t="shared" ref="L56" si="9">I56-K56</f>
        <v>-5606.6166666665813</v>
      </c>
      <c r="M56" s="761">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65" t="s">
        <v>427</v>
      </c>
      <c r="D60"/>
      <c r="E60"/>
      <c r="F60"/>
      <c r="G60" s="767">
        <f>G56-G58</f>
        <v>-23391.309999999939</v>
      </c>
      <c r="H60" s="767">
        <f>H56-H58</f>
        <v>-21887.306666666642</v>
      </c>
      <c r="I60" s="767">
        <f>I56-I58</f>
        <v>-45278.616666666581</v>
      </c>
      <c r="J60" s="237"/>
      <c r="K60" s="767">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428</v>
      </c>
      <c r="G64" s="232"/>
      <c r="H64" s="232"/>
      <c r="I64" s="232"/>
      <c r="J64" s="232"/>
      <c r="K64" s="232"/>
    </row>
    <row r="65" spans="1:11" s="68" customFormat="1" ht="20.25" x14ac:dyDescent="0.2">
      <c r="A65" s="67"/>
      <c r="B65" s="67"/>
      <c r="D65" s="79"/>
      <c r="E65" s="67"/>
      <c r="F65" s="813" t="s">
        <v>454</v>
      </c>
      <c r="G65" s="232"/>
      <c r="H65" s="232"/>
      <c r="I65" s="232"/>
      <c r="J65" s="232"/>
      <c r="K65" s="232"/>
    </row>
    <row r="66" spans="1:11" s="68" customFormat="1" ht="23.25" x14ac:dyDescent="0.2">
      <c r="A66" s="67"/>
      <c r="B66" s="271"/>
      <c r="C66" s="67"/>
      <c r="D66" s="67"/>
      <c r="E66" s="67"/>
      <c r="F66" s="813" t="s">
        <v>455</v>
      </c>
      <c r="G66" s="237"/>
      <c r="H66" s="237"/>
      <c r="I66" s="237"/>
      <c r="J66" s="237"/>
      <c r="K66" s="237"/>
    </row>
    <row r="67" spans="1:11" s="68" customFormat="1" ht="20.25" x14ac:dyDescent="0.2">
      <c r="A67" s="67"/>
      <c r="B67" s="67"/>
      <c r="C67" s="67"/>
      <c r="D67" s="67"/>
      <c r="E67" s="67"/>
      <c r="F67" s="813" t="s">
        <v>456</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opLeftCell="A18" zoomScaleNormal="100" workbookViewId="0">
      <selection activeCell="A76" sqref="A76:H76"/>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21" t="s">
        <v>171</v>
      </c>
      <c r="B1" s="921"/>
      <c r="C1" s="921"/>
      <c r="D1" s="921"/>
      <c r="E1" s="921"/>
      <c r="F1" s="921"/>
      <c r="G1" s="921"/>
      <c r="H1" s="921"/>
    </row>
    <row r="2" spans="1:8" ht="23.25" x14ac:dyDescent="0.2">
      <c r="A2" s="921" t="s">
        <v>172</v>
      </c>
      <c r="B2" s="921"/>
      <c r="C2" s="921"/>
      <c r="D2" s="921"/>
      <c r="E2" s="921"/>
      <c r="F2" s="921"/>
      <c r="G2" s="921"/>
      <c r="H2" s="921"/>
    </row>
    <row r="3" spans="1:8" ht="23.25" x14ac:dyDescent="0.2">
      <c r="A3" s="922">
        <v>44768</v>
      </c>
      <c r="B3" s="922"/>
      <c r="C3" s="922"/>
      <c r="D3" s="922"/>
      <c r="E3" s="922"/>
      <c r="F3" s="922"/>
      <c r="G3" s="922"/>
      <c r="H3" s="922"/>
    </row>
    <row r="4" spans="1:8" ht="21.75" customHeight="1" x14ac:dyDescent="0.2">
      <c r="A4" s="924" t="s">
        <v>182</v>
      </c>
      <c r="B4" s="924"/>
      <c r="C4" s="924"/>
      <c r="D4" s="924"/>
      <c r="E4" s="924"/>
      <c r="F4" s="924"/>
      <c r="G4" s="924"/>
      <c r="H4" s="924"/>
    </row>
    <row r="5" spans="1:8" ht="83.25" customHeight="1" x14ac:dyDescent="0.2">
      <c r="A5" s="894" t="s">
        <v>574</v>
      </c>
      <c r="B5" s="894"/>
      <c r="C5" s="894"/>
      <c r="D5" s="894"/>
      <c r="E5" s="894"/>
      <c r="F5" s="894"/>
      <c r="G5" s="894"/>
      <c r="H5" s="894"/>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95" t="s">
        <v>568</v>
      </c>
      <c r="B9" s="895"/>
      <c r="C9" s="895"/>
      <c r="D9" s="895"/>
      <c r="E9" s="895"/>
      <c r="F9" s="895"/>
      <c r="G9" s="895"/>
      <c r="H9" s="895"/>
    </row>
    <row r="10" spans="1:8" ht="15.75" x14ac:dyDescent="0.25">
      <c r="A10" s="447"/>
      <c r="B10" s="904"/>
      <c r="C10" s="904"/>
      <c r="D10" s="438"/>
      <c r="E10" s="444" t="s">
        <v>49</v>
      </c>
      <c r="F10" s="444" t="s">
        <v>360</v>
      </c>
      <c r="G10" s="439"/>
      <c r="H10" s="447"/>
    </row>
    <row r="11" spans="1:8" ht="15.75" customHeight="1" x14ac:dyDescent="0.25">
      <c r="A11" s="447"/>
      <c r="C11" s="923" t="s">
        <v>379</v>
      </c>
      <c r="D11" s="923"/>
      <c r="E11" s="475">
        <f>'June''22 AR Aging '!G8</f>
        <v>35313.550000000003</v>
      </c>
      <c r="F11" s="679">
        <f>E11/E$18</f>
        <v>0.13514377166756658</v>
      </c>
      <c r="G11" s="440"/>
      <c r="H11" s="447"/>
    </row>
    <row r="12" spans="1:8" ht="15.75" customHeight="1" x14ac:dyDescent="0.25">
      <c r="A12" s="447"/>
      <c r="C12" s="923" t="s">
        <v>377</v>
      </c>
      <c r="D12" s="923"/>
      <c r="E12" s="478">
        <f>'June''22 AR Aging '!G32</f>
        <v>48726.09</v>
      </c>
      <c r="F12" s="679">
        <f t="shared" ref="F12:F17" si="0">E12/E$18</f>
        <v>0.18647311247986392</v>
      </c>
      <c r="G12" s="440"/>
      <c r="H12" s="447"/>
    </row>
    <row r="13" spans="1:8" ht="15.75" customHeight="1" x14ac:dyDescent="0.25">
      <c r="A13" s="447"/>
      <c r="C13" s="923" t="s">
        <v>378</v>
      </c>
      <c r="D13" s="923"/>
      <c r="E13" s="478">
        <f>'June''22 AR Aging '!G14</f>
        <v>62643.6</v>
      </c>
      <c r="F13" s="679">
        <f t="shared" si="0"/>
        <v>0.23973495654881408</v>
      </c>
      <c r="G13" s="440"/>
      <c r="H13" s="447"/>
    </row>
    <row r="14" spans="1:8" ht="15.75" customHeight="1" x14ac:dyDescent="0.25">
      <c r="A14" s="447"/>
      <c r="C14" s="904" t="s">
        <v>44</v>
      </c>
      <c r="D14" s="904"/>
      <c r="E14" s="478">
        <f>'June''22 AR Aging '!G43</f>
        <v>21572.95</v>
      </c>
      <c r="F14" s="679">
        <f t="shared" si="0"/>
        <v>8.2558956236227471E-2</v>
      </c>
      <c r="G14" s="440"/>
      <c r="H14" s="447"/>
    </row>
    <row r="15" spans="1:8" ht="15.75" customHeight="1" x14ac:dyDescent="0.25">
      <c r="A15" s="447"/>
      <c r="C15" s="904" t="s">
        <v>445</v>
      </c>
      <c r="D15" s="904"/>
      <c r="E15" s="478">
        <f>'June''22 AR Aging '!G51+'June''22 AR Aging '!G56+'June''22 AR Aging '!G58+'June''22 AR Aging '!G39+'June''22 AR Aging '!G40+'June''22 AR Aging '!G71+'June''22 AR Aging '!G67</f>
        <v>79187.39</v>
      </c>
      <c r="F15" s="679">
        <f t="shared" si="0"/>
        <v>0.3030474861097382</v>
      </c>
      <c r="G15" s="440"/>
      <c r="H15" s="447"/>
    </row>
    <row r="16" spans="1:8" ht="15.75" customHeight="1" x14ac:dyDescent="0.25">
      <c r="A16" s="666"/>
      <c r="C16" s="904" t="s">
        <v>337</v>
      </c>
      <c r="D16" s="904"/>
      <c r="E16" s="478">
        <f>'June''22 AR Aging '!G65+'June''22 AR Aging '!G41</f>
        <v>3360</v>
      </c>
      <c r="F16" s="679">
        <f t="shared" si="0"/>
        <v>1.2858607327867736E-2</v>
      </c>
      <c r="G16" s="440"/>
      <c r="H16" s="666"/>
    </row>
    <row r="17" spans="1:13" ht="15.75" customHeight="1" x14ac:dyDescent="0.25">
      <c r="A17" s="447"/>
      <c r="C17" s="904" t="s">
        <v>350</v>
      </c>
      <c r="D17" s="904"/>
      <c r="E17" s="478">
        <f>'June''22 AR Aging '!G60+'June''22 AR Aging '!G42+'June''22 AR Aging '!G62+'June''22 AR Aging '!G64</f>
        <v>10499.99</v>
      </c>
      <c r="F17" s="679">
        <f t="shared" si="0"/>
        <v>4.0183109629922005E-2</v>
      </c>
      <c r="G17" s="440"/>
      <c r="H17" s="447"/>
    </row>
    <row r="18" spans="1:13" ht="16.5" customHeight="1" thickBot="1" x14ac:dyDescent="0.3">
      <c r="A18" s="447"/>
      <c r="B18" s="904" t="s">
        <v>473</v>
      </c>
      <c r="C18" s="904"/>
      <c r="D18" s="904"/>
      <c r="E18" s="445">
        <f>SUM(E11:E17)</f>
        <v>261303.57</v>
      </c>
      <c r="F18" s="680">
        <f>SUM(F11:F17)</f>
        <v>0.99999999999999989</v>
      </c>
      <c r="G18" s="670"/>
      <c r="H18" s="447"/>
    </row>
    <row r="19" spans="1:13" ht="38.25" customHeight="1" thickTop="1" x14ac:dyDescent="0.2">
      <c r="A19" s="548"/>
      <c r="B19" s="548"/>
      <c r="C19" s="548"/>
      <c r="D19" s="548"/>
      <c r="E19" s="548"/>
      <c r="F19" s="548"/>
      <c r="G19" s="548"/>
      <c r="H19" s="548"/>
    </row>
    <row r="20" spans="1:13" ht="88.5" customHeight="1" x14ac:dyDescent="0.2">
      <c r="A20" s="548"/>
      <c r="B20" s="548"/>
      <c r="C20" s="548"/>
      <c r="D20" s="548"/>
      <c r="E20" s="548"/>
      <c r="F20" s="548"/>
      <c r="G20" s="548"/>
      <c r="H20" s="548"/>
    </row>
    <row r="21" spans="1:13" ht="88.5" customHeight="1" x14ac:dyDescent="0.2">
      <c r="A21" s="548"/>
      <c r="B21" s="548"/>
      <c r="C21" s="548"/>
      <c r="D21" s="548"/>
      <c r="E21" s="548"/>
      <c r="F21" s="548"/>
      <c r="G21" s="548"/>
      <c r="H21" s="548"/>
    </row>
    <row r="22" spans="1:13" ht="88.5" customHeight="1" x14ac:dyDescent="0.2">
      <c r="A22" s="548"/>
      <c r="B22" s="548"/>
      <c r="C22" s="548"/>
      <c r="D22" s="548"/>
      <c r="E22" s="548"/>
      <c r="F22" s="548"/>
      <c r="G22" s="548"/>
      <c r="H22" s="548"/>
    </row>
    <row r="23" spans="1:13" ht="35.25" hidden="1" customHeight="1" x14ac:dyDescent="0.2">
      <c r="A23" s="894" t="s">
        <v>279</v>
      </c>
      <c r="B23" s="894"/>
      <c r="C23" s="894"/>
      <c r="D23" s="894"/>
      <c r="E23" s="894"/>
      <c r="F23" s="894"/>
      <c r="G23" s="894"/>
      <c r="H23" s="894"/>
    </row>
    <row r="24" spans="1:13" ht="15" customHeight="1" x14ac:dyDescent="0.2">
      <c r="A24" s="548"/>
      <c r="B24" s="548"/>
      <c r="C24" s="548"/>
      <c r="D24" s="548"/>
      <c r="E24" s="548"/>
      <c r="F24" s="548"/>
      <c r="G24" s="548"/>
      <c r="H24" s="548"/>
    </row>
    <row r="25" spans="1:13" ht="55.5" customHeight="1" x14ac:dyDescent="0.2">
      <c r="A25" s="894" t="s">
        <v>569</v>
      </c>
      <c r="B25" s="894"/>
      <c r="C25" s="894"/>
      <c r="D25" s="894"/>
      <c r="E25" s="894"/>
      <c r="F25" s="894"/>
      <c r="G25" s="894"/>
      <c r="H25" s="894"/>
      <c r="L25" s="704"/>
    </row>
    <row r="26" spans="1:13" ht="38.25" customHeight="1" x14ac:dyDescent="0.2">
      <c r="A26" s="671"/>
      <c r="B26" s="671"/>
      <c r="C26" s="671"/>
      <c r="D26" s="671"/>
      <c r="E26" s="671"/>
      <c r="F26" s="671"/>
      <c r="G26" s="671"/>
      <c r="H26" s="671"/>
      <c r="L26" s="711"/>
    </row>
    <row r="27" spans="1:13" ht="38.25" customHeight="1" x14ac:dyDescent="0.2">
      <c r="A27" s="671"/>
      <c r="B27" s="671"/>
      <c r="C27" s="671"/>
      <c r="D27" s="671"/>
      <c r="E27" s="671"/>
      <c r="F27" s="671"/>
      <c r="G27" s="671"/>
      <c r="H27" s="671"/>
      <c r="J27" s="704"/>
      <c r="L27" s="711"/>
      <c r="M27" s="711"/>
    </row>
    <row r="28" spans="1:13" ht="38.25" customHeight="1" x14ac:dyDescent="0.2">
      <c r="A28" s="671"/>
      <c r="B28" s="671"/>
      <c r="C28" s="671"/>
      <c r="D28" s="671"/>
      <c r="E28" s="671"/>
      <c r="F28" s="671"/>
      <c r="G28" s="671"/>
      <c r="H28" s="671"/>
      <c r="J28" s="704"/>
      <c r="L28" s="711"/>
    </row>
    <row r="29" spans="1:13" ht="38.25" customHeight="1" x14ac:dyDescent="0.2">
      <c r="A29" s="671"/>
      <c r="B29" s="671"/>
      <c r="C29" s="671"/>
      <c r="D29" s="671"/>
      <c r="E29" s="671"/>
      <c r="F29" s="671"/>
      <c r="G29" s="671"/>
      <c r="H29" s="671"/>
    </row>
    <row r="30" spans="1:13" ht="38.25" customHeight="1" x14ac:dyDescent="0.2">
      <c r="A30" s="671"/>
      <c r="B30" s="671"/>
      <c r="C30" s="671"/>
      <c r="D30" s="671"/>
      <c r="E30" s="671"/>
      <c r="F30" s="671"/>
      <c r="G30" s="671"/>
      <c r="H30" s="671"/>
      <c r="J30" s="711"/>
    </row>
    <row r="31" spans="1:13" ht="38.25" customHeight="1" x14ac:dyDescent="0.2">
      <c r="A31" s="671"/>
      <c r="B31" s="671"/>
      <c r="C31" s="671"/>
      <c r="D31" s="671"/>
      <c r="E31" s="671"/>
      <c r="F31" s="671"/>
      <c r="G31" s="671"/>
      <c r="H31" s="671"/>
      <c r="J31" s="711"/>
    </row>
    <row r="32" spans="1:13" ht="38.25" customHeight="1" x14ac:dyDescent="0.2">
      <c r="A32" s="671"/>
      <c r="B32" s="671"/>
      <c r="C32" s="671"/>
      <c r="D32" s="671"/>
      <c r="E32" s="671"/>
      <c r="F32" s="671"/>
      <c r="G32" s="671"/>
      <c r="H32" s="671"/>
    </row>
    <row r="33" spans="1:12" ht="21.75" customHeight="1" x14ac:dyDescent="0.2">
      <c r="A33" s="671"/>
      <c r="B33" s="671"/>
      <c r="C33" s="671"/>
      <c r="D33" s="671"/>
      <c r="E33" s="671"/>
      <c r="F33" s="671"/>
      <c r="G33" s="671"/>
      <c r="H33" s="671"/>
    </row>
    <row r="34" spans="1:12" ht="30" hidden="1" customHeight="1" x14ac:dyDescent="0.25">
      <c r="A34" s="477"/>
      <c r="B34" s="618" t="s">
        <v>302</v>
      </c>
      <c r="C34" s="619" t="s">
        <v>339</v>
      </c>
      <c r="D34" s="618" t="s">
        <v>239</v>
      </c>
      <c r="E34" s="620" t="s">
        <v>368</v>
      </c>
      <c r="F34" s="620" t="s">
        <v>374</v>
      </c>
      <c r="G34" s="620" t="s">
        <v>397</v>
      </c>
      <c r="H34" s="620" t="s">
        <v>303</v>
      </c>
      <c r="I34" s="597"/>
      <c r="J34" s="598"/>
      <c r="K34" s="597"/>
    </row>
    <row r="35" spans="1:12" ht="15" hidden="1" x14ac:dyDescent="0.2">
      <c r="A35" s="477"/>
      <c r="B35" s="43" t="s">
        <v>371</v>
      </c>
      <c r="C35" s="591">
        <v>-20</v>
      </c>
      <c r="D35" s="591">
        <v>71.92</v>
      </c>
      <c r="E35" s="591">
        <f>10762-10528</f>
        <v>234</v>
      </c>
      <c r="F35" s="591">
        <v>-190</v>
      </c>
      <c r="G35" s="602">
        <v>95.95</v>
      </c>
      <c r="H35" s="700">
        <f>G35/G$45</f>
        <v>5.2028752623263139E-4</v>
      </c>
      <c r="I35" s="93"/>
      <c r="J35" s="690"/>
      <c r="K35" s="18"/>
    </row>
    <row r="36" spans="1:12" ht="15" hidden="1" x14ac:dyDescent="0.2">
      <c r="A36" s="477"/>
      <c r="B36" s="43" t="s">
        <v>240</v>
      </c>
      <c r="C36" s="608">
        <v>38489.56</v>
      </c>
      <c r="D36" s="608">
        <v>1957.5</v>
      </c>
      <c r="E36" s="608"/>
      <c r="F36" s="608">
        <v>3786.43</v>
      </c>
      <c r="G36" s="608">
        <f>C36+D36+F36+E36</f>
        <v>44233.49</v>
      </c>
      <c r="H36" s="700">
        <f>G36/G$45</f>
        <v>0.2398554777356523</v>
      </c>
      <c r="I36" s="599"/>
      <c r="J36" s="690"/>
      <c r="K36" s="691"/>
    </row>
    <row r="37" spans="1:12" ht="15" hidden="1" x14ac:dyDescent="0.25">
      <c r="A37" s="477"/>
      <c r="B37" s="43" t="s">
        <v>241</v>
      </c>
      <c r="C37" s="608">
        <v>14903.11</v>
      </c>
      <c r="D37" s="608">
        <v>192.85</v>
      </c>
      <c r="E37" s="608">
        <v>-15478.91</v>
      </c>
      <c r="F37" s="608">
        <v>382.95</v>
      </c>
      <c r="G37" s="608">
        <f t="shared" ref="G37:G44" si="1">C37+D37+F37+E37</f>
        <v>0</v>
      </c>
      <c r="H37" s="700"/>
      <c r="I37" s="600"/>
      <c r="J37" s="690"/>
      <c r="K37" s="691"/>
      <c r="L37" s="499"/>
    </row>
    <row r="38" spans="1:12" ht="15" hidden="1" x14ac:dyDescent="0.2">
      <c r="A38" s="477"/>
      <c r="B38" s="43" t="s">
        <v>242</v>
      </c>
      <c r="C38" s="608">
        <v>44091.09</v>
      </c>
      <c r="D38" s="608">
        <f>3207.47-14</f>
        <v>3193.47</v>
      </c>
      <c r="E38" s="608"/>
      <c r="F38" s="608">
        <f>10544.9+14</f>
        <v>10558.9</v>
      </c>
      <c r="G38" s="608">
        <f t="shared" si="1"/>
        <v>57843.46</v>
      </c>
      <c r="H38" s="700">
        <f>G38/G$45</f>
        <v>0.31365534874555673</v>
      </c>
      <c r="I38" s="599"/>
      <c r="J38" s="690"/>
      <c r="K38" s="691"/>
      <c r="L38" s="499"/>
    </row>
    <row r="39" spans="1:12" ht="15" hidden="1" x14ac:dyDescent="0.25">
      <c r="A39" s="477"/>
      <c r="B39" s="43" t="s">
        <v>243</v>
      </c>
      <c r="C39" s="608">
        <v>21132.04</v>
      </c>
      <c r="D39" s="608">
        <v>549.69000000000005</v>
      </c>
      <c r="E39" s="608"/>
      <c r="F39" s="608">
        <v>-212.79</v>
      </c>
      <c r="G39" s="608">
        <f t="shared" si="1"/>
        <v>21468.94</v>
      </c>
      <c r="H39" s="700">
        <f>G39/G$45</f>
        <v>0.11641502536150901</v>
      </c>
      <c r="I39" s="600"/>
      <c r="J39" s="690"/>
      <c r="K39" s="691"/>
      <c r="L39" s="499"/>
    </row>
    <row r="40" spans="1:12" ht="15" hidden="1" x14ac:dyDescent="0.25">
      <c r="A40" s="477"/>
      <c r="B40" s="43" t="s">
        <v>244</v>
      </c>
      <c r="C40" s="608">
        <v>21091.57</v>
      </c>
      <c r="D40" s="608">
        <v>438.93</v>
      </c>
      <c r="E40" s="608">
        <v>-22513.11</v>
      </c>
      <c r="F40" s="608">
        <v>982.61</v>
      </c>
      <c r="G40" s="608">
        <f t="shared" si="1"/>
        <v>0</v>
      </c>
      <c r="H40" s="700"/>
      <c r="I40" s="600"/>
      <c r="J40" s="690"/>
      <c r="K40" s="691"/>
      <c r="L40" s="499"/>
    </row>
    <row r="41" spans="1:12" ht="15" hidden="1" x14ac:dyDescent="0.25">
      <c r="A41" s="477"/>
      <c r="B41" s="43" t="s">
        <v>245</v>
      </c>
      <c r="C41" s="608">
        <v>19933.830000000002</v>
      </c>
      <c r="D41" s="608">
        <v>860.03</v>
      </c>
      <c r="E41" s="608">
        <v>-10770</v>
      </c>
      <c r="F41" s="608">
        <v>-375.6</v>
      </c>
      <c r="G41" s="608">
        <f t="shared" si="1"/>
        <v>9648.260000000002</v>
      </c>
      <c r="H41" s="700">
        <f>G41/G$45</f>
        <v>5.2317554224588322E-2</v>
      </c>
      <c r="I41" s="600"/>
      <c r="J41" s="690"/>
      <c r="K41" s="691"/>
      <c r="L41" s="499"/>
    </row>
    <row r="42" spans="1:12" ht="15" hidden="1" x14ac:dyDescent="0.25">
      <c r="A42" s="695"/>
      <c r="B42" s="43" t="s">
        <v>369</v>
      </c>
      <c r="C42" s="608"/>
      <c r="D42" s="608">
        <v>140.21</v>
      </c>
      <c r="E42" s="608">
        <v>15482.91</v>
      </c>
      <c r="F42" s="608">
        <v>64.31</v>
      </c>
      <c r="G42" s="608">
        <f t="shared" si="1"/>
        <v>15687.43</v>
      </c>
      <c r="H42" s="700">
        <f>G42/G$45</f>
        <v>8.5064868657087747E-2</v>
      </c>
      <c r="I42" s="600"/>
      <c r="J42" s="690"/>
      <c r="K42" s="691"/>
      <c r="L42" s="499"/>
    </row>
    <row r="43" spans="1:12" ht="15" hidden="1" x14ac:dyDescent="0.25">
      <c r="A43" s="695"/>
      <c r="B43" s="43" t="s">
        <v>370</v>
      </c>
      <c r="C43" s="608"/>
      <c r="D43" s="608">
        <v>512.02</v>
      </c>
      <c r="E43" s="608">
        <v>22517.11</v>
      </c>
      <c r="F43" s="608">
        <v>817.76</v>
      </c>
      <c r="G43" s="608">
        <f t="shared" si="1"/>
        <v>23846.89</v>
      </c>
      <c r="H43" s="700">
        <f>G43/G$45</f>
        <v>0.12930942580971</v>
      </c>
      <c r="I43" s="600"/>
      <c r="J43" s="690"/>
      <c r="K43" s="691"/>
      <c r="L43" s="499"/>
    </row>
    <row r="44" spans="1:12" ht="17.25" hidden="1" customHeight="1" x14ac:dyDescent="0.2">
      <c r="A44" s="477"/>
      <c r="B44" s="43" t="s">
        <v>390</v>
      </c>
      <c r="C44" s="591"/>
      <c r="D44" s="524">
        <v>81.599999999999994</v>
      </c>
      <c r="E44" s="705">
        <v>10528</v>
      </c>
      <c r="F44" s="591">
        <v>983.24</v>
      </c>
      <c r="G44" s="591">
        <f t="shared" si="1"/>
        <v>11592.84</v>
      </c>
      <c r="H44" s="700">
        <f>G44/G$45</f>
        <v>6.2862011939663356E-2</v>
      </c>
      <c r="I44" s="599"/>
      <c r="J44" s="690"/>
      <c r="K44" s="691"/>
      <c r="L44" s="499"/>
    </row>
    <row r="45" spans="1:12" ht="15" hidden="1" x14ac:dyDescent="0.25">
      <c r="A45" s="477"/>
      <c r="B45" s="592" t="s">
        <v>257</v>
      </c>
      <c r="C45" s="593">
        <f>SUM(C35:C44)</f>
        <v>159621.20000000001</v>
      </c>
      <c r="D45" s="594">
        <f>SUM(D36:D44)</f>
        <v>7926.3000000000011</v>
      </c>
      <c r="E45" s="593">
        <f>SUM(E35:E44)</f>
        <v>0</v>
      </c>
      <c r="F45" s="593">
        <f>SUM(F35:F44)+72</f>
        <v>16869.809999999998</v>
      </c>
      <c r="G45" s="593">
        <f>SUM(G35:G44)</f>
        <v>184417.25999999998</v>
      </c>
      <c r="H45" s="701">
        <f>SUM(H35:H44)</f>
        <v>1.0000000000000002</v>
      </c>
      <c r="I45" s="601"/>
      <c r="J45" s="690"/>
      <c r="K45" s="691"/>
    </row>
    <row r="46" spans="1:12" ht="15" hidden="1" x14ac:dyDescent="0.2">
      <c r="A46" s="487"/>
      <c r="B46" s="692"/>
      <c r="C46" s="693"/>
      <c r="D46" s="693"/>
      <c r="E46" s="693"/>
      <c r="F46" s="693"/>
      <c r="G46" s="694"/>
      <c r="I46" s="1"/>
      <c r="J46" s="690"/>
      <c r="K46" s="691"/>
    </row>
    <row r="47" spans="1:12" ht="15" hidden="1" x14ac:dyDescent="0.2">
      <c r="A47" s="671"/>
      <c r="B47" s="18"/>
      <c r="C47" s="525"/>
      <c r="D47" s="525"/>
      <c r="E47" s="525"/>
      <c r="F47" s="525"/>
      <c r="G47" s="689"/>
      <c r="I47" s="1"/>
      <c r="J47" s="690"/>
      <c r="K47" s="691"/>
    </row>
    <row r="48" spans="1:12" ht="15" hidden="1" x14ac:dyDescent="0.2">
      <c r="A48" s="671"/>
      <c r="B48" s="913" t="s">
        <v>365</v>
      </c>
      <c r="C48" s="913"/>
      <c r="D48" s="913"/>
      <c r="E48" s="913"/>
      <c r="F48" s="671"/>
      <c r="G48" s="671"/>
      <c r="H48" s="671"/>
      <c r="J48" s="690"/>
      <c r="K48" s="691"/>
    </row>
    <row r="49" spans="1:11" ht="47.25" hidden="1" customHeight="1" x14ac:dyDescent="0.2">
      <c r="A49" s="477"/>
      <c r="B49" s="914" t="s">
        <v>254</v>
      </c>
      <c r="C49" s="915"/>
      <c r="D49" s="915"/>
      <c r="E49" s="915"/>
      <c r="F49" s="915"/>
      <c r="G49" s="915"/>
      <c r="H49" s="500"/>
      <c r="J49" s="690"/>
      <c r="K49" s="691"/>
    </row>
    <row r="50" spans="1:11" ht="47.25" hidden="1" customHeight="1" x14ac:dyDescent="0.2">
      <c r="A50" s="477"/>
      <c r="B50" s="914" t="s">
        <v>256</v>
      </c>
      <c r="C50" s="915"/>
      <c r="D50" s="915"/>
      <c r="E50" s="915"/>
      <c r="F50" s="915"/>
      <c r="G50" s="915"/>
      <c r="H50" s="500"/>
      <c r="J50" s="690"/>
      <c r="K50" s="691"/>
    </row>
    <row r="51" spans="1:11" ht="42" hidden="1" customHeight="1" x14ac:dyDescent="0.2">
      <c r="A51" s="477"/>
      <c r="B51" s="916" t="s">
        <v>253</v>
      </c>
      <c r="C51" s="917"/>
      <c r="D51" s="917"/>
      <c r="E51" s="917"/>
      <c r="F51" s="917"/>
      <c r="G51" s="917"/>
      <c r="H51" s="500"/>
      <c r="J51" s="690"/>
      <c r="K51" s="691"/>
    </row>
    <row r="52" spans="1:11" ht="47.25" hidden="1" customHeight="1" x14ac:dyDescent="0.2">
      <c r="A52" s="477"/>
      <c r="B52" s="914" t="s">
        <v>252</v>
      </c>
      <c r="C52" s="915"/>
      <c r="D52" s="915"/>
      <c r="E52" s="915"/>
      <c r="F52" s="915"/>
      <c r="G52" s="915"/>
      <c r="H52" s="500"/>
      <c r="J52" s="690"/>
      <c r="K52" s="691"/>
    </row>
    <row r="53" spans="1:11" ht="47.25" hidden="1" customHeight="1" x14ac:dyDescent="0.2">
      <c r="A53" s="477"/>
      <c r="B53" s="914" t="s">
        <v>251</v>
      </c>
      <c r="C53" s="915"/>
      <c r="D53" s="915"/>
      <c r="E53" s="915"/>
      <c r="F53" s="915"/>
      <c r="G53" s="915"/>
      <c r="H53" s="500"/>
      <c r="J53" s="690"/>
      <c r="K53" s="691"/>
    </row>
    <row r="54" spans="1:11" ht="47.25" hidden="1" customHeight="1" x14ac:dyDescent="0.2">
      <c r="A54" s="477"/>
      <c r="B54" s="914" t="s">
        <v>250</v>
      </c>
      <c r="C54" s="915"/>
      <c r="D54" s="915"/>
      <c r="E54" s="915"/>
      <c r="F54" s="915"/>
      <c r="G54" s="915"/>
      <c r="H54" s="500"/>
      <c r="J54" s="690"/>
      <c r="K54" s="691"/>
    </row>
    <row r="55" spans="1:11" ht="46.5" hidden="1" customHeight="1" x14ac:dyDescent="0.2">
      <c r="A55" s="695"/>
      <c r="B55" s="918" t="s">
        <v>372</v>
      </c>
      <c r="C55" s="919"/>
      <c r="D55" s="919"/>
      <c r="E55" s="919"/>
      <c r="F55" s="919"/>
      <c r="G55" s="919"/>
      <c r="H55" s="500"/>
      <c r="J55" s="690"/>
      <c r="K55" s="699"/>
    </row>
    <row r="56" spans="1:11" ht="38.25" hidden="1" customHeight="1" x14ac:dyDescent="0.2">
      <c r="A56" s="695"/>
      <c r="B56" s="918" t="s">
        <v>373</v>
      </c>
      <c r="C56" s="919"/>
      <c r="D56" s="919"/>
      <c r="E56" s="919"/>
      <c r="F56" s="919"/>
      <c r="G56" s="919"/>
      <c r="H56" s="500"/>
      <c r="J56" s="690"/>
      <c r="K56" s="691"/>
    </row>
    <row r="57" spans="1:11" ht="93" hidden="1" customHeight="1" x14ac:dyDescent="0.2">
      <c r="A57" s="477"/>
      <c r="B57" s="920" t="s">
        <v>389</v>
      </c>
      <c r="C57" s="919"/>
      <c r="D57" s="919"/>
      <c r="E57" s="919"/>
      <c r="F57" s="919"/>
      <c r="G57" s="919"/>
      <c r="H57" s="477"/>
      <c r="J57" s="690"/>
      <c r="K57" s="691"/>
    </row>
    <row r="58" spans="1:11" ht="32.25" customHeight="1" x14ac:dyDescent="0.25">
      <c r="A58" s="895" t="s">
        <v>443</v>
      </c>
      <c r="B58" s="895"/>
      <c r="C58" s="895"/>
      <c r="D58" s="895"/>
      <c r="E58" s="895"/>
      <c r="F58" s="895"/>
      <c r="G58" s="895"/>
      <c r="H58" s="895"/>
      <c r="J58" s="690"/>
      <c r="K58" s="691"/>
    </row>
    <row r="59" spans="1:11" ht="16.5" customHeight="1" x14ac:dyDescent="0.25">
      <c r="A59" s="748"/>
      <c r="B59" s="687" t="s">
        <v>363</v>
      </c>
      <c r="C59" s="748"/>
      <c r="D59" s="748"/>
      <c r="E59" s="748"/>
      <c r="F59" s="748"/>
      <c r="G59" s="748"/>
      <c r="H59" s="748"/>
      <c r="J59" s="690"/>
      <c r="K59" s="691"/>
    </row>
    <row r="60" spans="1:11" ht="15" x14ac:dyDescent="0.25">
      <c r="A60" s="747"/>
      <c r="B60" s="746" t="s">
        <v>246</v>
      </c>
      <c r="C60" s="479" t="s">
        <v>247</v>
      </c>
      <c r="D60" s="746" t="s">
        <v>248</v>
      </c>
      <c r="E60" s="901" t="s">
        <v>24</v>
      </c>
      <c r="F60" s="902"/>
      <c r="G60" s="746" t="s">
        <v>249</v>
      </c>
      <c r="H60" s="747"/>
      <c r="J60" s="690"/>
      <c r="K60" s="691"/>
    </row>
    <row r="61" spans="1:11" ht="30" customHeight="1" x14ac:dyDescent="0.2">
      <c r="A61" s="603"/>
      <c r="B61" s="480">
        <v>44652</v>
      </c>
      <c r="C61" s="486" t="s">
        <v>517</v>
      </c>
      <c r="D61" s="607" t="s">
        <v>518</v>
      </c>
      <c r="E61" s="893" t="s">
        <v>519</v>
      </c>
      <c r="F61" s="893"/>
      <c r="G61" s="481">
        <f>907.75+545</f>
        <v>1452.75</v>
      </c>
      <c r="H61" s="603"/>
    </row>
    <row r="62" spans="1:11" ht="30" customHeight="1" x14ac:dyDescent="0.2">
      <c r="A62" s="603"/>
      <c r="B62" s="480">
        <v>44651</v>
      </c>
      <c r="C62" s="486" t="s">
        <v>520</v>
      </c>
      <c r="D62" s="607" t="s">
        <v>521</v>
      </c>
      <c r="E62" s="893" t="s">
        <v>522</v>
      </c>
      <c r="F62" s="893"/>
      <c r="G62" s="481">
        <v>1337.42</v>
      </c>
      <c r="H62" s="603"/>
    </row>
    <row r="63" spans="1:11" ht="30" hidden="1" customHeight="1" x14ac:dyDescent="0.2">
      <c r="A63" s="603"/>
      <c r="B63" s="480"/>
      <c r="C63" s="486"/>
      <c r="D63" s="607"/>
      <c r="E63" s="893"/>
      <c r="F63" s="893"/>
      <c r="G63" s="481"/>
      <c r="H63" s="603"/>
    </row>
    <row r="64" spans="1:11" ht="30" hidden="1" customHeight="1" x14ac:dyDescent="0.2">
      <c r="A64" s="617"/>
      <c r="B64" s="480"/>
      <c r="C64" s="486"/>
      <c r="D64" s="545"/>
      <c r="E64" s="893"/>
      <c r="F64" s="893"/>
      <c r="G64" s="481"/>
      <c r="H64" s="627"/>
    </row>
    <row r="65" spans="1:8" ht="39" hidden="1" customHeight="1" x14ac:dyDescent="0.2">
      <c r="A65" s="617"/>
      <c r="B65" s="480"/>
      <c r="C65" s="486"/>
      <c r="D65" s="545"/>
      <c r="E65" s="893"/>
      <c r="F65" s="893"/>
      <c r="G65" s="481"/>
      <c r="H65" s="617"/>
    </row>
    <row r="66" spans="1:8" ht="30" hidden="1" customHeight="1" x14ac:dyDescent="0.2">
      <c r="A66" s="617"/>
      <c r="B66" s="480"/>
      <c r="C66" s="486"/>
      <c r="D66" s="607"/>
      <c r="E66" s="893"/>
      <c r="F66" s="893"/>
      <c r="G66" s="481"/>
      <c r="H66" s="617"/>
    </row>
    <row r="67" spans="1:8" ht="30" hidden="1" customHeight="1" x14ac:dyDescent="0.2">
      <c r="A67" s="603"/>
      <c r="B67" s="480"/>
      <c r="C67" s="486"/>
      <c r="D67" s="545"/>
      <c r="E67" s="893"/>
      <c r="F67" s="893"/>
      <c r="G67" s="481"/>
      <c r="H67" s="603"/>
    </row>
    <row r="68" spans="1:8" ht="15" x14ac:dyDescent="0.2">
      <c r="A68" s="603"/>
      <c r="B68" s="537"/>
      <c r="C68" s="538"/>
      <c r="D68" s="539"/>
      <c r="E68" s="540"/>
      <c r="F68" s="484" t="s">
        <v>348</v>
      </c>
      <c r="G68" s="805">
        <f>SUM(G61:G67)</f>
        <v>2790.17</v>
      </c>
      <c r="H68" s="603"/>
    </row>
    <row r="69" spans="1:8" ht="8.25" customHeight="1" x14ac:dyDescent="0.2">
      <c r="A69" s="671"/>
      <c r="B69" s="537"/>
      <c r="C69" s="538"/>
      <c r="D69" s="539"/>
      <c r="E69" s="540"/>
      <c r="F69" s="484"/>
      <c r="G69" s="806"/>
      <c r="H69" s="671"/>
    </row>
    <row r="70" spans="1:8" ht="21.75" hidden="1" customHeight="1" x14ac:dyDescent="0.2">
      <c r="A70" s="671"/>
      <c r="B70" s="896" t="s">
        <v>444</v>
      </c>
      <c r="C70" s="896"/>
      <c r="D70" s="896"/>
      <c r="E70" s="896"/>
      <c r="F70" s="896"/>
      <c r="G70" s="896"/>
      <c r="H70" s="603"/>
    </row>
    <row r="71" spans="1:8" ht="15" hidden="1" x14ac:dyDescent="0.2">
      <c r="A71" s="603"/>
      <c r="B71" s="541" t="s">
        <v>272</v>
      </c>
      <c r="C71" s="542" t="s">
        <v>275</v>
      </c>
      <c r="D71" s="543" t="s">
        <v>274</v>
      </c>
      <c r="E71" s="899" t="s">
        <v>24</v>
      </c>
      <c r="F71" s="900"/>
      <c r="G71" s="544" t="s">
        <v>273</v>
      </c>
      <c r="H71" s="603"/>
    </row>
    <row r="72" spans="1:8" ht="15" hidden="1" x14ac:dyDescent="0.2">
      <c r="A72" s="603"/>
      <c r="B72" s="480"/>
      <c r="C72" s="546"/>
      <c r="D72" s="677"/>
      <c r="E72" s="893"/>
      <c r="F72" s="893"/>
      <c r="G72" s="482"/>
      <c r="H72" s="603"/>
    </row>
    <row r="73" spans="1:8" ht="15" hidden="1" x14ac:dyDescent="0.2">
      <c r="A73" s="603"/>
      <c r="B73" s="480">
        <v>43800</v>
      </c>
      <c r="C73" s="546" t="s">
        <v>347</v>
      </c>
      <c r="D73" s="677">
        <v>84109</v>
      </c>
      <c r="E73" s="893" t="s">
        <v>399</v>
      </c>
      <c r="F73" s="893"/>
      <c r="G73" s="482"/>
      <c r="H73" s="603"/>
    </row>
    <row r="74" spans="1:8" ht="15" hidden="1" x14ac:dyDescent="0.2">
      <c r="A74" s="603"/>
      <c r="B74" s="483"/>
      <c r="C74" s="483"/>
      <c r="D74" s="483"/>
      <c r="E74" s="483"/>
      <c r="F74" s="484" t="s">
        <v>349</v>
      </c>
      <c r="G74" s="485">
        <f>G72</f>
        <v>0</v>
      </c>
      <c r="H74" s="603"/>
    </row>
    <row r="75" spans="1:8" ht="11.25" customHeight="1" x14ac:dyDescent="0.2">
      <c r="A75" s="477"/>
      <c r="B75" s="477"/>
      <c r="C75" s="477"/>
      <c r="D75" s="477"/>
      <c r="E75" s="477"/>
      <c r="F75" s="477"/>
      <c r="G75" s="477"/>
      <c r="H75" s="477"/>
    </row>
    <row r="76" spans="1:8" ht="38.25" customHeight="1" x14ac:dyDescent="0.2">
      <c r="A76" s="894" t="s">
        <v>570</v>
      </c>
      <c r="B76" s="894"/>
      <c r="C76" s="894"/>
      <c r="D76" s="894"/>
      <c r="E76" s="894"/>
      <c r="F76" s="894"/>
      <c r="G76" s="894"/>
      <c r="H76" s="894"/>
    </row>
    <row r="77" spans="1:8" ht="15.75" hidden="1" customHeight="1" x14ac:dyDescent="0.2">
      <c r="A77" s="441"/>
      <c r="C77" s="897" t="s">
        <v>271</v>
      </c>
      <c r="D77" s="897"/>
      <c r="E77" s="488">
        <v>1823.85</v>
      </c>
      <c r="F77" s="903" t="s">
        <v>276</v>
      </c>
      <c r="G77" s="903"/>
      <c r="H77" s="441"/>
    </row>
    <row r="78" spans="1:8" ht="15.75" hidden="1" customHeight="1" x14ac:dyDescent="0.2">
      <c r="A78" s="441"/>
      <c r="C78" s="897"/>
      <c r="D78" s="897"/>
      <c r="E78" s="488"/>
      <c r="F78" s="903"/>
      <c r="G78" s="903"/>
      <c r="H78" s="441"/>
    </row>
    <row r="79" spans="1:8" ht="15.75" hidden="1" customHeight="1" x14ac:dyDescent="0.2">
      <c r="A79" s="441"/>
      <c r="C79" s="897"/>
      <c r="D79" s="897"/>
      <c r="E79" s="488"/>
      <c r="F79" s="903"/>
      <c r="G79" s="903"/>
      <c r="H79" s="441"/>
    </row>
    <row r="80" spans="1:8" ht="15.75" hidden="1" customHeight="1" x14ac:dyDescent="0.2">
      <c r="A80" s="441"/>
      <c r="C80" s="897" t="s">
        <v>233</v>
      </c>
      <c r="D80" s="897"/>
      <c r="E80" s="488">
        <f>1689.92+2978.07</f>
        <v>4667.99</v>
      </c>
      <c r="F80" s="903" t="s">
        <v>277</v>
      </c>
      <c r="G80" s="903"/>
      <c r="H80" s="441"/>
    </row>
    <row r="81" spans="1:23" ht="16.5" hidden="1" thickBot="1" x14ac:dyDescent="0.25">
      <c r="A81" s="441"/>
      <c r="B81" s="449"/>
      <c r="C81" s="907" t="s">
        <v>209</v>
      </c>
      <c r="D81" s="907"/>
      <c r="E81" s="446">
        <f>SUM(E77:E80)</f>
        <v>6491.84</v>
      </c>
      <c r="F81" s="449"/>
      <c r="G81" s="449"/>
      <c r="H81" s="441"/>
    </row>
    <row r="82" spans="1:23" ht="9.75" customHeight="1" x14ac:dyDescent="0.2">
      <c r="A82" s="441"/>
      <c r="B82" s="535"/>
      <c r="C82" s="536"/>
      <c r="D82" s="536"/>
      <c r="E82" s="547"/>
      <c r="F82" s="535"/>
      <c r="G82" s="535"/>
      <c r="H82" s="441"/>
    </row>
    <row r="83" spans="1:23" ht="33" customHeight="1" x14ac:dyDescent="0.25">
      <c r="A83" s="895" t="s">
        <v>466</v>
      </c>
      <c r="B83" s="895"/>
      <c r="C83" s="895"/>
      <c r="D83" s="895"/>
      <c r="E83" s="895"/>
      <c r="F83" s="895"/>
      <c r="G83" s="895"/>
      <c r="H83" s="895"/>
    </row>
    <row r="84" spans="1:23" ht="11.25" hidden="1" customHeight="1" x14ac:dyDescent="0.2">
      <c r="A84" s="672"/>
      <c r="B84" s="672"/>
      <c r="C84" s="672"/>
      <c r="D84" s="672"/>
      <c r="E84" s="672"/>
      <c r="F84" s="672"/>
      <c r="G84" s="672"/>
      <c r="H84" s="672"/>
    </row>
    <row r="85" spans="1:23" ht="47.25" hidden="1" customHeight="1" x14ac:dyDescent="0.2">
      <c r="A85" s="898" t="s">
        <v>400</v>
      </c>
      <c r="B85" s="898"/>
      <c r="C85" s="898"/>
      <c r="D85" s="898"/>
      <c r="E85" s="898"/>
      <c r="F85" s="898"/>
      <c r="G85" s="898"/>
      <c r="H85" s="898"/>
    </row>
    <row r="86" spans="1:23" ht="8.25" customHeight="1" x14ac:dyDescent="0.2">
      <c r="A86" s="441"/>
      <c r="B86" s="535"/>
      <c r="C86" s="536"/>
      <c r="D86" s="536"/>
      <c r="E86" s="547"/>
      <c r="F86" s="535"/>
      <c r="G86" s="535"/>
      <c r="H86" s="441"/>
    </row>
    <row r="87" spans="1:23" ht="97.5" customHeight="1" x14ac:dyDescent="0.2">
      <c r="A87" s="894" t="s">
        <v>572</v>
      </c>
      <c r="B87" s="894"/>
      <c r="C87" s="894"/>
      <c r="D87" s="894"/>
      <c r="E87" s="894"/>
      <c r="F87" s="894"/>
      <c r="G87" s="894"/>
      <c r="H87" s="894"/>
      <c r="V87" s="476"/>
      <c r="W87" s="475"/>
    </row>
    <row r="88" spans="1:23" ht="47.25" x14ac:dyDescent="0.2">
      <c r="A88" s="448"/>
      <c r="B88" s="909" t="s">
        <v>200</v>
      </c>
      <c r="C88" s="909"/>
      <c r="D88" s="451" t="s">
        <v>201</v>
      </c>
      <c r="E88" s="442" t="s">
        <v>202</v>
      </c>
      <c r="F88" s="451" t="s">
        <v>203</v>
      </c>
      <c r="G88" s="451" t="s">
        <v>571</v>
      </c>
      <c r="H88" s="448"/>
      <c r="V88" s="476"/>
      <c r="W88" s="475"/>
    </row>
    <row r="89" spans="1:23" ht="15.75" customHeight="1" x14ac:dyDescent="0.2">
      <c r="A89" s="448"/>
      <c r="B89" s="912" t="s">
        <v>11</v>
      </c>
      <c r="C89" s="912"/>
      <c r="D89" s="912"/>
      <c r="E89" s="450"/>
      <c r="F89" s="450"/>
      <c r="G89" s="450"/>
      <c r="H89" s="448"/>
      <c r="V89" s="476"/>
      <c r="W89" s="475"/>
    </row>
    <row r="90" spans="1:23" ht="15.75" customHeight="1" x14ac:dyDescent="0.2">
      <c r="A90" s="448"/>
      <c r="B90" s="910" t="s">
        <v>234</v>
      </c>
      <c r="C90" s="910"/>
      <c r="D90" s="749">
        <f>'June''22 Revenues &amp; Expenses'!G47</f>
        <v>2943</v>
      </c>
      <c r="E90" s="749">
        <f>3000</f>
        <v>3000</v>
      </c>
      <c r="F90" s="749">
        <f>-'June''22 Revenues &amp; Expenses'!H45-'June''22 Revenues &amp; Expenses'!H47</f>
        <v>-1748.49</v>
      </c>
      <c r="G90" s="749">
        <f>'June''22 Revenues &amp; Expenses'!K47+'June''22 Revenues &amp; Expenses'!K48</f>
        <v>4194.51</v>
      </c>
      <c r="H90" s="758"/>
      <c r="V90" s="476"/>
      <c r="W90" s="475"/>
    </row>
    <row r="91" spans="1:23" ht="15.75" customHeight="1" x14ac:dyDescent="0.2">
      <c r="A91" s="448"/>
      <c r="B91" s="910" t="s">
        <v>235</v>
      </c>
      <c r="C91" s="910"/>
      <c r="D91" s="749">
        <v>25000</v>
      </c>
      <c r="E91" s="843"/>
      <c r="F91" s="749">
        <f>-'June''22 Revenues &amp; Expenses'!H46</f>
        <v>-12327.26</v>
      </c>
      <c r="G91" s="749">
        <f>'June''22 Revenues &amp; Expenses'!I46</f>
        <v>12672.74</v>
      </c>
      <c r="H91" s="448"/>
      <c r="V91" s="476"/>
      <c r="W91" s="475"/>
    </row>
    <row r="92" spans="1:23" ht="15.75" customHeight="1" x14ac:dyDescent="0.2">
      <c r="A92" s="448"/>
      <c r="B92" s="910" t="s">
        <v>478</v>
      </c>
      <c r="C92" s="910"/>
      <c r="D92" s="832">
        <f>'June''22 Revenues &amp; Expenses'!G49</f>
        <v>100000</v>
      </c>
      <c r="E92" s="832"/>
      <c r="F92" s="832">
        <f>-'June''22 Revenues &amp; Expenses'!H49</f>
        <v>0</v>
      </c>
      <c r="G92" s="832">
        <f>'June''22 Revenues &amp; Expenses'!K49</f>
        <v>100000</v>
      </c>
      <c r="H92" s="448"/>
      <c r="V92" s="476"/>
      <c r="W92" s="475"/>
    </row>
    <row r="93" spans="1:23" ht="15.75" customHeight="1" x14ac:dyDescent="0.2">
      <c r="A93" s="448"/>
      <c r="B93" s="912" t="s">
        <v>17</v>
      </c>
      <c r="C93" s="912"/>
      <c r="D93" s="749"/>
      <c r="E93" s="749"/>
      <c r="F93" s="749"/>
      <c r="G93" s="749"/>
      <c r="H93" s="448"/>
      <c r="V93" s="476"/>
    </row>
    <row r="94" spans="1:23" ht="15.75" customHeight="1" x14ac:dyDescent="0.2">
      <c r="A94" s="448"/>
      <c r="B94" s="910" t="s">
        <v>506</v>
      </c>
      <c r="C94" s="910"/>
      <c r="D94" s="749">
        <v>0</v>
      </c>
      <c r="E94" s="749">
        <v>50000</v>
      </c>
      <c r="F94" s="749">
        <f>-'June''22 Revenues &amp; Expenses'!H50</f>
        <v>-35000</v>
      </c>
      <c r="G94" s="749">
        <f>'June''22 Revenues &amp; Expenses'!K50</f>
        <v>15000</v>
      </c>
      <c r="H94" s="448"/>
      <c r="V94" s="476"/>
    </row>
    <row r="95" spans="1:23" ht="15.75" hidden="1" customHeight="1" x14ac:dyDescent="0.2">
      <c r="A95" s="448"/>
      <c r="B95" s="912" t="s">
        <v>398</v>
      </c>
      <c r="C95" s="912"/>
      <c r="D95" s="749">
        <f>'[2]April 20 Revenues &amp; Expenses'!G71</f>
        <v>0</v>
      </c>
      <c r="E95" s="749"/>
      <c r="F95" s="749"/>
      <c r="G95" s="749"/>
      <c r="H95" s="448"/>
      <c r="V95" s="476"/>
    </row>
    <row r="96" spans="1:23" ht="15.75" hidden="1" customHeight="1" x14ac:dyDescent="0.2">
      <c r="A96" s="448"/>
      <c r="B96" s="910" t="s">
        <v>401</v>
      </c>
      <c r="C96" s="910"/>
      <c r="D96" s="712">
        <v>0</v>
      </c>
      <c r="E96" s="749"/>
      <c r="F96" s="749">
        <f>-'June''22 Revenues &amp; Expenses'!H53</f>
        <v>0</v>
      </c>
      <c r="G96" s="749">
        <f>'June''22 Revenues &amp; Expenses'!K53</f>
        <v>0</v>
      </c>
      <c r="H96" s="448"/>
      <c r="V96" s="476"/>
    </row>
    <row r="97" spans="1:22" ht="7.5" customHeight="1" x14ac:dyDescent="0.2">
      <c r="A97" s="448"/>
      <c r="B97" s="911"/>
      <c r="C97" s="911"/>
      <c r="D97" s="450"/>
      <c r="E97" s="450"/>
      <c r="F97" s="450"/>
      <c r="G97" s="450"/>
      <c r="H97" s="448"/>
      <c r="V97" s="476"/>
    </row>
    <row r="98" spans="1:22" ht="15.75" customHeight="1" thickBot="1" x14ac:dyDescent="0.25">
      <c r="A98" s="448"/>
      <c r="B98" s="908" t="s">
        <v>236</v>
      </c>
      <c r="C98" s="908"/>
      <c r="D98" s="443">
        <f>SUM(D89:D97)</f>
        <v>127943</v>
      </c>
      <c r="E98" s="443">
        <f>SUM(E89:E97)</f>
        <v>53000</v>
      </c>
      <c r="F98" s="443">
        <f>SUM(F89:F97)</f>
        <v>-49075.75</v>
      </c>
      <c r="G98" s="443">
        <f>SUM(G89:G97)</f>
        <v>131867.25</v>
      </c>
      <c r="H98" s="448"/>
      <c r="V98" s="476"/>
    </row>
    <row r="99" spans="1:22" ht="11.25" customHeight="1" thickTop="1" x14ac:dyDescent="0.2">
      <c r="A99" s="448"/>
      <c r="B99" s="473"/>
      <c r="C99" s="473"/>
      <c r="D99" s="474"/>
      <c r="E99" s="474"/>
      <c r="F99" s="474"/>
      <c r="G99" s="474"/>
      <c r="H99" s="448"/>
      <c r="V99" s="476"/>
    </row>
    <row r="100" spans="1:22" ht="67.5" customHeight="1" x14ac:dyDescent="0.2">
      <c r="A100" s="894" t="s">
        <v>573</v>
      </c>
      <c r="B100" s="894"/>
      <c r="C100" s="894"/>
      <c r="D100" s="894"/>
      <c r="E100" s="894"/>
      <c r="F100" s="894"/>
      <c r="G100" s="894"/>
      <c r="H100" s="894"/>
    </row>
    <row r="101" spans="1:22" ht="47.25" x14ac:dyDescent="0.2">
      <c r="A101" s="448"/>
      <c r="B101" s="909" t="s">
        <v>200</v>
      </c>
      <c r="C101" s="909"/>
      <c r="D101" s="451" t="s">
        <v>201</v>
      </c>
      <c r="E101" s="442" t="s">
        <v>202</v>
      </c>
      <c r="F101" s="451" t="s">
        <v>203</v>
      </c>
      <c r="G101" s="833" t="str">
        <f>G88</f>
        <v>Ending Balance at June 30, 2022</v>
      </c>
      <c r="H101" s="448"/>
    </row>
    <row r="102" spans="1:22" ht="15.75" customHeight="1" x14ac:dyDescent="0.2">
      <c r="A102" s="448"/>
      <c r="B102" s="906" t="s">
        <v>204</v>
      </c>
      <c r="C102" s="906"/>
      <c r="D102" s="450">
        <v>0</v>
      </c>
      <c r="E102" s="450">
        <f>'June''22 Revenues &amp; Expenses'!F59+'June''22 Revenues &amp; Expenses'!H60</f>
        <v>62400</v>
      </c>
      <c r="F102" s="450">
        <f>-'June''22 Revenues &amp; Expenses'!J59-'June''22 Revenues &amp; Expenses'!J60</f>
        <v>-31200</v>
      </c>
      <c r="G102" s="450">
        <f t="shared" ref="G102:G107" si="2">D102+E102+F102</f>
        <v>31200</v>
      </c>
      <c r="H102" s="448"/>
    </row>
    <row r="103" spans="1:22" ht="15.75" customHeight="1" x14ac:dyDescent="0.2">
      <c r="A103" s="448"/>
      <c r="B103" s="906" t="s">
        <v>255</v>
      </c>
      <c r="C103" s="906"/>
      <c r="D103" s="450">
        <v>0</v>
      </c>
      <c r="E103" s="450">
        <f>'June''22 Revenues &amp; Expenses'!F61</f>
        <v>20000</v>
      </c>
      <c r="F103" s="450">
        <f>-'June''22 Revenues &amp; Expenses'!J61</f>
        <v>-10000</v>
      </c>
      <c r="G103" s="450">
        <f t="shared" si="2"/>
        <v>10000</v>
      </c>
      <c r="H103" s="448"/>
    </row>
    <row r="104" spans="1:22" ht="15.75" customHeight="1" x14ac:dyDescent="0.2">
      <c r="A104" s="448"/>
      <c r="B104" s="906" t="s">
        <v>205</v>
      </c>
      <c r="C104" s="906"/>
      <c r="D104" s="749">
        <f>'June''22 Revenues &amp; Expenses'!G66</f>
        <v>8805.2999999999993</v>
      </c>
      <c r="E104" s="450">
        <f>'June''22 Revenues &amp; Expenses'!H66</f>
        <v>10000</v>
      </c>
      <c r="F104" s="450">
        <f>-'June''22 Revenues &amp; Expenses'!J66</f>
        <v>-6273.79</v>
      </c>
      <c r="G104" s="450">
        <f t="shared" si="2"/>
        <v>12531.509999999998</v>
      </c>
      <c r="H104" s="448"/>
    </row>
    <row r="105" spans="1:22" ht="15.75" customHeight="1" x14ac:dyDescent="0.2">
      <c r="A105" s="448"/>
      <c r="B105" s="906" t="s">
        <v>206</v>
      </c>
      <c r="C105" s="906"/>
      <c r="D105" s="749">
        <f>'June''22 Revenues &amp; Expenses'!G67</f>
        <v>3136.83</v>
      </c>
      <c r="E105" s="450">
        <f>'June''22 Revenues &amp; Expenses'!H67</f>
        <v>10000</v>
      </c>
      <c r="F105" s="450">
        <f>-'June''22 Revenues &amp; Expenses'!J67</f>
        <v>-2747.13</v>
      </c>
      <c r="G105" s="450">
        <f t="shared" si="2"/>
        <v>10389.700000000001</v>
      </c>
      <c r="H105" s="448"/>
    </row>
    <row r="106" spans="1:22" ht="15.75" customHeight="1" x14ac:dyDescent="0.2">
      <c r="A106" s="448"/>
      <c r="B106" s="906" t="s">
        <v>305</v>
      </c>
      <c r="C106" s="906"/>
      <c r="D106" s="749">
        <f>'June''22 Revenues &amp; Expenses'!G52</f>
        <v>898.7</v>
      </c>
      <c r="E106" s="450"/>
      <c r="F106" s="450">
        <f>-'June''22 Revenues &amp; Expenses'!H52</f>
        <v>0</v>
      </c>
      <c r="G106" s="450">
        <f t="shared" si="2"/>
        <v>898.7</v>
      </c>
      <c r="H106" s="448"/>
    </row>
    <row r="107" spans="1:22" ht="15.75" x14ac:dyDescent="0.2">
      <c r="A107" s="448"/>
      <c r="B107" s="906" t="s">
        <v>207</v>
      </c>
      <c r="C107" s="906"/>
      <c r="D107" s="749">
        <f>'June''22 Revenues &amp; Expenses'!G65</f>
        <v>374.76</v>
      </c>
      <c r="E107" s="450"/>
      <c r="F107" s="450">
        <f>-'June''22 Revenues &amp; Expenses'!J65</f>
        <v>0</v>
      </c>
      <c r="G107" s="450">
        <f t="shared" si="2"/>
        <v>374.76</v>
      </c>
      <c r="H107" s="448"/>
      <c r="K107" s="704"/>
    </row>
    <row r="108" spans="1:22" ht="15.75" x14ac:dyDescent="0.2">
      <c r="A108" s="448"/>
      <c r="B108" s="897"/>
      <c r="C108" s="897"/>
      <c r="D108" s="785"/>
      <c r="E108" s="785"/>
      <c r="F108" s="785">
        <f>-'June''22 Revenues &amp; Expenses'!H54</f>
        <v>0</v>
      </c>
      <c r="G108" s="785">
        <f>'June''22 Revenues &amp; Expenses'!I54</f>
        <v>0</v>
      </c>
      <c r="H108" s="448"/>
      <c r="K108" s="704"/>
    </row>
    <row r="109" spans="1:22" ht="15.75" customHeight="1" thickBot="1" x14ac:dyDescent="0.25">
      <c r="A109" s="448"/>
      <c r="B109" s="905" t="s">
        <v>208</v>
      </c>
      <c r="C109" s="905"/>
      <c r="D109" s="443">
        <f>SUM(D102:D107)</f>
        <v>13215.59</v>
      </c>
      <c r="E109" s="443">
        <f>SUM(E102:E108)</f>
        <v>102400</v>
      </c>
      <c r="F109" s="443">
        <f>SUM(F102:F108)</f>
        <v>-50220.92</v>
      </c>
      <c r="G109" s="443">
        <f>SUM(G102:G108)</f>
        <v>65394.669999999991</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09:C109"/>
    <mergeCell ref="B107:C107"/>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715"/>
  <sheetViews>
    <sheetView topLeftCell="A526" workbookViewId="0">
      <selection activeCell="K599" sqref="K599:K600"/>
    </sheetView>
  </sheetViews>
  <sheetFormatPr defaultRowHeight="14.25" x14ac:dyDescent="0.2"/>
  <cols>
    <col min="1" max="1" width="24.625" style="523"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0" t="s">
        <v>260</v>
      </c>
      <c r="B3" s="491" t="s">
        <v>261</v>
      </c>
    </row>
    <row r="4" spans="1:2" ht="15" thickTop="1" x14ac:dyDescent="0.2">
      <c r="A4" s="521">
        <v>42370</v>
      </c>
      <c r="B4" s="492">
        <v>316020.78000000003</v>
      </c>
    </row>
    <row r="5" spans="1:2" x14ac:dyDescent="0.2">
      <c r="A5" s="522">
        <v>42373</v>
      </c>
      <c r="B5" s="493">
        <v>315970.78000000003</v>
      </c>
    </row>
    <row r="6" spans="1:2" x14ac:dyDescent="0.2">
      <c r="A6" s="522">
        <v>42374</v>
      </c>
      <c r="B6" s="493">
        <v>320557.63</v>
      </c>
    </row>
    <row r="7" spans="1:2" x14ac:dyDescent="0.2">
      <c r="A7" s="522">
        <v>42375</v>
      </c>
      <c r="B7" s="493">
        <f>B6</f>
        <v>320557.63</v>
      </c>
    </row>
    <row r="8" spans="1:2" x14ac:dyDescent="0.2">
      <c r="A8" s="522">
        <v>42376</v>
      </c>
      <c r="B8" s="493">
        <v>323108.86</v>
      </c>
    </row>
    <row r="9" spans="1:2" x14ac:dyDescent="0.2">
      <c r="A9" s="522">
        <v>42377</v>
      </c>
      <c r="B9" s="493">
        <f>B8</f>
        <v>323108.86</v>
      </c>
    </row>
    <row r="10" spans="1:2" x14ac:dyDescent="0.2">
      <c r="A10" s="522">
        <v>42380</v>
      </c>
      <c r="B10" s="493">
        <v>323239.86</v>
      </c>
    </row>
    <row r="11" spans="1:2" x14ac:dyDescent="0.2">
      <c r="A11" s="522">
        <v>42381</v>
      </c>
      <c r="B11" s="493">
        <v>288792.71999999997</v>
      </c>
    </row>
    <row r="12" spans="1:2" x14ac:dyDescent="0.2">
      <c r="A12" s="522">
        <v>42382</v>
      </c>
      <c r="B12" s="493">
        <f>B11</f>
        <v>288792.71999999997</v>
      </c>
    </row>
    <row r="13" spans="1:2" x14ac:dyDescent="0.2">
      <c r="A13" s="522">
        <v>42383</v>
      </c>
      <c r="B13" s="493">
        <v>277881.3</v>
      </c>
    </row>
    <row r="14" spans="1:2" x14ac:dyDescent="0.2">
      <c r="A14" s="522">
        <v>42384</v>
      </c>
      <c r="B14" s="493">
        <v>293922.15000000002</v>
      </c>
    </row>
    <row r="15" spans="1:2" x14ac:dyDescent="0.2">
      <c r="A15" s="522">
        <v>42387</v>
      </c>
      <c r="B15" s="493">
        <f>B14</f>
        <v>293922.15000000002</v>
      </c>
    </row>
    <row r="16" spans="1:2" x14ac:dyDescent="0.2">
      <c r="A16" s="522">
        <v>42388</v>
      </c>
      <c r="B16" s="493">
        <f>B14</f>
        <v>293922.15000000002</v>
      </c>
    </row>
    <row r="17" spans="1:2" x14ac:dyDescent="0.2">
      <c r="A17" s="522">
        <v>42389</v>
      </c>
      <c r="B17" s="493">
        <v>294002.2</v>
      </c>
    </row>
    <row r="18" spans="1:2" x14ac:dyDescent="0.2">
      <c r="A18" s="522">
        <v>42390</v>
      </c>
      <c r="B18" s="493">
        <v>285645.33</v>
      </c>
    </row>
    <row r="19" spans="1:2" x14ac:dyDescent="0.2">
      <c r="A19" s="522">
        <v>42391</v>
      </c>
      <c r="B19" s="493">
        <f>B18</f>
        <v>285645.33</v>
      </c>
    </row>
    <row r="20" spans="1:2" x14ac:dyDescent="0.2">
      <c r="A20" s="522">
        <v>42394</v>
      </c>
      <c r="B20" s="493">
        <v>310939.57</v>
      </c>
    </row>
    <row r="21" spans="1:2" x14ac:dyDescent="0.2">
      <c r="A21" s="522">
        <v>42395</v>
      </c>
      <c r="B21" s="493">
        <v>285520.28000000003</v>
      </c>
    </row>
    <row r="22" spans="1:2" x14ac:dyDescent="0.2">
      <c r="A22" s="522">
        <v>42396</v>
      </c>
      <c r="B22" s="493">
        <f>B21</f>
        <v>285520.28000000003</v>
      </c>
    </row>
    <row r="23" spans="1:2" x14ac:dyDescent="0.2">
      <c r="A23" s="522">
        <v>42397</v>
      </c>
      <c r="B23" s="493">
        <v>282022.58</v>
      </c>
    </row>
    <row r="24" spans="1:2" x14ac:dyDescent="0.2">
      <c r="A24" s="522">
        <v>42398</v>
      </c>
      <c r="B24" s="493">
        <v>294848.15999999997</v>
      </c>
    </row>
    <row r="25" spans="1:2" x14ac:dyDescent="0.2">
      <c r="A25" s="522">
        <v>42401</v>
      </c>
      <c r="B25" s="493">
        <v>295971.7</v>
      </c>
    </row>
    <row r="26" spans="1:2" x14ac:dyDescent="0.2">
      <c r="A26" s="522">
        <v>42402</v>
      </c>
      <c r="B26" s="493">
        <v>342700.41</v>
      </c>
    </row>
    <row r="27" spans="1:2" x14ac:dyDescent="0.2">
      <c r="A27" s="522">
        <v>42403</v>
      </c>
      <c r="B27" s="493">
        <f>B26</f>
        <v>342700.41</v>
      </c>
    </row>
    <row r="28" spans="1:2" x14ac:dyDescent="0.2">
      <c r="A28" s="522">
        <v>42404</v>
      </c>
      <c r="B28" s="493">
        <v>337638.63</v>
      </c>
    </row>
    <row r="29" spans="1:2" x14ac:dyDescent="0.2">
      <c r="A29" s="522">
        <v>42405</v>
      </c>
      <c r="B29" s="493">
        <v>367843.39</v>
      </c>
    </row>
    <row r="30" spans="1:2" x14ac:dyDescent="0.2">
      <c r="A30" s="522">
        <v>42408</v>
      </c>
      <c r="B30" s="493">
        <v>367773.39</v>
      </c>
    </row>
    <row r="31" spans="1:2" x14ac:dyDescent="0.2">
      <c r="A31" s="522">
        <v>42409</v>
      </c>
      <c r="B31" s="493">
        <v>339527.33</v>
      </c>
    </row>
    <row r="32" spans="1:2" x14ac:dyDescent="0.2">
      <c r="A32" s="522">
        <v>42410</v>
      </c>
      <c r="B32" s="493">
        <f>B31</f>
        <v>339527.33</v>
      </c>
    </row>
    <row r="33" spans="1:2" x14ac:dyDescent="0.2">
      <c r="A33" s="522">
        <v>42411</v>
      </c>
      <c r="B33" s="493">
        <v>336968.79</v>
      </c>
    </row>
    <row r="34" spans="1:2" x14ac:dyDescent="0.2">
      <c r="A34" s="522">
        <v>42412</v>
      </c>
      <c r="B34" s="493">
        <v>337055.76</v>
      </c>
    </row>
    <row r="35" spans="1:2" x14ac:dyDescent="0.2">
      <c r="A35" s="522">
        <v>42415</v>
      </c>
      <c r="B35" s="493">
        <f>B34</f>
        <v>337055.76</v>
      </c>
    </row>
    <row r="36" spans="1:2" x14ac:dyDescent="0.2">
      <c r="A36" s="522">
        <v>42416</v>
      </c>
      <c r="B36" s="493">
        <f>B35</f>
        <v>337055.76</v>
      </c>
    </row>
    <row r="37" spans="1:2" x14ac:dyDescent="0.2">
      <c r="A37" s="522">
        <v>42417</v>
      </c>
      <c r="B37" s="493">
        <v>365266.06</v>
      </c>
    </row>
    <row r="38" spans="1:2" x14ac:dyDescent="0.2">
      <c r="A38" s="522">
        <v>42418</v>
      </c>
      <c r="B38" s="493">
        <v>360871.98</v>
      </c>
    </row>
    <row r="39" spans="1:2" x14ac:dyDescent="0.2">
      <c r="A39" s="522">
        <v>42419</v>
      </c>
      <c r="B39" s="493">
        <f>B38</f>
        <v>360871.98</v>
      </c>
    </row>
    <row r="40" spans="1:2" x14ac:dyDescent="0.2">
      <c r="A40" s="522">
        <v>42421</v>
      </c>
      <c r="B40" s="493">
        <f>B39</f>
        <v>360871.98</v>
      </c>
    </row>
    <row r="41" spans="1:2" x14ac:dyDescent="0.2">
      <c r="A41" s="522">
        <v>42423</v>
      </c>
      <c r="B41" s="493">
        <v>355845.62</v>
      </c>
    </row>
    <row r="42" spans="1:2" x14ac:dyDescent="0.2">
      <c r="A42" s="522">
        <v>42424</v>
      </c>
      <c r="B42" s="493">
        <f>B41</f>
        <v>355845.62</v>
      </c>
    </row>
    <row r="43" spans="1:2" x14ac:dyDescent="0.2">
      <c r="A43" s="522">
        <v>42425</v>
      </c>
      <c r="B43" s="493">
        <v>345399.7</v>
      </c>
    </row>
    <row r="44" spans="1:2" x14ac:dyDescent="0.2">
      <c r="A44" s="522">
        <v>42426</v>
      </c>
      <c r="B44" s="493">
        <v>370500.69</v>
      </c>
    </row>
    <row r="45" spans="1:2" x14ac:dyDescent="0.2">
      <c r="A45" s="522">
        <v>42429</v>
      </c>
      <c r="B45" s="493">
        <v>389846.49</v>
      </c>
    </row>
    <row r="46" spans="1:2" x14ac:dyDescent="0.2">
      <c r="A46" s="522">
        <v>42430</v>
      </c>
      <c r="B46" s="493">
        <f>B45</f>
        <v>389846.49</v>
      </c>
    </row>
    <row r="47" spans="1:2" x14ac:dyDescent="0.2">
      <c r="A47" s="522">
        <v>42431</v>
      </c>
      <c r="B47" s="493">
        <f>B46</f>
        <v>389846.49</v>
      </c>
    </row>
    <row r="48" spans="1:2" x14ac:dyDescent="0.2">
      <c r="A48" s="522">
        <v>42432</v>
      </c>
      <c r="B48" s="493">
        <v>378391.97</v>
      </c>
    </row>
    <row r="49" spans="1:2" x14ac:dyDescent="0.2">
      <c r="A49" s="522">
        <v>42433</v>
      </c>
      <c r="B49" s="493">
        <v>424034.23</v>
      </c>
    </row>
    <row r="50" spans="1:2" x14ac:dyDescent="0.2">
      <c r="A50" s="522">
        <v>42436</v>
      </c>
      <c r="B50" s="493">
        <f>B49</f>
        <v>424034.23</v>
      </c>
    </row>
    <row r="51" spans="1:2" x14ac:dyDescent="0.2">
      <c r="A51" s="522">
        <v>42437</v>
      </c>
      <c r="B51" s="493">
        <v>386665.73</v>
      </c>
    </row>
    <row r="52" spans="1:2" x14ac:dyDescent="0.2">
      <c r="A52" s="522">
        <v>42438</v>
      </c>
      <c r="B52" s="493">
        <f>B51</f>
        <v>386665.73</v>
      </c>
    </row>
    <row r="53" spans="1:2" x14ac:dyDescent="0.2">
      <c r="A53" s="522">
        <v>42439</v>
      </c>
      <c r="B53" s="493">
        <v>389219.85</v>
      </c>
    </row>
    <row r="54" spans="1:2" x14ac:dyDescent="0.2">
      <c r="A54" s="522">
        <v>42440</v>
      </c>
      <c r="B54" s="493">
        <v>406100.98</v>
      </c>
    </row>
    <row r="55" spans="1:2" x14ac:dyDescent="0.2">
      <c r="A55" s="522">
        <v>42443</v>
      </c>
      <c r="B55" s="493">
        <v>407873.33</v>
      </c>
    </row>
    <row r="56" spans="1:2" x14ac:dyDescent="0.2">
      <c r="A56" s="522">
        <v>42444</v>
      </c>
      <c r="B56" s="493">
        <v>407992.23</v>
      </c>
    </row>
    <row r="57" spans="1:2" x14ac:dyDescent="0.2">
      <c r="A57" s="522">
        <v>42445</v>
      </c>
      <c r="B57" s="493">
        <v>433808.81</v>
      </c>
    </row>
    <row r="58" spans="1:2" x14ac:dyDescent="0.2">
      <c r="A58" s="522">
        <v>42446</v>
      </c>
      <c r="B58" s="493">
        <v>422290.94</v>
      </c>
    </row>
    <row r="59" spans="1:2" x14ac:dyDescent="0.2">
      <c r="A59" s="522">
        <v>42447</v>
      </c>
      <c r="B59" s="493">
        <v>468026.54</v>
      </c>
    </row>
    <row r="60" spans="1:2" x14ac:dyDescent="0.2">
      <c r="A60" s="522">
        <v>42450</v>
      </c>
      <c r="B60" s="493">
        <v>348026.54</v>
      </c>
    </row>
    <row r="61" spans="1:2" x14ac:dyDescent="0.2">
      <c r="A61" s="522">
        <v>42451</v>
      </c>
      <c r="B61" s="493">
        <v>312876.71000000002</v>
      </c>
    </row>
    <row r="62" spans="1:2" x14ac:dyDescent="0.2">
      <c r="A62" s="522">
        <v>42452</v>
      </c>
      <c r="B62" s="493">
        <v>314939.26</v>
      </c>
    </row>
    <row r="63" spans="1:2" x14ac:dyDescent="0.2">
      <c r="A63" s="522">
        <v>42453</v>
      </c>
      <c r="B63" s="493">
        <v>309254.23</v>
      </c>
    </row>
    <row r="64" spans="1:2" x14ac:dyDescent="0.2">
      <c r="A64" s="522">
        <v>42454</v>
      </c>
      <c r="B64" s="493">
        <v>308314.94</v>
      </c>
    </row>
    <row r="65" spans="1:2" x14ac:dyDescent="0.2">
      <c r="A65" s="522">
        <v>42457</v>
      </c>
      <c r="B65" s="493">
        <f>B64</f>
        <v>308314.94</v>
      </c>
    </row>
    <row r="66" spans="1:2" x14ac:dyDescent="0.2">
      <c r="A66" s="522">
        <v>42458</v>
      </c>
      <c r="B66" s="493">
        <v>308501.75</v>
      </c>
    </row>
    <row r="67" spans="1:2" x14ac:dyDescent="0.2">
      <c r="A67" s="522">
        <v>42459</v>
      </c>
      <c r="B67" s="493">
        <f>B66</f>
        <v>308501.75</v>
      </c>
    </row>
    <row r="68" spans="1:2" x14ac:dyDescent="0.2">
      <c r="A68" s="522">
        <v>42460</v>
      </c>
      <c r="B68" s="493">
        <v>309191.53000000003</v>
      </c>
    </row>
    <row r="69" spans="1:2" x14ac:dyDescent="0.2">
      <c r="A69" s="522">
        <v>42461</v>
      </c>
      <c r="B69" s="493">
        <f>B68</f>
        <v>309191.53000000003</v>
      </c>
    </row>
    <row r="70" spans="1:2" x14ac:dyDescent="0.2">
      <c r="A70" s="522">
        <v>42464</v>
      </c>
      <c r="B70" s="493">
        <v>273521.59999999998</v>
      </c>
    </row>
    <row r="71" spans="1:2" x14ac:dyDescent="0.2">
      <c r="A71" s="522">
        <v>42465</v>
      </c>
      <c r="B71" s="493">
        <f>B70</f>
        <v>273521.59999999998</v>
      </c>
    </row>
    <row r="72" spans="1:2" x14ac:dyDescent="0.2">
      <c r="A72" s="522">
        <v>42466</v>
      </c>
      <c r="B72" s="493">
        <v>272690.59999999998</v>
      </c>
    </row>
    <row r="73" spans="1:2" x14ac:dyDescent="0.2">
      <c r="A73" s="522">
        <v>42467</v>
      </c>
      <c r="B73" s="493">
        <v>269582.73</v>
      </c>
    </row>
    <row r="74" spans="1:2" x14ac:dyDescent="0.2">
      <c r="A74" s="522">
        <v>42468</v>
      </c>
      <c r="B74" s="493">
        <f>B73</f>
        <v>269582.73</v>
      </c>
    </row>
    <row r="75" spans="1:2" x14ac:dyDescent="0.2">
      <c r="A75" s="522">
        <v>42471</v>
      </c>
      <c r="B75" s="493">
        <v>269763.98</v>
      </c>
    </row>
    <row r="76" spans="1:2" x14ac:dyDescent="0.2">
      <c r="A76" s="522">
        <v>42472</v>
      </c>
      <c r="B76" s="493">
        <f>B75</f>
        <v>269763.98</v>
      </c>
    </row>
    <row r="77" spans="1:2" x14ac:dyDescent="0.2">
      <c r="A77" s="522">
        <v>42473</v>
      </c>
      <c r="B77" s="493">
        <v>269925.98</v>
      </c>
    </row>
    <row r="78" spans="1:2" x14ac:dyDescent="0.2">
      <c r="A78" s="522">
        <v>42474</v>
      </c>
      <c r="B78" s="493">
        <v>262853.87</v>
      </c>
    </row>
    <row r="79" spans="1:2" x14ac:dyDescent="0.2">
      <c r="A79" s="522">
        <v>42475</v>
      </c>
      <c r="B79" s="493">
        <v>285492.90999999997</v>
      </c>
    </row>
    <row r="80" spans="1:2" x14ac:dyDescent="0.2">
      <c r="A80" s="522">
        <v>42478</v>
      </c>
      <c r="B80" s="493">
        <v>248936.49</v>
      </c>
    </row>
    <row r="81" spans="1:2" x14ac:dyDescent="0.2">
      <c r="A81" s="522">
        <v>42479</v>
      </c>
      <c r="B81" s="493">
        <v>299276.93</v>
      </c>
    </row>
    <row r="82" spans="1:2" x14ac:dyDescent="0.2">
      <c r="A82" s="522">
        <v>42480</v>
      </c>
      <c r="B82" s="493">
        <v>298671.93</v>
      </c>
    </row>
    <row r="83" spans="1:2" x14ac:dyDescent="0.2">
      <c r="A83" s="522">
        <v>42481</v>
      </c>
      <c r="B83" s="493">
        <v>300188.76</v>
      </c>
    </row>
    <row r="84" spans="1:2" x14ac:dyDescent="0.2">
      <c r="A84" s="522">
        <v>42482</v>
      </c>
      <c r="B84" s="493">
        <v>320014.86</v>
      </c>
    </row>
    <row r="85" spans="1:2" x14ac:dyDescent="0.2">
      <c r="A85" s="522">
        <v>42485</v>
      </c>
      <c r="B85" s="493">
        <v>316702.44</v>
      </c>
    </row>
    <row r="86" spans="1:2" x14ac:dyDescent="0.2">
      <c r="A86" s="522">
        <v>42486</v>
      </c>
      <c r="B86" s="493">
        <f>B85</f>
        <v>316702.44</v>
      </c>
    </row>
    <row r="87" spans="1:2" x14ac:dyDescent="0.2">
      <c r="A87" s="522">
        <v>42487</v>
      </c>
      <c r="B87" s="493">
        <v>316945.44</v>
      </c>
    </row>
    <row r="88" spans="1:2" x14ac:dyDescent="0.2">
      <c r="A88" s="522">
        <v>42488</v>
      </c>
      <c r="B88" s="493">
        <v>320979.96999999997</v>
      </c>
    </row>
    <row r="89" spans="1:2" x14ac:dyDescent="0.2">
      <c r="A89" s="522">
        <v>42489</v>
      </c>
      <c r="B89" s="493">
        <f>B88</f>
        <v>320979.96999999997</v>
      </c>
    </row>
    <row r="90" spans="1:2" x14ac:dyDescent="0.2">
      <c r="A90" s="522">
        <v>42492</v>
      </c>
      <c r="B90" s="493">
        <v>285992.84000000003</v>
      </c>
    </row>
    <row r="91" spans="1:2" x14ac:dyDescent="0.2">
      <c r="A91" s="522">
        <v>42493</v>
      </c>
      <c r="B91" s="493">
        <v>286063.08</v>
      </c>
    </row>
    <row r="92" spans="1:2" x14ac:dyDescent="0.2">
      <c r="A92" s="522">
        <v>42494</v>
      </c>
      <c r="B92" s="493">
        <v>314586.46000000002</v>
      </c>
    </row>
    <row r="93" spans="1:2" x14ac:dyDescent="0.2">
      <c r="A93" s="522">
        <v>42495</v>
      </c>
      <c r="B93" s="493">
        <v>317747.52</v>
      </c>
    </row>
    <row r="94" spans="1:2" x14ac:dyDescent="0.2">
      <c r="A94" s="522">
        <v>42496</v>
      </c>
      <c r="B94" s="493">
        <f>B93</f>
        <v>317747.52</v>
      </c>
    </row>
    <row r="95" spans="1:2" x14ac:dyDescent="0.2">
      <c r="A95" s="522">
        <v>42499</v>
      </c>
      <c r="B95" s="493">
        <v>317647.52</v>
      </c>
    </row>
    <row r="96" spans="1:2" x14ac:dyDescent="0.2">
      <c r="A96" s="522">
        <v>42500</v>
      </c>
      <c r="B96" s="493">
        <v>354645.16</v>
      </c>
    </row>
    <row r="97" spans="1:2" x14ac:dyDescent="0.2">
      <c r="A97" s="522">
        <v>42501</v>
      </c>
      <c r="B97" s="493">
        <f>B96</f>
        <v>354645.16</v>
      </c>
    </row>
    <row r="98" spans="1:2" x14ac:dyDescent="0.2">
      <c r="A98" s="522">
        <v>42502</v>
      </c>
      <c r="B98" s="493">
        <v>334676.08</v>
      </c>
    </row>
    <row r="99" spans="1:2" x14ac:dyDescent="0.2">
      <c r="A99" s="522">
        <v>42503</v>
      </c>
      <c r="B99" s="493">
        <v>335053.34999999998</v>
      </c>
    </row>
    <row r="100" spans="1:2" x14ac:dyDescent="0.2">
      <c r="A100" s="522">
        <v>42506</v>
      </c>
      <c r="B100" s="493">
        <v>299641.7</v>
      </c>
    </row>
    <row r="101" spans="1:2" x14ac:dyDescent="0.2">
      <c r="A101" s="522">
        <v>42507</v>
      </c>
      <c r="B101" s="493">
        <f>B100</f>
        <v>299641.7</v>
      </c>
    </row>
    <row r="102" spans="1:2" x14ac:dyDescent="0.2">
      <c r="A102" s="522">
        <v>42508</v>
      </c>
      <c r="B102" s="493">
        <v>316034.81</v>
      </c>
    </row>
    <row r="103" spans="1:2" x14ac:dyDescent="0.2">
      <c r="A103" s="522">
        <v>42509</v>
      </c>
      <c r="B103" s="493">
        <v>320069.11</v>
      </c>
    </row>
    <row r="104" spans="1:2" x14ac:dyDescent="0.2">
      <c r="A104" s="522">
        <v>42510</v>
      </c>
      <c r="B104" s="493">
        <v>328514.03000000003</v>
      </c>
    </row>
    <row r="105" spans="1:2" x14ac:dyDescent="0.2">
      <c r="A105" s="522">
        <v>42513</v>
      </c>
      <c r="B105" s="493">
        <f>B104</f>
        <v>328514.03000000003</v>
      </c>
    </row>
    <row r="106" spans="1:2" x14ac:dyDescent="0.2">
      <c r="A106" s="522">
        <v>42514</v>
      </c>
      <c r="B106" s="493">
        <v>334541.26</v>
      </c>
    </row>
    <row r="107" spans="1:2" x14ac:dyDescent="0.2">
      <c r="A107" s="522">
        <v>42515</v>
      </c>
      <c r="B107" s="494">
        <v>329880.45</v>
      </c>
    </row>
    <row r="108" spans="1:2" x14ac:dyDescent="0.2">
      <c r="A108" s="522">
        <v>42516</v>
      </c>
      <c r="B108" s="495">
        <v>337992.17</v>
      </c>
    </row>
    <row r="109" spans="1:2" x14ac:dyDescent="0.2">
      <c r="A109" s="522">
        <v>42517</v>
      </c>
      <c r="B109" s="495">
        <v>347755.4</v>
      </c>
    </row>
    <row r="110" spans="1:2" x14ac:dyDescent="0.2">
      <c r="A110" s="522">
        <v>42520</v>
      </c>
      <c r="B110" s="495">
        <v>347755.4</v>
      </c>
    </row>
    <row r="111" spans="1:2" x14ac:dyDescent="0.2">
      <c r="A111" s="522">
        <v>42521</v>
      </c>
      <c r="B111" s="495">
        <v>312817.88</v>
      </c>
    </row>
    <row r="112" spans="1:2" x14ac:dyDescent="0.2">
      <c r="A112" s="522">
        <v>42522</v>
      </c>
      <c r="B112" s="495">
        <v>314571.3</v>
      </c>
    </row>
    <row r="113" spans="1:2" x14ac:dyDescent="0.2">
      <c r="A113" s="522">
        <v>42523</v>
      </c>
      <c r="B113" s="495">
        <v>302515.78000000003</v>
      </c>
    </row>
    <row r="114" spans="1:2" x14ac:dyDescent="0.2">
      <c r="A114" s="522">
        <v>42524</v>
      </c>
      <c r="B114" s="495">
        <v>302516</v>
      </c>
    </row>
    <row r="115" spans="1:2" x14ac:dyDescent="0.2">
      <c r="A115" s="522">
        <v>42527</v>
      </c>
      <c r="B115" s="495">
        <v>302516</v>
      </c>
    </row>
    <row r="116" spans="1:2" x14ac:dyDescent="0.2">
      <c r="A116" s="522">
        <v>42528</v>
      </c>
      <c r="B116" s="495">
        <v>302516</v>
      </c>
    </row>
    <row r="117" spans="1:2" x14ac:dyDescent="0.2">
      <c r="A117" s="522">
        <v>42529</v>
      </c>
      <c r="B117" s="495">
        <v>279865.95</v>
      </c>
    </row>
    <row r="118" spans="1:2" x14ac:dyDescent="0.2">
      <c r="A118" s="522">
        <v>42530</v>
      </c>
      <c r="B118" s="495">
        <v>279866</v>
      </c>
    </row>
    <row r="119" spans="1:2" x14ac:dyDescent="0.2">
      <c r="A119" s="522">
        <v>42531</v>
      </c>
      <c r="B119" s="495">
        <v>279866</v>
      </c>
    </row>
    <row r="120" spans="1:2" x14ac:dyDescent="0.2">
      <c r="A120" s="522">
        <v>42534</v>
      </c>
      <c r="B120" s="495">
        <v>279866</v>
      </c>
    </row>
    <row r="121" spans="1:2" x14ac:dyDescent="0.2">
      <c r="A121" s="522">
        <v>42535</v>
      </c>
      <c r="B121" s="495">
        <v>279866</v>
      </c>
    </row>
    <row r="122" spans="1:2" x14ac:dyDescent="0.2">
      <c r="A122" s="522">
        <v>42536</v>
      </c>
      <c r="B122" s="495">
        <v>290096.01</v>
      </c>
    </row>
    <row r="123" spans="1:2" x14ac:dyDescent="0.2">
      <c r="A123" s="522">
        <v>42537</v>
      </c>
      <c r="B123" s="495">
        <v>247423.5</v>
      </c>
    </row>
    <row r="124" spans="1:2" x14ac:dyDescent="0.2">
      <c r="A124" s="522">
        <v>42538</v>
      </c>
      <c r="B124" s="495">
        <v>247424</v>
      </c>
    </row>
    <row r="125" spans="1:2" x14ac:dyDescent="0.2">
      <c r="A125" s="522">
        <v>42541</v>
      </c>
      <c r="B125" s="495">
        <v>247424</v>
      </c>
    </row>
    <row r="126" spans="1:2" x14ac:dyDescent="0.2">
      <c r="A126" s="522">
        <v>42542</v>
      </c>
      <c r="B126" s="495">
        <v>255459.85</v>
      </c>
    </row>
    <row r="127" spans="1:2" x14ac:dyDescent="0.2">
      <c r="A127" s="522">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8">
        <v>42737</v>
      </c>
      <c r="B265" s="519">
        <v>354814</v>
      </c>
    </row>
    <row r="266" spans="1:2" x14ac:dyDescent="0.2">
      <c r="A266" s="518">
        <v>42738</v>
      </c>
      <c r="B266" s="519">
        <v>361866.86</v>
      </c>
    </row>
    <row r="267" spans="1:2" x14ac:dyDescent="0.2">
      <c r="A267" s="518">
        <v>42739</v>
      </c>
      <c r="B267" s="519">
        <v>363519.32</v>
      </c>
    </row>
    <row r="268" spans="1:2" x14ac:dyDescent="0.2">
      <c r="A268" s="518">
        <v>42740</v>
      </c>
      <c r="B268" s="519">
        <v>361866.66</v>
      </c>
    </row>
    <row r="269" spans="1:2" x14ac:dyDescent="0.2">
      <c r="A269" s="518">
        <v>42741</v>
      </c>
      <c r="B269" s="519">
        <v>363519</v>
      </c>
    </row>
    <row r="270" spans="1:2" x14ac:dyDescent="0.2">
      <c r="A270" s="518">
        <v>42744</v>
      </c>
      <c r="B270" s="519">
        <v>363543.47</v>
      </c>
    </row>
    <row r="271" spans="1:2" x14ac:dyDescent="0.2">
      <c r="A271" s="518">
        <v>42745</v>
      </c>
      <c r="B271" s="519">
        <v>328707.83</v>
      </c>
    </row>
    <row r="272" spans="1:2" x14ac:dyDescent="0.2">
      <c r="A272" s="518">
        <v>42746</v>
      </c>
      <c r="B272" s="519">
        <v>328708</v>
      </c>
    </row>
    <row r="273" spans="1:2" x14ac:dyDescent="0.2">
      <c r="A273" s="518">
        <v>42747</v>
      </c>
      <c r="B273" s="519">
        <v>321086.01</v>
      </c>
    </row>
    <row r="274" spans="1:2" x14ac:dyDescent="0.2">
      <c r="A274" s="518">
        <v>42748</v>
      </c>
      <c r="B274" s="519">
        <v>334097.28000000003</v>
      </c>
    </row>
    <row r="275" spans="1:2" x14ac:dyDescent="0.2">
      <c r="A275" s="518">
        <v>42751</v>
      </c>
      <c r="B275" s="519">
        <v>334097</v>
      </c>
    </row>
    <row r="276" spans="1:2" x14ac:dyDescent="0.2">
      <c r="A276" s="518">
        <v>42752</v>
      </c>
      <c r="B276" s="519">
        <v>268850.96000000002</v>
      </c>
    </row>
    <row r="277" spans="1:2" x14ac:dyDescent="0.2">
      <c r="A277" s="518">
        <v>42753</v>
      </c>
      <c r="B277" s="519">
        <v>268851</v>
      </c>
    </row>
    <row r="278" spans="1:2" x14ac:dyDescent="0.2">
      <c r="A278" s="518">
        <v>42754</v>
      </c>
      <c r="B278" s="519">
        <v>269075.21000000002</v>
      </c>
    </row>
    <row r="279" spans="1:2" x14ac:dyDescent="0.2">
      <c r="A279" s="518">
        <v>42755</v>
      </c>
      <c r="B279" s="519">
        <v>270983.21000000002</v>
      </c>
    </row>
    <row r="280" spans="1:2" x14ac:dyDescent="0.2">
      <c r="A280" s="518">
        <v>42758</v>
      </c>
      <c r="B280" s="519">
        <v>270983</v>
      </c>
    </row>
    <row r="281" spans="1:2" x14ac:dyDescent="0.2">
      <c r="A281" s="518">
        <v>42759</v>
      </c>
      <c r="B281" s="519">
        <v>270723.98</v>
      </c>
    </row>
    <row r="282" spans="1:2" x14ac:dyDescent="0.2">
      <c r="A282" s="518">
        <v>42760</v>
      </c>
      <c r="B282" s="519">
        <v>281353.09999999998</v>
      </c>
    </row>
    <row r="283" spans="1:2" x14ac:dyDescent="0.2">
      <c r="A283" s="518">
        <v>42761</v>
      </c>
      <c r="B283" s="519">
        <v>274313.84999999998</v>
      </c>
    </row>
    <row r="284" spans="1:2" x14ac:dyDescent="0.2">
      <c r="A284" s="518">
        <v>42762</v>
      </c>
      <c r="B284" s="519">
        <v>296447.59999999998</v>
      </c>
    </row>
    <row r="285" spans="1:2" x14ac:dyDescent="0.2">
      <c r="A285" s="518">
        <v>42765</v>
      </c>
      <c r="B285" s="519">
        <v>295107.96000000002</v>
      </c>
    </row>
    <row r="286" spans="1:2" x14ac:dyDescent="0.2">
      <c r="A286" s="518">
        <v>42766</v>
      </c>
      <c r="B286" s="519">
        <v>314030.53000000003</v>
      </c>
    </row>
    <row r="287" spans="1:2" x14ac:dyDescent="0.2">
      <c r="A287" s="518">
        <v>42767</v>
      </c>
      <c r="B287" s="519">
        <v>314031</v>
      </c>
    </row>
    <row r="288" spans="1:2" x14ac:dyDescent="0.2">
      <c r="A288" s="518">
        <v>42768</v>
      </c>
      <c r="B288" s="519">
        <v>312808.53999999998</v>
      </c>
    </row>
    <row r="289" spans="1:2" x14ac:dyDescent="0.2">
      <c r="A289" s="518">
        <v>42769</v>
      </c>
      <c r="B289" s="519">
        <v>316461.53999999998</v>
      </c>
    </row>
    <row r="290" spans="1:2" x14ac:dyDescent="0.2">
      <c r="A290" s="518">
        <v>42772</v>
      </c>
      <c r="B290" s="519">
        <v>316462</v>
      </c>
    </row>
    <row r="291" spans="1:2" x14ac:dyDescent="0.2">
      <c r="A291" s="518">
        <v>42773</v>
      </c>
      <c r="B291" s="519">
        <v>289560.21999999997</v>
      </c>
    </row>
    <row r="292" spans="1:2" x14ac:dyDescent="0.2">
      <c r="A292" s="518">
        <v>42774</v>
      </c>
      <c r="B292" s="519">
        <v>297310.21999999997</v>
      </c>
    </row>
    <row r="293" spans="1:2" x14ac:dyDescent="0.2">
      <c r="A293" s="518">
        <v>42775</v>
      </c>
      <c r="B293" s="519">
        <v>352433.91</v>
      </c>
    </row>
    <row r="294" spans="1:2" x14ac:dyDescent="0.2">
      <c r="A294" s="518">
        <v>42776</v>
      </c>
      <c r="B294" s="519">
        <v>352434</v>
      </c>
    </row>
    <row r="295" spans="1:2" x14ac:dyDescent="0.2">
      <c r="A295" s="518">
        <v>42779</v>
      </c>
      <c r="B295" s="519">
        <v>352434</v>
      </c>
    </row>
    <row r="296" spans="1:2" x14ac:dyDescent="0.2">
      <c r="A296" s="518">
        <v>42780</v>
      </c>
      <c r="B296" s="519">
        <v>352434</v>
      </c>
    </row>
    <row r="297" spans="1:2" x14ac:dyDescent="0.2">
      <c r="A297" s="518">
        <v>42781</v>
      </c>
      <c r="B297" s="519">
        <v>352542.46</v>
      </c>
    </row>
    <row r="298" spans="1:2" x14ac:dyDescent="0.2">
      <c r="A298" s="518">
        <v>42782</v>
      </c>
      <c r="B298" s="519">
        <v>383231.99</v>
      </c>
    </row>
    <row r="299" spans="1:2" x14ac:dyDescent="0.2">
      <c r="A299" s="518">
        <v>42783</v>
      </c>
      <c r="B299" s="553">
        <v>404679.36</v>
      </c>
    </row>
    <row r="300" spans="1:2" x14ac:dyDescent="0.2">
      <c r="A300" s="518">
        <v>42785</v>
      </c>
      <c r="B300" s="519">
        <v>404679</v>
      </c>
    </row>
    <row r="301" spans="1:2" x14ac:dyDescent="0.2">
      <c r="A301" s="518">
        <v>42787</v>
      </c>
      <c r="B301" s="519">
        <v>368703.72</v>
      </c>
    </row>
    <row r="302" spans="1:2" x14ac:dyDescent="0.2">
      <c r="A302" s="518">
        <v>42788</v>
      </c>
      <c r="B302" s="519">
        <v>368203.72</v>
      </c>
    </row>
    <row r="303" spans="1:2" x14ac:dyDescent="0.2">
      <c r="A303" s="518">
        <v>42789</v>
      </c>
      <c r="B303" s="519">
        <v>349211.92</v>
      </c>
    </row>
    <row r="304" spans="1:2" x14ac:dyDescent="0.2">
      <c r="A304" s="518">
        <v>42790</v>
      </c>
      <c r="B304" s="519">
        <v>384176.45</v>
      </c>
    </row>
    <row r="305" spans="1:2" x14ac:dyDescent="0.2">
      <c r="A305" s="518">
        <v>42793</v>
      </c>
      <c r="B305" s="519">
        <v>384176</v>
      </c>
    </row>
    <row r="306" spans="1:2" x14ac:dyDescent="0.2">
      <c r="A306" s="518">
        <v>42794</v>
      </c>
      <c r="B306" s="519">
        <v>384176</v>
      </c>
    </row>
    <row r="307" spans="1:2" x14ac:dyDescent="0.2">
      <c r="A307" s="518">
        <v>42795</v>
      </c>
      <c r="B307" s="519">
        <v>384176</v>
      </c>
    </row>
    <row r="308" spans="1:2" x14ac:dyDescent="0.2">
      <c r="A308" s="518">
        <v>42796</v>
      </c>
      <c r="B308" s="519">
        <v>395396.43</v>
      </c>
    </row>
    <row r="309" spans="1:2" x14ac:dyDescent="0.2">
      <c r="A309" s="518">
        <v>42797</v>
      </c>
      <c r="B309" s="519">
        <v>395396</v>
      </c>
    </row>
    <row r="310" spans="1:2" x14ac:dyDescent="0.2">
      <c r="A310" s="518">
        <v>42800</v>
      </c>
      <c r="B310" s="519">
        <v>395396</v>
      </c>
    </row>
    <row r="311" spans="1:2" x14ac:dyDescent="0.2">
      <c r="A311" s="518">
        <v>42801</v>
      </c>
      <c r="B311" s="519">
        <v>361856.47</v>
      </c>
    </row>
    <row r="312" spans="1:2" x14ac:dyDescent="0.2">
      <c r="A312" s="518">
        <v>42802</v>
      </c>
      <c r="B312" s="519">
        <v>361856</v>
      </c>
    </row>
    <row r="313" spans="1:2" x14ac:dyDescent="0.2">
      <c r="A313" s="518">
        <v>42803</v>
      </c>
      <c r="B313" s="519">
        <v>349877.16</v>
      </c>
    </row>
    <row r="314" spans="1:2" x14ac:dyDescent="0.2">
      <c r="A314" s="518">
        <v>42804</v>
      </c>
      <c r="B314" s="519">
        <v>359297.81</v>
      </c>
    </row>
    <row r="315" spans="1:2" x14ac:dyDescent="0.2">
      <c r="A315" s="518">
        <v>42807</v>
      </c>
      <c r="B315" s="519">
        <v>361678.91</v>
      </c>
    </row>
    <row r="316" spans="1:2" x14ac:dyDescent="0.2">
      <c r="A316" s="518">
        <v>42808</v>
      </c>
      <c r="B316" s="519">
        <v>361679</v>
      </c>
    </row>
    <row r="317" spans="1:2" x14ac:dyDescent="0.2">
      <c r="A317" s="518">
        <v>42809</v>
      </c>
      <c r="B317" s="519">
        <v>370843.37</v>
      </c>
    </row>
    <row r="318" spans="1:2" x14ac:dyDescent="0.2">
      <c r="A318" s="518">
        <v>42810</v>
      </c>
      <c r="B318" s="519">
        <v>377566.07</v>
      </c>
    </row>
    <row r="319" spans="1:2" x14ac:dyDescent="0.2">
      <c r="A319" s="518">
        <v>42811</v>
      </c>
      <c r="B319" s="519">
        <v>370373.97</v>
      </c>
    </row>
    <row r="320" spans="1:2" x14ac:dyDescent="0.2">
      <c r="A320" s="518">
        <v>42814</v>
      </c>
      <c r="B320" s="519">
        <v>338340.3</v>
      </c>
    </row>
    <row r="321" spans="1:2" x14ac:dyDescent="0.2">
      <c r="A321" s="518">
        <v>42815</v>
      </c>
      <c r="B321" s="519">
        <v>338340</v>
      </c>
    </row>
    <row r="322" spans="1:2" x14ac:dyDescent="0.2">
      <c r="A322" s="518">
        <v>42816</v>
      </c>
      <c r="B322" s="519">
        <v>338340</v>
      </c>
    </row>
    <row r="323" spans="1:2" x14ac:dyDescent="0.2">
      <c r="A323" s="518">
        <v>42817</v>
      </c>
      <c r="B323" s="519">
        <f>25944.71+322493.66</f>
        <v>348438.37</v>
      </c>
    </row>
    <row r="324" spans="1:2" x14ac:dyDescent="0.2">
      <c r="A324" s="518">
        <v>42818</v>
      </c>
      <c r="B324" s="519">
        <v>348438</v>
      </c>
    </row>
    <row r="325" spans="1:2" x14ac:dyDescent="0.2">
      <c r="A325" s="518">
        <v>42821</v>
      </c>
      <c r="B325" s="519">
        <v>348360.51</v>
      </c>
    </row>
    <row r="326" spans="1:2" x14ac:dyDescent="0.2">
      <c r="A326" s="518">
        <v>42822</v>
      </c>
      <c r="B326" s="495">
        <v>348440.48</v>
      </c>
    </row>
    <row r="327" spans="1:2" x14ac:dyDescent="0.2">
      <c r="A327" s="518">
        <v>42823</v>
      </c>
      <c r="B327" s="495">
        <v>348440</v>
      </c>
    </row>
    <row r="328" spans="1:2" x14ac:dyDescent="0.2">
      <c r="A328" s="518">
        <v>42824</v>
      </c>
      <c r="B328" s="495">
        <v>350305.92</v>
      </c>
    </row>
    <row r="329" spans="1:2" x14ac:dyDescent="0.2">
      <c r="A329" s="518">
        <v>42825</v>
      </c>
      <c r="B329" s="495">
        <v>350306</v>
      </c>
    </row>
    <row r="330" spans="1:2" x14ac:dyDescent="0.2">
      <c r="A330" s="518">
        <v>42828</v>
      </c>
      <c r="B330" s="495">
        <v>350306</v>
      </c>
    </row>
    <row r="331" spans="1:2" x14ac:dyDescent="0.2">
      <c r="A331" s="518">
        <v>42829</v>
      </c>
      <c r="B331" s="495">
        <v>320389.65000000002</v>
      </c>
    </row>
    <row r="332" spans="1:2" x14ac:dyDescent="0.2">
      <c r="A332" s="518">
        <v>42830</v>
      </c>
      <c r="B332" s="495">
        <v>320390</v>
      </c>
    </row>
    <row r="333" spans="1:2" x14ac:dyDescent="0.2">
      <c r="A333" s="518">
        <v>42831</v>
      </c>
      <c r="B333" s="495">
        <v>313344</v>
      </c>
    </row>
    <row r="334" spans="1:2" x14ac:dyDescent="0.2">
      <c r="A334" s="518">
        <v>42832</v>
      </c>
      <c r="B334" s="495">
        <v>313344</v>
      </c>
    </row>
    <row r="335" spans="1:2" x14ac:dyDescent="0.2">
      <c r="A335" s="518">
        <v>42835</v>
      </c>
      <c r="B335" s="495">
        <v>306132.78000000003</v>
      </c>
    </row>
    <row r="336" spans="1:2" x14ac:dyDescent="0.2">
      <c r="A336" s="518">
        <v>42836</v>
      </c>
      <c r="B336" s="495">
        <v>286047.34999999998</v>
      </c>
    </row>
    <row r="337" spans="1:2" x14ac:dyDescent="0.2">
      <c r="A337" s="518">
        <v>42837</v>
      </c>
      <c r="B337" s="495">
        <v>286047</v>
      </c>
    </row>
    <row r="338" spans="1:2" x14ac:dyDescent="0.2">
      <c r="A338" s="518">
        <v>42838</v>
      </c>
      <c r="B338" s="495">
        <v>272128.99</v>
      </c>
    </row>
    <row r="339" spans="1:2" x14ac:dyDescent="0.2">
      <c r="A339" s="518">
        <v>42839</v>
      </c>
      <c r="B339" s="495">
        <v>272229.71000000002</v>
      </c>
    </row>
    <row r="340" spans="1:2" x14ac:dyDescent="0.2">
      <c r="A340" s="518">
        <v>42842</v>
      </c>
      <c r="B340" s="495">
        <v>236683.56</v>
      </c>
    </row>
    <row r="341" spans="1:2" x14ac:dyDescent="0.2">
      <c r="A341" s="518">
        <v>42843</v>
      </c>
      <c r="B341" s="495">
        <v>244114.64</v>
      </c>
    </row>
    <row r="342" spans="1:2" x14ac:dyDescent="0.2">
      <c r="A342" s="518">
        <v>42844</v>
      </c>
      <c r="B342" s="495">
        <v>244115</v>
      </c>
    </row>
    <row r="343" spans="1:2" x14ac:dyDescent="0.2">
      <c r="A343" s="518">
        <v>42845</v>
      </c>
      <c r="B343" s="495">
        <v>241798.76</v>
      </c>
    </row>
    <row r="344" spans="1:2" x14ac:dyDescent="0.2">
      <c r="A344" s="518">
        <v>42846</v>
      </c>
      <c r="B344" s="495">
        <v>241799</v>
      </c>
    </row>
    <row r="345" spans="1:2" x14ac:dyDescent="0.2">
      <c r="A345" s="518">
        <v>42849</v>
      </c>
      <c r="B345" s="495">
        <v>241973.76000000001</v>
      </c>
    </row>
    <row r="346" spans="1:2" x14ac:dyDescent="0.2">
      <c r="A346" s="518">
        <v>42850</v>
      </c>
      <c r="B346" s="495">
        <v>243364.2</v>
      </c>
    </row>
    <row r="347" spans="1:2" x14ac:dyDescent="0.2">
      <c r="A347" s="518">
        <v>42851</v>
      </c>
      <c r="B347" s="495">
        <v>243364</v>
      </c>
    </row>
    <row r="348" spans="1:2" x14ac:dyDescent="0.2">
      <c r="A348" s="518">
        <v>42852</v>
      </c>
      <c r="B348" s="495">
        <v>259265.45</v>
      </c>
    </row>
    <row r="349" spans="1:2" x14ac:dyDescent="0.2">
      <c r="A349" s="518">
        <v>42853</v>
      </c>
      <c r="B349" s="495">
        <v>290731.18</v>
      </c>
    </row>
    <row r="350" spans="1:2" x14ac:dyDescent="0.2">
      <c r="A350" s="518">
        <v>42856</v>
      </c>
      <c r="B350" s="495">
        <v>251486.17</v>
      </c>
    </row>
    <row r="351" spans="1:2" x14ac:dyDescent="0.2">
      <c r="A351" s="518">
        <v>42857</v>
      </c>
      <c r="B351" s="495">
        <v>253188.17</v>
      </c>
    </row>
    <row r="352" spans="1:2" x14ac:dyDescent="0.2">
      <c r="A352" s="518">
        <v>42858</v>
      </c>
      <c r="B352" s="495">
        <v>253188</v>
      </c>
    </row>
    <row r="353" spans="1:2" x14ac:dyDescent="0.2">
      <c r="A353" s="518">
        <v>42859</v>
      </c>
      <c r="B353" s="495">
        <v>232739.33</v>
      </c>
    </row>
    <row r="354" spans="1:2" x14ac:dyDescent="0.2">
      <c r="A354" s="518">
        <v>42860</v>
      </c>
      <c r="B354" s="495">
        <v>234049.33</v>
      </c>
    </row>
    <row r="355" spans="1:2" x14ac:dyDescent="0.2">
      <c r="A355" s="518">
        <v>42863</v>
      </c>
      <c r="B355" s="495">
        <v>314317.77</v>
      </c>
    </row>
    <row r="356" spans="1:2" x14ac:dyDescent="0.2">
      <c r="A356" s="518">
        <v>42864</v>
      </c>
      <c r="B356" s="495">
        <v>314318</v>
      </c>
    </row>
    <row r="357" spans="1:2" x14ac:dyDescent="0.2">
      <c r="A357" s="518">
        <v>42865</v>
      </c>
      <c r="B357" s="495">
        <v>314318</v>
      </c>
    </row>
    <row r="358" spans="1:2" x14ac:dyDescent="0.2">
      <c r="A358" s="518">
        <v>42866</v>
      </c>
      <c r="B358" s="495">
        <v>313971.28000000003</v>
      </c>
    </row>
    <row r="359" spans="1:2" x14ac:dyDescent="0.2">
      <c r="A359" s="518">
        <v>42867</v>
      </c>
      <c r="B359" s="495">
        <v>313971</v>
      </c>
    </row>
    <row r="360" spans="1:2" x14ac:dyDescent="0.2">
      <c r="A360" s="518">
        <v>42870</v>
      </c>
      <c r="B360" s="495">
        <v>271063.69</v>
      </c>
    </row>
    <row r="361" spans="1:2" x14ac:dyDescent="0.2">
      <c r="A361" s="518">
        <v>42871</v>
      </c>
      <c r="B361" s="495">
        <v>271064</v>
      </c>
    </row>
    <row r="362" spans="1:2" x14ac:dyDescent="0.2">
      <c r="A362" s="518">
        <v>42872</v>
      </c>
      <c r="B362" s="495">
        <v>271064</v>
      </c>
    </row>
    <row r="363" spans="1:2" x14ac:dyDescent="0.2">
      <c r="A363" s="518">
        <v>42873</v>
      </c>
      <c r="B363" s="495">
        <v>261497.73</v>
      </c>
    </row>
    <row r="364" spans="1:2" x14ac:dyDescent="0.2">
      <c r="A364" s="518">
        <v>42874</v>
      </c>
      <c r="B364" s="495">
        <v>311507.92</v>
      </c>
    </row>
    <row r="365" spans="1:2" x14ac:dyDescent="0.2">
      <c r="A365" s="518">
        <v>42877</v>
      </c>
      <c r="B365" s="495">
        <v>290080.52</v>
      </c>
    </row>
    <row r="366" spans="1:2" x14ac:dyDescent="0.2">
      <c r="A366" s="518">
        <v>42878</v>
      </c>
      <c r="B366" s="495">
        <v>290081</v>
      </c>
    </row>
    <row r="367" spans="1:2" x14ac:dyDescent="0.2">
      <c r="A367" s="518">
        <v>42879</v>
      </c>
      <c r="B367" s="495">
        <v>327080.46000000002</v>
      </c>
    </row>
    <row r="368" spans="1:2" x14ac:dyDescent="0.2">
      <c r="A368" s="518">
        <v>42880</v>
      </c>
      <c r="B368" s="495">
        <v>327080</v>
      </c>
    </row>
    <row r="369" spans="1:2" x14ac:dyDescent="0.2">
      <c r="A369" s="518">
        <v>42881</v>
      </c>
      <c r="B369" s="495">
        <v>336844.12</v>
      </c>
    </row>
    <row r="370" spans="1:2" x14ac:dyDescent="0.2">
      <c r="A370" s="518">
        <v>42884</v>
      </c>
      <c r="B370" s="495">
        <v>336844</v>
      </c>
    </row>
    <row r="371" spans="1:2" x14ac:dyDescent="0.2">
      <c r="A371" s="518">
        <v>42885</v>
      </c>
      <c r="B371" s="495">
        <v>300553.48</v>
      </c>
    </row>
    <row r="372" spans="1:2" x14ac:dyDescent="0.2">
      <c r="A372" s="518">
        <v>42886</v>
      </c>
      <c r="B372" s="495">
        <v>296887.5</v>
      </c>
    </row>
    <row r="373" spans="1:2" x14ac:dyDescent="0.2">
      <c r="A373" s="518">
        <v>42887</v>
      </c>
      <c r="B373" s="495">
        <v>297355.68</v>
      </c>
    </row>
    <row r="374" spans="1:2" x14ac:dyDescent="0.2">
      <c r="A374" s="518">
        <v>42888</v>
      </c>
      <c r="B374" s="495">
        <v>298760.68</v>
      </c>
    </row>
    <row r="375" spans="1:2" x14ac:dyDescent="0.2">
      <c r="A375" s="518">
        <v>42891</v>
      </c>
      <c r="B375" s="495">
        <v>279006.82</v>
      </c>
    </row>
    <row r="376" spans="1:2" x14ac:dyDescent="0.2">
      <c r="A376" s="518">
        <v>42892</v>
      </c>
      <c r="B376" s="495">
        <v>279007</v>
      </c>
    </row>
    <row r="377" spans="1:2" x14ac:dyDescent="0.2">
      <c r="A377" s="518">
        <v>42893</v>
      </c>
      <c r="B377" s="495">
        <v>279007</v>
      </c>
    </row>
    <row r="378" spans="1:2" x14ac:dyDescent="0.2">
      <c r="A378" s="518">
        <v>42894</v>
      </c>
      <c r="B378" s="495">
        <v>279112.07</v>
      </c>
    </row>
    <row r="379" spans="1:2" x14ac:dyDescent="0.2">
      <c r="A379" s="518">
        <v>42895</v>
      </c>
      <c r="B379" s="495">
        <v>279112</v>
      </c>
    </row>
    <row r="380" spans="1:2" x14ac:dyDescent="0.2">
      <c r="A380" s="518">
        <v>42898</v>
      </c>
      <c r="B380" s="495">
        <v>244072.02</v>
      </c>
    </row>
    <row r="381" spans="1:2" x14ac:dyDescent="0.2">
      <c r="A381" s="518">
        <v>42899</v>
      </c>
      <c r="B381" s="495">
        <v>249325.41</v>
      </c>
    </row>
    <row r="382" spans="1:2" x14ac:dyDescent="0.2">
      <c r="A382" s="518">
        <v>42900</v>
      </c>
      <c r="B382" s="495">
        <v>249325</v>
      </c>
    </row>
    <row r="383" spans="1:2" x14ac:dyDescent="0.2">
      <c r="A383" s="518">
        <v>42901</v>
      </c>
      <c r="B383" s="495">
        <v>252874.48</v>
      </c>
    </row>
    <row r="384" spans="1:2" x14ac:dyDescent="0.2">
      <c r="A384" s="518">
        <v>42902</v>
      </c>
      <c r="B384" s="495">
        <v>253128.65</v>
      </c>
    </row>
    <row r="385" spans="1:2" x14ac:dyDescent="0.2">
      <c r="A385" s="518">
        <v>42905</v>
      </c>
      <c r="B385" s="495">
        <v>255098.96</v>
      </c>
    </row>
    <row r="386" spans="1:2" x14ac:dyDescent="0.2">
      <c r="A386" s="518">
        <v>42906</v>
      </c>
      <c r="B386" s="495">
        <v>253521.42</v>
      </c>
    </row>
    <row r="387" spans="1:2" x14ac:dyDescent="0.2">
      <c r="A387" s="518">
        <v>42907</v>
      </c>
      <c r="B387" s="495">
        <v>253521</v>
      </c>
    </row>
    <row r="388" spans="1:2" x14ac:dyDescent="0.2">
      <c r="A388" s="518">
        <v>42908</v>
      </c>
      <c r="B388" s="495">
        <v>235912.36</v>
      </c>
    </row>
    <row r="389" spans="1:2" x14ac:dyDescent="0.2">
      <c r="A389" s="518">
        <v>42909</v>
      </c>
      <c r="B389" s="495">
        <v>235912</v>
      </c>
    </row>
    <row r="390" spans="1:2" x14ac:dyDescent="0.2">
      <c r="A390" s="518">
        <v>42912</v>
      </c>
      <c r="B390" s="554">
        <v>198879.76</v>
      </c>
    </row>
    <row r="391" spans="1:2" x14ac:dyDescent="0.2">
      <c r="A391" s="518">
        <v>42913</v>
      </c>
      <c r="B391" s="495">
        <v>199009.76</v>
      </c>
    </row>
    <row r="392" spans="1:2" x14ac:dyDescent="0.2">
      <c r="A392" s="518">
        <v>42914</v>
      </c>
      <c r="B392" s="495">
        <v>199010</v>
      </c>
    </row>
    <row r="393" spans="1:2" x14ac:dyDescent="0.2">
      <c r="A393" s="518">
        <v>42915</v>
      </c>
      <c r="B393" s="495">
        <v>210354</v>
      </c>
    </row>
    <row r="394" spans="1:2" x14ac:dyDescent="0.2">
      <c r="A394" s="518">
        <v>42916</v>
      </c>
      <c r="B394" s="495">
        <v>260779.62</v>
      </c>
    </row>
    <row r="395" spans="1:2" x14ac:dyDescent="0.2">
      <c r="A395" s="518">
        <v>42919</v>
      </c>
      <c r="B395" s="495">
        <v>260780</v>
      </c>
    </row>
    <row r="396" spans="1:2" x14ac:dyDescent="0.2">
      <c r="A396" s="518">
        <v>42920</v>
      </c>
      <c r="B396" s="495">
        <v>260780</v>
      </c>
    </row>
    <row r="397" spans="1:2" x14ac:dyDescent="0.2">
      <c r="A397" s="518">
        <v>42921</v>
      </c>
      <c r="B397" s="495">
        <v>260780</v>
      </c>
    </row>
    <row r="398" spans="1:2" x14ac:dyDescent="0.2">
      <c r="A398" s="518">
        <v>42922</v>
      </c>
      <c r="B398" s="495">
        <v>261774.11</v>
      </c>
    </row>
    <row r="399" spans="1:2" x14ac:dyDescent="0.2">
      <c r="A399" s="518">
        <v>42923</v>
      </c>
      <c r="B399" s="495">
        <v>261774</v>
      </c>
    </row>
    <row r="400" spans="1:2" x14ac:dyDescent="0.2">
      <c r="A400" s="518">
        <v>42926</v>
      </c>
      <c r="B400" s="495">
        <v>226950.89</v>
      </c>
    </row>
    <row r="401" spans="1:2" x14ac:dyDescent="0.2">
      <c r="A401" s="518">
        <v>42927</v>
      </c>
      <c r="B401" s="495">
        <v>226951</v>
      </c>
    </row>
    <row r="402" spans="1:2" x14ac:dyDescent="0.2">
      <c r="A402" s="518">
        <v>42928</v>
      </c>
      <c r="B402" s="495">
        <v>248711.94</v>
      </c>
    </row>
    <row r="403" spans="1:2" x14ac:dyDescent="0.2">
      <c r="A403" s="518">
        <v>42929</v>
      </c>
      <c r="B403" s="495">
        <v>256201.58</v>
      </c>
    </row>
    <row r="404" spans="1:2" x14ac:dyDescent="0.2">
      <c r="A404" s="518">
        <v>42930</v>
      </c>
      <c r="B404" s="495">
        <v>256272.97</v>
      </c>
    </row>
    <row r="405" spans="1:2" x14ac:dyDescent="0.2">
      <c r="A405" s="518">
        <v>42933</v>
      </c>
      <c r="B405" s="495">
        <v>256056.42</v>
      </c>
    </row>
    <row r="406" spans="1:2" x14ac:dyDescent="0.2">
      <c r="A406" s="518">
        <v>42934</v>
      </c>
      <c r="B406" s="495">
        <v>257213.96</v>
      </c>
    </row>
    <row r="407" spans="1:2" x14ac:dyDescent="0.2">
      <c r="A407" s="518">
        <v>42935</v>
      </c>
      <c r="B407" s="495">
        <v>257214</v>
      </c>
    </row>
    <row r="408" spans="1:2" x14ac:dyDescent="0.2">
      <c r="A408" s="518">
        <v>42936</v>
      </c>
      <c r="B408" s="495">
        <v>260075.5</v>
      </c>
    </row>
    <row r="409" spans="1:2" x14ac:dyDescent="0.2">
      <c r="A409" s="518">
        <v>42937</v>
      </c>
      <c r="B409" s="495">
        <v>339825.5</v>
      </c>
    </row>
    <row r="410" spans="1:2" x14ac:dyDescent="0.2">
      <c r="A410" s="518">
        <v>42940</v>
      </c>
      <c r="B410" s="495">
        <v>303182.65000000002</v>
      </c>
    </row>
    <row r="411" spans="1:2" x14ac:dyDescent="0.2">
      <c r="A411" s="518">
        <v>42941</v>
      </c>
      <c r="B411" s="495">
        <v>322340.12</v>
      </c>
    </row>
    <row r="412" spans="1:2" x14ac:dyDescent="0.2">
      <c r="A412" s="518">
        <v>42942</v>
      </c>
      <c r="B412" s="495">
        <v>322340</v>
      </c>
    </row>
    <row r="413" spans="1:2" x14ac:dyDescent="0.2">
      <c r="A413" s="518">
        <v>42943</v>
      </c>
      <c r="B413" s="495">
        <v>308772.78999999998</v>
      </c>
    </row>
    <row r="414" spans="1:2" x14ac:dyDescent="0.2">
      <c r="A414" s="518">
        <v>42944</v>
      </c>
      <c r="B414" s="495">
        <v>317343.40999999997</v>
      </c>
    </row>
    <row r="415" spans="1:2" x14ac:dyDescent="0.2">
      <c r="A415" s="518">
        <v>42947</v>
      </c>
      <c r="B415" s="495">
        <v>317343</v>
      </c>
    </row>
    <row r="416" spans="1:2" x14ac:dyDescent="0.2">
      <c r="A416" s="518">
        <v>42948</v>
      </c>
      <c r="B416" s="495">
        <v>369152.35</v>
      </c>
    </row>
    <row r="417" spans="1:2" x14ac:dyDescent="0.2">
      <c r="A417" s="518">
        <v>42949</v>
      </c>
      <c r="B417" s="495">
        <v>371061.94</v>
      </c>
    </row>
    <row r="418" spans="1:2" x14ac:dyDescent="0.2">
      <c r="A418" s="518">
        <v>42950</v>
      </c>
      <c r="B418" s="495">
        <v>372080.87</v>
      </c>
    </row>
    <row r="419" spans="1:2" x14ac:dyDescent="0.2">
      <c r="A419" s="518">
        <v>42951</v>
      </c>
      <c r="B419" s="495">
        <v>372080.87</v>
      </c>
    </row>
    <row r="420" spans="1:2" x14ac:dyDescent="0.2">
      <c r="A420" s="518">
        <v>42954</v>
      </c>
      <c r="B420" s="495">
        <v>336189.47</v>
      </c>
    </row>
    <row r="421" spans="1:2" x14ac:dyDescent="0.2">
      <c r="A421" s="518">
        <v>42955</v>
      </c>
      <c r="B421" s="495">
        <v>340998.07</v>
      </c>
    </row>
    <row r="422" spans="1:2" x14ac:dyDescent="0.2">
      <c r="A422" s="518">
        <v>42956</v>
      </c>
      <c r="B422" s="495">
        <v>332763.65000000002</v>
      </c>
    </row>
    <row r="423" spans="1:2" x14ac:dyDescent="0.2">
      <c r="A423" s="518">
        <v>42957</v>
      </c>
      <c r="B423" s="495">
        <v>375651.45</v>
      </c>
    </row>
    <row r="424" spans="1:2" x14ac:dyDescent="0.2">
      <c r="A424" s="518">
        <v>42958</v>
      </c>
      <c r="B424" s="495">
        <v>378293.21</v>
      </c>
    </row>
    <row r="425" spans="1:2" x14ac:dyDescent="0.2">
      <c r="A425" s="518">
        <v>42961</v>
      </c>
      <c r="B425" s="495">
        <v>378293</v>
      </c>
    </row>
    <row r="426" spans="1:2" x14ac:dyDescent="0.2">
      <c r="A426" s="518">
        <v>42962</v>
      </c>
      <c r="B426" s="495">
        <v>401190.06</v>
      </c>
    </row>
    <row r="427" spans="1:2" x14ac:dyDescent="0.2">
      <c r="A427" s="518">
        <v>42963</v>
      </c>
      <c r="B427" s="495">
        <v>401190</v>
      </c>
    </row>
    <row r="428" spans="1:2" x14ac:dyDescent="0.2">
      <c r="A428" s="518">
        <v>42964</v>
      </c>
      <c r="B428" s="495">
        <v>401569.72</v>
      </c>
    </row>
    <row r="429" spans="1:2" x14ac:dyDescent="0.2">
      <c r="A429" s="518">
        <v>42965</v>
      </c>
      <c r="B429" s="495">
        <v>403837.72</v>
      </c>
    </row>
    <row r="430" spans="1:2" x14ac:dyDescent="0.2">
      <c r="A430" s="518">
        <v>42968</v>
      </c>
      <c r="B430" s="495">
        <v>369495.17</v>
      </c>
    </row>
    <row r="431" spans="1:2" x14ac:dyDescent="0.2">
      <c r="A431" s="518">
        <v>42969</v>
      </c>
      <c r="B431" s="495">
        <v>379169.06</v>
      </c>
    </row>
    <row r="432" spans="1:2" x14ac:dyDescent="0.2">
      <c r="A432" s="518">
        <v>42970</v>
      </c>
      <c r="B432" s="495">
        <v>379169</v>
      </c>
    </row>
    <row r="433" spans="1:2" x14ac:dyDescent="0.2">
      <c r="A433" s="518">
        <v>42971</v>
      </c>
      <c r="B433" s="495">
        <v>372540.41</v>
      </c>
    </row>
    <row r="434" spans="1:2" x14ac:dyDescent="0.2">
      <c r="A434" s="518">
        <v>42972</v>
      </c>
      <c r="B434" s="495">
        <v>372540</v>
      </c>
    </row>
    <row r="435" spans="1:2" x14ac:dyDescent="0.2">
      <c r="A435" s="518">
        <v>42975</v>
      </c>
      <c r="B435" s="495">
        <v>372540</v>
      </c>
    </row>
    <row r="436" spans="1:2" x14ac:dyDescent="0.2">
      <c r="A436" s="518">
        <v>42976</v>
      </c>
      <c r="B436" s="495">
        <v>374625.25</v>
      </c>
    </row>
    <row r="437" spans="1:2" x14ac:dyDescent="0.2">
      <c r="A437" s="518">
        <v>42977</v>
      </c>
      <c r="B437" s="495">
        <v>382658.46</v>
      </c>
    </row>
    <row r="438" spans="1:2" x14ac:dyDescent="0.2">
      <c r="A438" s="518">
        <v>42978</v>
      </c>
      <c r="B438" s="495">
        <v>389160.26</v>
      </c>
    </row>
    <row r="439" spans="1:2" x14ac:dyDescent="0.2">
      <c r="A439" s="518">
        <v>42979</v>
      </c>
      <c r="B439" s="495">
        <v>389160</v>
      </c>
    </row>
    <row r="440" spans="1:2" x14ac:dyDescent="0.2">
      <c r="A440" s="518">
        <v>42982</v>
      </c>
      <c r="B440" s="495">
        <v>389160</v>
      </c>
    </row>
    <row r="441" spans="1:2" x14ac:dyDescent="0.2">
      <c r="A441" s="518">
        <v>42983</v>
      </c>
      <c r="B441" s="495">
        <v>352908.42</v>
      </c>
    </row>
    <row r="442" spans="1:2" x14ac:dyDescent="0.2">
      <c r="A442" s="518">
        <v>42984</v>
      </c>
      <c r="B442" s="495">
        <v>383959.41</v>
      </c>
    </row>
    <row r="443" spans="1:2" x14ac:dyDescent="0.2">
      <c r="A443" s="518">
        <v>42985</v>
      </c>
      <c r="B443" s="495">
        <v>403148.81</v>
      </c>
    </row>
    <row r="444" spans="1:2" x14ac:dyDescent="0.2">
      <c r="A444" s="518">
        <v>42986</v>
      </c>
      <c r="B444" s="495">
        <v>403344.11</v>
      </c>
    </row>
    <row r="445" spans="1:2" x14ac:dyDescent="0.2">
      <c r="A445" s="518">
        <v>42989</v>
      </c>
      <c r="B445" s="495">
        <v>403344</v>
      </c>
    </row>
    <row r="446" spans="1:2" x14ac:dyDescent="0.2">
      <c r="A446" s="518">
        <v>42990</v>
      </c>
      <c r="B446" s="495">
        <v>403344</v>
      </c>
    </row>
    <row r="447" spans="1:2" x14ac:dyDescent="0.2">
      <c r="A447" s="518">
        <v>42991</v>
      </c>
      <c r="B447" s="495">
        <v>403344</v>
      </c>
    </row>
    <row r="448" spans="1:2" x14ac:dyDescent="0.2">
      <c r="A448" s="518">
        <v>42992</v>
      </c>
      <c r="B448" s="495">
        <v>400016.8</v>
      </c>
    </row>
    <row r="449" spans="1:2" x14ac:dyDescent="0.2">
      <c r="A449" s="518">
        <v>42993</v>
      </c>
      <c r="B449" s="495">
        <v>400134.96</v>
      </c>
    </row>
    <row r="450" spans="1:2" x14ac:dyDescent="0.2">
      <c r="A450" s="518">
        <v>42996</v>
      </c>
      <c r="B450" s="495">
        <v>364805.11</v>
      </c>
    </row>
    <row r="451" spans="1:2" x14ac:dyDescent="0.2">
      <c r="A451" s="518">
        <v>42997</v>
      </c>
      <c r="B451" s="495">
        <v>364805</v>
      </c>
    </row>
    <row r="452" spans="1:2" x14ac:dyDescent="0.2">
      <c r="A452" s="518">
        <v>42998</v>
      </c>
      <c r="B452" s="495">
        <v>371804.33</v>
      </c>
    </row>
    <row r="453" spans="1:2" x14ac:dyDescent="0.2">
      <c r="A453" s="518">
        <v>42999</v>
      </c>
      <c r="B453" s="495">
        <v>370759.85</v>
      </c>
    </row>
    <row r="454" spans="1:2" x14ac:dyDescent="0.2">
      <c r="A454" s="518">
        <v>43000</v>
      </c>
      <c r="B454" s="495">
        <v>389878.66</v>
      </c>
    </row>
    <row r="455" spans="1:2" x14ac:dyDescent="0.2">
      <c r="A455" s="518">
        <v>43003</v>
      </c>
      <c r="B455" s="495">
        <v>393013.02</v>
      </c>
    </row>
    <row r="456" spans="1:2" x14ac:dyDescent="0.2">
      <c r="A456" s="518">
        <v>43004</v>
      </c>
      <c r="B456" s="495">
        <v>393593.22</v>
      </c>
    </row>
    <row r="457" spans="1:2" x14ac:dyDescent="0.2">
      <c r="A457" s="518">
        <v>43005</v>
      </c>
      <c r="B457" s="495">
        <v>393593</v>
      </c>
    </row>
    <row r="458" spans="1:2" x14ac:dyDescent="0.2">
      <c r="A458" s="518">
        <v>43006</v>
      </c>
      <c r="B458" s="495">
        <v>385433.95</v>
      </c>
    </row>
    <row r="459" spans="1:2" x14ac:dyDescent="0.2">
      <c r="A459" s="518">
        <v>43007</v>
      </c>
      <c r="B459" s="495">
        <v>385678.15</v>
      </c>
    </row>
    <row r="460" spans="1:2" x14ac:dyDescent="0.2">
      <c r="A460" s="518">
        <v>43010</v>
      </c>
      <c r="B460" s="495">
        <v>350949.28</v>
      </c>
    </row>
    <row r="461" spans="1:2" x14ac:dyDescent="0.2">
      <c r="A461" s="518">
        <v>43011</v>
      </c>
      <c r="B461" s="495">
        <v>352010.98</v>
      </c>
    </row>
    <row r="462" spans="1:2" x14ac:dyDescent="0.2">
      <c r="A462" s="518">
        <v>43012</v>
      </c>
      <c r="B462" s="495">
        <v>352011</v>
      </c>
    </row>
    <row r="463" spans="1:2" x14ac:dyDescent="0.2">
      <c r="A463" s="518">
        <v>43013</v>
      </c>
      <c r="B463" s="495">
        <v>348679</v>
      </c>
    </row>
    <row r="464" spans="1:2" x14ac:dyDescent="0.2">
      <c r="A464" s="518">
        <v>43014</v>
      </c>
      <c r="B464" s="495">
        <v>348679</v>
      </c>
    </row>
    <row r="465" spans="1:2" x14ac:dyDescent="0.2">
      <c r="A465" s="518">
        <v>43017</v>
      </c>
      <c r="B465" s="495">
        <v>348679</v>
      </c>
    </row>
    <row r="466" spans="1:2" x14ac:dyDescent="0.2">
      <c r="A466" s="518">
        <v>43018</v>
      </c>
      <c r="B466" s="495">
        <v>348679</v>
      </c>
    </row>
    <row r="467" spans="1:2" x14ac:dyDescent="0.2">
      <c r="A467" s="518">
        <v>43019</v>
      </c>
      <c r="B467" s="495">
        <v>348761.24</v>
      </c>
    </row>
    <row r="468" spans="1:2" x14ac:dyDescent="0.2">
      <c r="A468" s="518">
        <v>43020</v>
      </c>
      <c r="B468" s="495">
        <v>349998.26</v>
      </c>
    </row>
    <row r="469" spans="1:2" x14ac:dyDescent="0.2">
      <c r="A469" s="518">
        <v>43021</v>
      </c>
      <c r="B469" s="495">
        <v>370561.14</v>
      </c>
    </row>
    <row r="470" spans="1:2" x14ac:dyDescent="0.2">
      <c r="A470" s="518">
        <v>43024</v>
      </c>
      <c r="B470" s="495">
        <v>336220.14</v>
      </c>
    </row>
    <row r="471" spans="1:2" x14ac:dyDescent="0.2">
      <c r="A471" s="518">
        <v>43025</v>
      </c>
      <c r="B471" s="495">
        <v>336332.14</v>
      </c>
    </row>
    <row r="472" spans="1:2" x14ac:dyDescent="0.2">
      <c r="A472" s="518">
        <v>43026</v>
      </c>
      <c r="B472" s="495">
        <v>336332</v>
      </c>
    </row>
    <row r="473" spans="1:2" x14ac:dyDescent="0.2">
      <c r="A473" s="518">
        <v>43027</v>
      </c>
      <c r="B473" s="495">
        <v>339185.02</v>
      </c>
    </row>
    <row r="474" spans="1:2" x14ac:dyDescent="0.2">
      <c r="A474" s="518">
        <v>43028</v>
      </c>
      <c r="B474" s="495">
        <v>344936.35</v>
      </c>
    </row>
    <row r="475" spans="1:2" x14ac:dyDescent="0.2">
      <c r="A475" s="518">
        <v>43031</v>
      </c>
      <c r="B475" s="495">
        <v>344564.68</v>
      </c>
    </row>
    <row r="476" spans="1:2" x14ac:dyDescent="0.2">
      <c r="A476" s="518">
        <v>43032</v>
      </c>
      <c r="B476" s="495">
        <v>344565</v>
      </c>
    </row>
    <row r="477" spans="1:2" x14ac:dyDescent="0.2">
      <c r="A477" s="518">
        <v>43033</v>
      </c>
      <c r="B477" s="495">
        <v>344829.18</v>
      </c>
    </row>
    <row r="478" spans="1:2" x14ac:dyDescent="0.2">
      <c r="A478" s="518">
        <v>43034</v>
      </c>
      <c r="B478" s="495">
        <v>339942.05</v>
      </c>
    </row>
    <row r="479" spans="1:2" x14ac:dyDescent="0.2">
      <c r="A479" s="518">
        <v>43035</v>
      </c>
      <c r="B479" s="495">
        <v>360185.72</v>
      </c>
    </row>
    <row r="480" spans="1:2" x14ac:dyDescent="0.2">
      <c r="A480" s="518">
        <v>43038</v>
      </c>
      <c r="B480" s="495">
        <v>323067.73</v>
      </c>
    </row>
    <row r="481" spans="1:2" x14ac:dyDescent="0.2">
      <c r="A481" s="518">
        <v>43039</v>
      </c>
      <c r="B481" s="495">
        <v>323197.73</v>
      </c>
    </row>
    <row r="482" spans="1:2" x14ac:dyDescent="0.2">
      <c r="A482" s="518">
        <v>43040</v>
      </c>
      <c r="B482" s="495">
        <v>323198</v>
      </c>
    </row>
    <row r="483" spans="1:2" x14ac:dyDescent="0.2">
      <c r="A483" s="518">
        <v>43041</v>
      </c>
      <c r="B483" s="495">
        <v>341044.7</v>
      </c>
    </row>
    <row r="484" spans="1:2" x14ac:dyDescent="0.2">
      <c r="A484" s="518">
        <v>43042</v>
      </c>
      <c r="B484" s="495">
        <v>341676.17</v>
      </c>
    </row>
    <row r="485" spans="1:2" x14ac:dyDescent="0.2">
      <c r="A485" s="518">
        <v>43045</v>
      </c>
      <c r="B485" s="495">
        <v>341676</v>
      </c>
    </row>
    <row r="486" spans="1:2" x14ac:dyDescent="0.2">
      <c r="A486" s="518">
        <v>43046</v>
      </c>
      <c r="B486" s="495">
        <v>341676</v>
      </c>
    </row>
    <row r="487" spans="1:2" x14ac:dyDescent="0.2">
      <c r="A487" s="518">
        <v>43047</v>
      </c>
      <c r="B487" s="495">
        <v>379863.97</v>
      </c>
    </row>
    <row r="488" spans="1:2" x14ac:dyDescent="0.2">
      <c r="A488" s="518">
        <v>43048</v>
      </c>
      <c r="B488" s="495">
        <v>378842.06</v>
      </c>
    </row>
    <row r="489" spans="1:2" x14ac:dyDescent="0.2">
      <c r="A489" s="518">
        <v>43049</v>
      </c>
      <c r="B489" s="495">
        <v>378842</v>
      </c>
    </row>
    <row r="490" spans="1:2" x14ac:dyDescent="0.2">
      <c r="A490" s="518">
        <v>43052</v>
      </c>
      <c r="B490" s="495">
        <v>340784.14</v>
      </c>
    </row>
    <row r="491" spans="1:2" x14ac:dyDescent="0.2">
      <c r="A491" s="518">
        <v>43053</v>
      </c>
      <c r="B491" s="495">
        <v>340784</v>
      </c>
    </row>
    <row r="492" spans="1:2" x14ac:dyDescent="0.2">
      <c r="A492" s="518">
        <v>43054</v>
      </c>
      <c r="B492" s="495">
        <v>340895.76</v>
      </c>
    </row>
    <row r="493" spans="1:2" x14ac:dyDescent="0.2">
      <c r="A493" s="518">
        <v>43055</v>
      </c>
      <c r="B493" s="495">
        <v>354246.44</v>
      </c>
    </row>
    <row r="494" spans="1:2" x14ac:dyDescent="0.2">
      <c r="A494" s="518">
        <v>43056</v>
      </c>
      <c r="B494" s="495">
        <v>354246.44</v>
      </c>
    </row>
    <row r="495" spans="1:2" x14ac:dyDescent="0.2">
      <c r="A495" s="518">
        <v>43059</v>
      </c>
      <c r="B495" s="495">
        <v>354264.44</v>
      </c>
    </row>
    <row r="496" spans="1:2" x14ac:dyDescent="0.2">
      <c r="A496" s="518">
        <v>43060</v>
      </c>
      <c r="B496" s="495">
        <v>354264</v>
      </c>
    </row>
    <row r="497" spans="1:2" x14ac:dyDescent="0.2">
      <c r="A497" s="518">
        <v>43061</v>
      </c>
      <c r="B497" s="495">
        <v>357804.55</v>
      </c>
    </row>
    <row r="498" spans="1:2" x14ac:dyDescent="0.2">
      <c r="A498" s="518">
        <v>43062</v>
      </c>
      <c r="B498" s="495">
        <v>357805</v>
      </c>
    </row>
    <row r="499" spans="1:2" x14ac:dyDescent="0.2">
      <c r="A499" s="518">
        <v>43063</v>
      </c>
      <c r="B499" s="495">
        <v>361119.05</v>
      </c>
    </row>
    <row r="500" spans="1:2" x14ac:dyDescent="0.2">
      <c r="A500" s="518">
        <v>43066</v>
      </c>
      <c r="B500" s="495">
        <v>318415.71000000002</v>
      </c>
    </row>
    <row r="501" spans="1:2" x14ac:dyDescent="0.2">
      <c r="A501" s="518">
        <v>43067</v>
      </c>
      <c r="B501" s="495">
        <v>320237.53999999998</v>
      </c>
    </row>
    <row r="502" spans="1:2" x14ac:dyDescent="0.2">
      <c r="A502" s="518">
        <v>43068</v>
      </c>
      <c r="B502" s="495">
        <v>320237.53999999998</v>
      </c>
    </row>
    <row r="503" spans="1:2" x14ac:dyDescent="0.2">
      <c r="A503" s="518">
        <v>43069</v>
      </c>
      <c r="B503" s="495">
        <v>325286.46999999997</v>
      </c>
    </row>
    <row r="504" spans="1:2" x14ac:dyDescent="0.2">
      <c r="A504" s="518">
        <v>43070</v>
      </c>
      <c r="B504" s="495">
        <v>334247.03000000003</v>
      </c>
    </row>
    <row r="505" spans="1:2" x14ac:dyDescent="0.2">
      <c r="A505" s="518">
        <v>43073</v>
      </c>
      <c r="B505" s="495">
        <v>334247</v>
      </c>
    </row>
    <row r="506" spans="1:2" x14ac:dyDescent="0.2">
      <c r="A506" s="518">
        <v>43074</v>
      </c>
      <c r="B506" s="495">
        <v>334247.03000000003</v>
      </c>
    </row>
    <row r="507" spans="1:2" x14ac:dyDescent="0.2">
      <c r="A507" s="518">
        <v>43075</v>
      </c>
      <c r="B507" s="495">
        <v>334247</v>
      </c>
    </row>
    <row r="508" spans="1:2" x14ac:dyDescent="0.2">
      <c r="A508" s="518">
        <v>43076</v>
      </c>
      <c r="B508" s="495">
        <v>323171.46000000002</v>
      </c>
    </row>
    <row r="509" spans="1:2" x14ac:dyDescent="0.2">
      <c r="A509" s="518">
        <v>43077</v>
      </c>
      <c r="B509" s="495">
        <v>324229.90999999997</v>
      </c>
    </row>
    <row r="510" spans="1:2" x14ac:dyDescent="0.2">
      <c r="A510" s="518">
        <v>43080</v>
      </c>
      <c r="B510" s="495">
        <v>324230</v>
      </c>
    </row>
    <row r="511" spans="1:2" x14ac:dyDescent="0.2">
      <c r="A511" s="518">
        <v>43081</v>
      </c>
      <c r="B511" s="495">
        <v>286030.39</v>
      </c>
    </row>
    <row r="512" spans="1:2" x14ac:dyDescent="0.2">
      <c r="A512" s="518">
        <v>43082</v>
      </c>
      <c r="B512" s="495">
        <v>286197.44</v>
      </c>
    </row>
    <row r="513" spans="1:14" x14ac:dyDescent="0.2">
      <c r="A513" s="518">
        <v>43083</v>
      </c>
      <c r="B513" s="495">
        <v>280065.2</v>
      </c>
    </row>
    <row r="514" spans="1:14" x14ac:dyDescent="0.2">
      <c r="A514" s="518">
        <v>43084</v>
      </c>
      <c r="B514" s="495">
        <v>284409.09999999998</v>
      </c>
    </row>
    <row r="515" spans="1:14" x14ac:dyDescent="0.2">
      <c r="A515" s="518">
        <v>43087</v>
      </c>
      <c r="B515" s="495">
        <v>285119.09999999998</v>
      </c>
    </row>
    <row r="516" spans="1:14" x14ac:dyDescent="0.2">
      <c r="A516" s="518">
        <v>43088</v>
      </c>
      <c r="B516" s="495">
        <v>285395.49</v>
      </c>
    </row>
    <row r="517" spans="1:14" x14ac:dyDescent="0.2">
      <c r="A517" s="518">
        <v>43089</v>
      </c>
      <c r="B517" s="495">
        <v>285395</v>
      </c>
    </row>
    <row r="518" spans="1:14" x14ac:dyDescent="0.2">
      <c r="A518" s="518">
        <v>43090</v>
      </c>
      <c r="B518" s="495">
        <v>285542.49</v>
      </c>
    </row>
    <row r="519" spans="1:14" x14ac:dyDescent="0.2">
      <c r="A519" s="518">
        <v>43091</v>
      </c>
      <c r="B519" s="495">
        <v>285542</v>
      </c>
    </row>
    <row r="520" spans="1:14" x14ac:dyDescent="0.2">
      <c r="A520" s="518">
        <v>43094</v>
      </c>
      <c r="B520" s="495">
        <v>285542</v>
      </c>
    </row>
    <row r="521" spans="1:14" x14ac:dyDescent="0.2">
      <c r="A521" s="518">
        <v>43095</v>
      </c>
      <c r="B521" s="495">
        <v>248584.72</v>
      </c>
    </row>
    <row r="522" spans="1:14" x14ac:dyDescent="0.2">
      <c r="A522" s="518">
        <v>43096</v>
      </c>
      <c r="B522" s="495">
        <v>248585</v>
      </c>
    </row>
    <row r="523" spans="1:14" x14ac:dyDescent="0.2">
      <c r="A523" s="518">
        <v>43097</v>
      </c>
      <c r="B523" s="495">
        <v>270685.83</v>
      </c>
    </row>
    <row r="524" spans="1:14" x14ac:dyDescent="0.2">
      <c r="A524" s="518">
        <v>43098</v>
      </c>
      <c r="B524" s="495">
        <v>282558.58</v>
      </c>
    </row>
    <row r="525" spans="1:14" x14ac:dyDescent="0.2">
      <c r="A525" s="518">
        <v>43101</v>
      </c>
      <c r="B525" s="495">
        <v>282559</v>
      </c>
      <c r="F525" s="497"/>
      <c r="G525" t="s">
        <v>185</v>
      </c>
      <c r="H525" t="s">
        <v>212</v>
      </c>
      <c r="J525" t="s">
        <v>364</v>
      </c>
      <c r="K525" t="s">
        <v>212</v>
      </c>
      <c r="N525">
        <v>0.06</v>
      </c>
    </row>
    <row r="526" spans="1:14" x14ac:dyDescent="0.2">
      <c r="A526" s="518">
        <v>43102</v>
      </c>
      <c r="B526" s="495">
        <v>282508.58</v>
      </c>
      <c r="F526" s="497">
        <v>42370</v>
      </c>
      <c r="G526" s="498">
        <v>369484</v>
      </c>
      <c r="H526" s="606">
        <v>31036</v>
      </c>
      <c r="J526" s="497">
        <v>42461</v>
      </c>
      <c r="K526" s="606">
        <v>151036</v>
      </c>
      <c r="N526" s="698">
        <f>K526*N525/12 +K526</f>
        <v>151791.18</v>
      </c>
    </row>
    <row r="527" spans="1:14" x14ac:dyDescent="0.2">
      <c r="A527" s="518">
        <v>43103</v>
      </c>
      <c r="B527" s="495">
        <v>282509</v>
      </c>
      <c r="F527" s="497">
        <v>42401</v>
      </c>
      <c r="G527" s="498">
        <v>295493.53000000003</v>
      </c>
      <c r="H527" s="606">
        <v>31035.72</v>
      </c>
      <c r="J527" s="497">
        <v>42491</v>
      </c>
      <c r="K527" s="606">
        <v>151087.09</v>
      </c>
      <c r="N527" s="698">
        <f>N$525*N526/12 +N526</f>
        <v>152550.13589999999</v>
      </c>
    </row>
    <row r="528" spans="1:14" x14ac:dyDescent="0.2">
      <c r="A528" s="518">
        <v>43104</v>
      </c>
      <c r="B528" s="495">
        <v>283213.14</v>
      </c>
      <c r="F528" s="497">
        <v>42430</v>
      </c>
      <c r="G528" s="498">
        <v>255865.07</v>
      </c>
      <c r="H528" s="606">
        <v>151035.72</v>
      </c>
      <c r="J528" s="497">
        <v>42551</v>
      </c>
      <c r="K528" s="606">
        <v>151336.84</v>
      </c>
      <c r="N528" s="698">
        <f t="shared" ref="N528:N591" si="3">N$525*N527/12 +N527</f>
        <v>153312.88657949999</v>
      </c>
    </row>
    <row r="529" spans="1:14" x14ac:dyDescent="0.2">
      <c r="A529" s="518">
        <v>43105</v>
      </c>
      <c r="B529" s="495">
        <v>297779.06</v>
      </c>
      <c r="F529" s="497">
        <v>42461</v>
      </c>
      <c r="G529" s="498">
        <v>294098.96000000002</v>
      </c>
      <c r="H529" s="606">
        <v>151036</v>
      </c>
      <c r="J529" s="497">
        <v>42582</v>
      </c>
      <c r="K529" s="606">
        <v>151611.29999999999</v>
      </c>
      <c r="N529" s="698">
        <f t="shared" si="3"/>
        <v>154079.45101239748</v>
      </c>
    </row>
    <row r="530" spans="1:14" x14ac:dyDescent="0.2">
      <c r="A530" s="518">
        <v>43108</v>
      </c>
      <c r="B530" s="495">
        <v>263886.2</v>
      </c>
      <c r="F530" s="497">
        <v>42491</v>
      </c>
      <c r="G530" s="498">
        <v>333922.02</v>
      </c>
      <c r="H530" s="606">
        <v>151087.09</v>
      </c>
      <c r="J530" s="497">
        <v>42583</v>
      </c>
      <c r="K530" s="606">
        <v>151776.70000000001</v>
      </c>
      <c r="N530" s="698">
        <f t="shared" si="3"/>
        <v>154849.84826745946</v>
      </c>
    </row>
    <row r="531" spans="1:14" x14ac:dyDescent="0.2">
      <c r="A531" s="518">
        <v>43109</v>
      </c>
      <c r="B531" s="495">
        <v>277030.96999999997</v>
      </c>
      <c r="F531" s="497">
        <v>42551</v>
      </c>
      <c r="G531" s="498">
        <v>384005.8</v>
      </c>
      <c r="H531" s="606">
        <v>151336.84</v>
      </c>
      <c r="J531" s="497">
        <v>42614</v>
      </c>
      <c r="K531" s="606">
        <v>151844.44</v>
      </c>
      <c r="N531" s="698">
        <f t="shared" si="3"/>
        <v>155624.09750879675</v>
      </c>
    </row>
    <row r="532" spans="1:14" x14ac:dyDescent="0.2">
      <c r="A532" s="518">
        <v>43110</v>
      </c>
      <c r="B532" s="495">
        <v>277031</v>
      </c>
      <c r="F532" s="497">
        <v>42582</v>
      </c>
      <c r="G532" s="498">
        <v>292004.15999999997</v>
      </c>
      <c r="H532" s="606">
        <v>151611.29999999999</v>
      </c>
      <c r="J532" s="497">
        <v>42644</v>
      </c>
      <c r="K532" s="606">
        <v>152036.04</v>
      </c>
      <c r="N532" s="698">
        <f t="shared" si="3"/>
        <v>156402.21799634074</v>
      </c>
    </row>
    <row r="533" spans="1:14" x14ac:dyDescent="0.2">
      <c r="A533" s="518">
        <v>43111</v>
      </c>
      <c r="B533" s="495">
        <v>281394.14</v>
      </c>
      <c r="F533" s="497">
        <v>42583</v>
      </c>
      <c r="G533" s="498">
        <v>182562.29</v>
      </c>
      <c r="H533" s="606">
        <v>151776.70000000001</v>
      </c>
      <c r="J533" s="497">
        <v>42675</v>
      </c>
      <c r="K533" s="606">
        <v>152464.91</v>
      </c>
      <c r="N533" s="698">
        <f t="shared" si="3"/>
        <v>157184.22908632245</v>
      </c>
    </row>
    <row r="534" spans="1:14" x14ac:dyDescent="0.2">
      <c r="A534" s="518">
        <v>43112</v>
      </c>
      <c r="B534" s="495">
        <v>281470.18</v>
      </c>
      <c r="F534" s="497">
        <v>42614</v>
      </c>
      <c r="G534" s="498">
        <v>242442.87</v>
      </c>
      <c r="H534" s="606">
        <v>151844.44</v>
      </c>
      <c r="J534" s="497">
        <v>42705</v>
      </c>
      <c r="K534" s="606">
        <v>154533.13</v>
      </c>
      <c r="N534" s="698">
        <f t="shared" si="3"/>
        <v>157970.15023175406</v>
      </c>
    </row>
    <row r="535" spans="1:14" x14ac:dyDescent="0.2">
      <c r="A535" s="518">
        <v>43115</v>
      </c>
      <c r="B535" s="495">
        <v>281470</v>
      </c>
      <c r="F535" s="497">
        <v>42644</v>
      </c>
      <c r="G535" s="498">
        <v>247104.37</v>
      </c>
      <c r="H535" s="606">
        <v>152036.04</v>
      </c>
      <c r="J535" s="497">
        <v>42736</v>
      </c>
      <c r="K535" s="606">
        <v>155633.59</v>
      </c>
      <c r="N535" s="698">
        <f t="shared" si="3"/>
        <v>158760.00098291284</v>
      </c>
    </row>
    <row r="536" spans="1:14" x14ac:dyDescent="0.2">
      <c r="A536" s="518">
        <v>43116</v>
      </c>
      <c r="B536" s="495">
        <v>284325.94</v>
      </c>
      <c r="F536" s="497">
        <v>42675</v>
      </c>
      <c r="G536" s="498">
        <v>246462.95</v>
      </c>
      <c r="H536" s="606">
        <v>152464.91</v>
      </c>
      <c r="J536" s="497">
        <v>42767</v>
      </c>
      <c r="K536" s="606">
        <v>158448.25</v>
      </c>
      <c r="N536" s="698">
        <f t="shared" si="3"/>
        <v>159553.80098782742</v>
      </c>
    </row>
    <row r="537" spans="1:14" x14ac:dyDescent="0.2">
      <c r="A537" s="518">
        <v>43117</v>
      </c>
      <c r="B537" s="495">
        <v>305911.78000000003</v>
      </c>
      <c r="F537" s="497">
        <v>42705</v>
      </c>
      <c r="G537" s="498">
        <v>249839.51</v>
      </c>
      <c r="H537" s="606">
        <v>154533.13</v>
      </c>
      <c r="J537" s="497">
        <v>42795</v>
      </c>
      <c r="K537" s="606">
        <v>159113.29</v>
      </c>
      <c r="N537" s="698">
        <f t="shared" si="3"/>
        <v>160351.56999276654</v>
      </c>
    </row>
    <row r="538" spans="1:14" x14ac:dyDescent="0.2">
      <c r="A538" s="518">
        <v>43118</v>
      </c>
      <c r="B538" s="495">
        <v>305752.93</v>
      </c>
      <c r="F538" s="497">
        <v>42736</v>
      </c>
      <c r="G538" s="498">
        <v>351420</v>
      </c>
      <c r="H538" s="606">
        <v>155633.59</v>
      </c>
      <c r="J538" s="497">
        <v>42826</v>
      </c>
      <c r="K538" s="606">
        <v>159614.53</v>
      </c>
      <c r="N538" s="698">
        <f t="shared" si="3"/>
        <v>161153.32784273036</v>
      </c>
    </row>
    <row r="539" spans="1:14" x14ac:dyDescent="0.2">
      <c r="A539" s="518">
        <v>43119</v>
      </c>
      <c r="B539" s="495">
        <v>332730.14</v>
      </c>
      <c r="F539" s="497">
        <v>42767</v>
      </c>
      <c r="G539" s="498">
        <v>253330</v>
      </c>
      <c r="H539" s="606">
        <v>158448.25</v>
      </c>
      <c r="J539" s="497">
        <v>42856</v>
      </c>
      <c r="K539" s="606">
        <v>160436.21</v>
      </c>
      <c r="N539" s="698">
        <f t="shared" si="3"/>
        <v>161959.09448194402</v>
      </c>
    </row>
    <row r="540" spans="1:14" x14ac:dyDescent="0.2">
      <c r="A540" s="518">
        <v>43122</v>
      </c>
      <c r="B540" s="495">
        <v>291419.49</v>
      </c>
      <c r="F540" s="497">
        <v>42795</v>
      </c>
      <c r="G540" s="498">
        <v>280744</v>
      </c>
      <c r="H540" s="606">
        <v>159113.29</v>
      </c>
      <c r="J540" s="497">
        <v>42887</v>
      </c>
      <c r="K540" s="606">
        <v>160443.22</v>
      </c>
      <c r="N540" s="698">
        <f t="shared" si="3"/>
        <v>162768.88995435374</v>
      </c>
    </row>
    <row r="541" spans="1:14" x14ac:dyDescent="0.2">
      <c r="A541" s="518">
        <v>43123</v>
      </c>
      <c r="B541" s="495">
        <v>293419.65000000002</v>
      </c>
      <c r="F541" s="497">
        <v>42826</v>
      </c>
      <c r="G541" s="498">
        <v>319478.15999999997</v>
      </c>
      <c r="H541" s="606">
        <v>159614.53</v>
      </c>
      <c r="J541" s="497">
        <v>42917</v>
      </c>
      <c r="K541" s="606">
        <v>161526.35999999999</v>
      </c>
      <c r="N541" s="698">
        <f t="shared" si="3"/>
        <v>163582.73440412551</v>
      </c>
    </row>
    <row r="542" spans="1:14" x14ac:dyDescent="0.2">
      <c r="A542" s="518">
        <v>43124</v>
      </c>
      <c r="B542" s="495">
        <v>293420</v>
      </c>
      <c r="F542" s="497">
        <v>42856</v>
      </c>
      <c r="G542" s="498">
        <v>241828.1</v>
      </c>
      <c r="H542" s="606">
        <v>160436.21</v>
      </c>
      <c r="J542" s="497">
        <v>42948</v>
      </c>
      <c r="K542" s="606">
        <v>162013.01</v>
      </c>
      <c r="N542" s="698">
        <f t="shared" si="3"/>
        <v>164400.64807614614</v>
      </c>
    </row>
    <row r="543" spans="1:14" x14ac:dyDescent="0.2">
      <c r="A543" s="518">
        <v>43125</v>
      </c>
      <c r="B543" s="495">
        <v>301331.82</v>
      </c>
      <c r="F543" s="497">
        <v>42887</v>
      </c>
      <c r="G543" s="498">
        <v>248981.18</v>
      </c>
      <c r="H543" s="606">
        <v>160443.22</v>
      </c>
      <c r="J543" s="497">
        <v>42979</v>
      </c>
      <c r="K543" s="606">
        <v>163493.49</v>
      </c>
      <c r="M543" s="606"/>
      <c r="N543" s="698">
        <f t="shared" si="3"/>
        <v>165222.65131652687</v>
      </c>
    </row>
    <row r="544" spans="1:14" x14ac:dyDescent="0.2">
      <c r="A544" s="518">
        <v>43126</v>
      </c>
      <c r="B544" s="495">
        <v>327084.28999999998</v>
      </c>
      <c r="F544" s="497">
        <v>42917</v>
      </c>
      <c r="G544" s="498">
        <v>268937.63</v>
      </c>
      <c r="H544" s="606">
        <v>161526.35999999999</v>
      </c>
      <c r="J544" s="497">
        <v>43009</v>
      </c>
      <c r="K544" s="606">
        <v>164090.28</v>
      </c>
      <c r="M544" s="243"/>
      <c r="N544" s="698">
        <f t="shared" si="3"/>
        <v>166048.76457310951</v>
      </c>
    </row>
    <row r="545" spans="1:14" x14ac:dyDescent="0.2">
      <c r="A545" s="518">
        <v>43129</v>
      </c>
      <c r="B545" s="495">
        <v>327084</v>
      </c>
      <c r="F545" s="497">
        <v>42948</v>
      </c>
      <c r="G545" s="498">
        <v>198251.6</v>
      </c>
      <c r="H545" s="606">
        <v>162013.01</v>
      </c>
      <c r="J545" s="497">
        <v>43040</v>
      </c>
      <c r="K545" s="606">
        <v>164908.01</v>
      </c>
      <c r="M545" s="243"/>
      <c r="N545" s="698">
        <f t="shared" si="3"/>
        <v>166879.00839597505</v>
      </c>
    </row>
    <row r="546" spans="1:14" x14ac:dyDescent="0.2">
      <c r="A546" s="518">
        <v>43130</v>
      </c>
      <c r="B546" s="495">
        <v>327084</v>
      </c>
      <c r="F546" s="497">
        <v>42979</v>
      </c>
      <c r="G546" s="498">
        <v>178964.63</v>
      </c>
      <c r="H546" s="606">
        <v>163493.49</v>
      </c>
      <c r="J546" s="497">
        <v>43070</v>
      </c>
      <c r="K546" s="606">
        <v>164937.87</v>
      </c>
      <c r="M546" s="243"/>
      <c r="N546" s="698">
        <f t="shared" si="3"/>
        <v>167713.40343795493</v>
      </c>
    </row>
    <row r="547" spans="1:14" x14ac:dyDescent="0.2">
      <c r="A547" s="518">
        <v>43131</v>
      </c>
      <c r="B547" s="495">
        <v>337130.63</v>
      </c>
      <c r="F547" s="497">
        <v>43009</v>
      </c>
      <c r="G547" s="498">
        <v>199171.39</v>
      </c>
      <c r="H547" s="606">
        <v>164090.28</v>
      </c>
      <c r="J547" s="497">
        <v>43101</v>
      </c>
      <c r="K547" s="606">
        <v>167966.33</v>
      </c>
      <c r="M547" s="243"/>
      <c r="N547" s="698">
        <f t="shared" si="3"/>
        <v>168551.97045514471</v>
      </c>
    </row>
    <row r="548" spans="1:14" x14ac:dyDescent="0.2">
      <c r="A548" s="518">
        <v>43132</v>
      </c>
      <c r="B548" s="495">
        <v>334292.59999999998</v>
      </c>
      <c r="F548" s="497">
        <v>43040</v>
      </c>
      <c r="G548" s="498">
        <v>180584.58</v>
      </c>
      <c r="H548" s="606">
        <v>164908.01</v>
      </c>
      <c r="J548" s="497">
        <v>43132</v>
      </c>
      <c r="K548" s="606">
        <v>164746.72</v>
      </c>
      <c r="M548" s="243"/>
      <c r="N548" s="698">
        <f t="shared" si="3"/>
        <v>169394.73030742042</v>
      </c>
    </row>
    <row r="549" spans="1:14" x14ac:dyDescent="0.2">
      <c r="A549" s="518">
        <v>43133</v>
      </c>
      <c r="B549" s="495">
        <v>335977.23</v>
      </c>
      <c r="F549" s="497">
        <v>43070</v>
      </c>
      <c r="G549" s="498">
        <v>258260.86</v>
      </c>
      <c r="H549" s="606">
        <v>164937.87</v>
      </c>
      <c r="J549" s="497">
        <v>43160</v>
      </c>
      <c r="K549" s="606">
        <v>163400.39000000001</v>
      </c>
      <c r="N549" s="698">
        <f t="shared" si="3"/>
        <v>170241.70395895751</v>
      </c>
    </row>
    <row r="550" spans="1:14" x14ac:dyDescent="0.2">
      <c r="A550" s="518">
        <v>43136</v>
      </c>
      <c r="B550" s="495">
        <v>300614.99</v>
      </c>
      <c r="F550" s="497">
        <v>43101</v>
      </c>
      <c r="G550" s="498">
        <v>297556.56</v>
      </c>
      <c r="H550" s="606">
        <v>167966.33</v>
      </c>
      <c r="J550" s="497">
        <v>43191</v>
      </c>
      <c r="K550" s="606">
        <v>163874.63</v>
      </c>
      <c r="N550" s="698">
        <f t="shared" si="3"/>
        <v>171092.91247875229</v>
      </c>
    </row>
    <row r="551" spans="1:14" x14ac:dyDescent="0.2">
      <c r="A551" s="518">
        <v>43137</v>
      </c>
      <c r="B551" s="495">
        <v>295509.53999999998</v>
      </c>
      <c r="F551" s="497">
        <v>43132</v>
      </c>
      <c r="G551" s="498">
        <v>287550</v>
      </c>
      <c r="H551" s="606">
        <v>164746.72</v>
      </c>
      <c r="J551" s="497">
        <v>43221</v>
      </c>
      <c r="K551" s="606">
        <v>165109.67000000001</v>
      </c>
      <c r="N551" s="698">
        <f t="shared" si="3"/>
        <v>171948.37704114604</v>
      </c>
    </row>
    <row r="552" spans="1:14" x14ac:dyDescent="0.2">
      <c r="A552" s="518">
        <v>43138</v>
      </c>
      <c r="B552" s="495">
        <v>295510</v>
      </c>
      <c r="F552" s="497">
        <v>43160</v>
      </c>
      <c r="G552" s="498">
        <v>277699.34999999998</v>
      </c>
      <c r="H552" s="606">
        <v>163400.39000000001</v>
      </c>
      <c r="J552" s="497">
        <v>43252</v>
      </c>
      <c r="K552" s="606">
        <v>164894.5</v>
      </c>
      <c r="M552" s="606"/>
      <c r="N552" s="698">
        <f t="shared" si="3"/>
        <v>172808.11892635177</v>
      </c>
    </row>
    <row r="553" spans="1:14" x14ac:dyDescent="0.2">
      <c r="A553" s="518">
        <v>43139</v>
      </c>
      <c r="B553" s="495">
        <v>295623.09999999998</v>
      </c>
      <c r="F553" s="497">
        <v>43191</v>
      </c>
      <c r="G553" s="498">
        <v>310068.02</v>
      </c>
      <c r="H553" s="606">
        <v>163874.63</v>
      </c>
      <c r="J553" s="497">
        <v>43282</v>
      </c>
      <c r="K553" s="606">
        <v>168308.43</v>
      </c>
      <c r="N553" s="698">
        <f t="shared" si="3"/>
        <v>173672.15952098352</v>
      </c>
    </row>
    <row r="554" spans="1:14" x14ac:dyDescent="0.2">
      <c r="A554" s="518">
        <v>43140</v>
      </c>
      <c r="B554" s="495">
        <v>295623</v>
      </c>
      <c r="F554" s="497">
        <v>43221</v>
      </c>
      <c r="G554" s="498">
        <v>338828.68</v>
      </c>
      <c r="H554" s="606">
        <v>165109.67000000001</v>
      </c>
      <c r="J554" s="497">
        <v>43313</v>
      </c>
      <c r="K554" s="606">
        <v>169314.31</v>
      </c>
      <c r="M554" s="498"/>
      <c r="N554" s="698">
        <f t="shared" si="3"/>
        <v>174540.52031858845</v>
      </c>
    </row>
    <row r="555" spans="1:14" x14ac:dyDescent="0.2">
      <c r="A555" s="518">
        <v>43143</v>
      </c>
      <c r="B555" s="495">
        <v>299232.09999999998</v>
      </c>
      <c r="F555" s="497">
        <v>43252</v>
      </c>
      <c r="G555" s="498">
        <v>316601.96000000002</v>
      </c>
      <c r="H555" s="606">
        <v>164894.5</v>
      </c>
      <c r="J555" s="497">
        <v>43344</v>
      </c>
      <c r="K555" s="606">
        <v>170138.99</v>
      </c>
      <c r="N555" s="698">
        <f t="shared" si="3"/>
        <v>175413.22292018138</v>
      </c>
    </row>
    <row r="556" spans="1:14" x14ac:dyDescent="0.2">
      <c r="A556" s="518">
        <v>43144</v>
      </c>
      <c r="B556" s="495">
        <v>304422.01</v>
      </c>
      <c r="F556" s="497">
        <v>43282</v>
      </c>
      <c r="G556" s="498">
        <v>282196.90999999997</v>
      </c>
      <c r="H556" s="606">
        <v>168308.43</v>
      </c>
      <c r="J556" s="497">
        <v>43374</v>
      </c>
      <c r="K556" s="606">
        <v>164332.01</v>
      </c>
      <c r="M556" s="626"/>
      <c r="N556" s="698">
        <f t="shared" si="3"/>
        <v>176290.28903478227</v>
      </c>
    </row>
    <row r="557" spans="1:14" x14ac:dyDescent="0.2">
      <c r="A557" s="518">
        <v>43145</v>
      </c>
      <c r="B557" s="495">
        <v>330191.24</v>
      </c>
      <c r="F557" s="497">
        <v>43313</v>
      </c>
      <c r="G557" s="498">
        <v>287391.71999999997</v>
      </c>
      <c r="H557" s="606">
        <v>169314.31</v>
      </c>
      <c r="J557" s="497">
        <v>43405</v>
      </c>
      <c r="K557" s="606">
        <v>166031.76999999999</v>
      </c>
      <c r="N557" s="698">
        <f t="shared" si="3"/>
        <v>177171.74047995618</v>
      </c>
    </row>
    <row r="558" spans="1:14" x14ac:dyDescent="0.2">
      <c r="A558" s="518">
        <v>43146</v>
      </c>
      <c r="B558" s="495">
        <v>313471.64</v>
      </c>
      <c r="F558" s="497">
        <v>43344</v>
      </c>
      <c r="G558" s="498">
        <v>327095.84000000003</v>
      </c>
      <c r="H558" s="606">
        <v>170138.99</v>
      </c>
      <c r="J558" s="497">
        <v>43435</v>
      </c>
      <c r="K558" s="606">
        <v>159621.23000000001</v>
      </c>
      <c r="N558" s="698">
        <f t="shared" si="3"/>
        <v>178057.59918235595</v>
      </c>
    </row>
    <row r="559" spans="1:14" x14ac:dyDescent="0.2">
      <c r="A559" s="518">
        <v>43147</v>
      </c>
      <c r="B559" s="495">
        <v>313472</v>
      </c>
      <c r="F559" s="497">
        <v>43374</v>
      </c>
      <c r="G559" s="498">
        <v>233504.28</v>
      </c>
      <c r="H559" s="606">
        <v>164332.01</v>
      </c>
      <c r="J559" s="497">
        <v>43466</v>
      </c>
      <c r="K559" s="606">
        <v>166873.93</v>
      </c>
      <c r="N559" s="698">
        <f t="shared" si="3"/>
        <v>178947.88717826773</v>
      </c>
    </row>
    <row r="560" spans="1:14" x14ac:dyDescent="0.2">
      <c r="A560" s="518">
        <v>43150</v>
      </c>
      <c r="B560" s="495">
        <v>313472</v>
      </c>
      <c r="F560" s="497">
        <v>43405</v>
      </c>
      <c r="G560" s="498">
        <v>166530.44</v>
      </c>
      <c r="H560" s="606">
        <v>166031.76999999999</v>
      </c>
      <c r="J560" s="497">
        <v>43497</v>
      </c>
      <c r="K560" s="606">
        <v>170486.28</v>
      </c>
      <c r="N560" s="698">
        <f t="shared" si="3"/>
        <v>179842.62661415906</v>
      </c>
    </row>
    <row r="561" spans="1:14" x14ac:dyDescent="0.2">
      <c r="A561" s="518">
        <v>43151</v>
      </c>
      <c r="B561" s="495">
        <v>277471.58</v>
      </c>
      <c r="F561" s="497">
        <v>43435</v>
      </c>
      <c r="G561" s="498">
        <v>245292.72</v>
      </c>
      <c r="H561" s="606">
        <v>159621.23000000001</v>
      </c>
      <c r="J561" s="497">
        <v>43525</v>
      </c>
      <c r="K561" s="606">
        <v>171537.16</v>
      </c>
      <c r="N561" s="698">
        <f t="shared" si="3"/>
        <v>180741.83974722985</v>
      </c>
    </row>
    <row r="562" spans="1:14" x14ac:dyDescent="0.2">
      <c r="A562" s="518">
        <v>43152</v>
      </c>
      <c r="B562" s="495">
        <v>287526.92</v>
      </c>
      <c r="F562" s="497">
        <v>43466</v>
      </c>
      <c r="G562" s="498">
        <v>322895</v>
      </c>
      <c r="H562" s="606">
        <v>166873.93</v>
      </c>
      <c r="J562" s="497">
        <v>43556</v>
      </c>
      <c r="K562" s="606">
        <v>174601.21</v>
      </c>
      <c r="N562" s="698">
        <f t="shared" si="3"/>
        <v>181645.548945966</v>
      </c>
    </row>
    <row r="563" spans="1:14" x14ac:dyDescent="0.2">
      <c r="A563" s="518">
        <v>43153</v>
      </c>
      <c r="B563" s="495">
        <v>296486.64</v>
      </c>
      <c r="F563" s="497">
        <v>43497</v>
      </c>
      <c r="G563" s="498">
        <v>388590.24</v>
      </c>
      <c r="H563" s="606">
        <v>170486.28</v>
      </c>
      <c r="J563" s="497">
        <v>43586</v>
      </c>
      <c r="K563" s="606">
        <v>169831.32</v>
      </c>
      <c r="N563" s="698">
        <f t="shared" si="3"/>
        <v>182553.77669069584</v>
      </c>
    </row>
    <row r="564" spans="1:14" x14ac:dyDescent="0.2">
      <c r="A564" s="518">
        <v>43154</v>
      </c>
      <c r="B564" s="495">
        <v>296487</v>
      </c>
      <c r="F564" s="497">
        <v>43525</v>
      </c>
      <c r="G564" s="498">
        <v>244069.19</v>
      </c>
      <c r="H564" s="606">
        <v>171537.16</v>
      </c>
      <c r="J564" s="497">
        <v>43617</v>
      </c>
      <c r="K564" s="606">
        <v>175962.43</v>
      </c>
      <c r="N564" s="698">
        <f t="shared" si="3"/>
        <v>183466.54557414932</v>
      </c>
    </row>
    <row r="565" spans="1:14" x14ac:dyDescent="0.2">
      <c r="A565" s="518">
        <v>43157</v>
      </c>
      <c r="B565" s="495">
        <v>296487</v>
      </c>
      <c r="F565" s="497">
        <v>43556</v>
      </c>
      <c r="G565" s="498">
        <v>265093.77</v>
      </c>
      <c r="H565" s="606">
        <v>174601.21</v>
      </c>
      <c r="J565" s="497">
        <v>43647</v>
      </c>
      <c r="K565" s="606">
        <v>176392.07</v>
      </c>
      <c r="N565" s="698">
        <f t="shared" si="3"/>
        <v>184383.87830202008</v>
      </c>
    </row>
    <row r="566" spans="1:14" x14ac:dyDescent="0.2">
      <c r="A566" s="518">
        <v>43158</v>
      </c>
      <c r="B566" s="495">
        <v>335911.5</v>
      </c>
      <c r="F566" s="497">
        <v>43586</v>
      </c>
      <c r="G566" s="498">
        <v>218979.44</v>
      </c>
      <c r="H566" s="606">
        <v>169831.32</v>
      </c>
      <c r="J566" s="497">
        <v>43678</v>
      </c>
      <c r="K566" s="606">
        <v>174581</v>
      </c>
      <c r="N566" s="698">
        <f t="shared" si="3"/>
        <v>185305.79769353018</v>
      </c>
    </row>
    <row r="567" spans="1:14" x14ac:dyDescent="0.2">
      <c r="A567" s="518">
        <v>43159</v>
      </c>
      <c r="B567" s="495">
        <v>335912</v>
      </c>
      <c r="F567" s="497">
        <v>43617</v>
      </c>
      <c r="G567" s="498">
        <v>271553.78999999998</v>
      </c>
      <c r="H567" s="606">
        <v>175962.43</v>
      </c>
      <c r="J567" s="497">
        <v>43709</v>
      </c>
      <c r="K567" s="606">
        <v>175832.82</v>
      </c>
      <c r="N567" s="698">
        <f t="shared" si="3"/>
        <v>186232.32668199783</v>
      </c>
    </row>
    <row r="568" spans="1:14" x14ac:dyDescent="0.2">
      <c r="A568" s="518">
        <v>43160</v>
      </c>
      <c r="B568" s="495">
        <v>330042.21999999997</v>
      </c>
      <c r="F568" s="497">
        <v>43647</v>
      </c>
      <c r="G568" s="498">
        <v>272625.19</v>
      </c>
      <c r="H568" s="606">
        <v>176392.07</v>
      </c>
      <c r="J568" s="497">
        <v>43739</v>
      </c>
      <c r="K568" s="606">
        <v>176684.91</v>
      </c>
      <c r="N568" s="698">
        <f t="shared" si="3"/>
        <v>187163.48831540783</v>
      </c>
    </row>
    <row r="569" spans="1:14" x14ac:dyDescent="0.2">
      <c r="A569" s="518">
        <v>43161</v>
      </c>
      <c r="B569" s="554">
        <v>367034.5</v>
      </c>
      <c r="F569" s="497">
        <v>43678</v>
      </c>
      <c r="G569" s="498">
        <v>249105.04</v>
      </c>
      <c r="H569" s="606">
        <v>174581.16</v>
      </c>
      <c r="J569" s="497">
        <v>43770</v>
      </c>
      <c r="K569" s="606">
        <v>180686.55</v>
      </c>
      <c r="N569" s="698">
        <f t="shared" si="3"/>
        <v>188099.30575698486</v>
      </c>
    </row>
    <row r="570" spans="1:14" x14ac:dyDescent="0.2">
      <c r="A570" s="518">
        <v>43164</v>
      </c>
      <c r="B570" s="495">
        <v>330990.42</v>
      </c>
      <c r="F570" s="497">
        <v>43709</v>
      </c>
      <c r="G570" s="498">
        <v>224675.57</v>
      </c>
      <c r="H570" s="606">
        <v>175832.82</v>
      </c>
      <c r="J570" s="497">
        <v>43800</v>
      </c>
      <c r="K570" s="606">
        <v>184417.26</v>
      </c>
      <c r="N570" s="698">
        <f t="shared" si="3"/>
        <v>189039.80228576978</v>
      </c>
    </row>
    <row r="571" spans="1:14" x14ac:dyDescent="0.2">
      <c r="A571" s="518">
        <v>43165</v>
      </c>
      <c r="B571" s="495">
        <v>333065.89</v>
      </c>
      <c r="F571" s="497">
        <v>43739</v>
      </c>
      <c r="G571" s="498">
        <f>250597.51-10616</f>
        <v>239981.51</v>
      </c>
      <c r="H571" s="606">
        <v>176684.91</v>
      </c>
      <c r="J571" s="497">
        <v>43831</v>
      </c>
      <c r="K571" s="606">
        <v>186588.03</v>
      </c>
      <c r="N571" s="698">
        <f t="shared" si="3"/>
        <v>189985.00129719861</v>
      </c>
    </row>
    <row r="572" spans="1:14" x14ac:dyDescent="0.2">
      <c r="A572" s="518">
        <v>43166</v>
      </c>
      <c r="B572" s="495">
        <v>331065.89</v>
      </c>
      <c r="F572" s="497">
        <v>43770</v>
      </c>
      <c r="G572" s="498">
        <f>213081.72-10616</f>
        <v>202465.72</v>
      </c>
      <c r="H572" s="606">
        <v>180686.55</v>
      </c>
      <c r="J572" s="497">
        <v>43862</v>
      </c>
      <c r="K572" s="606">
        <v>177685.24</v>
      </c>
      <c r="N572" s="698">
        <f t="shared" si="3"/>
        <v>190934.9263036846</v>
      </c>
    </row>
    <row r="573" spans="1:14" x14ac:dyDescent="0.2">
      <c r="A573" s="518">
        <v>43167</v>
      </c>
      <c r="B573" s="495">
        <v>331092.17</v>
      </c>
      <c r="F573" s="497">
        <v>43800</v>
      </c>
      <c r="G573" s="498">
        <v>298881.24</v>
      </c>
      <c r="H573" s="606">
        <v>184417.26</v>
      </c>
      <c r="J573" s="497">
        <v>43891</v>
      </c>
      <c r="K573" s="606">
        <v>162398.81</v>
      </c>
      <c r="N573" s="698">
        <f t="shared" si="3"/>
        <v>191889.60093520302</v>
      </c>
    </row>
    <row r="574" spans="1:14" x14ac:dyDescent="0.2">
      <c r="A574" s="518">
        <v>43168</v>
      </c>
      <c r="B574" s="495">
        <v>311733.17</v>
      </c>
      <c r="F574" s="497">
        <v>43831</v>
      </c>
      <c r="G574" s="498">
        <v>326352.59000000003</v>
      </c>
      <c r="H574" s="606">
        <v>186588.03</v>
      </c>
      <c r="J574" s="497">
        <v>43922</v>
      </c>
      <c r="K574" s="606">
        <v>175055.83</v>
      </c>
      <c r="N574" s="698">
        <f t="shared" si="3"/>
        <v>192849.04893987905</v>
      </c>
    </row>
    <row r="575" spans="1:14" x14ac:dyDescent="0.2">
      <c r="A575" s="518">
        <v>43171</v>
      </c>
      <c r="B575" s="495">
        <v>317116.19</v>
      </c>
      <c r="F575" s="497">
        <v>43862</v>
      </c>
      <c r="G575" s="498">
        <v>247842.14</v>
      </c>
      <c r="H575" s="606">
        <v>177685.24</v>
      </c>
      <c r="J575" s="497">
        <v>43952</v>
      </c>
      <c r="K575" s="606">
        <v>180640.71</v>
      </c>
      <c r="N575" s="698">
        <f t="shared" si="3"/>
        <v>193813.29418457844</v>
      </c>
    </row>
    <row r="576" spans="1:14" x14ac:dyDescent="0.2">
      <c r="A576" s="518">
        <v>43172</v>
      </c>
      <c r="B576" s="495">
        <v>317116</v>
      </c>
      <c r="F576" s="497">
        <v>43891</v>
      </c>
      <c r="G576" s="498">
        <v>256001.05</v>
      </c>
      <c r="H576" s="606">
        <v>162398.81</v>
      </c>
      <c r="J576" s="497">
        <v>43983</v>
      </c>
      <c r="K576" s="606">
        <v>183627.14</v>
      </c>
      <c r="N576" s="698">
        <f t="shared" si="3"/>
        <v>194782.36065550134</v>
      </c>
    </row>
    <row r="577" spans="1:18" x14ac:dyDescent="0.2">
      <c r="A577" s="518">
        <v>43173</v>
      </c>
      <c r="B577" s="495">
        <v>317496.19</v>
      </c>
      <c r="F577" s="497">
        <v>43922</v>
      </c>
      <c r="G577" s="498">
        <v>319553.11</v>
      </c>
      <c r="H577" s="606">
        <v>175055.83</v>
      </c>
      <c r="J577" s="497">
        <v>44013</v>
      </c>
      <c r="K577" s="606">
        <v>191310.14</v>
      </c>
      <c r="L577" s="243"/>
      <c r="N577" s="698">
        <f t="shared" si="3"/>
        <v>195756.27245877884</v>
      </c>
      <c r="O577" s="243"/>
      <c r="P577" s="243"/>
      <c r="Q577" s="243"/>
      <c r="R577" s="243"/>
    </row>
    <row r="578" spans="1:18" x14ac:dyDescent="0.2">
      <c r="A578" s="518">
        <v>43174</v>
      </c>
      <c r="B578" s="495">
        <v>317772.45</v>
      </c>
      <c r="F578" s="497">
        <v>43952</v>
      </c>
      <c r="G578" s="498">
        <v>373887.89</v>
      </c>
      <c r="H578" s="606">
        <v>180640.71</v>
      </c>
      <c r="J578" s="497">
        <v>44044</v>
      </c>
      <c r="K578" s="606">
        <v>196731.42</v>
      </c>
      <c r="L578" s="243"/>
      <c r="N578" s="698">
        <f t="shared" si="3"/>
        <v>196735.05382107274</v>
      </c>
      <c r="P578" s="243"/>
      <c r="Q578" s="243"/>
      <c r="R578" s="243"/>
    </row>
    <row r="579" spans="1:18" x14ac:dyDescent="0.2">
      <c r="A579" s="518">
        <v>43175</v>
      </c>
      <c r="B579" s="495">
        <v>317772</v>
      </c>
      <c r="C579" s="518"/>
      <c r="D579" s="495"/>
      <c r="F579" s="497">
        <v>43983</v>
      </c>
      <c r="G579" s="498">
        <v>387259.9</v>
      </c>
      <c r="H579" s="606">
        <v>183627.14</v>
      </c>
      <c r="J579" s="497">
        <v>44075</v>
      </c>
      <c r="K579" s="606">
        <v>192424.98</v>
      </c>
      <c r="L579" s="243"/>
      <c r="N579" s="698">
        <f t="shared" si="3"/>
        <v>197718.72909017809</v>
      </c>
      <c r="P579" s="243"/>
      <c r="Q579" s="243"/>
      <c r="R579" s="243"/>
    </row>
    <row r="580" spans="1:18" x14ac:dyDescent="0.2">
      <c r="A580" s="518">
        <v>43178</v>
      </c>
      <c r="B580" s="495">
        <v>279446.55</v>
      </c>
      <c r="C580" s="518"/>
      <c r="D580" s="495"/>
      <c r="F580" s="497">
        <v>44013</v>
      </c>
      <c r="G580" s="498">
        <v>393896.48</v>
      </c>
      <c r="H580" s="606">
        <v>191310.14</v>
      </c>
      <c r="J580" s="497">
        <v>44105</v>
      </c>
      <c r="K580" s="606">
        <v>189044.54</v>
      </c>
      <c r="L580" s="243"/>
      <c r="N580" s="698">
        <f t="shared" si="3"/>
        <v>198707.32273562899</v>
      </c>
      <c r="P580" s="243"/>
      <c r="Q580" s="243"/>
      <c r="R580" s="243"/>
    </row>
    <row r="581" spans="1:18" x14ac:dyDescent="0.2">
      <c r="A581" s="518">
        <v>43179</v>
      </c>
      <c r="B581" s="495">
        <v>272785.62</v>
      </c>
      <c r="C581" s="518"/>
      <c r="D581" s="495"/>
      <c r="F581" s="497">
        <v>44044</v>
      </c>
      <c r="G581" s="498">
        <v>318622.86</v>
      </c>
      <c r="H581" s="606">
        <v>196731.42</v>
      </c>
      <c r="J581" s="497">
        <v>44136</v>
      </c>
      <c r="K581" s="606">
        <v>201253.81</v>
      </c>
      <c r="L581" s="243"/>
      <c r="N581" s="698">
        <f t="shared" si="3"/>
        <v>199700.85934930714</v>
      </c>
      <c r="P581" s="243"/>
      <c r="Q581" s="243"/>
      <c r="R581" s="243"/>
    </row>
    <row r="582" spans="1:18" x14ac:dyDescent="0.2">
      <c r="A582" s="518">
        <v>43180</v>
      </c>
      <c r="B582" s="495">
        <v>288240.15999999997</v>
      </c>
      <c r="C582" s="518"/>
      <c r="D582" s="495"/>
      <c r="F582" s="497">
        <v>44075</v>
      </c>
      <c r="G582" s="498">
        <v>310792.11</v>
      </c>
      <c r="H582" s="606">
        <v>192424.98</v>
      </c>
      <c r="J582" s="497">
        <v>44166</v>
      </c>
      <c r="K582" s="606">
        <v>206549.06</v>
      </c>
      <c r="L582" s="243"/>
      <c r="N582" s="698">
        <f t="shared" si="3"/>
        <v>200699.36364605368</v>
      </c>
      <c r="O582" s="243"/>
      <c r="P582" s="243"/>
      <c r="Q582" s="243"/>
      <c r="R582" s="243"/>
    </row>
    <row r="583" spans="1:18" x14ac:dyDescent="0.2">
      <c r="A583" s="518">
        <v>43181</v>
      </c>
      <c r="B583" s="495">
        <v>278742.74</v>
      </c>
      <c r="C583" s="518"/>
      <c r="D583" s="495"/>
      <c r="F583" s="497">
        <v>44105</v>
      </c>
      <c r="G583" s="498">
        <v>337545.3</v>
      </c>
      <c r="H583" s="606">
        <v>189044.54</v>
      </c>
      <c r="J583" s="497">
        <v>44197</v>
      </c>
      <c r="K583" s="606">
        <v>204163.62</v>
      </c>
      <c r="L583" s="243"/>
      <c r="N583" s="698">
        <f t="shared" si="3"/>
        <v>201702.86046428393</v>
      </c>
      <c r="O583" s="243"/>
      <c r="P583" s="243"/>
      <c r="Q583" s="243"/>
      <c r="R583" s="243"/>
    </row>
    <row r="584" spans="1:18" x14ac:dyDescent="0.2">
      <c r="A584" s="518">
        <v>43182</v>
      </c>
      <c r="B584" s="495">
        <v>278840.24</v>
      </c>
      <c r="C584" s="518"/>
      <c r="D584" s="495"/>
      <c r="F584" s="497">
        <v>44136</v>
      </c>
      <c r="G584" s="498">
        <v>407385.79</v>
      </c>
      <c r="H584" s="606">
        <v>201253.81</v>
      </c>
      <c r="J584" s="497">
        <v>44228</v>
      </c>
      <c r="K584" s="606">
        <v>207045.8</v>
      </c>
      <c r="L584" s="243"/>
      <c r="N584" s="698">
        <f t="shared" si="3"/>
        <v>202711.37476660535</v>
      </c>
      <c r="O584" s="243"/>
      <c r="P584" s="243"/>
      <c r="Q584" s="243"/>
      <c r="R584" s="243"/>
    </row>
    <row r="585" spans="1:18" x14ac:dyDescent="0.2">
      <c r="A585" s="518">
        <v>43185</v>
      </c>
      <c r="B585" s="495">
        <v>278942.24</v>
      </c>
      <c r="C585" s="518"/>
      <c r="D585" s="495"/>
      <c r="F585" s="497">
        <v>44166</v>
      </c>
      <c r="G585" s="498">
        <v>325944.61</v>
      </c>
      <c r="H585" s="606">
        <v>206549.06</v>
      </c>
      <c r="J585" s="497">
        <v>44256</v>
      </c>
      <c r="K585" s="606">
        <v>211866.05</v>
      </c>
      <c r="L585" s="243"/>
      <c r="N585" s="698">
        <f t="shared" si="3"/>
        <v>203724.93164043839</v>
      </c>
      <c r="O585" s="243"/>
      <c r="P585" s="243"/>
      <c r="Q585" s="243"/>
      <c r="R585" s="243"/>
    </row>
    <row r="586" spans="1:18" x14ac:dyDescent="0.2">
      <c r="A586" s="518">
        <v>43186</v>
      </c>
      <c r="B586" s="495">
        <v>257048.49</v>
      </c>
      <c r="C586" s="518"/>
      <c r="D586" s="495"/>
      <c r="F586" s="497">
        <v>44197</v>
      </c>
      <c r="G586" s="498">
        <v>416865.56</v>
      </c>
      <c r="H586" s="606">
        <v>204163.62</v>
      </c>
      <c r="J586" s="497">
        <v>44287</v>
      </c>
      <c r="K586" s="606">
        <v>218448.38</v>
      </c>
      <c r="L586" s="243"/>
      <c r="N586" s="698">
        <f t="shared" si="3"/>
        <v>204743.55629864059</v>
      </c>
      <c r="O586" s="243"/>
      <c r="P586" s="243"/>
      <c r="Q586" s="243"/>
      <c r="R586" s="243"/>
    </row>
    <row r="587" spans="1:18" x14ac:dyDescent="0.2">
      <c r="A587" s="518">
        <v>43187</v>
      </c>
      <c r="B587" s="495">
        <v>252662.47</v>
      </c>
      <c r="C587" s="518"/>
      <c r="D587" s="495"/>
      <c r="F587" s="497">
        <v>44228</v>
      </c>
      <c r="G587" s="498">
        <v>403762.36</v>
      </c>
      <c r="H587" s="606">
        <v>207045.8</v>
      </c>
      <c r="J587" s="497">
        <v>44317</v>
      </c>
      <c r="K587" s="606">
        <f>222185</f>
        <v>222185</v>
      </c>
      <c r="L587" s="243"/>
      <c r="N587" s="698">
        <f t="shared" si="3"/>
        <v>205767.27408013379</v>
      </c>
      <c r="O587" s="243"/>
      <c r="P587" s="243"/>
      <c r="Q587" s="243"/>
      <c r="R587" s="243"/>
    </row>
    <row r="588" spans="1:18" x14ac:dyDescent="0.2">
      <c r="A588" s="518">
        <v>43188</v>
      </c>
      <c r="B588" s="495">
        <v>254708.73</v>
      </c>
      <c r="C588" s="518"/>
      <c r="D588" s="495"/>
      <c r="F588" s="497">
        <v>44256</v>
      </c>
      <c r="G588" s="498">
        <v>218522.99</v>
      </c>
      <c r="H588" s="606">
        <v>211866.05</v>
      </c>
      <c r="J588" s="497">
        <v>44348</v>
      </c>
      <c r="K588" s="606">
        <v>222449.07</v>
      </c>
      <c r="L588" s="243"/>
      <c r="N588" s="698">
        <f t="shared" si="3"/>
        <v>206796.11045053447</v>
      </c>
      <c r="O588" s="243"/>
      <c r="P588" s="243"/>
      <c r="Q588" s="243"/>
      <c r="R588" s="243"/>
    </row>
    <row r="589" spans="1:18" x14ac:dyDescent="0.2">
      <c r="A589" s="518">
        <v>43189</v>
      </c>
      <c r="B589" s="495">
        <v>281702.86</v>
      </c>
      <c r="C589" s="518"/>
      <c r="D589" s="495"/>
      <c r="F589" s="497">
        <v>44287</v>
      </c>
      <c r="G589" s="498">
        <v>281784.46000000002</v>
      </c>
      <c r="H589" s="606">
        <v>218448.38</v>
      </c>
      <c r="J589" s="497">
        <v>44378</v>
      </c>
      <c r="K589" s="606">
        <v>325177.46999999997</v>
      </c>
      <c r="L589" s="243"/>
      <c r="N589" s="698">
        <f>N$525*N588/12 +N588+100000</f>
        <v>307830.09100278711</v>
      </c>
      <c r="O589" s="243"/>
      <c r="P589" s="243"/>
      <c r="Q589" s="243"/>
      <c r="R589" s="243"/>
    </row>
    <row r="590" spans="1:18" x14ac:dyDescent="0.2">
      <c r="A590" s="518">
        <v>43192</v>
      </c>
      <c r="B590" s="495">
        <v>244220.77</v>
      </c>
      <c r="C590" s="518"/>
      <c r="D590" s="495"/>
      <c r="F590" s="497">
        <v>44317</v>
      </c>
      <c r="G590" s="498">
        <v>231705.38</v>
      </c>
      <c r="H590" s="606">
        <v>222184.92</v>
      </c>
      <c r="J590" s="497">
        <v>44409</v>
      </c>
      <c r="K590" s="606">
        <v>329419.45</v>
      </c>
      <c r="L590" s="243"/>
      <c r="N590" s="698">
        <f t="shared" si="3"/>
        <v>309369.24145780102</v>
      </c>
    </row>
    <row r="591" spans="1:18" x14ac:dyDescent="0.2">
      <c r="A591" s="518">
        <v>43193</v>
      </c>
      <c r="B591" s="495">
        <v>244221</v>
      </c>
      <c r="C591" s="518"/>
      <c r="D591" s="495"/>
      <c r="F591" s="497">
        <v>44348</v>
      </c>
      <c r="G591" s="498">
        <v>254786.13</v>
      </c>
      <c r="H591" s="606">
        <v>222449.07</v>
      </c>
      <c r="J591" s="497">
        <v>44440</v>
      </c>
      <c r="K591" s="606">
        <v>318755.06</v>
      </c>
      <c r="L591" s="243"/>
      <c r="N591" s="698">
        <f t="shared" si="3"/>
        <v>310916.08766509005</v>
      </c>
    </row>
    <row r="592" spans="1:18" x14ac:dyDescent="0.2">
      <c r="A592" s="518">
        <v>43194</v>
      </c>
      <c r="B592" s="495">
        <v>244221</v>
      </c>
      <c r="C592" s="518"/>
      <c r="D592" s="495"/>
      <c r="F592" s="497">
        <v>44378</v>
      </c>
      <c r="G592" s="498">
        <v>323671.89</v>
      </c>
      <c r="H592" s="606">
        <v>325177.46999999997</v>
      </c>
      <c r="J592" s="497">
        <v>44470</v>
      </c>
      <c r="K592" s="606">
        <v>329502.62</v>
      </c>
      <c r="L592" s="243"/>
      <c r="N592" s="698">
        <f t="shared" ref="N592:N596" si="4">N$525*N591/12 +N591</f>
        <v>312470.66810341552</v>
      </c>
    </row>
    <row r="593" spans="1:14" x14ac:dyDescent="0.2">
      <c r="A593" s="518">
        <v>43195</v>
      </c>
      <c r="B593" s="495">
        <v>225503.87</v>
      </c>
      <c r="C593" s="518"/>
      <c r="D593" s="495"/>
      <c r="F593" s="497">
        <v>44409</v>
      </c>
      <c r="G593" s="498">
        <v>334383.06</v>
      </c>
      <c r="H593" s="606">
        <v>329419.45</v>
      </c>
      <c r="J593" s="497">
        <v>44501</v>
      </c>
      <c r="K593" s="606">
        <v>323833.99</v>
      </c>
      <c r="L593" s="243"/>
      <c r="N593" s="698">
        <f t="shared" si="4"/>
        <v>314033.02144393261</v>
      </c>
    </row>
    <row r="594" spans="1:14" x14ac:dyDescent="0.2">
      <c r="A594" s="518">
        <v>43196</v>
      </c>
      <c r="B594" s="495">
        <v>225504</v>
      </c>
      <c r="C594" s="518"/>
      <c r="D594" s="495"/>
      <c r="F594" s="497">
        <v>44440</v>
      </c>
      <c r="G594" s="498">
        <v>325598.5</v>
      </c>
      <c r="H594" s="606">
        <v>318755.06</v>
      </c>
      <c r="J594" s="497">
        <v>44531</v>
      </c>
      <c r="K594" s="606">
        <v>334446.53999999998</v>
      </c>
      <c r="L594" s="243"/>
      <c r="N594" s="698">
        <f t="shared" si="4"/>
        <v>315603.18655115226</v>
      </c>
    </row>
    <row r="595" spans="1:14" x14ac:dyDescent="0.2">
      <c r="A595" s="518">
        <v>43199</v>
      </c>
      <c r="B595" s="495">
        <v>225503.8</v>
      </c>
      <c r="C595" s="518"/>
      <c r="D595" s="495"/>
      <c r="F595" s="497">
        <v>44470</v>
      </c>
      <c r="G595" s="498">
        <v>397934.47</v>
      </c>
      <c r="H595" s="606">
        <v>329502.62</v>
      </c>
      <c r="J595" s="497">
        <v>44562</v>
      </c>
      <c r="K595" s="606">
        <v>323933.77</v>
      </c>
      <c r="L595" s="243"/>
      <c r="N595" s="698">
        <f t="shared" si="4"/>
        <v>317181.20248390804</v>
      </c>
    </row>
    <row r="596" spans="1:14" x14ac:dyDescent="0.2">
      <c r="A596" s="518">
        <v>43200</v>
      </c>
      <c r="B596" s="495">
        <v>227389.96</v>
      </c>
      <c r="C596" s="518"/>
      <c r="D596" s="495"/>
      <c r="F596" s="497">
        <v>44501</v>
      </c>
      <c r="G596" s="498">
        <v>304557.78000000003</v>
      </c>
      <c r="H596" s="606">
        <v>323833.99</v>
      </c>
      <c r="J596" s="497">
        <v>44593</v>
      </c>
      <c r="K596" s="606">
        <v>319586.55</v>
      </c>
      <c r="L596" s="243"/>
      <c r="N596" s="698">
        <f t="shared" si="4"/>
        <v>318767.10849632759</v>
      </c>
    </row>
    <row r="597" spans="1:14" x14ac:dyDescent="0.2">
      <c r="A597" s="518">
        <v>43201</v>
      </c>
      <c r="B597" s="495">
        <v>235472.53</v>
      </c>
      <c r="C597" s="518"/>
      <c r="D597" s="495"/>
      <c r="F597" s="497">
        <v>44531</v>
      </c>
      <c r="G597" s="498">
        <v>339829.81</v>
      </c>
      <c r="H597" s="606">
        <v>334446.53999999998</v>
      </c>
      <c r="J597" s="497">
        <v>44621</v>
      </c>
      <c r="K597" s="606">
        <v>422621.04</v>
      </c>
      <c r="L597" s="243"/>
    </row>
    <row r="598" spans="1:14" x14ac:dyDescent="0.2">
      <c r="A598" s="518">
        <v>43202</v>
      </c>
      <c r="B598" s="495">
        <v>222207.84</v>
      </c>
      <c r="C598" s="518"/>
      <c r="D598" s="495"/>
      <c r="F598" s="497">
        <v>44562</v>
      </c>
      <c r="G598" s="498">
        <v>483670.84</v>
      </c>
      <c r="H598" s="606">
        <v>323933.77</v>
      </c>
      <c r="J598" s="497">
        <v>44652</v>
      </c>
      <c r="K598" s="606">
        <v>399826.35</v>
      </c>
      <c r="L598" s="243"/>
    </row>
    <row r="599" spans="1:14" x14ac:dyDescent="0.2">
      <c r="A599" s="518">
        <v>43203</v>
      </c>
      <c r="B599" s="495">
        <v>222287.93</v>
      </c>
      <c r="C599" s="518"/>
      <c r="D599" s="495"/>
      <c r="F599" s="497">
        <v>44593</v>
      </c>
      <c r="G599" s="498">
        <v>402809.53</v>
      </c>
      <c r="H599" s="606">
        <v>319586.55</v>
      </c>
      <c r="J599" s="497">
        <v>44682</v>
      </c>
      <c r="K599" s="606">
        <v>404182.26</v>
      </c>
      <c r="L599" s="243"/>
    </row>
    <row r="600" spans="1:14" x14ac:dyDescent="0.2">
      <c r="A600" s="518">
        <v>43206</v>
      </c>
      <c r="B600" s="495">
        <v>186664.28</v>
      </c>
      <c r="C600" s="518"/>
      <c r="D600" s="495"/>
      <c r="F600" s="497">
        <v>44621</v>
      </c>
      <c r="G600" s="498">
        <v>306323.40999999997</v>
      </c>
      <c r="H600" s="606">
        <v>422621.04</v>
      </c>
      <c r="J600" s="497">
        <v>44713</v>
      </c>
      <c r="K600" s="606">
        <v>378955.05</v>
      </c>
      <c r="L600" s="243"/>
    </row>
    <row r="601" spans="1:14" x14ac:dyDescent="0.2">
      <c r="A601" s="518">
        <v>43207</v>
      </c>
      <c r="B601" s="495">
        <v>188484.95</v>
      </c>
      <c r="C601" s="518"/>
      <c r="D601" s="495"/>
      <c r="F601" s="497">
        <v>44652</v>
      </c>
      <c r="G601" s="498">
        <v>319539.63</v>
      </c>
      <c r="H601" s="606">
        <v>399826.35</v>
      </c>
      <c r="K601" s="688"/>
      <c r="L601" s="243"/>
    </row>
    <row r="602" spans="1:14" x14ac:dyDescent="0.2">
      <c r="A602" s="518">
        <v>43208</v>
      </c>
      <c r="B602" s="495">
        <v>188485</v>
      </c>
      <c r="C602" s="518"/>
      <c r="D602" s="495"/>
      <c r="F602" s="497">
        <v>44682</v>
      </c>
      <c r="G602" s="498">
        <v>234732.53</v>
      </c>
      <c r="H602" s="606">
        <v>404182.26</v>
      </c>
      <c r="K602" s="688"/>
      <c r="L602" s="243"/>
    </row>
    <row r="603" spans="1:14" x14ac:dyDescent="0.2">
      <c r="A603" s="518">
        <v>43209</v>
      </c>
      <c r="B603" s="495">
        <v>180474.73</v>
      </c>
      <c r="C603" s="518"/>
      <c r="D603" s="495"/>
      <c r="F603" s="497">
        <v>44713</v>
      </c>
      <c r="G603" s="498">
        <v>261303.37</v>
      </c>
      <c r="H603" s="606">
        <v>378955.05</v>
      </c>
      <c r="K603" s="688"/>
      <c r="L603" s="243"/>
    </row>
    <row r="604" spans="1:14" x14ac:dyDescent="0.2">
      <c r="A604" s="518">
        <v>43210</v>
      </c>
      <c r="B604" s="495">
        <v>188207.38</v>
      </c>
      <c r="C604" s="518"/>
      <c r="D604" s="495"/>
      <c r="K604" s="688"/>
      <c r="L604" s="243"/>
    </row>
    <row r="605" spans="1:14" x14ac:dyDescent="0.2">
      <c r="A605" s="518">
        <v>43213</v>
      </c>
      <c r="B605" s="495">
        <v>198618.83</v>
      </c>
      <c r="C605" s="518"/>
      <c r="D605" s="495"/>
      <c r="K605" s="688"/>
      <c r="L605" s="243"/>
    </row>
    <row r="606" spans="1:14" x14ac:dyDescent="0.2">
      <c r="A606" s="518">
        <v>43214</v>
      </c>
      <c r="B606" s="495">
        <v>198619</v>
      </c>
      <c r="C606" s="518"/>
      <c r="D606" s="495"/>
      <c r="F606" t="s">
        <v>396</v>
      </c>
      <c r="K606" s="688"/>
      <c r="L606" s="243"/>
    </row>
    <row r="607" spans="1:14" x14ac:dyDescent="0.2">
      <c r="A607" s="518">
        <v>43215</v>
      </c>
      <c r="B607" s="495">
        <v>198619</v>
      </c>
      <c r="C607" s="518"/>
      <c r="D607" s="495"/>
      <c r="F607" t="s">
        <v>361</v>
      </c>
      <c r="G607">
        <v>50000</v>
      </c>
      <c r="K607" s="688"/>
      <c r="L607" s="243"/>
    </row>
    <row r="608" spans="1:14" x14ac:dyDescent="0.2">
      <c r="A608" s="518">
        <v>43216</v>
      </c>
      <c r="B608" s="495">
        <v>189089.55</v>
      </c>
      <c r="C608" s="518"/>
      <c r="D608" s="495"/>
      <c r="F608" t="s">
        <v>70</v>
      </c>
      <c r="G608" s="555">
        <v>158720.91</v>
      </c>
      <c r="K608" s="688"/>
      <c r="L608" s="243"/>
    </row>
    <row r="609" spans="1:12" x14ac:dyDescent="0.2">
      <c r="A609" s="518">
        <v>43217</v>
      </c>
      <c r="B609" s="495">
        <v>216053.77</v>
      </c>
      <c r="C609" s="518"/>
      <c r="D609" s="495"/>
      <c r="F609" t="s">
        <v>351</v>
      </c>
      <c r="G609" s="555">
        <v>820788.58</v>
      </c>
      <c r="K609" s="688"/>
      <c r="L609" s="243"/>
    </row>
    <row r="610" spans="1:12" x14ac:dyDescent="0.2">
      <c r="A610" s="518">
        <v>43220</v>
      </c>
      <c r="B610" s="495">
        <v>179849.52</v>
      </c>
      <c r="C610" s="518"/>
      <c r="D610" s="495"/>
      <c r="F610" t="s">
        <v>327</v>
      </c>
      <c r="G610" s="555"/>
      <c r="K610" s="688"/>
      <c r="L610" s="243"/>
    </row>
    <row r="611" spans="1:12" x14ac:dyDescent="0.2">
      <c r="A611" s="518">
        <v>43221</v>
      </c>
      <c r="B611" s="495">
        <v>179850</v>
      </c>
      <c r="C611" s="518"/>
      <c r="D611" s="495"/>
      <c r="F611" t="s">
        <v>352</v>
      </c>
      <c r="G611" s="555">
        <v>248821.26</v>
      </c>
      <c r="K611" s="688"/>
      <c r="L611" s="243"/>
    </row>
    <row r="612" spans="1:12" x14ac:dyDescent="0.2">
      <c r="A612" s="518">
        <v>43222</v>
      </c>
      <c r="B612" s="495">
        <v>173749.01</v>
      </c>
      <c r="C612" s="518"/>
      <c r="D612" s="495"/>
      <c r="F612" t="s">
        <v>353</v>
      </c>
      <c r="G612" s="555">
        <v>2000</v>
      </c>
      <c r="H612" t="s">
        <v>354</v>
      </c>
      <c r="K612" s="688"/>
      <c r="L612" s="243"/>
    </row>
    <row r="613" spans="1:12" x14ac:dyDescent="0.2">
      <c r="A613" s="518">
        <v>43223</v>
      </c>
      <c r="B613" s="495">
        <v>200792.85</v>
      </c>
      <c r="C613" s="518"/>
      <c r="D613" s="495"/>
      <c r="F613" t="s">
        <v>359</v>
      </c>
      <c r="G613" s="555">
        <f>51000+19000</f>
        <v>70000</v>
      </c>
      <c r="K613" s="688"/>
      <c r="L613" s="243"/>
    </row>
    <row r="614" spans="1:12" x14ac:dyDescent="0.2">
      <c r="A614" s="518">
        <v>43224</v>
      </c>
      <c r="B614" s="495">
        <v>202331.91</v>
      </c>
      <c r="C614" s="518"/>
      <c r="D614" s="495"/>
      <c r="E614" t="s">
        <v>355</v>
      </c>
      <c r="G614" s="555">
        <f>SUM(G607:G613)</f>
        <v>1350330.75</v>
      </c>
      <c r="K614" s="688"/>
      <c r="L614" s="243"/>
    </row>
    <row r="615" spans="1:12" x14ac:dyDescent="0.2">
      <c r="A615" s="518">
        <v>43227</v>
      </c>
      <c r="B615" s="495">
        <v>203517.87</v>
      </c>
      <c r="C615" s="518"/>
      <c r="D615" s="495"/>
      <c r="G615" s="555"/>
      <c r="K615" s="688"/>
      <c r="L615" s="243"/>
    </row>
    <row r="616" spans="1:12" x14ac:dyDescent="0.2">
      <c r="A616" s="518">
        <v>43228</v>
      </c>
      <c r="B616" s="495">
        <v>203518</v>
      </c>
      <c r="C616" s="518"/>
      <c r="D616" s="495"/>
      <c r="E616" t="s">
        <v>356</v>
      </c>
      <c r="G616" s="555">
        <f>AVERAGE(G561:G573)</f>
        <v>264939.10923076922</v>
      </c>
      <c r="L616" s="243"/>
    </row>
    <row r="617" spans="1:12" x14ac:dyDescent="0.2">
      <c r="A617" s="518">
        <v>43229</v>
      </c>
      <c r="B617" s="495">
        <v>203518</v>
      </c>
      <c r="C617" s="518"/>
      <c r="D617" s="495"/>
      <c r="G617" s="555"/>
      <c r="L617" s="243"/>
    </row>
    <row r="618" spans="1:12" x14ac:dyDescent="0.2">
      <c r="A618" s="518">
        <v>43230</v>
      </c>
      <c r="B618" s="495">
        <v>191114.58</v>
      </c>
      <c r="C618" s="518"/>
      <c r="D618" s="495"/>
      <c r="E618" t="s">
        <v>357</v>
      </c>
      <c r="G618" s="556">
        <f>G614/G616</f>
        <v>5.0967588511963511</v>
      </c>
      <c r="L618" s="243"/>
    </row>
    <row r="619" spans="1:12" x14ac:dyDescent="0.2">
      <c r="A619" s="518">
        <v>43231</v>
      </c>
      <c r="B619" s="554">
        <v>153114.57999999999</v>
      </c>
      <c r="C619" s="518"/>
      <c r="D619" s="495"/>
      <c r="G619" s="555"/>
      <c r="L619" s="243"/>
    </row>
    <row r="620" spans="1:12" x14ac:dyDescent="0.2">
      <c r="A620" s="518">
        <v>43234</v>
      </c>
      <c r="B620" s="554">
        <v>153115</v>
      </c>
      <c r="C620" s="518"/>
      <c r="D620" s="495"/>
      <c r="E620" t="s">
        <v>358</v>
      </c>
      <c r="G620" s="555">
        <v>365</v>
      </c>
      <c r="L620" s="243"/>
    </row>
    <row r="621" spans="1:12" x14ac:dyDescent="0.2">
      <c r="A621" s="518">
        <v>43235</v>
      </c>
      <c r="B621" s="495">
        <v>182792.08</v>
      </c>
      <c r="C621" s="518"/>
      <c r="D621" s="495"/>
      <c r="G621" s="555">
        <f>G620/G618</f>
        <v>71.614139624111189</v>
      </c>
      <c r="L621" s="243"/>
    </row>
    <row r="622" spans="1:12" x14ac:dyDescent="0.2">
      <c r="A622" s="518">
        <v>43236</v>
      </c>
      <c r="B622" s="495">
        <v>182792</v>
      </c>
      <c r="C622" s="518"/>
      <c r="D622" s="495"/>
      <c r="L622" s="243"/>
    </row>
    <row r="623" spans="1:12" x14ac:dyDescent="0.2">
      <c r="A623" s="518">
        <v>43237</v>
      </c>
      <c r="B623" s="495">
        <v>222152.66</v>
      </c>
      <c r="C623" s="518"/>
      <c r="D623" s="495"/>
      <c r="L623" s="243"/>
    </row>
    <row r="624" spans="1:12" x14ac:dyDescent="0.2">
      <c r="A624" s="518">
        <v>43238</v>
      </c>
      <c r="B624" s="495">
        <v>222153</v>
      </c>
      <c r="C624" s="518"/>
      <c r="D624" s="495"/>
      <c r="L624" s="243"/>
    </row>
    <row r="625" spans="1:12" x14ac:dyDescent="0.2">
      <c r="A625" s="518">
        <v>43241</v>
      </c>
      <c r="B625" s="495">
        <v>222153</v>
      </c>
      <c r="C625" s="518"/>
      <c r="D625" s="495"/>
      <c r="L625" s="243"/>
    </row>
    <row r="626" spans="1:12" x14ac:dyDescent="0.2">
      <c r="A626" s="518">
        <v>43242</v>
      </c>
      <c r="B626" s="495">
        <v>222153</v>
      </c>
      <c r="C626" s="518"/>
      <c r="D626" s="495"/>
      <c r="L626" s="243"/>
    </row>
    <row r="627" spans="1:12" x14ac:dyDescent="0.2">
      <c r="A627" s="518">
        <v>43243</v>
      </c>
      <c r="B627" s="495">
        <v>222152</v>
      </c>
      <c r="C627" s="518"/>
      <c r="D627" s="495"/>
      <c r="L627" s="243"/>
    </row>
    <row r="628" spans="1:12" x14ac:dyDescent="0.2">
      <c r="A628" s="518">
        <v>43244</v>
      </c>
      <c r="B628" s="495">
        <v>211720.43</v>
      </c>
      <c r="C628" s="518"/>
      <c r="D628" s="495"/>
    </row>
    <row r="629" spans="1:12" x14ac:dyDescent="0.2">
      <c r="A629" s="518">
        <v>43245</v>
      </c>
      <c r="B629" s="495">
        <v>211720</v>
      </c>
      <c r="C629" s="518"/>
      <c r="D629" s="495"/>
    </row>
    <row r="630" spans="1:12" x14ac:dyDescent="0.2">
      <c r="A630" s="518">
        <v>43248</v>
      </c>
      <c r="B630" s="495">
        <v>211720</v>
      </c>
      <c r="C630" s="518"/>
      <c r="D630" s="495"/>
    </row>
    <row r="631" spans="1:12" x14ac:dyDescent="0.2">
      <c r="A631" s="518">
        <v>43249</v>
      </c>
      <c r="B631" s="495">
        <v>176327.95</v>
      </c>
      <c r="C631" s="518"/>
      <c r="D631" s="495"/>
    </row>
    <row r="632" spans="1:12" x14ac:dyDescent="0.2">
      <c r="A632" s="518">
        <v>43250</v>
      </c>
      <c r="B632" s="495">
        <v>176328</v>
      </c>
      <c r="C632" s="518"/>
      <c r="D632" s="495"/>
    </row>
    <row r="633" spans="1:12" x14ac:dyDescent="0.2">
      <c r="A633" s="518">
        <v>43251</v>
      </c>
      <c r="B633" s="495">
        <v>169004.5</v>
      </c>
      <c r="C633" s="518"/>
      <c r="D633" s="495"/>
    </row>
    <row r="634" spans="1:12" x14ac:dyDescent="0.2">
      <c r="A634" s="518">
        <v>43252</v>
      </c>
      <c r="B634" s="495">
        <v>261992.26</v>
      </c>
      <c r="C634" s="518"/>
      <c r="D634" s="495"/>
    </row>
    <row r="635" spans="1:12" x14ac:dyDescent="0.2">
      <c r="A635" s="518">
        <v>43255</v>
      </c>
      <c r="B635" s="495">
        <v>270521.09000000003</v>
      </c>
      <c r="C635" s="518"/>
      <c r="D635" s="495"/>
    </row>
    <row r="636" spans="1:12" x14ac:dyDescent="0.2">
      <c r="A636" s="518">
        <v>43256</v>
      </c>
      <c r="B636" s="495">
        <v>285365.09000000003</v>
      </c>
      <c r="C636" s="518"/>
      <c r="D636" s="495"/>
    </row>
    <row r="637" spans="1:12" x14ac:dyDescent="0.2">
      <c r="A637" s="518">
        <v>43257</v>
      </c>
      <c r="B637" s="495">
        <v>285365</v>
      </c>
      <c r="C637" s="518"/>
      <c r="D637" s="495"/>
    </row>
    <row r="638" spans="1:12" x14ac:dyDescent="0.2">
      <c r="A638" s="518">
        <v>43258</v>
      </c>
      <c r="B638" s="495">
        <v>287246.65999999997</v>
      </c>
      <c r="C638" s="518"/>
      <c r="D638" s="495"/>
    </row>
    <row r="639" spans="1:12" x14ac:dyDescent="0.2">
      <c r="A639" s="518">
        <v>43259</v>
      </c>
      <c r="B639" s="495">
        <v>287247</v>
      </c>
      <c r="C639" s="518"/>
      <c r="D639" s="495"/>
    </row>
    <row r="640" spans="1:12" x14ac:dyDescent="0.2">
      <c r="A640" s="518">
        <v>43262</v>
      </c>
      <c r="B640" s="495">
        <v>287247</v>
      </c>
      <c r="C640" s="518"/>
      <c r="D640" s="495"/>
    </row>
    <row r="641" spans="1:4" x14ac:dyDescent="0.2">
      <c r="A641" s="518">
        <v>43263</v>
      </c>
      <c r="B641" s="495">
        <v>253042.79</v>
      </c>
      <c r="C641" s="518"/>
      <c r="D641" s="495"/>
    </row>
    <row r="642" spans="1:4" x14ac:dyDescent="0.2">
      <c r="A642" s="518">
        <v>43264</v>
      </c>
      <c r="B642" s="495">
        <v>253043</v>
      </c>
      <c r="C642" s="518"/>
      <c r="D642" s="495"/>
    </row>
    <row r="643" spans="1:4" x14ac:dyDescent="0.2">
      <c r="A643" s="518">
        <v>43265</v>
      </c>
      <c r="B643" s="495">
        <v>246521.36</v>
      </c>
      <c r="C643" s="518"/>
      <c r="D643" s="495"/>
    </row>
    <row r="644" spans="1:4" x14ac:dyDescent="0.2">
      <c r="A644" s="518">
        <v>43266</v>
      </c>
      <c r="B644" s="495">
        <v>246593.56</v>
      </c>
      <c r="C644" s="518"/>
      <c r="D644" s="495"/>
    </row>
    <row r="645" spans="1:4" x14ac:dyDescent="0.2">
      <c r="A645" s="518">
        <v>43269</v>
      </c>
      <c r="B645" s="495">
        <v>246594</v>
      </c>
      <c r="C645" s="518"/>
      <c r="D645" s="495"/>
    </row>
    <row r="646" spans="1:4" x14ac:dyDescent="0.2">
      <c r="A646" s="518">
        <v>43270</v>
      </c>
      <c r="B646" s="495">
        <v>246594</v>
      </c>
      <c r="C646" s="518"/>
      <c r="D646" s="495"/>
    </row>
    <row r="647" spans="1:4" x14ac:dyDescent="0.2">
      <c r="A647" s="518">
        <v>43271</v>
      </c>
      <c r="B647" s="495">
        <v>246594</v>
      </c>
      <c r="C647" s="518"/>
      <c r="D647" s="495"/>
    </row>
    <row r="648" spans="1:4" x14ac:dyDescent="0.2">
      <c r="A648" s="518">
        <v>43272</v>
      </c>
      <c r="B648" s="495">
        <v>228395.48</v>
      </c>
      <c r="C648" s="518"/>
      <c r="D648" s="495"/>
    </row>
    <row r="649" spans="1:4" x14ac:dyDescent="0.2">
      <c r="A649" s="518">
        <v>43273</v>
      </c>
      <c r="B649" s="495">
        <v>228395</v>
      </c>
      <c r="C649" s="518"/>
      <c r="D649" s="495"/>
    </row>
    <row r="650" spans="1:4" x14ac:dyDescent="0.2">
      <c r="A650" s="518">
        <v>43276</v>
      </c>
      <c r="B650" s="495">
        <v>192627.9</v>
      </c>
      <c r="C650" s="518"/>
      <c r="D650" s="495"/>
    </row>
    <row r="651" spans="1:4" x14ac:dyDescent="0.2">
      <c r="A651" s="518">
        <v>43277</v>
      </c>
      <c r="B651" s="495">
        <v>192628</v>
      </c>
      <c r="C651" s="518"/>
      <c r="D651" s="495"/>
    </row>
    <row r="652" spans="1:4" x14ac:dyDescent="0.2">
      <c r="A652" s="518">
        <v>43278</v>
      </c>
      <c r="B652" s="495">
        <v>192628</v>
      </c>
      <c r="C652" s="518"/>
      <c r="D652" s="495"/>
    </row>
    <row r="653" spans="1:4" x14ac:dyDescent="0.2">
      <c r="A653" s="518">
        <v>43279</v>
      </c>
      <c r="B653" s="495">
        <v>193904.61</v>
      </c>
      <c r="C653" s="518"/>
      <c r="D653" s="495"/>
    </row>
    <row r="654" spans="1:4" x14ac:dyDescent="0.2">
      <c r="A654" s="518">
        <v>43280</v>
      </c>
      <c r="B654" s="495">
        <v>195328.48</v>
      </c>
      <c r="C654" s="518"/>
      <c r="D654" s="495"/>
    </row>
    <row r="655" spans="1:4" x14ac:dyDescent="0.2">
      <c r="A655" s="518">
        <v>43283</v>
      </c>
      <c r="B655" s="495">
        <v>199304.09</v>
      </c>
      <c r="C655" s="518"/>
      <c r="D655" s="495"/>
    </row>
    <row r="656" spans="1:4" x14ac:dyDescent="0.2">
      <c r="A656" s="518">
        <v>43284</v>
      </c>
      <c r="B656" s="495">
        <v>201071.11</v>
      </c>
      <c r="C656" s="518"/>
      <c r="D656" s="495"/>
    </row>
    <row r="657" spans="1:4" x14ac:dyDescent="0.2">
      <c r="A657" s="518">
        <v>43285</v>
      </c>
      <c r="B657" s="495">
        <v>201071</v>
      </c>
      <c r="C657" s="518"/>
      <c r="D657" s="495"/>
    </row>
    <row r="658" spans="1:4" x14ac:dyDescent="0.2">
      <c r="A658" s="518">
        <v>43286</v>
      </c>
      <c r="B658" s="495">
        <v>223298.16</v>
      </c>
      <c r="C658" s="518"/>
      <c r="D658" s="495"/>
    </row>
    <row r="659" spans="1:4" x14ac:dyDescent="0.2">
      <c r="A659" s="518">
        <v>43287</v>
      </c>
      <c r="B659" s="495">
        <v>238962.66</v>
      </c>
      <c r="C659" s="518"/>
      <c r="D659" s="495"/>
    </row>
    <row r="660" spans="1:4" x14ac:dyDescent="0.2">
      <c r="A660" s="518">
        <v>43290</v>
      </c>
      <c r="B660" s="495">
        <v>203086.22</v>
      </c>
      <c r="C660" s="518"/>
      <c r="D660" s="495"/>
    </row>
    <row r="661" spans="1:4" x14ac:dyDescent="0.2">
      <c r="A661" s="518">
        <v>43291</v>
      </c>
      <c r="B661" s="495">
        <v>226930.31</v>
      </c>
      <c r="C661" s="518"/>
      <c r="D661" s="495"/>
    </row>
    <row r="662" spans="1:4" x14ac:dyDescent="0.2">
      <c r="A662" s="518">
        <v>43292</v>
      </c>
      <c r="B662" s="495">
        <v>226930</v>
      </c>
      <c r="C662" s="518"/>
      <c r="D662" s="495"/>
    </row>
    <row r="663" spans="1:4" x14ac:dyDescent="0.2">
      <c r="A663" s="518">
        <v>43293</v>
      </c>
      <c r="B663" s="495">
        <v>220822.05</v>
      </c>
      <c r="C663" s="518"/>
      <c r="D663" s="495"/>
    </row>
    <row r="664" spans="1:4" x14ac:dyDescent="0.2">
      <c r="A664" s="518">
        <v>43294</v>
      </c>
      <c r="B664" s="495">
        <v>220986.35</v>
      </c>
      <c r="C664" s="518"/>
      <c r="D664" s="495"/>
    </row>
    <row r="665" spans="1:4" x14ac:dyDescent="0.2">
      <c r="A665" s="518">
        <v>43297</v>
      </c>
      <c r="B665" s="495">
        <v>220986</v>
      </c>
      <c r="C665" s="518"/>
      <c r="D665" s="495"/>
    </row>
    <row r="666" spans="1:4" x14ac:dyDescent="0.2">
      <c r="A666" s="518">
        <v>43298</v>
      </c>
      <c r="B666" s="495">
        <v>220986</v>
      </c>
      <c r="C666" s="518"/>
      <c r="D666" s="495"/>
    </row>
    <row r="667" spans="1:4" x14ac:dyDescent="0.2">
      <c r="A667" s="518">
        <v>43299</v>
      </c>
      <c r="B667" s="495">
        <v>197995.27</v>
      </c>
      <c r="C667" s="518"/>
      <c r="D667" s="495"/>
    </row>
    <row r="668" spans="1:4" x14ac:dyDescent="0.2">
      <c r="A668" s="518">
        <v>43300</v>
      </c>
      <c r="B668" s="495">
        <v>202931.61</v>
      </c>
      <c r="C668" s="518"/>
      <c r="D668" s="495"/>
    </row>
    <row r="669" spans="1:4" x14ac:dyDescent="0.2">
      <c r="A669" s="518">
        <v>43301</v>
      </c>
      <c r="B669" s="495">
        <v>202932</v>
      </c>
      <c r="C669" s="518"/>
      <c r="D669" s="495"/>
    </row>
    <row r="670" spans="1:4" x14ac:dyDescent="0.2">
      <c r="A670" s="518">
        <v>43304</v>
      </c>
      <c r="B670" s="495">
        <v>167839.6</v>
      </c>
      <c r="C670" s="518"/>
      <c r="D670" s="495"/>
    </row>
    <row r="671" spans="1:4" x14ac:dyDescent="0.2">
      <c r="A671" s="518">
        <v>43305</v>
      </c>
      <c r="B671" s="495">
        <v>167840</v>
      </c>
      <c r="C671" s="518"/>
      <c r="D671" s="495"/>
    </row>
    <row r="672" spans="1:4" x14ac:dyDescent="0.2">
      <c r="A672" s="518">
        <v>43306</v>
      </c>
      <c r="B672" s="495">
        <v>167840</v>
      </c>
      <c r="C672" s="518"/>
      <c r="D672" s="495"/>
    </row>
    <row r="673" spans="1:4" x14ac:dyDescent="0.2">
      <c r="A673" s="518">
        <v>43307</v>
      </c>
      <c r="B673" s="495">
        <v>180485.58</v>
      </c>
      <c r="C673" s="518"/>
      <c r="D673" s="495"/>
    </row>
    <row r="674" spans="1:4" x14ac:dyDescent="0.2">
      <c r="A674" s="518">
        <v>43308</v>
      </c>
      <c r="B674" s="495">
        <v>205676.09</v>
      </c>
      <c r="C674" s="518"/>
      <c r="D674" s="495"/>
    </row>
    <row r="675" spans="1:4" x14ac:dyDescent="0.2">
      <c r="A675" s="518">
        <v>43311</v>
      </c>
      <c r="B675" s="495">
        <v>199229.46</v>
      </c>
      <c r="C675" s="518"/>
      <c r="D675" s="495"/>
    </row>
    <row r="676" spans="1:4" x14ac:dyDescent="0.2">
      <c r="A676" s="518">
        <v>43312</v>
      </c>
      <c r="B676" s="495">
        <v>199612.46</v>
      </c>
      <c r="C676" s="518"/>
      <c r="D676" s="495"/>
    </row>
    <row r="677" spans="1:4" x14ac:dyDescent="0.2">
      <c r="A677" s="518">
        <v>43313</v>
      </c>
      <c r="B677" s="495">
        <v>327321.84000000003</v>
      </c>
      <c r="C677" s="518"/>
      <c r="D677" s="495"/>
    </row>
    <row r="678" spans="1:4" x14ac:dyDescent="0.2">
      <c r="A678" s="518">
        <v>43314</v>
      </c>
      <c r="B678" s="495">
        <v>328551.67</v>
      </c>
      <c r="C678" s="518"/>
      <c r="D678" s="495"/>
    </row>
    <row r="679" spans="1:4" x14ac:dyDescent="0.2">
      <c r="A679" s="518">
        <v>43315</v>
      </c>
      <c r="B679" s="495">
        <v>328552</v>
      </c>
      <c r="C679" s="518"/>
      <c r="D679" s="495"/>
    </row>
    <row r="680" spans="1:4" x14ac:dyDescent="0.2">
      <c r="A680" s="518">
        <v>43318</v>
      </c>
      <c r="B680" s="495">
        <v>293600.95</v>
      </c>
      <c r="C680" s="518"/>
      <c r="D680" s="495"/>
    </row>
    <row r="681" spans="1:4" x14ac:dyDescent="0.2">
      <c r="A681" s="518">
        <v>43319</v>
      </c>
      <c r="B681" s="495">
        <v>298153.56</v>
      </c>
      <c r="C681" s="518"/>
      <c r="D681" s="495"/>
    </row>
    <row r="682" spans="1:4" x14ac:dyDescent="0.2">
      <c r="A682" s="518">
        <v>43320</v>
      </c>
      <c r="B682" s="495">
        <v>298154</v>
      </c>
      <c r="C682" s="518"/>
      <c r="D682" s="495"/>
    </row>
    <row r="683" spans="1:4" x14ac:dyDescent="0.2">
      <c r="A683" s="518">
        <v>43321</v>
      </c>
      <c r="B683" s="495">
        <v>294180.65999999997</v>
      </c>
      <c r="C683" s="518"/>
      <c r="D683" s="495"/>
    </row>
    <row r="684" spans="1:4" x14ac:dyDescent="0.2">
      <c r="A684" s="518">
        <v>43322</v>
      </c>
      <c r="B684" s="495">
        <v>294181</v>
      </c>
      <c r="C684" s="518"/>
      <c r="D684" s="495"/>
    </row>
    <row r="685" spans="1:4" x14ac:dyDescent="0.2">
      <c r="A685" s="518">
        <v>43325</v>
      </c>
      <c r="B685" s="495">
        <v>294679.65999999997</v>
      </c>
      <c r="C685" s="518"/>
      <c r="D685" s="495"/>
    </row>
    <row r="686" spans="1:4" x14ac:dyDescent="0.2">
      <c r="A686" s="518">
        <v>43326</v>
      </c>
      <c r="B686" s="495">
        <v>294680</v>
      </c>
      <c r="C686" s="518"/>
      <c r="D686" s="495"/>
    </row>
    <row r="687" spans="1:4" x14ac:dyDescent="0.2">
      <c r="A687" s="518">
        <v>43327</v>
      </c>
      <c r="B687" s="495">
        <v>294761.65000000002</v>
      </c>
      <c r="C687" s="518"/>
      <c r="D687" s="495"/>
    </row>
    <row r="688" spans="1:4" x14ac:dyDescent="0.2">
      <c r="A688" s="518">
        <v>43328</v>
      </c>
      <c r="B688" s="495">
        <v>290632.52</v>
      </c>
      <c r="C688" s="518"/>
      <c r="D688" s="495"/>
    </row>
    <row r="689" spans="1:4" x14ac:dyDescent="0.2">
      <c r="A689" s="518">
        <v>43329</v>
      </c>
      <c r="B689" s="495">
        <v>290633</v>
      </c>
      <c r="C689" s="518"/>
      <c r="D689" s="495"/>
    </row>
    <row r="690" spans="1:4" x14ac:dyDescent="0.2">
      <c r="A690" s="518">
        <v>43332</v>
      </c>
      <c r="B690" s="495">
        <v>254427.11</v>
      </c>
      <c r="C690" s="518"/>
      <c r="D690" s="495"/>
    </row>
    <row r="691" spans="1:4" x14ac:dyDescent="0.2">
      <c r="A691" s="518">
        <v>43333</v>
      </c>
      <c r="B691" s="495">
        <v>255823.93</v>
      </c>
      <c r="C691" s="518"/>
      <c r="D691" s="495"/>
    </row>
    <row r="692" spans="1:4" x14ac:dyDescent="0.2">
      <c r="A692" s="518">
        <v>43334</v>
      </c>
      <c r="B692" s="495">
        <v>255419.13</v>
      </c>
      <c r="C692" s="518"/>
      <c r="D692" s="495"/>
    </row>
    <row r="693" spans="1:4" x14ac:dyDescent="0.2">
      <c r="A693" s="518">
        <v>43335</v>
      </c>
      <c r="B693" s="495">
        <v>272759.37</v>
      </c>
      <c r="C693" s="518"/>
      <c r="D693" s="495"/>
    </row>
    <row r="694" spans="1:4" x14ac:dyDescent="0.2">
      <c r="A694" s="518">
        <v>43336</v>
      </c>
      <c r="B694" s="495">
        <v>272846.37</v>
      </c>
      <c r="C694" s="518"/>
      <c r="D694" s="495"/>
    </row>
    <row r="695" spans="1:4" x14ac:dyDescent="0.2">
      <c r="A695" s="518">
        <v>43339</v>
      </c>
      <c r="B695" s="495">
        <v>272846</v>
      </c>
      <c r="C695" s="518"/>
      <c r="D695" s="495"/>
    </row>
    <row r="696" spans="1:4" x14ac:dyDescent="0.2">
      <c r="A696" s="518">
        <v>43340</v>
      </c>
      <c r="B696" s="495">
        <v>272846</v>
      </c>
      <c r="C696" s="518"/>
      <c r="D696" s="495"/>
    </row>
    <row r="697" spans="1:4" x14ac:dyDescent="0.2">
      <c r="A697" s="518">
        <v>43341</v>
      </c>
      <c r="B697" s="495">
        <v>276622.58</v>
      </c>
      <c r="C697" s="518"/>
      <c r="D697" s="495"/>
    </row>
    <row r="698" spans="1:4" x14ac:dyDescent="0.2">
      <c r="A698" s="518">
        <v>43342</v>
      </c>
      <c r="B698" s="495">
        <v>276623</v>
      </c>
      <c r="C698" s="518"/>
      <c r="D698" s="495"/>
    </row>
    <row r="699" spans="1:4" x14ac:dyDescent="0.2">
      <c r="A699" s="518">
        <v>43343</v>
      </c>
      <c r="B699" s="495">
        <v>276773.33</v>
      </c>
      <c r="C699" s="518"/>
      <c r="D699" s="495"/>
    </row>
    <row r="700" spans="1:4" x14ac:dyDescent="0.2">
      <c r="A700" s="518">
        <v>43346</v>
      </c>
      <c r="B700" s="495">
        <v>276773</v>
      </c>
      <c r="C700" s="518"/>
      <c r="D700" s="495"/>
    </row>
    <row r="701" spans="1:4" x14ac:dyDescent="0.2">
      <c r="A701" s="518">
        <v>43347</v>
      </c>
      <c r="B701" s="495">
        <v>240090.56</v>
      </c>
      <c r="C701" s="518"/>
      <c r="D701" s="495"/>
    </row>
    <row r="702" spans="1:4" x14ac:dyDescent="0.2">
      <c r="A702" s="518">
        <v>43348</v>
      </c>
      <c r="B702" s="495">
        <v>240091</v>
      </c>
      <c r="C702" s="518"/>
      <c r="D702" s="495"/>
    </row>
    <row r="703" spans="1:4" x14ac:dyDescent="0.2">
      <c r="A703" s="518">
        <v>43349</v>
      </c>
      <c r="B703" s="495">
        <v>237779.31</v>
      </c>
      <c r="C703" s="518"/>
      <c r="D703" s="495"/>
    </row>
    <row r="704" spans="1:4" x14ac:dyDescent="0.2">
      <c r="A704" s="518">
        <v>43350</v>
      </c>
      <c r="B704" s="495">
        <v>237779</v>
      </c>
      <c r="C704" s="518"/>
      <c r="D704" s="495"/>
    </row>
    <row r="705" spans="1:4" x14ac:dyDescent="0.2">
      <c r="A705" s="518">
        <v>43353</v>
      </c>
      <c r="B705" s="495">
        <v>243552.34</v>
      </c>
      <c r="C705" s="518"/>
      <c r="D705" s="495"/>
    </row>
    <row r="706" spans="1:4" x14ac:dyDescent="0.2">
      <c r="A706" s="518">
        <v>43354</v>
      </c>
      <c r="B706" s="495">
        <v>243552</v>
      </c>
      <c r="C706" s="518"/>
      <c r="D706" s="495"/>
    </row>
    <row r="707" spans="1:4" x14ac:dyDescent="0.2">
      <c r="A707" s="518">
        <v>43355</v>
      </c>
      <c r="B707" s="495">
        <v>243552</v>
      </c>
      <c r="C707" s="518"/>
      <c r="D707" s="495"/>
    </row>
    <row r="708" spans="1:4" x14ac:dyDescent="0.2">
      <c r="A708" s="518">
        <v>43356</v>
      </c>
      <c r="B708" s="495">
        <v>266009.96000000002</v>
      </c>
      <c r="C708" s="518"/>
      <c r="D708" s="495"/>
    </row>
    <row r="709" spans="1:4" x14ac:dyDescent="0.2">
      <c r="A709" s="518">
        <v>43357</v>
      </c>
      <c r="B709" s="495">
        <v>266087.59999999998</v>
      </c>
      <c r="C709" s="518"/>
      <c r="D709" s="495"/>
    </row>
    <row r="710" spans="1:4" x14ac:dyDescent="0.2">
      <c r="A710" s="518">
        <v>43360</v>
      </c>
      <c r="B710" s="495">
        <v>229939.6</v>
      </c>
      <c r="C710" s="518"/>
      <c r="D710" s="495"/>
    </row>
    <row r="711" spans="1:4" x14ac:dyDescent="0.2">
      <c r="A711" s="518">
        <v>43361</v>
      </c>
      <c r="B711" s="495">
        <v>229940</v>
      </c>
      <c r="C711" s="518"/>
      <c r="D711" s="495"/>
    </row>
    <row r="712" spans="1:4" x14ac:dyDescent="0.2">
      <c r="A712" s="518">
        <v>43362</v>
      </c>
      <c r="B712" s="495">
        <v>229940</v>
      </c>
      <c r="C712" s="518"/>
      <c r="D712" s="495"/>
    </row>
    <row r="713" spans="1:4" x14ac:dyDescent="0.2">
      <c r="A713" s="518">
        <v>43363</v>
      </c>
      <c r="B713" s="495">
        <v>226983.82</v>
      </c>
      <c r="C713" s="518"/>
      <c r="D713" s="495"/>
    </row>
    <row r="714" spans="1:4" x14ac:dyDescent="0.2">
      <c r="A714" s="518">
        <v>43364</v>
      </c>
      <c r="B714" s="495">
        <v>226983.82</v>
      </c>
      <c r="C714" s="518"/>
      <c r="D714" s="495"/>
    </row>
    <row r="715" spans="1:4" x14ac:dyDescent="0.2">
      <c r="A715" s="518">
        <v>43367</v>
      </c>
      <c r="B715" s="495">
        <v>231167.41</v>
      </c>
      <c r="C715" s="518"/>
      <c r="D715" s="495"/>
    </row>
    <row r="716" spans="1:4" x14ac:dyDescent="0.2">
      <c r="A716" s="518">
        <v>43368</v>
      </c>
      <c r="B716" s="495">
        <v>231298.26</v>
      </c>
      <c r="C716" s="518"/>
      <c r="D716" s="495"/>
    </row>
    <row r="717" spans="1:4" x14ac:dyDescent="0.2">
      <c r="A717" s="518">
        <v>43369</v>
      </c>
      <c r="B717" s="495">
        <v>231298</v>
      </c>
      <c r="C717" s="518"/>
      <c r="D717" s="495"/>
    </row>
    <row r="718" spans="1:4" x14ac:dyDescent="0.2">
      <c r="A718" s="518">
        <v>43370</v>
      </c>
      <c r="B718" s="495">
        <v>218195.44</v>
      </c>
      <c r="C718" s="518"/>
      <c r="D718" s="495"/>
    </row>
    <row r="719" spans="1:4" x14ac:dyDescent="0.2">
      <c r="A719" s="518">
        <v>43371</v>
      </c>
      <c r="B719" s="495">
        <v>218195</v>
      </c>
      <c r="C719" s="518"/>
      <c r="D719" s="495"/>
    </row>
    <row r="720" spans="1:4" x14ac:dyDescent="0.2">
      <c r="A720" s="518">
        <v>43374</v>
      </c>
      <c r="B720" s="495">
        <v>181738.47</v>
      </c>
      <c r="C720" s="518"/>
      <c r="D720" s="495"/>
    </row>
    <row r="721" spans="1:4" x14ac:dyDescent="0.2">
      <c r="A721" s="518">
        <v>43375</v>
      </c>
      <c r="B721" s="495">
        <v>175674.86</v>
      </c>
      <c r="C721" s="518"/>
      <c r="D721" s="495"/>
    </row>
    <row r="722" spans="1:4" x14ac:dyDescent="0.2">
      <c r="A722" s="518">
        <v>43376</v>
      </c>
      <c r="B722" s="495">
        <v>175890.11</v>
      </c>
      <c r="C722" s="518"/>
      <c r="D722" s="495"/>
    </row>
    <row r="723" spans="1:4" x14ac:dyDescent="0.2">
      <c r="A723" s="518">
        <v>43377</v>
      </c>
      <c r="B723" s="495">
        <v>176908.84</v>
      </c>
      <c r="C723" s="518"/>
      <c r="D723" s="495"/>
    </row>
    <row r="724" spans="1:4" x14ac:dyDescent="0.2">
      <c r="A724" s="518">
        <v>43378</v>
      </c>
      <c r="B724" s="495">
        <v>176909</v>
      </c>
      <c r="C724" s="518"/>
      <c r="D724" s="495"/>
    </row>
    <row r="725" spans="1:4" x14ac:dyDescent="0.2">
      <c r="A725" s="518">
        <v>43381</v>
      </c>
      <c r="B725" s="495">
        <v>176909</v>
      </c>
      <c r="C725" s="518"/>
      <c r="D725" s="495"/>
    </row>
    <row r="726" spans="1:4" x14ac:dyDescent="0.2">
      <c r="A726" s="518">
        <v>43382</v>
      </c>
      <c r="B726" s="495">
        <v>226038.22</v>
      </c>
      <c r="C726" s="518"/>
      <c r="D726" s="495"/>
    </row>
    <row r="727" spans="1:4" x14ac:dyDescent="0.2">
      <c r="A727" s="518">
        <v>43383</v>
      </c>
      <c r="B727" s="495">
        <v>226038</v>
      </c>
      <c r="C727" s="518"/>
      <c r="D727" s="495"/>
    </row>
    <row r="728" spans="1:4" x14ac:dyDescent="0.2">
      <c r="A728" s="518">
        <v>43384</v>
      </c>
      <c r="B728" s="495">
        <v>223293.31</v>
      </c>
      <c r="C728" s="518"/>
      <c r="D728" s="495"/>
    </row>
    <row r="729" spans="1:4" x14ac:dyDescent="0.2">
      <c r="A729" s="518">
        <v>43385</v>
      </c>
      <c r="B729" s="495">
        <v>272327.27</v>
      </c>
      <c r="C729" s="518"/>
      <c r="D729" s="495"/>
    </row>
    <row r="730" spans="1:4" x14ac:dyDescent="0.2">
      <c r="A730" s="518">
        <v>43388</v>
      </c>
      <c r="B730" s="495">
        <v>236397.34</v>
      </c>
      <c r="C730" s="518"/>
      <c r="D730" s="495"/>
    </row>
    <row r="731" spans="1:4" x14ac:dyDescent="0.2">
      <c r="A731" s="518">
        <v>43389</v>
      </c>
      <c r="B731" s="495">
        <v>236553.84</v>
      </c>
      <c r="C731" s="518"/>
      <c r="D731" s="495"/>
    </row>
    <row r="732" spans="1:4" x14ac:dyDescent="0.2">
      <c r="A732" s="518">
        <v>43390</v>
      </c>
      <c r="B732" s="495">
        <v>249133.92</v>
      </c>
      <c r="C732" s="518"/>
      <c r="D732" s="495"/>
    </row>
    <row r="733" spans="1:4" x14ac:dyDescent="0.2">
      <c r="A733" s="518">
        <v>43391</v>
      </c>
      <c r="B733" s="495">
        <v>254043.68</v>
      </c>
      <c r="C733" s="518"/>
      <c r="D733" s="495"/>
    </row>
    <row r="734" spans="1:4" x14ac:dyDescent="0.2">
      <c r="A734" s="518">
        <v>43392</v>
      </c>
      <c r="B734" s="495">
        <v>254064.5</v>
      </c>
      <c r="C734" s="518"/>
      <c r="D734" s="495"/>
    </row>
    <row r="735" spans="1:4" x14ac:dyDescent="0.2">
      <c r="A735" s="518">
        <v>43395</v>
      </c>
      <c r="B735" s="495">
        <v>290142.09999999998</v>
      </c>
      <c r="C735" s="518"/>
      <c r="D735" s="495"/>
    </row>
    <row r="736" spans="1:4" x14ac:dyDescent="0.2">
      <c r="A736" s="518">
        <v>43396</v>
      </c>
      <c r="B736" s="495">
        <v>290142</v>
      </c>
      <c r="C736" s="518"/>
      <c r="D736" s="495"/>
    </row>
    <row r="737" spans="1:4" x14ac:dyDescent="0.2">
      <c r="A737" s="518">
        <v>43397</v>
      </c>
      <c r="B737" s="495">
        <v>290034.38</v>
      </c>
      <c r="C737" s="518"/>
      <c r="D737" s="495"/>
    </row>
    <row r="738" spans="1:4" x14ac:dyDescent="0.2">
      <c r="A738" s="518">
        <v>43398</v>
      </c>
      <c r="B738" s="495">
        <v>291747.36</v>
      </c>
      <c r="C738" s="518"/>
      <c r="D738" s="495"/>
    </row>
    <row r="739" spans="1:4" x14ac:dyDescent="0.2">
      <c r="A739" s="518">
        <v>43399</v>
      </c>
      <c r="B739" s="495">
        <v>306637.48</v>
      </c>
      <c r="C739" s="518"/>
      <c r="D739" s="495"/>
    </row>
    <row r="740" spans="1:4" x14ac:dyDescent="0.2">
      <c r="A740" s="518">
        <v>43402</v>
      </c>
      <c r="B740" s="495">
        <v>270401.28999999998</v>
      </c>
      <c r="C740" s="518"/>
      <c r="D740" s="495"/>
    </row>
    <row r="741" spans="1:4" x14ac:dyDescent="0.2">
      <c r="A741" s="518">
        <v>43403</v>
      </c>
      <c r="B741" s="495">
        <v>278028.58</v>
      </c>
      <c r="C741" s="518"/>
      <c r="D741" s="495"/>
    </row>
    <row r="742" spans="1:4" x14ac:dyDescent="0.2">
      <c r="A742" s="518">
        <v>43404</v>
      </c>
      <c r="B742" s="495">
        <v>278029</v>
      </c>
      <c r="C742" s="518"/>
      <c r="D742" s="495"/>
    </row>
    <row r="743" spans="1:4" x14ac:dyDescent="0.2">
      <c r="A743" s="518">
        <v>43405</v>
      </c>
      <c r="B743" s="495">
        <v>279523.53000000003</v>
      </c>
      <c r="C743" s="518"/>
      <c r="D743" s="495"/>
    </row>
    <row r="744" spans="1:4" x14ac:dyDescent="0.2">
      <c r="A744" s="518">
        <v>43406</v>
      </c>
      <c r="B744" s="495">
        <v>303100.06</v>
      </c>
      <c r="C744" s="518"/>
      <c r="D744" s="495"/>
    </row>
    <row r="745" spans="1:4" x14ac:dyDescent="0.2">
      <c r="A745" s="518">
        <v>43409</v>
      </c>
      <c r="B745" s="495">
        <v>303100.06</v>
      </c>
      <c r="C745" s="518"/>
      <c r="D745" s="495"/>
    </row>
    <row r="746" spans="1:4" x14ac:dyDescent="0.2">
      <c r="A746" s="518">
        <v>43410</v>
      </c>
      <c r="B746" s="495">
        <v>303100.06</v>
      </c>
      <c r="C746" s="518"/>
      <c r="D746" s="495"/>
    </row>
    <row r="747" spans="1:4" x14ac:dyDescent="0.2">
      <c r="A747" s="518">
        <v>43411</v>
      </c>
      <c r="B747" s="495">
        <v>303954.14</v>
      </c>
      <c r="C747" s="518"/>
      <c r="D747" s="495"/>
    </row>
    <row r="748" spans="1:4" x14ac:dyDescent="0.2">
      <c r="A748" s="518">
        <v>43412</v>
      </c>
      <c r="B748" s="495">
        <v>294843.14</v>
      </c>
      <c r="C748" s="518"/>
      <c r="D748" s="495"/>
    </row>
    <row r="749" spans="1:4" x14ac:dyDescent="0.2">
      <c r="A749" s="518">
        <v>43413</v>
      </c>
      <c r="B749" s="495">
        <v>294843</v>
      </c>
      <c r="C749" s="518"/>
      <c r="D749" s="495"/>
    </row>
    <row r="750" spans="1:4" x14ac:dyDescent="0.2">
      <c r="A750" s="518">
        <v>43416</v>
      </c>
      <c r="B750" s="495">
        <v>294843</v>
      </c>
      <c r="C750" s="518"/>
      <c r="D750" s="495"/>
    </row>
    <row r="751" spans="1:4" x14ac:dyDescent="0.2">
      <c r="A751" s="518">
        <v>43417</v>
      </c>
      <c r="B751" s="495">
        <v>294843</v>
      </c>
      <c r="C751" s="518"/>
      <c r="D751" s="495"/>
    </row>
    <row r="752" spans="1:4" x14ac:dyDescent="0.2">
      <c r="A752" s="518">
        <v>43418</v>
      </c>
      <c r="B752" s="495">
        <v>259514.47</v>
      </c>
      <c r="C752" s="518"/>
      <c r="D752" s="495"/>
    </row>
    <row r="753" spans="1:4" x14ac:dyDescent="0.2">
      <c r="A753" s="518">
        <v>43419</v>
      </c>
      <c r="B753" s="495">
        <v>255987.45</v>
      </c>
      <c r="C753" s="518"/>
      <c r="D753" s="495"/>
    </row>
    <row r="754" spans="1:4" x14ac:dyDescent="0.2">
      <c r="A754" s="518">
        <v>43420</v>
      </c>
      <c r="B754" s="495">
        <v>255987.45</v>
      </c>
      <c r="C754" s="518"/>
      <c r="D754" s="495"/>
    </row>
    <row r="755" spans="1:4" x14ac:dyDescent="0.2">
      <c r="A755" s="518">
        <v>43423</v>
      </c>
      <c r="B755" s="495">
        <v>255987.45</v>
      </c>
      <c r="C755" s="518"/>
      <c r="D755" s="495"/>
    </row>
    <row r="756" spans="1:4" x14ac:dyDescent="0.2">
      <c r="A756" s="518">
        <v>43424</v>
      </c>
      <c r="B756" s="495">
        <v>254650.75</v>
      </c>
      <c r="C756" s="518"/>
      <c r="D756" s="495"/>
    </row>
    <row r="757" spans="1:4" x14ac:dyDescent="0.2">
      <c r="A757" s="518">
        <v>43425</v>
      </c>
      <c r="B757" s="495">
        <v>298403.21000000002</v>
      </c>
      <c r="C757" s="518"/>
      <c r="D757" s="495"/>
    </row>
    <row r="758" spans="1:4" x14ac:dyDescent="0.2">
      <c r="A758" s="518">
        <v>43426</v>
      </c>
      <c r="B758" s="495">
        <v>300529.64</v>
      </c>
      <c r="C758" s="518"/>
      <c r="D758" s="495"/>
    </row>
    <row r="759" spans="1:4" x14ac:dyDescent="0.2">
      <c r="A759" s="518">
        <v>43427</v>
      </c>
      <c r="B759" s="495">
        <v>300229.64</v>
      </c>
      <c r="C759" s="518"/>
      <c r="D759" s="495"/>
    </row>
    <row r="760" spans="1:4" x14ac:dyDescent="0.2">
      <c r="A760" s="518">
        <v>43430</v>
      </c>
      <c r="B760" s="495">
        <v>300230</v>
      </c>
      <c r="C760" s="518"/>
      <c r="D760" s="495"/>
    </row>
    <row r="761" spans="1:4" x14ac:dyDescent="0.2">
      <c r="A761" s="518">
        <v>43431</v>
      </c>
      <c r="B761" s="495">
        <v>267674.82</v>
      </c>
      <c r="C761" s="518"/>
      <c r="D761" s="495"/>
    </row>
    <row r="762" spans="1:4" x14ac:dyDescent="0.2">
      <c r="A762" s="518">
        <v>43432</v>
      </c>
      <c r="B762" s="495">
        <v>273448.82</v>
      </c>
      <c r="C762" s="518"/>
      <c r="D762" s="495"/>
    </row>
    <row r="763" spans="1:4" x14ac:dyDescent="0.2">
      <c r="A763" s="518">
        <v>43433</v>
      </c>
      <c r="B763" s="495">
        <v>252527.09</v>
      </c>
      <c r="C763" s="518"/>
      <c r="D763" s="495"/>
    </row>
    <row r="764" spans="1:4" x14ac:dyDescent="0.2">
      <c r="A764" s="518">
        <v>43434</v>
      </c>
      <c r="B764" s="495">
        <v>321968.59000000003</v>
      </c>
      <c r="C764" s="518"/>
      <c r="D764" s="495"/>
    </row>
    <row r="765" spans="1:4" x14ac:dyDescent="0.2">
      <c r="A765" s="518">
        <v>43437</v>
      </c>
      <c r="B765" s="495">
        <v>321969</v>
      </c>
      <c r="C765" s="518"/>
      <c r="D765" s="495"/>
    </row>
    <row r="766" spans="1:4" x14ac:dyDescent="0.2">
      <c r="A766" s="518">
        <v>43438</v>
      </c>
      <c r="B766" s="495">
        <v>321969</v>
      </c>
      <c r="C766" s="518"/>
      <c r="D766" s="495"/>
    </row>
    <row r="767" spans="1:4" x14ac:dyDescent="0.2">
      <c r="A767" s="518">
        <v>43439</v>
      </c>
      <c r="B767" s="495">
        <v>321969</v>
      </c>
      <c r="C767" s="518"/>
      <c r="D767" s="495"/>
    </row>
    <row r="768" spans="1:4" x14ac:dyDescent="0.2">
      <c r="A768" s="518">
        <v>43440</v>
      </c>
      <c r="B768" s="495">
        <v>314251.55</v>
      </c>
      <c r="C768" s="518"/>
      <c r="D768" s="495"/>
    </row>
    <row r="769" spans="1:4" x14ac:dyDescent="0.2">
      <c r="A769" s="518">
        <v>43441</v>
      </c>
      <c r="B769" s="495">
        <v>315739.42</v>
      </c>
      <c r="C769" s="518"/>
      <c r="D769" s="495"/>
    </row>
    <row r="770" spans="1:4" x14ac:dyDescent="0.2">
      <c r="A770" s="518">
        <v>43444</v>
      </c>
      <c r="B770" s="495">
        <v>315739</v>
      </c>
      <c r="C770" s="518"/>
      <c r="D770" s="495"/>
    </row>
    <row r="771" spans="1:4" x14ac:dyDescent="0.2">
      <c r="A771" s="518">
        <v>43445</v>
      </c>
      <c r="B771" s="495">
        <v>275506.94</v>
      </c>
      <c r="C771" s="518"/>
      <c r="D771" s="495"/>
    </row>
    <row r="772" spans="1:4" x14ac:dyDescent="0.2">
      <c r="A772" s="518">
        <v>43446</v>
      </c>
      <c r="B772" s="495">
        <v>275507</v>
      </c>
      <c r="C772" s="518"/>
      <c r="D772" s="495"/>
    </row>
    <row r="773" spans="1:4" x14ac:dyDescent="0.2">
      <c r="A773" s="518">
        <v>43447</v>
      </c>
      <c r="B773" s="495">
        <v>289896.89</v>
      </c>
      <c r="C773" s="518"/>
      <c r="D773" s="495"/>
    </row>
    <row r="774" spans="1:4" x14ac:dyDescent="0.2">
      <c r="A774" s="518">
        <v>43448</v>
      </c>
      <c r="B774" s="495">
        <v>313281.34999999998</v>
      </c>
      <c r="C774" s="518"/>
      <c r="D774" s="495"/>
    </row>
    <row r="775" spans="1:4" x14ac:dyDescent="0.2">
      <c r="A775" s="518">
        <v>43451</v>
      </c>
      <c r="B775" s="495">
        <v>313281</v>
      </c>
      <c r="C775" s="518"/>
      <c r="D775" s="495"/>
    </row>
    <row r="776" spans="1:4" x14ac:dyDescent="0.2">
      <c r="A776" s="518">
        <v>43452</v>
      </c>
      <c r="B776" s="495">
        <v>317556.84999999998</v>
      </c>
      <c r="C776" s="518"/>
      <c r="D776" s="495"/>
    </row>
    <row r="777" spans="1:4" x14ac:dyDescent="0.2">
      <c r="A777" s="518">
        <v>43453</v>
      </c>
      <c r="B777" s="495">
        <v>317557</v>
      </c>
      <c r="C777" s="518"/>
      <c r="D777" s="495"/>
    </row>
    <row r="778" spans="1:4" x14ac:dyDescent="0.2">
      <c r="A778" s="518">
        <v>43454</v>
      </c>
      <c r="B778" s="495">
        <v>297159.33</v>
      </c>
      <c r="C778" s="518"/>
      <c r="D778" s="495"/>
    </row>
    <row r="779" spans="1:4" x14ac:dyDescent="0.2">
      <c r="A779" s="518">
        <v>43455</v>
      </c>
      <c r="B779" s="495">
        <v>297159</v>
      </c>
      <c r="C779" s="518"/>
      <c r="D779" s="495"/>
    </row>
    <row r="780" spans="1:4" x14ac:dyDescent="0.2">
      <c r="A780" s="518">
        <v>43458</v>
      </c>
      <c r="B780" s="495">
        <v>260233.37</v>
      </c>
      <c r="C780" s="518"/>
      <c r="D780" s="495"/>
    </row>
    <row r="781" spans="1:4" x14ac:dyDescent="0.2">
      <c r="A781" s="518">
        <v>43459</v>
      </c>
      <c r="B781" s="495">
        <v>260233</v>
      </c>
      <c r="C781" s="518"/>
      <c r="D781" s="495"/>
    </row>
    <row r="782" spans="1:4" x14ac:dyDescent="0.2">
      <c r="A782" s="518">
        <v>43460</v>
      </c>
      <c r="B782" s="495">
        <v>261845.78</v>
      </c>
      <c r="C782" s="518"/>
      <c r="D782" s="495"/>
    </row>
    <row r="783" spans="1:4" x14ac:dyDescent="0.2">
      <c r="A783" s="518">
        <v>43461</v>
      </c>
      <c r="B783" s="495">
        <v>261846</v>
      </c>
      <c r="C783" s="518"/>
      <c r="D783" s="495"/>
    </row>
    <row r="784" spans="1:4" x14ac:dyDescent="0.2">
      <c r="A784" s="518">
        <v>43462</v>
      </c>
      <c r="B784" s="495">
        <v>273805.40000000002</v>
      </c>
      <c r="C784" s="518"/>
      <c r="D784" s="495"/>
    </row>
    <row r="785" spans="1:4" x14ac:dyDescent="0.2">
      <c r="A785" s="518">
        <v>43465</v>
      </c>
      <c r="B785" s="495">
        <v>274101.40000000002</v>
      </c>
      <c r="C785" s="518"/>
      <c r="D785" s="495"/>
    </row>
    <row r="786" spans="1:4" x14ac:dyDescent="0.2">
      <c r="A786" s="518">
        <v>43466</v>
      </c>
      <c r="B786" s="495">
        <v>274101</v>
      </c>
      <c r="C786" s="518"/>
      <c r="D786" s="495"/>
    </row>
    <row r="787" spans="1:4" x14ac:dyDescent="0.2">
      <c r="A787" s="518">
        <v>43467</v>
      </c>
      <c r="B787" s="495">
        <v>299108.40000000002</v>
      </c>
      <c r="C787" s="518"/>
      <c r="D787" s="495"/>
    </row>
    <row r="788" spans="1:4" x14ac:dyDescent="0.2">
      <c r="A788" s="518">
        <v>43468</v>
      </c>
      <c r="B788" s="495">
        <v>298070.78000000003</v>
      </c>
      <c r="C788" s="518"/>
      <c r="D788" s="495"/>
    </row>
    <row r="789" spans="1:4" x14ac:dyDescent="0.2">
      <c r="A789" s="518">
        <v>43469</v>
      </c>
      <c r="B789" s="495">
        <v>298071</v>
      </c>
      <c r="C789" s="518"/>
      <c r="D789" s="495"/>
    </row>
    <row r="790" spans="1:4" x14ac:dyDescent="0.2">
      <c r="A790" s="518">
        <v>43472</v>
      </c>
      <c r="B790" s="495">
        <v>298430.78000000003</v>
      </c>
      <c r="C790" s="518"/>
      <c r="D790" s="495"/>
    </row>
    <row r="791" spans="1:4" x14ac:dyDescent="0.2">
      <c r="A791" s="518">
        <v>43473</v>
      </c>
      <c r="B791" s="495">
        <v>264835.63</v>
      </c>
      <c r="C791" s="518"/>
      <c r="D791" s="495"/>
    </row>
    <row r="792" spans="1:4" x14ac:dyDescent="0.2">
      <c r="A792" s="518">
        <v>43474</v>
      </c>
      <c r="B792" s="495">
        <v>303664.65999999997</v>
      </c>
      <c r="C792" s="518"/>
      <c r="D792" s="495"/>
    </row>
    <row r="793" spans="1:4" x14ac:dyDescent="0.2">
      <c r="A793" s="518">
        <v>43475</v>
      </c>
      <c r="B793" s="495">
        <v>299790.71999999997</v>
      </c>
      <c r="C793" s="518"/>
      <c r="D793" s="495"/>
    </row>
    <row r="794" spans="1:4" x14ac:dyDescent="0.2">
      <c r="A794" s="518">
        <v>43476</v>
      </c>
      <c r="B794" s="554">
        <v>309881.71999999997</v>
      </c>
      <c r="C794" s="518"/>
      <c r="D794" s="495"/>
    </row>
    <row r="795" spans="1:4" x14ac:dyDescent="0.2">
      <c r="A795" s="518">
        <v>43479</v>
      </c>
      <c r="B795" s="495">
        <v>284374.78999999998</v>
      </c>
      <c r="C795" s="518"/>
      <c r="D795" s="495"/>
    </row>
    <row r="796" spans="1:4" x14ac:dyDescent="0.2">
      <c r="A796" s="518">
        <v>43480</v>
      </c>
      <c r="B796" s="495">
        <v>284494.75</v>
      </c>
      <c r="C796" s="518"/>
      <c r="D796" s="495"/>
    </row>
    <row r="797" spans="1:4" x14ac:dyDescent="0.2">
      <c r="A797" s="518">
        <v>43481</v>
      </c>
      <c r="B797" s="495">
        <v>277370.03000000003</v>
      </c>
      <c r="C797" s="518"/>
      <c r="D797" s="495"/>
    </row>
    <row r="798" spans="1:4" x14ac:dyDescent="0.2">
      <c r="A798" s="518">
        <v>43482</v>
      </c>
      <c r="B798" s="495">
        <v>266103.65999999997</v>
      </c>
      <c r="C798" s="518"/>
      <c r="D798" s="495"/>
    </row>
    <row r="799" spans="1:4" x14ac:dyDescent="0.2">
      <c r="A799" s="518">
        <v>43483</v>
      </c>
      <c r="B799" s="495">
        <v>266189.65999999997</v>
      </c>
      <c r="C799" s="518"/>
      <c r="D799" s="495"/>
    </row>
    <row r="800" spans="1:4" x14ac:dyDescent="0.2">
      <c r="A800" s="518">
        <v>43486</v>
      </c>
      <c r="B800" s="495">
        <v>266190</v>
      </c>
      <c r="C800" s="518"/>
      <c r="D800" s="495"/>
    </row>
    <row r="801" spans="1:4" x14ac:dyDescent="0.2">
      <c r="A801" s="518">
        <v>43487</v>
      </c>
      <c r="B801" s="495">
        <v>228832.05</v>
      </c>
      <c r="C801" s="518"/>
      <c r="D801" s="495"/>
    </row>
    <row r="802" spans="1:4" x14ac:dyDescent="0.2">
      <c r="A802" s="518">
        <v>43488</v>
      </c>
      <c r="B802" s="495">
        <v>229285.41</v>
      </c>
      <c r="C802" s="518"/>
      <c r="D802" s="495"/>
    </row>
    <row r="803" spans="1:4" x14ac:dyDescent="0.2">
      <c r="A803" s="518">
        <v>43489</v>
      </c>
      <c r="B803" s="495">
        <v>236709.42</v>
      </c>
      <c r="C803" s="518"/>
      <c r="D803" s="495"/>
    </row>
    <row r="804" spans="1:4" x14ac:dyDescent="0.2">
      <c r="A804" s="518">
        <v>43490</v>
      </c>
      <c r="B804" s="495">
        <v>236709</v>
      </c>
      <c r="C804" s="518"/>
      <c r="D804" s="495"/>
    </row>
    <row r="805" spans="1:4" x14ac:dyDescent="0.2">
      <c r="A805" s="518">
        <v>43493</v>
      </c>
      <c r="B805" s="495">
        <v>236400.88</v>
      </c>
      <c r="C805" s="518"/>
      <c r="D805" s="495"/>
    </row>
    <row r="806" spans="1:4" x14ac:dyDescent="0.2">
      <c r="A806" s="518">
        <v>43494</v>
      </c>
      <c r="B806" s="495">
        <v>236401</v>
      </c>
      <c r="C806" s="518"/>
      <c r="D806" s="495"/>
    </row>
    <row r="807" spans="1:4" x14ac:dyDescent="0.2">
      <c r="A807" s="518">
        <v>43495</v>
      </c>
      <c r="B807" s="495">
        <v>236401</v>
      </c>
      <c r="C807" s="518"/>
      <c r="D807" s="495"/>
    </row>
    <row r="808" spans="1:4" x14ac:dyDescent="0.2">
      <c r="A808" s="518">
        <v>43496</v>
      </c>
      <c r="B808" s="495">
        <v>237605.71</v>
      </c>
      <c r="C808" s="518"/>
      <c r="D808" s="495"/>
    </row>
    <row r="809" spans="1:4" x14ac:dyDescent="0.2">
      <c r="A809" s="518">
        <v>43497</v>
      </c>
      <c r="B809" s="495">
        <v>237728.71</v>
      </c>
      <c r="C809" s="518"/>
      <c r="D809" s="495"/>
    </row>
    <row r="810" spans="1:4" x14ac:dyDescent="0.2">
      <c r="A810" s="518">
        <v>43500</v>
      </c>
      <c r="B810" s="495">
        <v>201980</v>
      </c>
      <c r="C810" s="518"/>
      <c r="D810" s="495"/>
    </row>
    <row r="811" spans="1:4" x14ac:dyDescent="0.2">
      <c r="A811" s="518">
        <v>43501</v>
      </c>
      <c r="B811" s="495">
        <v>225615.34</v>
      </c>
      <c r="C811" s="518"/>
      <c r="D811" s="495"/>
    </row>
    <row r="812" spans="1:4" x14ac:dyDescent="0.2">
      <c r="A812" s="518">
        <v>43502</v>
      </c>
      <c r="B812" s="495">
        <v>225615</v>
      </c>
      <c r="C812" s="518"/>
      <c r="D812" s="495"/>
    </row>
    <row r="813" spans="1:4" x14ac:dyDescent="0.2">
      <c r="A813" s="518">
        <v>43503</v>
      </c>
      <c r="B813" s="495">
        <v>219151.3</v>
      </c>
      <c r="C813" s="518"/>
      <c r="D813" s="495"/>
    </row>
    <row r="814" spans="1:4" x14ac:dyDescent="0.2">
      <c r="A814" s="518">
        <v>43504</v>
      </c>
      <c r="B814" s="495">
        <v>219351.3</v>
      </c>
      <c r="C814" s="518"/>
      <c r="D814" s="495"/>
    </row>
    <row r="815" spans="1:4" x14ac:dyDescent="0.2">
      <c r="A815" s="518">
        <v>43507</v>
      </c>
      <c r="B815" s="495">
        <v>219351</v>
      </c>
      <c r="C815" s="518"/>
      <c r="D815" s="495"/>
    </row>
    <row r="816" spans="1:4" x14ac:dyDescent="0.2">
      <c r="A816" s="518">
        <v>43508</v>
      </c>
      <c r="B816" s="495">
        <v>219351</v>
      </c>
      <c r="C816" s="518"/>
      <c r="D816" s="495"/>
    </row>
    <row r="817" spans="1:4" x14ac:dyDescent="0.2">
      <c r="A817" s="518">
        <v>43509</v>
      </c>
      <c r="B817" s="495">
        <v>219351</v>
      </c>
      <c r="C817" s="518"/>
      <c r="D817" s="495"/>
    </row>
    <row r="818" spans="1:4" x14ac:dyDescent="0.2">
      <c r="A818" s="518">
        <v>43510</v>
      </c>
      <c r="B818" s="495">
        <v>206758.66</v>
      </c>
      <c r="C818" s="518"/>
      <c r="D818" s="495"/>
    </row>
    <row r="819" spans="1:4" x14ac:dyDescent="0.2">
      <c r="A819" s="518">
        <v>43511</v>
      </c>
      <c r="B819" s="495">
        <v>234837.55</v>
      </c>
      <c r="C819" s="518"/>
      <c r="D819" s="495"/>
    </row>
    <row r="820" spans="1:4" x14ac:dyDescent="0.2">
      <c r="A820" s="518">
        <v>43514</v>
      </c>
      <c r="B820" s="495">
        <v>234838</v>
      </c>
      <c r="C820" s="518"/>
      <c r="D820" s="495"/>
    </row>
    <row r="821" spans="1:4" x14ac:dyDescent="0.2">
      <c r="A821" s="518">
        <v>43515</v>
      </c>
      <c r="B821" s="495">
        <v>199113.26</v>
      </c>
      <c r="C821" s="518"/>
      <c r="D821" s="495"/>
    </row>
    <row r="822" spans="1:4" x14ac:dyDescent="0.2">
      <c r="A822" s="518">
        <v>43516</v>
      </c>
      <c r="B822" s="703">
        <v>199113</v>
      </c>
      <c r="C822" s="518"/>
      <c r="D822" s="495"/>
    </row>
    <row r="823" spans="1:4" x14ac:dyDescent="0.2">
      <c r="A823" s="518">
        <v>43517</v>
      </c>
      <c r="B823" s="495">
        <v>205400.17</v>
      </c>
      <c r="C823" s="518"/>
      <c r="D823" s="495"/>
    </row>
    <row r="824" spans="1:4" x14ac:dyDescent="0.2">
      <c r="A824" s="518">
        <v>43518</v>
      </c>
      <c r="B824" s="495">
        <v>220161.91</v>
      </c>
      <c r="C824" s="518"/>
      <c r="D824" s="495"/>
    </row>
    <row r="825" spans="1:4" x14ac:dyDescent="0.2">
      <c r="A825" s="518">
        <v>43521</v>
      </c>
      <c r="B825" s="495">
        <v>220161.91</v>
      </c>
      <c r="C825" s="518"/>
      <c r="D825" s="495"/>
    </row>
    <row r="826" spans="1:4" x14ac:dyDescent="0.2">
      <c r="A826" s="518">
        <v>43522</v>
      </c>
      <c r="B826" s="495">
        <v>220161.91</v>
      </c>
      <c r="C826" s="518"/>
      <c r="D826" s="495"/>
    </row>
    <row r="827" spans="1:4" x14ac:dyDescent="0.2">
      <c r="A827" s="518">
        <v>43523</v>
      </c>
      <c r="B827" s="495">
        <v>220161.91</v>
      </c>
      <c r="C827" s="518"/>
      <c r="D827" s="495"/>
    </row>
    <row r="828" spans="1:4" x14ac:dyDescent="0.2">
      <c r="A828" s="518">
        <v>43524</v>
      </c>
      <c r="B828" s="495">
        <v>224635.26</v>
      </c>
      <c r="C828" s="518"/>
      <c r="D828" s="495"/>
    </row>
    <row r="829" spans="1:4" x14ac:dyDescent="0.2">
      <c r="A829" s="518">
        <v>43525</v>
      </c>
      <c r="B829" s="495">
        <v>298900.61</v>
      </c>
      <c r="C829" s="518"/>
      <c r="D829" s="495"/>
    </row>
    <row r="830" spans="1:4" x14ac:dyDescent="0.2">
      <c r="A830" s="518">
        <v>43528</v>
      </c>
      <c r="B830" s="495">
        <v>262246.8</v>
      </c>
      <c r="C830" s="518"/>
      <c r="D830" s="495"/>
    </row>
    <row r="831" spans="1:4" x14ac:dyDescent="0.2">
      <c r="A831" s="518">
        <v>43529</v>
      </c>
      <c r="B831" s="495">
        <v>262247</v>
      </c>
      <c r="C831" s="518"/>
      <c r="D831" s="495"/>
    </row>
    <row r="832" spans="1:4" x14ac:dyDescent="0.2">
      <c r="A832" s="518">
        <v>43530</v>
      </c>
      <c r="B832" s="495">
        <v>262247</v>
      </c>
      <c r="C832" s="518"/>
      <c r="D832" s="495"/>
    </row>
    <row r="833" spans="1:4" x14ac:dyDescent="0.2">
      <c r="A833" s="518">
        <v>43531</v>
      </c>
      <c r="B833" s="495">
        <v>275395.15000000002</v>
      </c>
      <c r="C833" s="518"/>
      <c r="D833" s="495"/>
    </row>
    <row r="834" spans="1:4" x14ac:dyDescent="0.2">
      <c r="A834" s="518">
        <v>43532</v>
      </c>
      <c r="B834" s="495">
        <v>275395</v>
      </c>
      <c r="C834" s="518"/>
      <c r="D834" s="495"/>
    </row>
    <row r="835" spans="1:4" x14ac:dyDescent="0.2">
      <c r="A835" s="518">
        <v>43535</v>
      </c>
      <c r="B835" s="495">
        <v>275395</v>
      </c>
      <c r="C835" s="518"/>
      <c r="D835" s="495"/>
    </row>
    <row r="836" spans="1:4" x14ac:dyDescent="0.2">
      <c r="A836" s="518">
        <v>43536</v>
      </c>
      <c r="B836" s="495">
        <v>275395</v>
      </c>
      <c r="C836" s="518"/>
      <c r="D836" s="495"/>
    </row>
    <row r="837" spans="1:4" x14ac:dyDescent="0.2">
      <c r="A837" s="518">
        <v>43537</v>
      </c>
      <c r="B837" s="495">
        <v>316802.46999999997</v>
      </c>
      <c r="C837" s="518"/>
      <c r="D837" s="495"/>
    </row>
    <row r="838" spans="1:4" x14ac:dyDescent="0.2">
      <c r="A838" s="518">
        <v>43538</v>
      </c>
      <c r="B838" s="495">
        <v>297067.40000000002</v>
      </c>
      <c r="C838" s="518"/>
      <c r="D838" s="495"/>
    </row>
    <row r="839" spans="1:4" x14ac:dyDescent="0.2">
      <c r="A839" s="518">
        <v>43539</v>
      </c>
      <c r="B839" s="495">
        <v>300574.83</v>
      </c>
      <c r="C839" s="518"/>
      <c r="D839" s="495"/>
    </row>
    <row r="840" spans="1:4" x14ac:dyDescent="0.2">
      <c r="A840" s="518">
        <v>43542</v>
      </c>
      <c r="B840" s="495">
        <v>264695.24</v>
      </c>
      <c r="C840" s="518"/>
      <c r="D840" s="495"/>
    </row>
    <row r="841" spans="1:4" x14ac:dyDescent="0.2">
      <c r="A841" s="518">
        <v>43543</v>
      </c>
      <c r="B841" s="495">
        <v>264695</v>
      </c>
      <c r="C841" s="518"/>
      <c r="D841" s="495"/>
    </row>
    <row r="842" spans="1:4" x14ac:dyDescent="0.2">
      <c r="A842" s="518">
        <v>43544</v>
      </c>
      <c r="B842" s="495">
        <v>264695</v>
      </c>
      <c r="C842" s="518"/>
      <c r="D842" s="495"/>
    </row>
    <row r="843" spans="1:4" x14ac:dyDescent="0.2">
      <c r="A843" s="518">
        <v>43545</v>
      </c>
      <c r="B843" s="495">
        <v>282838.67</v>
      </c>
      <c r="C843" s="518"/>
      <c r="D843" s="495"/>
    </row>
    <row r="844" spans="1:4" x14ac:dyDescent="0.2">
      <c r="A844" s="518">
        <v>43546</v>
      </c>
      <c r="B844" s="495">
        <v>282839</v>
      </c>
      <c r="C844" s="518"/>
      <c r="D844" s="495"/>
    </row>
    <row r="845" spans="1:4" x14ac:dyDescent="0.2">
      <c r="A845" s="518">
        <v>43549</v>
      </c>
      <c r="B845" s="554">
        <v>333807.26</v>
      </c>
      <c r="C845" s="518"/>
      <c r="D845" s="495"/>
    </row>
    <row r="846" spans="1:4" x14ac:dyDescent="0.2">
      <c r="A846" s="518">
        <v>43550</v>
      </c>
      <c r="B846" s="495">
        <v>332295.96000000002</v>
      </c>
      <c r="C846" s="518"/>
      <c r="D846" s="495"/>
    </row>
    <row r="847" spans="1:4" x14ac:dyDescent="0.2">
      <c r="A847" s="518">
        <v>43551</v>
      </c>
      <c r="B847" s="495">
        <v>325401.01</v>
      </c>
      <c r="C847" s="518"/>
      <c r="D847" s="495"/>
    </row>
    <row r="848" spans="1:4" x14ac:dyDescent="0.2">
      <c r="A848" s="518">
        <v>43552</v>
      </c>
      <c r="B848" s="495">
        <v>328793.55</v>
      </c>
      <c r="C848" s="518"/>
      <c r="D848" s="495"/>
    </row>
    <row r="849" spans="1:4" x14ac:dyDescent="0.2">
      <c r="A849" s="518">
        <v>43553</v>
      </c>
      <c r="B849" s="495">
        <v>329088.55</v>
      </c>
      <c r="C849" s="518"/>
      <c r="D849" s="495"/>
    </row>
    <row r="850" spans="1:4" x14ac:dyDescent="0.2">
      <c r="A850" s="518">
        <v>43556</v>
      </c>
      <c r="B850" s="495">
        <v>328488.55</v>
      </c>
      <c r="C850" s="518"/>
      <c r="D850" s="495"/>
    </row>
    <row r="851" spans="1:4" x14ac:dyDescent="0.2">
      <c r="A851" s="518">
        <v>43557</v>
      </c>
      <c r="B851" s="495">
        <v>292528.71999999997</v>
      </c>
      <c r="C851" s="518"/>
      <c r="D851" s="495"/>
    </row>
    <row r="852" spans="1:4" x14ac:dyDescent="0.2">
      <c r="A852" s="518">
        <v>43558</v>
      </c>
      <c r="B852" s="495">
        <v>294672.43</v>
      </c>
      <c r="C852" s="518"/>
      <c r="D852" s="495"/>
    </row>
    <row r="853" spans="1:4" x14ac:dyDescent="0.2">
      <c r="A853" s="518">
        <v>43559</v>
      </c>
      <c r="B853" s="495">
        <v>292850.33</v>
      </c>
      <c r="C853" s="518"/>
      <c r="D853" s="495"/>
    </row>
    <row r="854" spans="1:4" x14ac:dyDescent="0.2">
      <c r="A854" s="518">
        <v>43560</v>
      </c>
      <c r="B854" s="495">
        <v>284702.78999999998</v>
      </c>
      <c r="C854" s="518"/>
      <c r="D854" s="495"/>
    </row>
    <row r="855" spans="1:4" x14ac:dyDescent="0.2">
      <c r="A855" s="518">
        <v>43563</v>
      </c>
      <c r="B855" s="495">
        <v>284703</v>
      </c>
      <c r="C855" s="518"/>
      <c r="D855" s="495"/>
    </row>
    <row r="856" spans="1:4" x14ac:dyDescent="0.2">
      <c r="A856" s="518">
        <v>43564</v>
      </c>
      <c r="B856" s="495">
        <v>284775.52</v>
      </c>
      <c r="C856" s="518"/>
      <c r="D856" s="495"/>
    </row>
    <row r="857" spans="1:4" x14ac:dyDescent="0.2">
      <c r="A857" s="518">
        <v>43565</v>
      </c>
      <c r="B857" s="495">
        <v>284776</v>
      </c>
      <c r="C857" s="518"/>
      <c r="D857" s="495"/>
    </row>
    <row r="858" spans="1:4" x14ac:dyDescent="0.2">
      <c r="A858" s="518">
        <v>43566</v>
      </c>
      <c r="B858" s="495">
        <v>277335.02</v>
      </c>
      <c r="C858" s="518"/>
      <c r="D858" s="495"/>
    </row>
    <row r="859" spans="1:4" x14ac:dyDescent="0.2">
      <c r="A859" s="518">
        <v>43567</v>
      </c>
      <c r="B859" s="495">
        <v>277335</v>
      </c>
      <c r="C859" s="518"/>
      <c r="D859" s="495"/>
    </row>
    <row r="860" spans="1:4" x14ac:dyDescent="0.2">
      <c r="A860" s="518">
        <v>43570</v>
      </c>
      <c r="B860" s="495">
        <v>277462.90999999997</v>
      </c>
      <c r="C860" s="518"/>
      <c r="D860" s="495"/>
    </row>
    <row r="861" spans="1:4" x14ac:dyDescent="0.2">
      <c r="A861" s="518">
        <v>43571</v>
      </c>
      <c r="B861" s="495">
        <v>241180.07</v>
      </c>
      <c r="C861" s="518"/>
      <c r="D861" s="495"/>
    </row>
    <row r="862" spans="1:4" x14ac:dyDescent="0.2">
      <c r="A862" s="518">
        <v>43572</v>
      </c>
      <c r="B862" s="495">
        <v>257634.61</v>
      </c>
      <c r="C862" s="518"/>
      <c r="D862" s="495"/>
    </row>
    <row r="863" spans="1:4" x14ac:dyDescent="0.2">
      <c r="A863" s="518">
        <v>43573</v>
      </c>
      <c r="B863" s="495">
        <v>241154.55</v>
      </c>
      <c r="C863" s="518"/>
      <c r="D863" s="495"/>
    </row>
    <row r="864" spans="1:4" x14ac:dyDescent="0.2">
      <c r="A864" s="518">
        <v>43574</v>
      </c>
      <c r="B864" s="495">
        <v>243162.78</v>
      </c>
      <c r="C864" s="518"/>
      <c r="D864" s="495"/>
    </row>
    <row r="865" spans="1:4" x14ac:dyDescent="0.2">
      <c r="A865" s="518">
        <v>43577</v>
      </c>
      <c r="B865" s="495">
        <v>243003.93</v>
      </c>
      <c r="C865" s="518"/>
      <c r="D865" s="495"/>
    </row>
    <row r="866" spans="1:4" x14ac:dyDescent="0.2">
      <c r="A866" s="518">
        <v>43578</v>
      </c>
      <c r="B866" s="495">
        <v>243004</v>
      </c>
      <c r="C866" s="518"/>
      <c r="D866" s="495"/>
    </row>
    <row r="867" spans="1:4" x14ac:dyDescent="0.2">
      <c r="A867" s="518">
        <v>43579</v>
      </c>
      <c r="B867" s="495">
        <v>243060.55</v>
      </c>
      <c r="C867" s="518"/>
      <c r="D867" s="495"/>
    </row>
    <row r="868" spans="1:4" x14ac:dyDescent="0.2">
      <c r="A868" s="518">
        <v>43580</v>
      </c>
      <c r="B868" s="495">
        <v>245074.5</v>
      </c>
      <c r="C868" s="518"/>
      <c r="D868" s="495"/>
    </row>
    <row r="869" spans="1:4" x14ac:dyDescent="0.2">
      <c r="A869" s="518">
        <v>43581</v>
      </c>
      <c r="B869" s="495">
        <v>274493.84000000003</v>
      </c>
      <c r="C869" s="518"/>
      <c r="D869" s="495"/>
    </row>
    <row r="870" spans="1:4" x14ac:dyDescent="0.2">
      <c r="A870" s="518">
        <v>43584</v>
      </c>
      <c r="B870" s="495">
        <v>274494</v>
      </c>
      <c r="C870" s="518"/>
      <c r="D870" s="495"/>
    </row>
    <row r="871" spans="1:4" x14ac:dyDescent="0.2">
      <c r="A871" s="518">
        <v>43585</v>
      </c>
      <c r="B871" s="495">
        <v>268536.75</v>
      </c>
      <c r="C871" s="518"/>
      <c r="D871" s="495"/>
    </row>
    <row r="872" spans="1:4" x14ac:dyDescent="0.2">
      <c r="A872" s="518">
        <v>43586</v>
      </c>
      <c r="B872" s="495">
        <v>249086.1</v>
      </c>
      <c r="C872" s="518"/>
      <c r="D872" s="495"/>
    </row>
    <row r="873" spans="1:4" x14ac:dyDescent="0.2">
      <c r="A873" s="518">
        <v>43587</v>
      </c>
      <c r="B873" s="495">
        <v>253347.36</v>
      </c>
      <c r="C873" s="518"/>
      <c r="D873" s="495"/>
    </row>
    <row r="874" spans="1:4" x14ac:dyDescent="0.2">
      <c r="A874" s="518">
        <v>43588</v>
      </c>
      <c r="B874" s="495">
        <v>253347</v>
      </c>
      <c r="C874" s="518"/>
      <c r="D874" s="495"/>
    </row>
    <row r="875" spans="1:4" x14ac:dyDescent="0.2">
      <c r="A875" s="518">
        <v>43591</v>
      </c>
      <c r="B875" s="495">
        <v>253347</v>
      </c>
      <c r="C875" s="518"/>
      <c r="D875" s="495"/>
    </row>
    <row r="876" spans="1:4" x14ac:dyDescent="0.2">
      <c r="A876" s="518">
        <v>43592</v>
      </c>
      <c r="B876" s="495">
        <v>253347</v>
      </c>
      <c r="C876" s="518"/>
      <c r="D876" s="495"/>
    </row>
    <row r="877" spans="1:4" x14ac:dyDescent="0.2">
      <c r="A877" s="518">
        <v>43593</v>
      </c>
      <c r="B877" s="495">
        <v>253347</v>
      </c>
      <c r="C877" s="518"/>
      <c r="D877" s="495"/>
    </row>
    <row r="878" spans="1:4" x14ac:dyDescent="0.2">
      <c r="A878" s="518">
        <v>43594</v>
      </c>
      <c r="B878" s="495">
        <v>256363.47</v>
      </c>
      <c r="C878" s="518"/>
      <c r="D878" s="495"/>
    </row>
    <row r="879" spans="1:4" x14ac:dyDescent="0.2">
      <c r="A879" s="518">
        <v>43595</v>
      </c>
      <c r="B879" s="495">
        <v>256363</v>
      </c>
      <c r="C879" s="518"/>
      <c r="D879" s="495"/>
    </row>
    <row r="880" spans="1:4" x14ac:dyDescent="0.2">
      <c r="A880" s="518">
        <v>43598</v>
      </c>
      <c r="B880" s="495">
        <v>256363</v>
      </c>
      <c r="C880" s="518"/>
      <c r="D880" s="495"/>
    </row>
    <row r="881" spans="1:4" x14ac:dyDescent="0.2">
      <c r="A881" s="518">
        <v>43599</v>
      </c>
      <c r="B881" s="495">
        <v>220671.47</v>
      </c>
      <c r="C881" s="518"/>
      <c r="D881" s="495"/>
    </row>
    <row r="882" spans="1:4" x14ac:dyDescent="0.2">
      <c r="A882" s="518">
        <v>43600</v>
      </c>
      <c r="B882" s="495">
        <v>248680.89</v>
      </c>
      <c r="C882" s="518"/>
      <c r="D882" s="495"/>
    </row>
    <row r="883" spans="1:4" x14ac:dyDescent="0.2">
      <c r="A883" s="518">
        <v>43601</v>
      </c>
      <c r="B883" s="495">
        <v>254567.98</v>
      </c>
      <c r="C883" s="518"/>
      <c r="D883" s="495"/>
    </row>
    <row r="884" spans="1:4" x14ac:dyDescent="0.2">
      <c r="A884" s="518">
        <v>43602</v>
      </c>
      <c r="B884" s="495">
        <v>310563.12</v>
      </c>
      <c r="C884" s="518"/>
      <c r="D884" s="495"/>
    </row>
    <row r="885" spans="1:4" x14ac:dyDescent="0.2">
      <c r="A885" s="518">
        <v>43605</v>
      </c>
      <c r="B885" s="495">
        <v>310000.12</v>
      </c>
      <c r="C885" s="518"/>
      <c r="D885" s="495"/>
    </row>
    <row r="886" spans="1:4" x14ac:dyDescent="0.2">
      <c r="A886" s="518">
        <v>43606</v>
      </c>
      <c r="B886" s="495">
        <v>310000.12</v>
      </c>
      <c r="C886" s="518"/>
      <c r="D886" s="495"/>
    </row>
    <row r="887" spans="1:4" x14ac:dyDescent="0.2">
      <c r="A887" s="518">
        <v>43607</v>
      </c>
      <c r="B887" s="495">
        <v>310000.12</v>
      </c>
      <c r="C887" s="518"/>
      <c r="D887" s="495"/>
    </row>
    <row r="888" spans="1:4" x14ac:dyDescent="0.2">
      <c r="A888" s="518">
        <v>43608</v>
      </c>
      <c r="B888" s="495">
        <v>300109.28999999998</v>
      </c>
      <c r="C888" s="518"/>
      <c r="D888" s="495"/>
    </row>
    <row r="889" spans="1:4" x14ac:dyDescent="0.2">
      <c r="A889" s="518">
        <v>43609</v>
      </c>
      <c r="B889" s="495">
        <v>297396.90999999997</v>
      </c>
      <c r="C889" s="518"/>
      <c r="D889" s="495"/>
    </row>
    <row r="890" spans="1:4" x14ac:dyDescent="0.2">
      <c r="A890" s="518">
        <v>43612</v>
      </c>
      <c r="B890" s="495">
        <v>297397</v>
      </c>
      <c r="C890" s="518"/>
      <c r="D890" s="495"/>
    </row>
    <row r="891" spans="1:4" x14ac:dyDescent="0.2">
      <c r="A891" s="518">
        <v>43613</v>
      </c>
      <c r="B891" s="495">
        <v>309520.18</v>
      </c>
      <c r="C891" s="518"/>
      <c r="D891" s="495"/>
    </row>
    <row r="892" spans="1:4" x14ac:dyDescent="0.2">
      <c r="A892" s="518">
        <v>43614</v>
      </c>
      <c r="B892" s="495">
        <v>309520</v>
      </c>
      <c r="C892" s="518"/>
      <c r="D892" s="495"/>
    </row>
    <row r="893" spans="1:4" x14ac:dyDescent="0.2">
      <c r="A893" s="518">
        <v>43615</v>
      </c>
      <c r="B893" s="495">
        <v>306153.90000000002</v>
      </c>
      <c r="C893" s="518"/>
      <c r="D893" s="495"/>
    </row>
    <row r="894" spans="1:4" x14ac:dyDescent="0.2">
      <c r="A894" s="518">
        <v>43616</v>
      </c>
      <c r="B894" s="495">
        <v>307621.78000000003</v>
      </c>
      <c r="C894" s="518"/>
      <c r="D894" s="495"/>
    </row>
    <row r="895" spans="1:4" x14ac:dyDescent="0.2">
      <c r="A895" s="518">
        <v>43619</v>
      </c>
      <c r="B895" s="495">
        <v>307288.12</v>
      </c>
      <c r="C895" s="518"/>
      <c r="D895" s="495"/>
    </row>
    <row r="896" spans="1:4" x14ac:dyDescent="0.2">
      <c r="A896" s="518">
        <v>43620</v>
      </c>
      <c r="B896" s="495">
        <v>307288</v>
      </c>
      <c r="C896" s="518"/>
      <c r="D896" s="495"/>
    </row>
    <row r="897" spans="1:4" x14ac:dyDescent="0.2">
      <c r="A897" s="518">
        <v>43621</v>
      </c>
      <c r="B897" s="495">
        <v>307288</v>
      </c>
      <c r="C897" s="518"/>
      <c r="D897" s="495"/>
    </row>
    <row r="898" spans="1:4" x14ac:dyDescent="0.2">
      <c r="A898" s="518">
        <v>43622</v>
      </c>
      <c r="B898" s="495">
        <v>296580.19</v>
      </c>
      <c r="C898" s="518"/>
      <c r="D898" s="495"/>
    </row>
    <row r="899" spans="1:4" x14ac:dyDescent="0.2">
      <c r="A899" s="518">
        <v>43623</v>
      </c>
      <c r="B899" s="495">
        <v>295981.95</v>
      </c>
      <c r="C899" s="518"/>
      <c r="D899" s="495"/>
    </row>
    <row r="900" spans="1:4" x14ac:dyDescent="0.2">
      <c r="A900" s="518">
        <v>43626</v>
      </c>
      <c r="B900" s="495">
        <v>260513.06</v>
      </c>
      <c r="C900" s="518"/>
      <c r="D900" s="495"/>
    </row>
    <row r="901" spans="1:4" x14ac:dyDescent="0.2">
      <c r="A901" s="518">
        <v>43627</v>
      </c>
      <c r="B901" s="495">
        <v>260513</v>
      </c>
      <c r="C901" s="518"/>
      <c r="D901" s="495"/>
    </row>
    <row r="902" spans="1:4" x14ac:dyDescent="0.2">
      <c r="A902" s="518">
        <v>43628</v>
      </c>
      <c r="B902" s="495">
        <v>260513</v>
      </c>
      <c r="C902" s="518"/>
      <c r="D902" s="495"/>
    </row>
    <row r="903" spans="1:4" x14ac:dyDescent="0.2">
      <c r="A903" s="518">
        <v>43629</v>
      </c>
      <c r="B903" s="495">
        <v>255966.98</v>
      </c>
      <c r="C903" s="518"/>
      <c r="D903" s="495"/>
    </row>
    <row r="904" spans="1:4" x14ac:dyDescent="0.2">
      <c r="A904" s="518">
        <v>43630</v>
      </c>
      <c r="B904" s="495">
        <v>257507.94</v>
      </c>
      <c r="C904" s="518"/>
      <c r="D904" s="495"/>
    </row>
    <row r="905" spans="1:4" x14ac:dyDescent="0.2">
      <c r="A905" s="518">
        <v>43633</v>
      </c>
      <c r="B905" s="495">
        <v>257508</v>
      </c>
      <c r="C905" s="518"/>
      <c r="D905" s="495"/>
    </row>
    <row r="906" spans="1:4" x14ac:dyDescent="0.2">
      <c r="A906" s="518">
        <v>43634</v>
      </c>
      <c r="B906" s="495">
        <v>257508</v>
      </c>
      <c r="C906" s="518"/>
      <c r="D906" s="495"/>
    </row>
    <row r="907" spans="1:4" x14ac:dyDescent="0.2">
      <c r="A907" s="518">
        <v>43635</v>
      </c>
      <c r="B907" s="495">
        <v>257508</v>
      </c>
      <c r="C907" s="518"/>
      <c r="D907" s="495"/>
    </row>
    <row r="908" spans="1:4" x14ac:dyDescent="0.2">
      <c r="A908" s="518">
        <v>43636</v>
      </c>
      <c r="B908" s="495">
        <v>245601.94</v>
      </c>
      <c r="C908" s="518"/>
      <c r="D908" s="495"/>
    </row>
    <row r="909" spans="1:4" x14ac:dyDescent="0.2">
      <c r="A909" s="518">
        <v>43637</v>
      </c>
      <c r="B909" s="495">
        <v>245768.94</v>
      </c>
      <c r="C909" s="518"/>
      <c r="D909" s="495"/>
    </row>
    <row r="910" spans="1:4" x14ac:dyDescent="0.2">
      <c r="A910" s="518">
        <v>43640</v>
      </c>
      <c r="B910" s="495">
        <v>245769</v>
      </c>
      <c r="C910" s="518"/>
      <c r="D910" s="495"/>
    </row>
    <row r="911" spans="1:4" x14ac:dyDescent="0.2">
      <c r="A911" s="518">
        <v>43641</v>
      </c>
      <c r="B911" s="495">
        <v>209143.06</v>
      </c>
      <c r="C911" s="518"/>
      <c r="D911" s="495"/>
    </row>
    <row r="912" spans="1:4" x14ac:dyDescent="0.2">
      <c r="A912" s="518">
        <v>43642</v>
      </c>
      <c r="B912" s="495">
        <v>216087.16</v>
      </c>
      <c r="C912" s="518"/>
      <c r="D912" s="495"/>
    </row>
    <row r="913" spans="1:4" x14ac:dyDescent="0.2">
      <c r="A913" s="518">
        <v>43643</v>
      </c>
      <c r="B913" s="495">
        <v>218399.34</v>
      </c>
      <c r="C913" s="518"/>
      <c r="D913" s="495"/>
    </row>
    <row r="914" spans="1:4" x14ac:dyDescent="0.2">
      <c r="A914" s="518">
        <v>43644</v>
      </c>
      <c r="B914" s="495">
        <v>246675.15</v>
      </c>
      <c r="C914" s="518"/>
      <c r="D914" s="495"/>
    </row>
    <row r="915" spans="1:4" x14ac:dyDescent="0.2">
      <c r="A915" s="518">
        <v>43647</v>
      </c>
      <c r="B915" s="495">
        <v>246675</v>
      </c>
      <c r="C915" s="518"/>
      <c r="D915" s="495"/>
    </row>
    <row r="916" spans="1:4" x14ac:dyDescent="0.2">
      <c r="A916" s="518">
        <v>43648</v>
      </c>
      <c r="B916" s="495">
        <v>248377.32</v>
      </c>
      <c r="C916" s="518"/>
      <c r="D916" s="495"/>
    </row>
    <row r="917" spans="1:4" x14ac:dyDescent="0.2">
      <c r="A917" s="518">
        <v>43649</v>
      </c>
      <c r="B917" s="495">
        <v>277944.71000000002</v>
      </c>
      <c r="C917" s="518"/>
      <c r="D917" s="495"/>
    </row>
    <row r="918" spans="1:4" x14ac:dyDescent="0.2">
      <c r="A918" s="518">
        <v>43650</v>
      </c>
      <c r="B918" s="495">
        <v>277945</v>
      </c>
      <c r="C918" s="518"/>
      <c r="D918" s="495"/>
    </row>
    <row r="919" spans="1:4" x14ac:dyDescent="0.2">
      <c r="A919" s="518">
        <v>43651</v>
      </c>
      <c r="B919" s="495">
        <v>278046.71000000002</v>
      </c>
      <c r="C919" s="518"/>
      <c r="D919" s="495"/>
    </row>
    <row r="920" spans="1:4" x14ac:dyDescent="0.2">
      <c r="A920" s="518">
        <v>43654</v>
      </c>
      <c r="B920" s="495">
        <v>282590.19</v>
      </c>
      <c r="C920" s="518"/>
      <c r="D920" s="495"/>
    </row>
    <row r="921" spans="1:4" x14ac:dyDescent="0.2">
      <c r="A921" s="518">
        <v>43655</v>
      </c>
      <c r="B921" s="495">
        <v>247195.73</v>
      </c>
      <c r="C921" s="518"/>
      <c r="D921" s="495"/>
    </row>
    <row r="922" spans="1:4" x14ac:dyDescent="0.2">
      <c r="A922" s="518">
        <v>43656</v>
      </c>
      <c r="B922" s="495">
        <v>247195.73</v>
      </c>
      <c r="C922" s="518"/>
      <c r="D922" s="495"/>
    </row>
    <row r="923" spans="1:4" x14ac:dyDescent="0.2">
      <c r="A923" s="518">
        <v>43657</v>
      </c>
      <c r="B923" s="495">
        <v>235813.1</v>
      </c>
      <c r="C923" s="518"/>
      <c r="D923" s="495"/>
    </row>
    <row r="924" spans="1:4" x14ac:dyDescent="0.2">
      <c r="A924" s="518">
        <v>43658</v>
      </c>
      <c r="B924" s="495">
        <v>237210.07</v>
      </c>
      <c r="C924" s="518"/>
      <c r="D924" s="495"/>
    </row>
    <row r="925" spans="1:4" x14ac:dyDescent="0.2">
      <c r="A925" s="518">
        <v>43661</v>
      </c>
      <c r="B925" s="495">
        <v>237490.39</v>
      </c>
      <c r="C925" s="518"/>
      <c r="D925" s="495"/>
    </row>
    <row r="926" spans="1:4" x14ac:dyDescent="0.2">
      <c r="A926" s="518">
        <v>43662</v>
      </c>
      <c r="B926" s="495">
        <v>237490</v>
      </c>
      <c r="C926" s="518"/>
      <c r="D926" s="495"/>
    </row>
    <row r="927" spans="1:4" x14ac:dyDescent="0.2">
      <c r="A927" s="518">
        <v>43663</v>
      </c>
      <c r="B927" s="495">
        <v>237490.39</v>
      </c>
      <c r="C927" s="518"/>
      <c r="D927" s="495"/>
    </row>
    <row r="928" spans="1:4" x14ac:dyDescent="0.2">
      <c r="A928" s="518">
        <v>43664</v>
      </c>
      <c r="B928" s="495">
        <v>232593.57</v>
      </c>
      <c r="C928" s="518"/>
      <c r="D928" s="495"/>
    </row>
    <row r="929" spans="1:4" x14ac:dyDescent="0.2">
      <c r="A929" s="518">
        <v>43665</v>
      </c>
      <c r="B929" s="495">
        <v>232923.06</v>
      </c>
      <c r="C929" s="518"/>
      <c r="D929" s="495"/>
    </row>
    <row r="930" spans="1:4" x14ac:dyDescent="0.2">
      <c r="A930" s="518">
        <v>43668</v>
      </c>
      <c r="B930" s="495">
        <v>196798.51</v>
      </c>
      <c r="C930" s="518"/>
      <c r="D930" s="495"/>
    </row>
    <row r="931" spans="1:4" x14ac:dyDescent="0.2">
      <c r="A931" s="518">
        <v>43669</v>
      </c>
      <c r="B931" s="495">
        <v>199629.38</v>
      </c>
      <c r="C931" s="518"/>
      <c r="D931" s="495"/>
    </row>
    <row r="932" spans="1:4" x14ac:dyDescent="0.2">
      <c r="A932" s="518">
        <v>43670</v>
      </c>
      <c r="B932" s="495">
        <v>199629</v>
      </c>
      <c r="C932" s="518"/>
      <c r="D932" s="495"/>
    </row>
    <row r="933" spans="1:4" x14ac:dyDescent="0.2">
      <c r="A933" s="518">
        <v>43671</v>
      </c>
      <c r="B933" s="495">
        <v>195151.45</v>
      </c>
      <c r="C933" s="518"/>
      <c r="D933" s="495"/>
    </row>
    <row r="934" spans="1:4" x14ac:dyDescent="0.2">
      <c r="A934" s="518">
        <v>43672</v>
      </c>
      <c r="B934" s="495">
        <v>228843.78</v>
      </c>
      <c r="C934" s="518"/>
      <c r="D934" s="495"/>
    </row>
    <row r="935" spans="1:4" x14ac:dyDescent="0.2">
      <c r="A935" s="518">
        <v>43675</v>
      </c>
      <c r="B935" s="495">
        <v>228844</v>
      </c>
      <c r="C935" s="518"/>
      <c r="D935" s="495"/>
    </row>
    <row r="936" spans="1:4" x14ac:dyDescent="0.2">
      <c r="A936" s="518">
        <v>43676</v>
      </c>
      <c r="B936" s="495">
        <v>228844</v>
      </c>
      <c r="C936" s="518"/>
      <c r="D936" s="495"/>
    </row>
    <row r="937" spans="1:4" x14ac:dyDescent="0.2">
      <c r="A937" s="518">
        <v>43677</v>
      </c>
      <c r="B937" s="495">
        <v>229051.78</v>
      </c>
      <c r="C937" s="518"/>
      <c r="D937" s="495"/>
    </row>
    <row r="938" spans="1:4" x14ac:dyDescent="0.2">
      <c r="A938" s="518">
        <v>43678</v>
      </c>
      <c r="B938" s="495">
        <v>234767.17</v>
      </c>
      <c r="C938" s="518"/>
      <c r="D938" s="495"/>
    </row>
    <row r="939" spans="1:4" x14ac:dyDescent="0.2">
      <c r="A939" s="518">
        <v>43679</v>
      </c>
      <c r="B939" s="495">
        <v>236117.76000000001</v>
      </c>
      <c r="C939" s="518"/>
      <c r="D939" s="495"/>
    </row>
    <row r="940" spans="1:4" x14ac:dyDescent="0.2">
      <c r="A940" s="518">
        <v>43682</v>
      </c>
      <c r="B940" s="495">
        <v>236118</v>
      </c>
      <c r="C940" s="518"/>
      <c r="D940" s="495"/>
    </row>
    <row r="941" spans="1:4" x14ac:dyDescent="0.2">
      <c r="A941" s="518">
        <v>43683</v>
      </c>
      <c r="B941" s="495">
        <v>208888.5</v>
      </c>
      <c r="C941" s="518"/>
      <c r="D941" s="495"/>
    </row>
    <row r="942" spans="1:4" x14ac:dyDescent="0.2">
      <c r="A942" s="518">
        <v>43684</v>
      </c>
      <c r="B942" s="495">
        <v>208792.5</v>
      </c>
      <c r="C942" s="518"/>
      <c r="D942" s="495"/>
    </row>
    <row r="943" spans="1:4" x14ac:dyDescent="0.2">
      <c r="A943" s="518">
        <v>43685</v>
      </c>
      <c r="B943" s="495">
        <v>203219.37</v>
      </c>
      <c r="C943" s="518"/>
      <c r="D943" s="495"/>
    </row>
    <row r="944" spans="1:4" x14ac:dyDescent="0.2">
      <c r="A944" s="518">
        <v>43686</v>
      </c>
      <c r="B944" s="495">
        <v>205639.37</v>
      </c>
      <c r="C944" s="518"/>
      <c r="D944" s="495"/>
    </row>
    <row r="945" spans="1:4" x14ac:dyDescent="0.2">
      <c r="A945" s="518">
        <v>43689</v>
      </c>
      <c r="B945" s="495">
        <v>205639.37</v>
      </c>
      <c r="C945" s="518"/>
      <c r="D945" s="495"/>
    </row>
    <row r="946" spans="1:4" x14ac:dyDescent="0.2">
      <c r="A946" s="518">
        <v>43690</v>
      </c>
      <c r="B946" s="495">
        <v>232145.73</v>
      </c>
      <c r="C946" s="518"/>
      <c r="D946" s="495"/>
    </row>
    <row r="947" spans="1:4" x14ac:dyDescent="0.2">
      <c r="A947" s="518">
        <v>43691</v>
      </c>
      <c r="B947" s="495">
        <v>233325.32</v>
      </c>
      <c r="C947" s="518"/>
      <c r="D947" s="495"/>
    </row>
    <row r="948" spans="1:4" x14ac:dyDescent="0.2">
      <c r="A948" s="518">
        <v>43692</v>
      </c>
      <c r="B948" s="495">
        <v>225375.98</v>
      </c>
      <c r="C948" s="518"/>
      <c r="D948" s="495"/>
    </row>
    <row r="949" spans="1:4" x14ac:dyDescent="0.2">
      <c r="A949" s="518">
        <v>43693</v>
      </c>
      <c r="B949" s="495">
        <v>225424.1</v>
      </c>
      <c r="C949" s="518"/>
      <c r="D949" s="495"/>
    </row>
    <row r="950" spans="1:4" x14ac:dyDescent="0.2">
      <c r="A950" s="518">
        <v>43696</v>
      </c>
      <c r="B950" s="495">
        <v>187365.06</v>
      </c>
      <c r="C950" s="518"/>
      <c r="D950" s="495"/>
    </row>
    <row r="951" spans="1:4" x14ac:dyDescent="0.2">
      <c r="A951" s="518">
        <v>43697</v>
      </c>
      <c r="B951" s="495">
        <v>187365</v>
      </c>
      <c r="C951" s="518"/>
      <c r="D951" s="495"/>
    </row>
    <row r="952" spans="1:4" x14ac:dyDescent="0.2">
      <c r="A952" s="518">
        <v>43698</v>
      </c>
      <c r="B952" s="495">
        <v>187365</v>
      </c>
      <c r="C952" s="518"/>
      <c r="D952" s="495"/>
    </row>
    <row r="953" spans="1:4" x14ac:dyDescent="0.2">
      <c r="A953" s="518">
        <v>43699</v>
      </c>
      <c r="B953" s="554">
        <v>172667.6</v>
      </c>
      <c r="C953" s="518"/>
      <c r="D953" s="495"/>
    </row>
    <row r="954" spans="1:4" x14ac:dyDescent="0.2">
      <c r="A954" s="518">
        <v>43700</v>
      </c>
      <c r="B954" s="495">
        <v>172668</v>
      </c>
      <c r="C954" s="518"/>
      <c r="D954" s="495"/>
    </row>
    <row r="955" spans="1:4" x14ac:dyDescent="0.2">
      <c r="A955" s="518">
        <v>43703</v>
      </c>
      <c r="B955" s="495">
        <v>236616.35</v>
      </c>
      <c r="C955" s="518"/>
      <c r="D955" s="495"/>
    </row>
    <row r="956" spans="1:4" x14ac:dyDescent="0.2">
      <c r="A956" s="518">
        <v>43704</v>
      </c>
      <c r="B956" s="495">
        <v>237913.62</v>
      </c>
      <c r="C956" s="518"/>
      <c r="D956" s="495"/>
    </row>
    <row r="957" spans="1:4" x14ac:dyDescent="0.2">
      <c r="A957" s="518">
        <v>43705</v>
      </c>
      <c r="B957" s="495">
        <v>237914</v>
      </c>
      <c r="C957" s="518"/>
      <c r="D957" s="495"/>
    </row>
    <row r="958" spans="1:4" x14ac:dyDescent="0.2">
      <c r="A958" s="518">
        <v>43706</v>
      </c>
      <c r="B958" s="495">
        <v>244708.19</v>
      </c>
      <c r="C958" s="518"/>
      <c r="D958" s="495"/>
    </row>
    <row r="959" spans="1:4" x14ac:dyDescent="0.2">
      <c r="A959" s="518">
        <v>43707</v>
      </c>
      <c r="B959" s="495">
        <v>249899.19</v>
      </c>
      <c r="C959" s="518"/>
      <c r="D959" s="495"/>
    </row>
    <row r="960" spans="1:4" x14ac:dyDescent="0.2">
      <c r="A960" s="518">
        <v>43710</v>
      </c>
      <c r="B960" s="495">
        <v>249899</v>
      </c>
      <c r="C960" s="518"/>
      <c r="D960" s="495"/>
    </row>
    <row r="961" spans="1:4" x14ac:dyDescent="0.2">
      <c r="A961" s="518">
        <v>43711</v>
      </c>
      <c r="B961" s="495">
        <v>215930.73</v>
      </c>
      <c r="C961" s="518"/>
      <c r="D961" s="495"/>
    </row>
    <row r="962" spans="1:4" x14ac:dyDescent="0.2">
      <c r="A962" s="518">
        <v>43712</v>
      </c>
      <c r="B962" s="495">
        <v>215931</v>
      </c>
      <c r="C962" s="518"/>
      <c r="D962" s="495"/>
    </row>
    <row r="963" spans="1:4" x14ac:dyDescent="0.2">
      <c r="A963" s="518">
        <v>43713</v>
      </c>
      <c r="B963" s="495">
        <v>205664.34</v>
      </c>
      <c r="C963" s="518"/>
      <c r="D963" s="495"/>
    </row>
    <row r="964" spans="1:4" x14ac:dyDescent="0.2">
      <c r="A964" s="518">
        <v>43714</v>
      </c>
      <c r="B964" s="495">
        <v>205830.34</v>
      </c>
      <c r="C964" s="518"/>
      <c r="D964" s="495"/>
    </row>
    <row r="965" spans="1:4" x14ac:dyDescent="0.2">
      <c r="A965" s="518">
        <v>43717</v>
      </c>
      <c r="B965" s="495">
        <v>205830</v>
      </c>
      <c r="C965" s="518"/>
      <c r="D965" s="495"/>
    </row>
    <row r="966" spans="1:4" x14ac:dyDescent="0.2">
      <c r="A966" s="518">
        <v>43718</v>
      </c>
      <c r="B966" s="495">
        <v>205830</v>
      </c>
      <c r="C966" s="518"/>
      <c r="D966" s="495"/>
    </row>
    <row r="967" spans="1:4" x14ac:dyDescent="0.2">
      <c r="A967" s="518">
        <v>43719</v>
      </c>
      <c r="B967" s="495">
        <v>205830</v>
      </c>
      <c r="C967" s="518"/>
      <c r="D967" s="495"/>
    </row>
    <row r="968" spans="1:4" x14ac:dyDescent="0.2">
      <c r="A968" s="518">
        <v>43720</v>
      </c>
      <c r="B968" s="495">
        <v>207654.61</v>
      </c>
      <c r="C968" s="518"/>
      <c r="D968" s="495"/>
    </row>
    <row r="969" spans="1:4" x14ac:dyDescent="0.2">
      <c r="A969" s="518">
        <v>43721</v>
      </c>
      <c r="B969" s="495">
        <v>207743.24</v>
      </c>
      <c r="C969" s="518"/>
      <c r="D969" s="495"/>
    </row>
    <row r="970" spans="1:4" x14ac:dyDescent="0.2">
      <c r="A970" s="518">
        <v>43724</v>
      </c>
      <c r="B970" s="495">
        <v>207845.42</v>
      </c>
      <c r="C970" s="518"/>
      <c r="D970" s="495"/>
    </row>
    <row r="971" spans="1:4" x14ac:dyDescent="0.2">
      <c r="A971" s="518">
        <v>43725</v>
      </c>
      <c r="B971" s="495">
        <v>173840.8</v>
      </c>
      <c r="C971" s="518"/>
      <c r="D971" s="495"/>
    </row>
    <row r="972" spans="1:4" x14ac:dyDescent="0.2">
      <c r="A972" s="518">
        <v>43726</v>
      </c>
      <c r="B972" s="495">
        <v>212383.95</v>
      </c>
      <c r="C972" s="518"/>
      <c r="D972" s="495"/>
    </row>
    <row r="973" spans="1:4" x14ac:dyDescent="0.2">
      <c r="A973" s="518">
        <v>43727</v>
      </c>
      <c r="B973" s="495">
        <v>205191.98</v>
      </c>
      <c r="C973" s="518"/>
      <c r="D973" s="495"/>
    </row>
    <row r="974" spans="1:4" x14ac:dyDescent="0.2">
      <c r="A974" s="518">
        <v>43728</v>
      </c>
      <c r="B974" s="495">
        <v>205884.98</v>
      </c>
      <c r="C974" s="518"/>
      <c r="D974" s="495"/>
    </row>
    <row r="975" spans="1:4" x14ac:dyDescent="0.2">
      <c r="A975" s="518">
        <v>43731</v>
      </c>
      <c r="B975" s="495">
        <v>205884.98</v>
      </c>
      <c r="C975" s="518"/>
      <c r="D975" s="495"/>
    </row>
    <row r="976" spans="1:4" x14ac:dyDescent="0.2">
      <c r="A976" s="518">
        <v>43732</v>
      </c>
      <c r="B976" s="495">
        <v>205884.98</v>
      </c>
      <c r="C976" s="518"/>
      <c r="D976" s="495"/>
    </row>
    <row r="977" spans="1:4" x14ac:dyDescent="0.2">
      <c r="A977" s="518">
        <v>43733</v>
      </c>
      <c r="B977" s="495">
        <v>231641.34</v>
      </c>
      <c r="C977" s="518"/>
      <c r="D977" s="495"/>
    </row>
    <row r="978" spans="1:4" x14ac:dyDescent="0.2">
      <c r="A978" s="518">
        <v>43734</v>
      </c>
      <c r="B978" s="495">
        <v>236338.62</v>
      </c>
      <c r="C978" s="518"/>
      <c r="D978" s="495"/>
    </row>
    <row r="979" spans="1:4" x14ac:dyDescent="0.2">
      <c r="A979" s="518">
        <v>43735</v>
      </c>
      <c r="B979" s="495">
        <v>269514.5</v>
      </c>
      <c r="C979" s="518"/>
      <c r="D979" s="495"/>
    </row>
    <row r="980" spans="1:4" x14ac:dyDescent="0.2">
      <c r="A980" s="518">
        <v>43738</v>
      </c>
      <c r="B980" s="495">
        <v>287654.26</v>
      </c>
      <c r="C980" s="518"/>
      <c r="D980" s="495"/>
    </row>
    <row r="981" spans="1:4" x14ac:dyDescent="0.2">
      <c r="A981" s="518">
        <v>43739</v>
      </c>
      <c r="B981" s="495">
        <v>254047.41</v>
      </c>
      <c r="C981" s="518"/>
      <c r="D981" s="495"/>
    </row>
    <row r="982" spans="1:4" x14ac:dyDescent="0.2">
      <c r="A982" s="518">
        <v>43740</v>
      </c>
      <c r="B982" s="495">
        <v>254047</v>
      </c>
      <c r="C982" s="518"/>
      <c r="D982" s="495"/>
    </row>
    <row r="983" spans="1:4" x14ac:dyDescent="0.2">
      <c r="A983" s="518">
        <v>43741</v>
      </c>
      <c r="B983" s="495">
        <v>244596.04</v>
      </c>
      <c r="C983" s="518"/>
      <c r="D983" s="495"/>
    </row>
    <row r="984" spans="1:4" x14ac:dyDescent="0.2">
      <c r="A984" s="518">
        <v>43742</v>
      </c>
      <c r="B984" s="495">
        <v>244881.04</v>
      </c>
      <c r="C984" s="518"/>
      <c r="D984" s="495"/>
    </row>
    <row r="985" spans="1:4" x14ac:dyDescent="0.2">
      <c r="A985" s="518">
        <v>43745</v>
      </c>
      <c r="B985" s="495">
        <v>244881</v>
      </c>
      <c r="C985" s="518"/>
      <c r="D985" s="495"/>
    </row>
    <row r="986" spans="1:4" x14ac:dyDescent="0.2">
      <c r="A986" s="518">
        <v>43746</v>
      </c>
      <c r="B986" s="495">
        <v>244881</v>
      </c>
      <c r="C986" s="518"/>
      <c r="D986" s="495"/>
    </row>
    <row r="987" spans="1:4" x14ac:dyDescent="0.2">
      <c r="A987" s="518">
        <v>43747</v>
      </c>
      <c r="B987" s="495">
        <v>244881</v>
      </c>
      <c r="C987" s="518"/>
      <c r="D987" s="495"/>
    </row>
    <row r="988" spans="1:4" x14ac:dyDescent="0.2">
      <c r="A988" s="518">
        <v>43748</v>
      </c>
      <c r="B988" s="495">
        <v>247845.59</v>
      </c>
      <c r="C988" s="518"/>
      <c r="D988" s="495"/>
    </row>
    <row r="989" spans="1:4" x14ac:dyDescent="0.2">
      <c r="A989" s="518">
        <v>43749</v>
      </c>
      <c r="B989" s="495">
        <v>247846</v>
      </c>
      <c r="C989" s="518"/>
      <c r="D989" s="495"/>
    </row>
    <row r="990" spans="1:4" x14ac:dyDescent="0.2">
      <c r="A990" s="518">
        <v>43752</v>
      </c>
      <c r="B990" s="495">
        <v>247846</v>
      </c>
      <c r="C990" s="518"/>
      <c r="D990" s="495"/>
    </row>
    <row r="991" spans="1:4" x14ac:dyDescent="0.2">
      <c r="A991" s="518">
        <v>43753</v>
      </c>
      <c r="B991" s="495">
        <v>183161.53</v>
      </c>
      <c r="C991" s="518"/>
      <c r="D991" s="495"/>
    </row>
    <row r="992" spans="1:4" x14ac:dyDescent="0.2">
      <c r="A992" s="518">
        <v>43754</v>
      </c>
      <c r="B992" s="495">
        <v>185786.19</v>
      </c>
      <c r="C992" s="518"/>
      <c r="D992" s="495"/>
    </row>
    <row r="993" spans="1:4" x14ac:dyDescent="0.2">
      <c r="A993" s="518">
        <v>43755</v>
      </c>
      <c r="B993" s="495">
        <v>160581.73000000001</v>
      </c>
      <c r="C993" s="518"/>
      <c r="D993" s="495"/>
    </row>
    <row r="994" spans="1:4" x14ac:dyDescent="0.2">
      <c r="A994" s="518">
        <v>43756</v>
      </c>
      <c r="B994" s="495">
        <v>160581.73000000001</v>
      </c>
      <c r="C994" s="518"/>
      <c r="D994" s="495"/>
    </row>
    <row r="995" spans="1:4" x14ac:dyDescent="0.2">
      <c r="A995" s="518">
        <v>43759</v>
      </c>
      <c r="B995" s="495">
        <v>160581.73000000001</v>
      </c>
      <c r="C995" s="518"/>
      <c r="D995" s="495"/>
    </row>
    <row r="996" spans="1:4" x14ac:dyDescent="0.2">
      <c r="A996" s="518">
        <v>43760</v>
      </c>
      <c r="B996" s="495">
        <v>160581.73000000001</v>
      </c>
      <c r="C996" s="518"/>
      <c r="D996" s="495"/>
    </row>
    <row r="997" spans="1:4" x14ac:dyDescent="0.2">
      <c r="A997" s="518">
        <v>43761</v>
      </c>
      <c r="B997" s="495">
        <v>171996.42</v>
      </c>
      <c r="C997" s="518"/>
      <c r="D997" s="495"/>
    </row>
    <row r="998" spans="1:4" x14ac:dyDescent="0.2">
      <c r="A998" s="518">
        <v>43762</v>
      </c>
      <c r="B998" s="495">
        <v>167352.24</v>
      </c>
      <c r="C998" s="518"/>
      <c r="D998" s="495"/>
    </row>
    <row r="999" spans="1:4" x14ac:dyDescent="0.2">
      <c r="A999" s="518">
        <v>43763</v>
      </c>
      <c r="B999" s="495">
        <v>166766.24</v>
      </c>
      <c r="C999" s="518"/>
      <c r="D999" s="495"/>
    </row>
    <row r="1000" spans="1:4" x14ac:dyDescent="0.2">
      <c r="A1000" s="518">
        <v>43766</v>
      </c>
      <c r="B1000" s="554">
        <v>129051.26</v>
      </c>
      <c r="C1000" s="518"/>
      <c r="D1000" s="495"/>
    </row>
    <row r="1001" spans="1:4" x14ac:dyDescent="0.2">
      <c r="A1001" s="518">
        <v>43767</v>
      </c>
      <c r="B1001" s="495">
        <v>132306.64000000001</v>
      </c>
      <c r="C1001" s="518"/>
      <c r="D1001" s="495"/>
    </row>
    <row r="1002" spans="1:4" x14ac:dyDescent="0.2">
      <c r="A1002" s="518">
        <v>43768</v>
      </c>
      <c r="B1002" s="495">
        <v>181475.08</v>
      </c>
      <c r="C1002" s="518"/>
      <c r="D1002" s="495"/>
    </row>
    <row r="1003" spans="1:4" x14ac:dyDescent="0.2">
      <c r="A1003" s="518">
        <v>43769</v>
      </c>
      <c r="B1003" s="495">
        <v>169335.94</v>
      </c>
      <c r="C1003" s="518"/>
      <c r="D1003" s="495"/>
    </row>
    <row r="1004" spans="1:4" x14ac:dyDescent="0.2">
      <c r="A1004" s="518">
        <v>43770</v>
      </c>
      <c r="B1004" s="495">
        <v>171521.13</v>
      </c>
      <c r="C1004" s="518"/>
      <c r="D1004" s="495"/>
    </row>
    <row r="1005" spans="1:4" x14ac:dyDescent="0.2">
      <c r="A1005" s="518">
        <v>43773</v>
      </c>
      <c r="B1005" s="495">
        <v>171521</v>
      </c>
      <c r="C1005" s="518"/>
      <c r="D1005" s="495"/>
    </row>
    <row r="1006" spans="1:4" x14ac:dyDescent="0.2">
      <c r="A1006" s="518">
        <v>43774</v>
      </c>
      <c r="B1006" s="495">
        <v>171521</v>
      </c>
      <c r="C1006" s="518"/>
      <c r="D1006" s="495"/>
    </row>
    <row r="1007" spans="1:4" x14ac:dyDescent="0.2">
      <c r="A1007" s="518">
        <v>43775</v>
      </c>
      <c r="B1007" s="495">
        <v>201934.13</v>
      </c>
      <c r="C1007" s="518"/>
      <c r="D1007" s="495"/>
    </row>
    <row r="1008" spans="1:4" x14ac:dyDescent="0.2">
      <c r="A1008" s="518">
        <v>43776</v>
      </c>
      <c r="B1008" s="495">
        <v>198457.3</v>
      </c>
      <c r="C1008" s="518"/>
      <c r="D1008" s="495"/>
    </row>
    <row r="1009" spans="1:4" x14ac:dyDescent="0.2">
      <c r="A1009" s="518">
        <v>43777</v>
      </c>
      <c r="B1009" s="495">
        <v>198457</v>
      </c>
      <c r="C1009" s="518"/>
      <c r="D1009" s="495"/>
    </row>
    <row r="1010" spans="1:4" x14ac:dyDescent="0.2">
      <c r="A1010" s="518">
        <v>43780</v>
      </c>
      <c r="B1010" s="495">
        <v>164046.53</v>
      </c>
      <c r="C1010" s="518"/>
      <c r="D1010" s="495"/>
    </row>
    <row r="1011" spans="1:4" x14ac:dyDescent="0.2">
      <c r="A1011" s="518">
        <v>43781</v>
      </c>
      <c r="B1011" s="495">
        <v>164047</v>
      </c>
      <c r="C1011" s="518"/>
      <c r="D1011" s="495"/>
    </row>
    <row r="1012" spans="1:4" x14ac:dyDescent="0.2">
      <c r="A1012" s="518">
        <v>43782</v>
      </c>
      <c r="B1012" s="495">
        <v>198779.19</v>
      </c>
      <c r="C1012" s="518"/>
      <c r="D1012" s="495"/>
    </row>
    <row r="1013" spans="1:4" x14ac:dyDescent="0.2">
      <c r="A1013" s="518">
        <v>43783</v>
      </c>
      <c r="B1013" s="495">
        <v>188221.13</v>
      </c>
      <c r="C1013" s="518"/>
      <c r="D1013" s="495"/>
    </row>
    <row r="1014" spans="1:4" x14ac:dyDescent="0.2">
      <c r="A1014" s="518">
        <v>43784</v>
      </c>
      <c r="B1014" s="495">
        <v>190279.89</v>
      </c>
      <c r="C1014" s="518"/>
      <c r="D1014" s="495"/>
    </row>
    <row r="1015" spans="1:4" x14ac:dyDescent="0.2">
      <c r="A1015" s="518">
        <v>43787</v>
      </c>
      <c r="B1015" s="495">
        <v>190179.89</v>
      </c>
      <c r="C1015" s="518"/>
      <c r="D1015" s="495"/>
    </row>
    <row r="1016" spans="1:4" x14ac:dyDescent="0.2">
      <c r="A1016" s="518">
        <v>43788</v>
      </c>
      <c r="B1016" s="495">
        <v>190180</v>
      </c>
      <c r="C1016" s="518"/>
      <c r="D1016" s="495"/>
    </row>
    <row r="1017" spans="1:4" x14ac:dyDescent="0.2">
      <c r="A1017" s="518">
        <v>43789</v>
      </c>
      <c r="B1017" s="495">
        <v>190180</v>
      </c>
      <c r="C1017" s="518"/>
      <c r="D1017" s="495"/>
    </row>
    <row r="1018" spans="1:4" x14ac:dyDescent="0.2">
      <c r="A1018" s="518">
        <v>43790</v>
      </c>
      <c r="B1018" s="495">
        <v>188919.3</v>
      </c>
      <c r="C1018" s="518"/>
      <c r="D1018" s="495"/>
    </row>
    <row r="1019" spans="1:4" x14ac:dyDescent="0.2">
      <c r="A1019" s="518">
        <v>43791</v>
      </c>
      <c r="B1019" s="495">
        <v>188919</v>
      </c>
      <c r="C1019" s="518"/>
      <c r="D1019" s="495"/>
    </row>
    <row r="1020" spans="1:4" x14ac:dyDescent="0.2">
      <c r="A1020" s="518">
        <v>43794</v>
      </c>
      <c r="B1020" s="495">
        <v>153349.64000000001</v>
      </c>
      <c r="C1020" s="518"/>
      <c r="D1020" s="495"/>
    </row>
    <row r="1021" spans="1:4" x14ac:dyDescent="0.2">
      <c r="A1021" s="518">
        <v>43795</v>
      </c>
      <c r="B1021" s="495">
        <v>153226.64000000001</v>
      </c>
      <c r="C1021" s="518"/>
      <c r="D1021" s="495"/>
    </row>
    <row r="1022" spans="1:4" x14ac:dyDescent="0.2">
      <c r="A1022" s="518">
        <v>43796</v>
      </c>
      <c r="B1022" s="495">
        <v>154369.64000000001</v>
      </c>
      <c r="C1022" s="518"/>
      <c r="D1022" s="495"/>
    </row>
    <row r="1023" spans="1:4" x14ac:dyDescent="0.2">
      <c r="A1023" s="518">
        <v>43797</v>
      </c>
      <c r="B1023" s="495">
        <v>154370</v>
      </c>
      <c r="C1023" s="518"/>
      <c r="D1023" s="495"/>
    </row>
    <row r="1024" spans="1:4" x14ac:dyDescent="0.2">
      <c r="A1024" s="518">
        <v>43798</v>
      </c>
      <c r="B1024" s="495">
        <v>237011.17</v>
      </c>
      <c r="C1024" s="518"/>
      <c r="D1024" s="495"/>
    </row>
    <row r="1025" spans="1:4" x14ac:dyDescent="0.2">
      <c r="A1025" s="518">
        <v>43801</v>
      </c>
      <c r="B1025" s="495">
        <v>237011</v>
      </c>
      <c r="C1025" s="518"/>
      <c r="D1025" s="495"/>
    </row>
    <row r="1026" spans="1:4" x14ac:dyDescent="0.2">
      <c r="A1026" s="518">
        <v>43802</v>
      </c>
      <c r="B1026" s="495">
        <v>237011</v>
      </c>
      <c r="C1026" s="518"/>
      <c r="D1026" s="495"/>
    </row>
    <row r="1027" spans="1:4" x14ac:dyDescent="0.2">
      <c r="A1027" s="518">
        <v>43803</v>
      </c>
      <c r="B1027" s="495">
        <v>237011</v>
      </c>
      <c r="C1027" s="518"/>
      <c r="D1027" s="495"/>
    </row>
    <row r="1028" spans="1:4" x14ac:dyDescent="0.2">
      <c r="A1028" s="518">
        <v>43804</v>
      </c>
      <c r="B1028" s="495">
        <v>229967.75</v>
      </c>
      <c r="C1028" s="518"/>
      <c r="D1028" s="495"/>
    </row>
    <row r="1029" spans="1:4" x14ac:dyDescent="0.2">
      <c r="A1029" s="518">
        <v>43805</v>
      </c>
      <c r="B1029" s="495">
        <v>229968</v>
      </c>
      <c r="C1029" s="518"/>
      <c r="D1029" s="495"/>
    </row>
    <row r="1030" spans="1:4" x14ac:dyDescent="0.2">
      <c r="A1030" s="518">
        <v>43808</v>
      </c>
      <c r="B1030" s="495">
        <v>193352.99</v>
      </c>
      <c r="C1030" s="518"/>
      <c r="D1030" s="495"/>
    </row>
    <row r="1031" spans="1:4" x14ac:dyDescent="0.2">
      <c r="A1031" s="518">
        <v>43809</v>
      </c>
      <c r="B1031" s="495">
        <v>193629.99</v>
      </c>
      <c r="C1031" s="518"/>
      <c r="D1031" s="495"/>
    </row>
    <row r="1032" spans="1:4" x14ac:dyDescent="0.2">
      <c r="A1032" s="518">
        <v>43810</v>
      </c>
      <c r="B1032" s="495">
        <v>193630</v>
      </c>
      <c r="C1032" s="518"/>
      <c r="D1032" s="495"/>
    </row>
    <row r="1033" spans="1:4" x14ac:dyDescent="0.2">
      <c r="A1033" s="518">
        <v>43811</v>
      </c>
      <c r="B1033" s="495">
        <v>193945</v>
      </c>
      <c r="C1033" s="518"/>
      <c r="D1033" s="495"/>
    </row>
    <row r="1034" spans="1:4" x14ac:dyDescent="0.2">
      <c r="A1034" s="518">
        <v>43812</v>
      </c>
      <c r="B1034" s="495">
        <v>196370.92</v>
      </c>
      <c r="C1034" s="518"/>
      <c r="D1034" s="495"/>
    </row>
    <row r="1035" spans="1:4" x14ac:dyDescent="0.2">
      <c r="A1035" s="518">
        <v>43815</v>
      </c>
      <c r="B1035" s="495">
        <v>196370.92</v>
      </c>
      <c r="C1035" s="518"/>
      <c r="D1035" s="495"/>
    </row>
    <row r="1036" spans="1:4" x14ac:dyDescent="0.2">
      <c r="A1036" s="518">
        <v>43816</v>
      </c>
      <c r="B1036" s="495">
        <v>196370.92</v>
      </c>
      <c r="C1036" s="518"/>
      <c r="D1036" s="495"/>
    </row>
    <row r="1037" spans="1:4" x14ac:dyDescent="0.2">
      <c r="A1037" s="518">
        <v>43817</v>
      </c>
      <c r="B1037" s="495">
        <v>196370.92</v>
      </c>
      <c r="C1037" s="518"/>
      <c r="D1037" s="495"/>
    </row>
    <row r="1038" spans="1:4" x14ac:dyDescent="0.2">
      <c r="A1038" s="518">
        <v>43818</v>
      </c>
      <c r="B1038" s="495">
        <v>194997.56</v>
      </c>
      <c r="C1038" s="518"/>
      <c r="D1038" s="495"/>
    </row>
    <row r="1039" spans="1:4" x14ac:dyDescent="0.2">
      <c r="A1039" s="518">
        <v>43819</v>
      </c>
      <c r="B1039" s="495">
        <v>194998</v>
      </c>
      <c r="C1039" s="518"/>
      <c r="D1039" s="495"/>
    </row>
    <row r="1040" spans="1:4" x14ac:dyDescent="0.2">
      <c r="A1040" s="518">
        <v>43822</v>
      </c>
      <c r="B1040" s="495">
        <v>158280.26999999999</v>
      </c>
      <c r="C1040" s="518"/>
      <c r="D1040" s="495"/>
    </row>
    <row r="1041" spans="1:4" x14ac:dyDescent="0.2">
      <c r="A1041" s="518">
        <v>43823</v>
      </c>
      <c r="B1041" s="495">
        <v>163840.26999999999</v>
      </c>
      <c r="C1041" s="518"/>
      <c r="D1041" s="495"/>
    </row>
    <row r="1042" spans="1:4" x14ac:dyDescent="0.2">
      <c r="A1042" s="518">
        <v>43824</v>
      </c>
      <c r="B1042" s="495">
        <v>163840</v>
      </c>
      <c r="C1042" s="518"/>
      <c r="D1042" s="495"/>
    </row>
    <row r="1043" spans="1:4" x14ac:dyDescent="0.2">
      <c r="A1043" s="518">
        <v>43825</v>
      </c>
      <c r="B1043" s="495">
        <v>213174.46</v>
      </c>
      <c r="C1043" s="518"/>
      <c r="D1043" s="495"/>
    </row>
    <row r="1044" spans="1:4" x14ac:dyDescent="0.2">
      <c r="A1044" s="518">
        <v>43826</v>
      </c>
      <c r="B1044" s="495">
        <v>212851.46</v>
      </c>
      <c r="C1044" s="518"/>
      <c r="D1044" s="495"/>
    </row>
    <row r="1045" spans="1:4" x14ac:dyDescent="0.2">
      <c r="A1045" s="518">
        <v>43829</v>
      </c>
      <c r="B1045" s="495">
        <v>212221.74</v>
      </c>
      <c r="C1045" s="518"/>
      <c r="D1045" s="495"/>
    </row>
    <row r="1046" spans="1:4" x14ac:dyDescent="0.2">
      <c r="A1046" s="518">
        <v>43830</v>
      </c>
      <c r="B1046" s="495">
        <v>189055.83</v>
      </c>
      <c r="C1046" s="518"/>
      <c r="D1046" s="495"/>
    </row>
    <row r="1047" spans="1:4" ht="15" x14ac:dyDescent="0.25">
      <c r="A1047" s="753">
        <v>43831</v>
      </c>
      <c r="B1047" s="495">
        <v>189056</v>
      </c>
      <c r="C1047" s="518"/>
      <c r="D1047" s="495"/>
    </row>
    <row r="1048" spans="1:4" ht="15" x14ac:dyDescent="0.25">
      <c r="A1048" s="753">
        <v>43832</v>
      </c>
      <c r="B1048" s="495">
        <v>206403.28</v>
      </c>
      <c r="C1048" s="518"/>
      <c r="D1048" s="495"/>
    </row>
    <row r="1049" spans="1:4" ht="15" x14ac:dyDescent="0.25">
      <c r="A1049" s="753">
        <v>43833</v>
      </c>
      <c r="B1049" s="495">
        <v>206217.28</v>
      </c>
      <c r="C1049" s="518"/>
      <c r="D1049" s="495"/>
    </row>
    <row r="1050" spans="1:4" ht="15" x14ac:dyDescent="0.25">
      <c r="A1050" s="753">
        <v>43836</v>
      </c>
      <c r="B1050" s="495">
        <v>206129.28</v>
      </c>
      <c r="C1050" s="518"/>
      <c r="D1050" s="495"/>
    </row>
    <row r="1051" spans="1:4" ht="15" x14ac:dyDescent="0.25">
      <c r="A1051" s="753">
        <v>43837</v>
      </c>
      <c r="B1051" s="495">
        <v>172858.39</v>
      </c>
      <c r="C1051" s="518"/>
      <c r="D1051" s="495"/>
    </row>
    <row r="1052" spans="1:4" ht="15" x14ac:dyDescent="0.25">
      <c r="A1052" s="753">
        <v>43838</v>
      </c>
      <c r="B1052" s="495">
        <v>172585</v>
      </c>
      <c r="C1052" s="518"/>
      <c r="D1052" s="495"/>
    </row>
    <row r="1053" spans="1:4" ht="15" x14ac:dyDescent="0.25">
      <c r="A1053" s="753">
        <v>43839</v>
      </c>
      <c r="B1053" s="495">
        <v>184752.38</v>
      </c>
      <c r="C1053" s="518"/>
      <c r="D1053" s="495"/>
    </row>
    <row r="1054" spans="1:4" ht="15" x14ac:dyDescent="0.25">
      <c r="A1054" s="753">
        <v>43840</v>
      </c>
      <c r="B1054" s="495">
        <v>199849.93</v>
      </c>
      <c r="C1054" s="518"/>
      <c r="D1054" s="495"/>
    </row>
    <row r="1055" spans="1:4" ht="15" x14ac:dyDescent="0.25">
      <c r="A1055" s="753">
        <v>43843</v>
      </c>
      <c r="B1055" s="495">
        <v>199850</v>
      </c>
      <c r="C1055" s="518"/>
      <c r="D1055" s="495"/>
    </row>
    <row r="1056" spans="1:4" ht="15" x14ac:dyDescent="0.25">
      <c r="A1056" s="753">
        <v>43844</v>
      </c>
      <c r="B1056" s="495">
        <v>199850</v>
      </c>
      <c r="C1056" s="518"/>
      <c r="D1056" s="495"/>
    </row>
    <row r="1057" spans="1:4" ht="15" x14ac:dyDescent="0.25">
      <c r="A1057" s="753">
        <v>43845</v>
      </c>
      <c r="B1057" s="495">
        <v>199942.09</v>
      </c>
      <c r="C1057" s="518"/>
      <c r="D1057" s="495"/>
    </row>
    <row r="1058" spans="1:4" ht="15" x14ac:dyDescent="0.25">
      <c r="A1058" s="753">
        <v>43846</v>
      </c>
      <c r="B1058" s="495">
        <v>197586.14</v>
      </c>
      <c r="C1058" s="518"/>
      <c r="D1058" s="495"/>
    </row>
    <row r="1059" spans="1:4" ht="15" x14ac:dyDescent="0.25">
      <c r="A1059" s="753">
        <v>43847</v>
      </c>
      <c r="B1059" s="495">
        <v>197586</v>
      </c>
      <c r="C1059" s="518"/>
      <c r="D1059" s="495"/>
    </row>
    <row r="1060" spans="1:4" ht="15" x14ac:dyDescent="0.25">
      <c r="A1060" s="753">
        <v>43850</v>
      </c>
      <c r="B1060" s="495">
        <v>197586</v>
      </c>
      <c r="C1060" s="518"/>
      <c r="D1060" s="495"/>
    </row>
    <row r="1061" spans="1:4" ht="15" x14ac:dyDescent="0.25">
      <c r="A1061" s="753">
        <v>43851</v>
      </c>
      <c r="B1061" s="495">
        <v>160213.23000000001</v>
      </c>
      <c r="C1061" s="518"/>
      <c r="D1061" s="703"/>
    </row>
    <row r="1062" spans="1:4" ht="15" x14ac:dyDescent="0.25">
      <c r="A1062" s="753">
        <v>43852</v>
      </c>
      <c r="B1062" s="495">
        <v>160213</v>
      </c>
      <c r="C1062" s="518"/>
      <c r="D1062" s="495"/>
    </row>
    <row r="1063" spans="1:4" ht="15" x14ac:dyDescent="0.25">
      <c r="A1063" s="753">
        <v>43853</v>
      </c>
      <c r="B1063" s="495">
        <v>178835.97</v>
      </c>
      <c r="C1063" s="518"/>
      <c r="D1063" s="495"/>
    </row>
    <row r="1064" spans="1:4" ht="15" x14ac:dyDescent="0.25">
      <c r="A1064" s="753">
        <v>43854</v>
      </c>
      <c r="B1064" s="495">
        <v>177774.06</v>
      </c>
      <c r="C1064" s="518"/>
      <c r="D1064" s="495"/>
    </row>
    <row r="1065" spans="1:4" ht="15" x14ac:dyDescent="0.25">
      <c r="A1065" s="753">
        <v>43857</v>
      </c>
      <c r="B1065" s="495">
        <v>177774</v>
      </c>
      <c r="C1065" s="518"/>
      <c r="D1065" s="495"/>
    </row>
    <row r="1066" spans="1:4" ht="15" x14ac:dyDescent="0.25">
      <c r="A1066" s="753">
        <v>43858</v>
      </c>
      <c r="B1066" s="495">
        <v>177774</v>
      </c>
      <c r="C1066" s="518"/>
      <c r="D1066" s="495"/>
    </row>
    <row r="1067" spans="1:4" ht="15" x14ac:dyDescent="0.25">
      <c r="A1067" s="753">
        <v>43859</v>
      </c>
      <c r="B1067" s="495">
        <v>253459.84</v>
      </c>
      <c r="C1067" s="518"/>
      <c r="D1067" s="495"/>
    </row>
    <row r="1068" spans="1:4" ht="15" x14ac:dyDescent="0.25">
      <c r="A1068" s="753">
        <v>43860</v>
      </c>
      <c r="B1068" s="495">
        <v>235320.22</v>
      </c>
      <c r="C1068" s="518"/>
      <c r="D1068" s="495"/>
    </row>
    <row r="1069" spans="1:4" ht="15" x14ac:dyDescent="0.25">
      <c r="A1069" s="753">
        <v>43861</v>
      </c>
      <c r="B1069" s="495">
        <v>235320</v>
      </c>
      <c r="C1069" s="518"/>
      <c r="D1069" s="495"/>
    </row>
    <row r="1070" spans="1:4" ht="15" x14ac:dyDescent="0.25">
      <c r="A1070" s="753">
        <v>43864</v>
      </c>
      <c r="B1070" s="495">
        <v>198483.96</v>
      </c>
      <c r="C1070" s="518"/>
      <c r="D1070" s="495"/>
    </row>
    <row r="1071" spans="1:4" ht="15" x14ac:dyDescent="0.25">
      <c r="A1071" s="753">
        <v>43865</v>
      </c>
      <c r="B1071" s="495">
        <v>212819.68</v>
      </c>
      <c r="C1071" s="518"/>
      <c r="D1071" s="495"/>
    </row>
    <row r="1072" spans="1:4" ht="15" x14ac:dyDescent="0.25">
      <c r="A1072" s="753">
        <v>43866</v>
      </c>
      <c r="B1072" s="495">
        <v>212820</v>
      </c>
      <c r="C1072" s="518"/>
      <c r="D1072" s="495"/>
    </row>
    <row r="1073" spans="1:4" ht="15" x14ac:dyDescent="0.25">
      <c r="A1073" s="753">
        <v>43867</v>
      </c>
      <c r="B1073" s="495">
        <v>212584.24</v>
      </c>
      <c r="C1073" s="518"/>
      <c r="D1073" s="495"/>
    </row>
    <row r="1074" spans="1:4" ht="15" x14ac:dyDescent="0.25">
      <c r="A1074" s="753">
        <v>43868</v>
      </c>
      <c r="B1074" s="495">
        <v>270092.23</v>
      </c>
      <c r="C1074" s="518"/>
      <c r="D1074" s="495"/>
    </row>
    <row r="1075" spans="1:4" ht="15" x14ac:dyDescent="0.25">
      <c r="A1075" s="753">
        <v>43871</v>
      </c>
      <c r="B1075" s="495">
        <v>270092</v>
      </c>
      <c r="C1075" s="518"/>
      <c r="D1075" s="495"/>
    </row>
    <row r="1076" spans="1:4" ht="15" x14ac:dyDescent="0.25">
      <c r="A1076" s="753">
        <v>43872</v>
      </c>
      <c r="B1076" s="495">
        <v>273133.13</v>
      </c>
      <c r="C1076" s="518"/>
      <c r="D1076" s="495"/>
    </row>
    <row r="1077" spans="1:4" ht="15" x14ac:dyDescent="0.25">
      <c r="A1077" s="753">
        <v>43873</v>
      </c>
      <c r="B1077" s="495">
        <v>273133</v>
      </c>
      <c r="C1077" s="518"/>
      <c r="D1077" s="495"/>
    </row>
    <row r="1078" spans="1:4" ht="15" x14ac:dyDescent="0.25">
      <c r="A1078" s="753">
        <v>43874</v>
      </c>
      <c r="B1078" s="495">
        <v>280484.09000000003</v>
      </c>
      <c r="C1078" s="518"/>
      <c r="D1078" s="495"/>
    </row>
    <row r="1079" spans="1:4" ht="15" x14ac:dyDescent="0.25">
      <c r="A1079" s="753">
        <v>43875</v>
      </c>
      <c r="B1079" s="495">
        <v>279225.67</v>
      </c>
      <c r="C1079" s="518"/>
      <c r="D1079" s="495"/>
    </row>
    <row r="1080" spans="1:4" ht="15" x14ac:dyDescent="0.25">
      <c r="A1080" s="753">
        <v>43878</v>
      </c>
      <c r="B1080" s="495">
        <v>279226</v>
      </c>
      <c r="C1080" s="518"/>
      <c r="D1080" s="495"/>
    </row>
    <row r="1081" spans="1:4" ht="15" x14ac:dyDescent="0.25">
      <c r="A1081" s="753">
        <v>43879</v>
      </c>
      <c r="B1081" s="495">
        <v>241740.68</v>
      </c>
      <c r="C1081" s="518"/>
      <c r="D1081" s="495"/>
    </row>
    <row r="1082" spans="1:4" ht="15" x14ac:dyDescent="0.25">
      <c r="A1082" s="753">
        <v>43880</v>
      </c>
      <c r="B1082" s="495">
        <v>268478</v>
      </c>
      <c r="C1082" s="518"/>
      <c r="D1082" s="495"/>
    </row>
    <row r="1083" spans="1:4" ht="15" x14ac:dyDescent="0.25">
      <c r="A1083" s="753">
        <v>43881</v>
      </c>
      <c r="B1083" s="495">
        <v>258524.93</v>
      </c>
      <c r="C1083" s="518"/>
      <c r="D1083" s="495"/>
    </row>
    <row r="1084" spans="1:4" ht="15" x14ac:dyDescent="0.25">
      <c r="A1084" s="753">
        <v>43882</v>
      </c>
      <c r="B1084" s="495">
        <v>277316.53000000003</v>
      </c>
      <c r="C1084" s="518"/>
      <c r="D1084" s="495"/>
    </row>
    <row r="1085" spans="1:4" ht="15" x14ac:dyDescent="0.25">
      <c r="A1085" s="753">
        <v>43885</v>
      </c>
      <c r="B1085" s="495">
        <v>277317</v>
      </c>
      <c r="C1085" s="518"/>
      <c r="D1085" s="495"/>
    </row>
    <row r="1086" spans="1:4" ht="15" x14ac:dyDescent="0.25">
      <c r="A1086" s="753">
        <v>43886</v>
      </c>
      <c r="B1086" s="495">
        <v>279881.78999999998</v>
      </c>
      <c r="C1086" s="518"/>
      <c r="D1086" s="495"/>
    </row>
    <row r="1087" spans="1:4" ht="15" x14ac:dyDescent="0.25">
      <c r="A1087" s="753">
        <v>43887</v>
      </c>
      <c r="B1087" s="495">
        <v>279882</v>
      </c>
      <c r="C1087" s="518"/>
      <c r="D1087" s="495"/>
    </row>
    <row r="1088" spans="1:4" ht="15" x14ac:dyDescent="0.25">
      <c r="A1088" s="753">
        <v>43888</v>
      </c>
      <c r="B1088" s="495">
        <v>270773.33</v>
      </c>
      <c r="C1088" s="518"/>
      <c r="D1088" s="495"/>
    </row>
    <row r="1089" spans="1:4" ht="15" x14ac:dyDescent="0.25">
      <c r="A1089" s="753">
        <v>43889</v>
      </c>
      <c r="B1089" s="495">
        <v>306133.57</v>
      </c>
      <c r="C1089" s="518"/>
      <c r="D1089" s="703"/>
    </row>
    <row r="1090" spans="1:4" ht="15" x14ac:dyDescent="0.25">
      <c r="A1090" s="753">
        <v>43892</v>
      </c>
      <c r="B1090" s="495">
        <v>267343.68</v>
      </c>
      <c r="C1090" s="518"/>
      <c r="D1090" s="703"/>
    </row>
    <row r="1091" spans="1:4" ht="15" x14ac:dyDescent="0.25">
      <c r="A1091" s="753">
        <v>43893</v>
      </c>
      <c r="B1091" s="495">
        <v>267157.68</v>
      </c>
      <c r="C1091" s="518"/>
      <c r="D1091" s="703"/>
    </row>
    <row r="1092" spans="1:4" ht="15" x14ac:dyDescent="0.25">
      <c r="A1092" s="753">
        <v>43894</v>
      </c>
      <c r="B1092" s="495">
        <v>267157.68</v>
      </c>
      <c r="C1092" s="518"/>
      <c r="D1092" s="703"/>
    </row>
    <row r="1093" spans="1:4" ht="15" x14ac:dyDescent="0.25">
      <c r="A1093" s="753">
        <v>43895</v>
      </c>
      <c r="B1093" s="495">
        <v>264690.95</v>
      </c>
      <c r="C1093" s="518"/>
      <c r="D1093" s="703"/>
    </row>
    <row r="1094" spans="1:4" ht="15" x14ac:dyDescent="0.25">
      <c r="A1094" s="753">
        <v>43896</v>
      </c>
      <c r="B1094" s="495">
        <v>264495.03999999998</v>
      </c>
      <c r="C1094" s="518"/>
      <c r="D1094" s="703"/>
    </row>
    <row r="1095" spans="1:4" ht="15" x14ac:dyDescent="0.25">
      <c r="A1095" s="753">
        <v>43899</v>
      </c>
      <c r="B1095" s="495">
        <v>264495.03999999998</v>
      </c>
      <c r="C1095" s="518"/>
      <c r="D1095" s="703"/>
    </row>
    <row r="1096" spans="1:4" ht="15" x14ac:dyDescent="0.25">
      <c r="A1096" s="753">
        <v>43900</v>
      </c>
      <c r="B1096" s="495">
        <v>267283.63</v>
      </c>
      <c r="C1096" s="518"/>
      <c r="D1096" s="703"/>
    </row>
    <row r="1097" spans="1:4" ht="15" x14ac:dyDescent="0.25">
      <c r="A1097" s="753">
        <v>43901</v>
      </c>
      <c r="B1097" s="495">
        <v>267283.63</v>
      </c>
      <c r="C1097" s="518"/>
      <c r="D1097" s="703"/>
    </row>
    <row r="1098" spans="1:4" ht="15" x14ac:dyDescent="0.25">
      <c r="A1098" s="753">
        <v>43902</v>
      </c>
      <c r="B1098" s="495">
        <v>259537.69</v>
      </c>
      <c r="C1098" s="518"/>
      <c r="D1098" s="703"/>
    </row>
    <row r="1099" spans="1:4" ht="15" x14ac:dyDescent="0.25">
      <c r="A1099" s="753">
        <v>43903</v>
      </c>
      <c r="B1099" s="495">
        <v>259645.65</v>
      </c>
      <c r="C1099" s="518"/>
      <c r="D1099" s="703"/>
    </row>
    <row r="1100" spans="1:4" ht="15" x14ac:dyDescent="0.25">
      <c r="A1100" s="753">
        <v>43906</v>
      </c>
      <c r="B1100" s="495">
        <v>279221.03000000003</v>
      </c>
      <c r="C1100" s="518"/>
      <c r="D1100" s="703"/>
    </row>
    <row r="1101" spans="1:4" ht="15" x14ac:dyDescent="0.25">
      <c r="A1101" s="753">
        <v>43907</v>
      </c>
      <c r="B1101" s="495">
        <v>232150.36</v>
      </c>
      <c r="C1101" s="518"/>
      <c r="D1101" s="703"/>
    </row>
    <row r="1102" spans="1:4" ht="15" x14ac:dyDescent="0.25">
      <c r="A1102" s="753">
        <v>43908</v>
      </c>
      <c r="B1102" s="495">
        <v>274274.51</v>
      </c>
      <c r="C1102" s="518"/>
      <c r="D1102" s="703"/>
    </row>
    <row r="1103" spans="1:4" ht="15" x14ac:dyDescent="0.25">
      <c r="A1103" s="753">
        <v>43909</v>
      </c>
      <c r="B1103" s="495">
        <v>276629.48</v>
      </c>
      <c r="C1103" s="518"/>
      <c r="D1103" s="703"/>
    </row>
    <row r="1104" spans="1:4" ht="15" x14ac:dyDescent="0.25">
      <c r="A1104" s="753">
        <v>43910</v>
      </c>
      <c r="B1104" s="495">
        <v>276629.48</v>
      </c>
      <c r="C1104" s="518"/>
      <c r="D1104" s="703"/>
    </row>
    <row r="1105" spans="1:4" ht="15" x14ac:dyDescent="0.25">
      <c r="A1105" s="753">
        <v>43913</v>
      </c>
      <c r="B1105" s="495">
        <v>292626.55</v>
      </c>
      <c r="C1105" s="518"/>
      <c r="D1105" s="703"/>
    </row>
    <row r="1106" spans="1:4" ht="15" x14ac:dyDescent="0.25">
      <c r="A1106" s="753">
        <v>43914</v>
      </c>
      <c r="B1106" s="495">
        <v>292626.55</v>
      </c>
      <c r="C1106" s="518"/>
      <c r="D1106" s="703"/>
    </row>
    <row r="1107" spans="1:4" ht="15" x14ac:dyDescent="0.25">
      <c r="A1107" s="753">
        <v>43915</v>
      </c>
      <c r="B1107" s="495">
        <v>292626.55</v>
      </c>
      <c r="C1107" s="518"/>
      <c r="D1107" s="703"/>
    </row>
    <row r="1108" spans="1:4" ht="15" x14ac:dyDescent="0.25">
      <c r="A1108" s="753">
        <v>43916</v>
      </c>
      <c r="B1108" s="495">
        <v>292626.55</v>
      </c>
      <c r="C1108" s="518"/>
      <c r="D1108" s="703"/>
    </row>
    <row r="1109" spans="1:4" ht="15" x14ac:dyDescent="0.25">
      <c r="A1109" s="753">
        <v>43917</v>
      </c>
      <c r="B1109" s="495">
        <v>292582.55</v>
      </c>
      <c r="C1109" s="518"/>
      <c r="D1109" s="703"/>
    </row>
    <row r="1110" spans="1:4" ht="15" x14ac:dyDescent="0.25">
      <c r="A1110" s="753">
        <v>43920</v>
      </c>
      <c r="B1110" s="495">
        <v>292582.55</v>
      </c>
      <c r="C1110" s="518"/>
      <c r="D1110" s="703"/>
    </row>
    <row r="1111" spans="1:4" ht="15" x14ac:dyDescent="0.25">
      <c r="A1111" s="753">
        <v>43921</v>
      </c>
      <c r="B1111" s="495">
        <v>292582.55</v>
      </c>
      <c r="C1111" s="518"/>
      <c r="D1111" s="703"/>
    </row>
    <row r="1112" spans="1:4" ht="15" x14ac:dyDescent="0.25">
      <c r="A1112" s="753">
        <v>43922</v>
      </c>
      <c r="B1112" s="495">
        <v>256343.91</v>
      </c>
      <c r="C1112" s="518"/>
      <c r="D1112" s="703"/>
    </row>
    <row r="1113" spans="1:4" ht="15" x14ac:dyDescent="0.25">
      <c r="A1113" s="753">
        <v>43923</v>
      </c>
      <c r="B1113" s="495">
        <v>260066.55</v>
      </c>
      <c r="C1113" s="518"/>
      <c r="D1113" s="703"/>
    </row>
    <row r="1114" spans="1:4" ht="15" x14ac:dyDescent="0.25">
      <c r="A1114" s="753">
        <v>43924</v>
      </c>
      <c r="B1114" s="495">
        <v>259418.64</v>
      </c>
      <c r="C1114" s="518"/>
      <c r="D1114" s="703"/>
    </row>
    <row r="1115" spans="1:4" ht="15" x14ac:dyDescent="0.25">
      <c r="A1115" s="753">
        <v>43927</v>
      </c>
      <c r="B1115" s="495">
        <v>259418.64</v>
      </c>
      <c r="C1115" s="518"/>
      <c r="D1115" s="703"/>
    </row>
    <row r="1116" spans="1:4" ht="15" x14ac:dyDescent="0.25">
      <c r="A1116" s="753">
        <v>43928</v>
      </c>
      <c r="B1116" s="495">
        <v>259418.64</v>
      </c>
      <c r="C1116" s="518"/>
      <c r="D1116" s="703"/>
    </row>
    <row r="1117" spans="1:4" ht="15" x14ac:dyDescent="0.25">
      <c r="A1117" s="753">
        <v>43929</v>
      </c>
      <c r="B1117" s="495">
        <v>259418.64</v>
      </c>
      <c r="C1117" s="518"/>
      <c r="D1117" s="703"/>
    </row>
    <row r="1118" spans="1:4" ht="15" x14ac:dyDescent="0.25">
      <c r="A1118" s="753">
        <v>43930</v>
      </c>
      <c r="B1118" s="495">
        <v>256056.32000000001</v>
      </c>
      <c r="C1118" s="518"/>
      <c r="D1118" s="703"/>
    </row>
    <row r="1119" spans="1:4" ht="15" x14ac:dyDescent="0.25">
      <c r="A1119" s="753">
        <v>43931</v>
      </c>
      <c r="B1119" s="495">
        <v>256056.32000000001</v>
      </c>
      <c r="C1119" s="518"/>
      <c r="D1119" s="703"/>
    </row>
    <row r="1120" spans="1:4" ht="15" x14ac:dyDescent="0.25">
      <c r="A1120" s="753">
        <v>43934</v>
      </c>
      <c r="B1120" s="495">
        <v>256056.32000000001</v>
      </c>
      <c r="C1120" s="518"/>
      <c r="D1120" s="703"/>
    </row>
    <row r="1121" spans="1:4" ht="15" x14ac:dyDescent="0.25">
      <c r="A1121" s="753">
        <v>43935</v>
      </c>
      <c r="B1121" s="495">
        <v>256056.32000000001</v>
      </c>
      <c r="C1121" s="518"/>
      <c r="D1121" s="703"/>
    </row>
    <row r="1122" spans="1:4" ht="15" x14ac:dyDescent="0.25">
      <c r="A1122" s="753">
        <v>43936</v>
      </c>
      <c r="B1122" s="495">
        <v>222877.12</v>
      </c>
      <c r="C1122" s="518"/>
      <c r="D1122" s="703"/>
    </row>
    <row r="1123" spans="1:4" ht="15" x14ac:dyDescent="0.25">
      <c r="A1123" s="753">
        <v>43937</v>
      </c>
      <c r="B1123" s="495">
        <v>222877.12</v>
      </c>
      <c r="C1123" s="518"/>
      <c r="D1123" s="703"/>
    </row>
    <row r="1124" spans="1:4" ht="15" x14ac:dyDescent="0.25">
      <c r="A1124" s="753">
        <v>43938</v>
      </c>
      <c r="B1124" s="495">
        <v>222415.21</v>
      </c>
      <c r="C1124" s="518"/>
      <c r="D1124" s="703"/>
    </row>
    <row r="1125" spans="1:4" ht="15" x14ac:dyDescent="0.25">
      <c r="A1125" s="753">
        <v>43941</v>
      </c>
      <c r="B1125" s="495">
        <v>222415.21</v>
      </c>
      <c r="C1125" s="518"/>
      <c r="D1125" s="703"/>
    </row>
    <row r="1126" spans="1:4" ht="15" x14ac:dyDescent="0.25">
      <c r="A1126" s="753">
        <v>43942</v>
      </c>
      <c r="B1126" s="495">
        <v>222415.21</v>
      </c>
      <c r="C1126" s="518"/>
      <c r="D1126" s="703"/>
    </row>
    <row r="1127" spans="1:4" ht="15" x14ac:dyDescent="0.25">
      <c r="A1127" s="753">
        <v>43943</v>
      </c>
      <c r="B1127" s="495">
        <v>222415.21</v>
      </c>
      <c r="C1127" s="518"/>
      <c r="D1127" s="703"/>
    </row>
    <row r="1128" spans="1:4" ht="15" x14ac:dyDescent="0.25">
      <c r="A1128" s="753">
        <v>43944</v>
      </c>
      <c r="B1128" s="495">
        <v>185658.71</v>
      </c>
      <c r="C1128" s="518"/>
      <c r="D1128" s="703"/>
    </row>
    <row r="1129" spans="1:4" ht="15" x14ac:dyDescent="0.25">
      <c r="A1129" s="753">
        <v>43945</v>
      </c>
      <c r="B1129" s="495">
        <v>185658.71</v>
      </c>
      <c r="C1129" s="518"/>
      <c r="D1129" s="703"/>
    </row>
    <row r="1130" spans="1:4" ht="15" x14ac:dyDescent="0.25">
      <c r="A1130" s="753">
        <v>43948</v>
      </c>
      <c r="B1130" s="495">
        <v>185614.71</v>
      </c>
      <c r="C1130" s="518"/>
      <c r="D1130" s="703"/>
    </row>
    <row r="1131" spans="1:4" ht="15" x14ac:dyDescent="0.25">
      <c r="A1131" s="753">
        <v>43949</v>
      </c>
      <c r="B1131" s="554">
        <v>152434.01999999999</v>
      </c>
      <c r="C1131" s="518"/>
      <c r="D1131" s="554"/>
    </row>
    <row r="1132" spans="1:4" ht="15" x14ac:dyDescent="0.25">
      <c r="A1132" s="753">
        <v>43950</v>
      </c>
      <c r="B1132" s="495">
        <v>152434.01999999999</v>
      </c>
      <c r="C1132" s="518"/>
      <c r="D1132" s="703"/>
    </row>
    <row r="1133" spans="1:4" ht="15" x14ac:dyDescent="0.25">
      <c r="A1133" s="753">
        <v>43951</v>
      </c>
      <c r="B1133" s="495">
        <v>173230.55</v>
      </c>
      <c r="C1133" s="518"/>
      <c r="D1133" s="703"/>
    </row>
    <row r="1134" spans="1:4" ht="15" x14ac:dyDescent="0.25">
      <c r="A1134" s="753">
        <v>43952</v>
      </c>
      <c r="B1134" s="495">
        <f>C1134+D1134</f>
        <v>173492.71000000002</v>
      </c>
      <c r="C1134" s="756">
        <v>172768.64000000001</v>
      </c>
      <c r="D1134" s="757">
        <v>724.07</v>
      </c>
    </row>
    <row r="1135" spans="1:4" ht="15" x14ac:dyDescent="0.25">
      <c r="A1135" s="753">
        <v>43955</v>
      </c>
      <c r="B1135" s="495">
        <f t="shared" ref="B1135:B1198" si="5">C1135+D1135</f>
        <v>173306.64</v>
      </c>
      <c r="C1135" s="756">
        <v>172582.64</v>
      </c>
      <c r="D1135" s="757">
        <v>724</v>
      </c>
    </row>
    <row r="1136" spans="1:4" ht="15" x14ac:dyDescent="0.25">
      <c r="A1136" s="753">
        <v>43956</v>
      </c>
      <c r="B1136" s="495">
        <f t="shared" si="5"/>
        <v>173307</v>
      </c>
      <c r="C1136" s="756">
        <v>172583</v>
      </c>
      <c r="D1136" s="757">
        <f>D1135</f>
        <v>724</v>
      </c>
    </row>
    <row r="1137" spans="1:4" ht="15" x14ac:dyDescent="0.25">
      <c r="A1137" s="753">
        <v>43957</v>
      </c>
      <c r="B1137" s="495">
        <f t="shared" si="5"/>
        <v>173307</v>
      </c>
      <c r="C1137" s="756">
        <v>172583</v>
      </c>
      <c r="D1137" s="757">
        <f t="shared" ref="D1137:D1179" si="6">D1136</f>
        <v>724</v>
      </c>
    </row>
    <row r="1138" spans="1:4" ht="15" x14ac:dyDescent="0.25">
      <c r="A1138" s="753">
        <v>43958</v>
      </c>
      <c r="B1138" s="495">
        <f t="shared" si="5"/>
        <v>173307</v>
      </c>
      <c r="C1138" s="756">
        <v>172583</v>
      </c>
      <c r="D1138" s="757">
        <f t="shared" si="6"/>
        <v>724</v>
      </c>
    </row>
    <row r="1139" spans="1:4" ht="15" x14ac:dyDescent="0.25">
      <c r="A1139" s="753">
        <v>43959</v>
      </c>
      <c r="B1139" s="495">
        <f t="shared" si="5"/>
        <v>385709.68000000005</v>
      </c>
      <c r="C1139" s="756">
        <v>187582.64</v>
      </c>
      <c r="D1139" s="757">
        <v>198127.04</v>
      </c>
    </row>
    <row r="1140" spans="1:4" ht="15" x14ac:dyDescent="0.25">
      <c r="A1140" s="753">
        <v>43962</v>
      </c>
      <c r="B1140" s="495">
        <f t="shared" si="5"/>
        <v>385710.04000000004</v>
      </c>
      <c r="C1140" s="756">
        <v>187583</v>
      </c>
      <c r="D1140" s="757">
        <f t="shared" si="6"/>
        <v>198127.04</v>
      </c>
    </row>
    <row r="1141" spans="1:4" ht="15" x14ac:dyDescent="0.25">
      <c r="A1141" s="753">
        <v>43963</v>
      </c>
      <c r="B1141" s="554">
        <f t="shared" si="5"/>
        <v>385904.98</v>
      </c>
      <c r="C1141" s="756">
        <v>187777.94</v>
      </c>
      <c r="D1141" s="757">
        <f t="shared" si="6"/>
        <v>198127.04</v>
      </c>
    </row>
    <row r="1142" spans="1:4" ht="15" x14ac:dyDescent="0.25">
      <c r="A1142" s="753">
        <v>43964</v>
      </c>
      <c r="B1142" s="495">
        <f t="shared" si="5"/>
        <v>362979.35</v>
      </c>
      <c r="C1142" s="756">
        <v>187778</v>
      </c>
      <c r="D1142" s="757">
        <v>175201.35</v>
      </c>
    </row>
    <row r="1143" spans="1:4" ht="15" x14ac:dyDescent="0.25">
      <c r="A1143" s="753">
        <v>43965</v>
      </c>
      <c r="B1143" s="495">
        <f t="shared" si="5"/>
        <v>362979.35</v>
      </c>
      <c r="C1143" s="756">
        <v>187778</v>
      </c>
      <c r="D1143" s="757">
        <f t="shared" si="6"/>
        <v>175201.35</v>
      </c>
    </row>
    <row r="1144" spans="1:4" ht="15" x14ac:dyDescent="0.25">
      <c r="A1144" s="753">
        <v>43966</v>
      </c>
      <c r="B1144" s="495">
        <f t="shared" si="5"/>
        <v>362624.73</v>
      </c>
      <c r="C1144" s="756">
        <v>187400</v>
      </c>
      <c r="D1144" s="757">
        <v>175224.73</v>
      </c>
    </row>
    <row r="1145" spans="1:4" ht="15" x14ac:dyDescent="0.25">
      <c r="A1145" s="753">
        <v>43969</v>
      </c>
      <c r="B1145" s="495">
        <f t="shared" si="5"/>
        <v>362070.03</v>
      </c>
      <c r="C1145" s="756">
        <v>187400</v>
      </c>
      <c r="D1145" s="757">
        <v>174670.03</v>
      </c>
    </row>
    <row r="1146" spans="1:4" ht="15" x14ac:dyDescent="0.25">
      <c r="A1146" s="753">
        <v>43970</v>
      </c>
      <c r="B1146" s="495">
        <f t="shared" si="5"/>
        <v>352214.86</v>
      </c>
      <c r="C1146" s="756">
        <v>187400</v>
      </c>
      <c r="D1146" s="757">
        <v>164814.85999999999</v>
      </c>
    </row>
    <row r="1147" spans="1:4" ht="15" x14ac:dyDescent="0.25">
      <c r="A1147" s="753">
        <v>43971</v>
      </c>
      <c r="B1147" s="495">
        <f t="shared" si="5"/>
        <v>352214.86</v>
      </c>
      <c r="C1147" s="756">
        <v>187400</v>
      </c>
      <c r="D1147" s="757">
        <f t="shared" si="6"/>
        <v>164814.85999999999</v>
      </c>
    </row>
    <row r="1148" spans="1:4" ht="15" x14ac:dyDescent="0.25">
      <c r="A1148" s="753">
        <v>43972</v>
      </c>
      <c r="B1148" s="495">
        <f t="shared" si="5"/>
        <v>337570.28</v>
      </c>
      <c r="C1148" s="756">
        <v>178152.54</v>
      </c>
      <c r="D1148" s="757">
        <v>159417.74</v>
      </c>
    </row>
    <row r="1149" spans="1:4" ht="15" x14ac:dyDescent="0.25">
      <c r="A1149" s="753">
        <v>43973</v>
      </c>
      <c r="B1149" s="495">
        <f t="shared" si="5"/>
        <v>337570.28</v>
      </c>
      <c r="C1149" s="756">
        <v>178152.54</v>
      </c>
      <c r="D1149" s="757">
        <f t="shared" si="6"/>
        <v>159417.74</v>
      </c>
    </row>
    <row r="1150" spans="1:4" x14ac:dyDescent="0.2">
      <c r="A1150" s="518">
        <v>43976</v>
      </c>
      <c r="B1150" s="495">
        <f t="shared" si="5"/>
        <v>337570.28</v>
      </c>
      <c r="C1150" s="756">
        <v>178152.54</v>
      </c>
      <c r="D1150" s="757">
        <f t="shared" si="6"/>
        <v>159417.74</v>
      </c>
    </row>
    <row r="1151" spans="1:4" x14ac:dyDescent="0.2">
      <c r="A1151" s="518">
        <v>43977</v>
      </c>
      <c r="B1151" s="495">
        <f t="shared" si="5"/>
        <v>337570.28</v>
      </c>
      <c r="C1151" s="756">
        <v>178152.54</v>
      </c>
      <c r="D1151" s="757">
        <f t="shared" si="6"/>
        <v>159417.74</v>
      </c>
    </row>
    <row r="1152" spans="1:4" x14ac:dyDescent="0.2">
      <c r="A1152" s="518">
        <v>43978</v>
      </c>
      <c r="B1152" s="495">
        <f t="shared" si="5"/>
        <v>314828.33999999997</v>
      </c>
      <c r="C1152" s="756">
        <v>178108.54</v>
      </c>
      <c r="D1152" s="757">
        <v>136719.79999999999</v>
      </c>
    </row>
    <row r="1153" spans="1:4" x14ac:dyDescent="0.2">
      <c r="A1153" s="518">
        <v>43979</v>
      </c>
      <c r="B1153" s="495">
        <f t="shared" si="5"/>
        <v>314642.31</v>
      </c>
      <c r="C1153" s="756">
        <v>177922.51</v>
      </c>
      <c r="D1153" s="757">
        <f t="shared" si="6"/>
        <v>136719.79999999999</v>
      </c>
    </row>
    <row r="1154" spans="1:4" x14ac:dyDescent="0.2">
      <c r="A1154" s="518">
        <v>43980</v>
      </c>
      <c r="B1154" s="495">
        <f t="shared" si="5"/>
        <v>314180.40000000002</v>
      </c>
      <c r="C1154" s="756">
        <v>177460.6</v>
      </c>
      <c r="D1154" s="757">
        <f t="shared" si="6"/>
        <v>136719.79999999999</v>
      </c>
    </row>
    <row r="1155" spans="1:4" x14ac:dyDescent="0.2">
      <c r="A1155" s="518">
        <v>43983</v>
      </c>
      <c r="B1155" s="495">
        <f t="shared" si="5"/>
        <v>336211.19</v>
      </c>
      <c r="C1155" s="756">
        <v>201698.93</v>
      </c>
      <c r="D1155" s="757">
        <v>134512.26</v>
      </c>
    </row>
    <row r="1156" spans="1:4" x14ac:dyDescent="0.2">
      <c r="A1156" s="518">
        <v>43984</v>
      </c>
      <c r="B1156" s="495">
        <f t="shared" si="5"/>
        <v>327639.93</v>
      </c>
      <c r="C1156" s="756">
        <v>201512.93</v>
      </c>
      <c r="D1156" s="757">
        <v>126127</v>
      </c>
    </row>
    <row r="1157" spans="1:4" x14ac:dyDescent="0.2">
      <c r="A1157" s="518">
        <v>43985</v>
      </c>
      <c r="B1157" s="495">
        <f t="shared" si="5"/>
        <v>327640</v>
      </c>
      <c r="C1157" s="756">
        <v>201513</v>
      </c>
      <c r="D1157" s="757">
        <f t="shared" si="6"/>
        <v>126127</v>
      </c>
    </row>
    <row r="1158" spans="1:4" x14ac:dyDescent="0.2">
      <c r="A1158" s="518">
        <v>43986</v>
      </c>
      <c r="B1158" s="495">
        <f t="shared" si="5"/>
        <v>332166.29000000004</v>
      </c>
      <c r="C1158" s="756">
        <v>206039.29</v>
      </c>
      <c r="D1158" s="757">
        <f t="shared" si="6"/>
        <v>126127</v>
      </c>
    </row>
    <row r="1159" spans="1:4" x14ac:dyDescent="0.2">
      <c r="A1159" s="518">
        <v>43987</v>
      </c>
      <c r="B1159" s="495">
        <f t="shared" si="5"/>
        <v>332166.29000000004</v>
      </c>
      <c r="C1159" s="756">
        <f>C1158</f>
        <v>206039.29</v>
      </c>
      <c r="D1159" s="757">
        <f t="shared" si="6"/>
        <v>126127</v>
      </c>
    </row>
    <row r="1160" spans="1:4" x14ac:dyDescent="0.2">
      <c r="A1160" s="518">
        <v>43990</v>
      </c>
      <c r="B1160" s="495">
        <f t="shared" si="5"/>
        <v>378580.41000000003</v>
      </c>
      <c r="C1160" s="756">
        <v>252453.41</v>
      </c>
      <c r="D1160" s="757">
        <f t="shared" si="6"/>
        <v>126127</v>
      </c>
    </row>
    <row r="1161" spans="1:4" x14ac:dyDescent="0.2">
      <c r="A1161" s="518">
        <v>43991</v>
      </c>
      <c r="B1161" s="495">
        <f t="shared" si="5"/>
        <v>378580.41000000003</v>
      </c>
      <c r="C1161" s="756">
        <f t="shared" ref="C1161:C1175" si="7">C1160</f>
        <v>252453.41</v>
      </c>
      <c r="D1161" s="757">
        <f t="shared" si="6"/>
        <v>126127</v>
      </c>
    </row>
    <row r="1162" spans="1:4" x14ac:dyDescent="0.2">
      <c r="A1162" s="518">
        <v>43992</v>
      </c>
      <c r="B1162" s="495">
        <f t="shared" si="5"/>
        <v>355599.42</v>
      </c>
      <c r="C1162" s="756">
        <f t="shared" si="7"/>
        <v>252453.41</v>
      </c>
      <c r="D1162" s="757">
        <v>103146.01</v>
      </c>
    </row>
    <row r="1163" spans="1:4" x14ac:dyDescent="0.2">
      <c r="A1163" s="518">
        <v>43993</v>
      </c>
      <c r="B1163" s="495">
        <f t="shared" si="5"/>
        <v>348512.49</v>
      </c>
      <c r="C1163" s="756">
        <v>255461.07</v>
      </c>
      <c r="D1163" s="757">
        <v>93051.42</v>
      </c>
    </row>
    <row r="1164" spans="1:4" x14ac:dyDescent="0.2">
      <c r="A1164" s="518">
        <v>43994</v>
      </c>
      <c r="B1164" s="495">
        <f t="shared" si="5"/>
        <v>351663.19</v>
      </c>
      <c r="C1164" s="756">
        <v>258611.77</v>
      </c>
      <c r="D1164" s="757">
        <f t="shared" si="6"/>
        <v>93051.42</v>
      </c>
    </row>
    <row r="1165" spans="1:4" x14ac:dyDescent="0.2">
      <c r="A1165" s="518">
        <v>43997</v>
      </c>
      <c r="B1165" s="495">
        <f t="shared" si="5"/>
        <v>351097.70999999996</v>
      </c>
      <c r="C1165" s="756">
        <f t="shared" si="7"/>
        <v>258611.77</v>
      </c>
      <c r="D1165" s="757">
        <v>92485.94</v>
      </c>
    </row>
    <row r="1166" spans="1:4" x14ac:dyDescent="0.2">
      <c r="A1166" s="518">
        <v>43998</v>
      </c>
      <c r="B1166" s="495">
        <f t="shared" si="5"/>
        <v>351097.70999999996</v>
      </c>
      <c r="C1166" s="756">
        <f t="shared" si="7"/>
        <v>258611.77</v>
      </c>
      <c r="D1166" s="757">
        <f t="shared" si="6"/>
        <v>92485.94</v>
      </c>
    </row>
    <row r="1167" spans="1:4" x14ac:dyDescent="0.2">
      <c r="A1167" s="518">
        <v>43999</v>
      </c>
      <c r="B1167" s="495">
        <f t="shared" si="5"/>
        <v>342735.58</v>
      </c>
      <c r="C1167" s="756">
        <v>250249.64</v>
      </c>
      <c r="D1167" s="757">
        <f t="shared" si="6"/>
        <v>92485.94</v>
      </c>
    </row>
    <row r="1168" spans="1:4" x14ac:dyDescent="0.2">
      <c r="A1168" s="518">
        <v>44000</v>
      </c>
      <c r="B1168" s="495">
        <f t="shared" si="5"/>
        <v>344495.52</v>
      </c>
      <c r="C1168" s="756">
        <v>252009.58</v>
      </c>
      <c r="D1168" s="757">
        <f t="shared" si="6"/>
        <v>92485.94</v>
      </c>
    </row>
    <row r="1169" spans="1:4" x14ac:dyDescent="0.2">
      <c r="A1169" s="518">
        <v>44001</v>
      </c>
      <c r="B1169" s="495">
        <f t="shared" si="5"/>
        <v>344495.52</v>
      </c>
      <c r="C1169" s="756">
        <f t="shared" si="7"/>
        <v>252009.58</v>
      </c>
      <c r="D1169" s="757">
        <f t="shared" si="6"/>
        <v>92485.94</v>
      </c>
    </row>
    <row r="1170" spans="1:4" x14ac:dyDescent="0.2">
      <c r="A1170" s="518">
        <v>44004</v>
      </c>
      <c r="B1170" s="495">
        <f t="shared" si="5"/>
        <v>344495.52</v>
      </c>
      <c r="C1170" s="756">
        <f t="shared" si="7"/>
        <v>252009.58</v>
      </c>
      <c r="D1170" s="757">
        <f t="shared" si="6"/>
        <v>92485.94</v>
      </c>
    </row>
    <row r="1171" spans="1:4" x14ac:dyDescent="0.2">
      <c r="A1171" s="518">
        <v>44005</v>
      </c>
      <c r="B1171" s="495">
        <f t="shared" si="5"/>
        <v>334324.15000000002</v>
      </c>
      <c r="C1171" s="756">
        <v>241838.21</v>
      </c>
      <c r="D1171" s="757">
        <f t="shared" si="6"/>
        <v>92485.94</v>
      </c>
    </row>
    <row r="1172" spans="1:4" x14ac:dyDescent="0.2">
      <c r="A1172" s="518">
        <v>44006</v>
      </c>
      <c r="B1172" s="495">
        <f t="shared" si="5"/>
        <v>342928.85</v>
      </c>
      <c r="C1172" s="756">
        <v>275398.59999999998</v>
      </c>
      <c r="D1172" s="757">
        <v>67530.25</v>
      </c>
    </row>
    <row r="1173" spans="1:4" x14ac:dyDescent="0.2">
      <c r="A1173" s="518">
        <v>44007</v>
      </c>
      <c r="B1173" s="495">
        <f t="shared" si="5"/>
        <v>325375.87</v>
      </c>
      <c r="C1173" s="756">
        <v>268709.96999999997</v>
      </c>
      <c r="D1173" s="757">
        <v>56665.9</v>
      </c>
    </row>
    <row r="1174" spans="1:4" x14ac:dyDescent="0.2">
      <c r="A1174" s="518">
        <v>44008</v>
      </c>
      <c r="B1174" s="495">
        <f t="shared" si="5"/>
        <v>324225.81</v>
      </c>
      <c r="C1174" s="756">
        <v>268257.68</v>
      </c>
      <c r="D1174" s="757">
        <v>55968.13</v>
      </c>
    </row>
    <row r="1175" spans="1:4" x14ac:dyDescent="0.2">
      <c r="A1175" s="518">
        <v>44011</v>
      </c>
      <c r="B1175" s="495">
        <f t="shared" si="5"/>
        <v>324225.81</v>
      </c>
      <c r="C1175" s="756">
        <f t="shared" si="7"/>
        <v>268257.68</v>
      </c>
      <c r="D1175" s="757">
        <f t="shared" si="6"/>
        <v>55968.13</v>
      </c>
    </row>
    <row r="1176" spans="1:4" x14ac:dyDescent="0.2">
      <c r="A1176" s="518">
        <v>44012</v>
      </c>
      <c r="B1176" s="495">
        <f t="shared" si="5"/>
        <v>332737.41000000003</v>
      </c>
      <c r="C1176" s="756">
        <v>276769.28000000003</v>
      </c>
      <c r="D1176" s="757">
        <f t="shared" si="6"/>
        <v>55968.13</v>
      </c>
    </row>
    <row r="1177" spans="1:4" x14ac:dyDescent="0.2">
      <c r="A1177" s="518">
        <v>44013</v>
      </c>
      <c r="B1177" s="495">
        <f t="shared" si="5"/>
        <v>348287.12</v>
      </c>
      <c r="C1177" s="756">
        <v>292318.99</v>
      </c>
      <c r="D1177" s="757">
        <f t="shared" si="6"/>
        <v>55968.13</v>
      </c>
    </row>
    <row r="1178" spans="1:4" x14ac:dyDescent="0.2">
      <c r="A1178" s="518">
        <v>44014</v>
      </c>
      <c r="B1178" s="495">
        <f t="shared" si="5"/>
        <v>351754.67</v>
      </c>
      <c r="C1178" s="756">
        <v>295786.53999999998</v>
      </c>
      <c r="D1178" s="757">
        <f t="shared" si="6"/>
        <v>55968.13</v>
      </c>
    </row>
    <row r="1179" spans="1:4" x14ac:dyDescent="0.2">
      <c r="A1179" s="518">
        <v>44015</v>
      </c>
      <c r="B1179" s="495">
        <f t="shared" si="5"/>
        <v>352041.67</v>
      </c>
      <c r="C1179" s="756">
        <v>296073.53999999998</v>
      </c>
      <c r="D1179" s="757">
        <f t="shared" si="6"/>
        <v>55968.13</v>
      </c>
    </row>
    <row r="1180" spans="1:4" x14ac:dyDescent="0.2">
      <c r="A1180" s="518">
        <v>44018</v>
      </c>
      <c r="B1180" s="495">
        <f t="shared" si="5"/>
        <v>352042</v>
      </c>
      <c r="C1180" s="756">
        <v>296074</v>
      </c>
      <c r="D1180" s="757">
        <v>55968</v>
      </c>
    </row>
    <row r="1181" spans="1:4" x14ac:dyDescent="0.2">
      <c r="A1181" s="518">
        <v>44019</v>
      </c>
      <c r="B1181" s="495">
        <f t="shared" si="5"/>
        <v>352042</v>
      </c>
      <c r="C1181" s="756">
        <v>296074</v>
      </c>
      <c r="D1181" s="757">
        <v>55968</v>
      </c>
    </row>
    <row r="1182" spans="1:4" x14ac:dyDescent="0.2">
      <c r="A1182" s="518">
        <v>44020</v>
      </c>
      <c r="B1182" s="495">
        <f t="shared" si="5"/>
        <v>326415.09999999998</v>
      </c>
      <c r="C1182" s="756">
        <v>296074</v>
      </c>
      <c r="D1182" s="757">
        <v>30341.1</v>
      </c>
    </row>
    <row r="1183" spans="1:4" x14ac:dyDescent="0.2">
      <c r="A1183" s="518">
        <v>44021</v>
      </c>
      <c r="B1183" s="495">
        <f t="shared" si="5"/>
        <v>312231.88999999996</v>
      </c>
      <c r="C1183" s="756">
        <v>293240.15999999997</v>
      </c>
      <c r="D1183" s="757">
        <v>18991.73</v>
      </c>
    </row>
    <row r="1184" spans="1:4" x14ac:dyDescent="0.2">
      <c r="A1184" s="518">
        <v>44022</v>
      </c>
      <c r="B1184" s="495">
        <f t="shared" si="5"/>
        <v>311779.87</v>
      </c>
      <c r="C1184" s="756">
        <v>292787.87</v>
      </c>
      <c r="D1184" s="757">
        <v>18992</v>
      </c>
    </row>
    <row r="1185" spans="1:4" x14ac:dyDescent="0.2">
      <c r="A1185" s="518">
        <v>44025</v>
      </c>
      <c r="B1185" s="495">
        <f t="shared" si="5"/>
        <v>311474.96999999997</v>
      </c>
      <c r="C1185" s="756">
        <v>293190.87</v>
      </c>
      <c r="D1185" s="757">
        <v>18284.099999999999</v>
      </c>
    </row>
    <row r="1186" spans="1:4" x14ac:dyDescent="0.2">
      <c r="A1186" s="518">
        <v>44026</v>
      </c>
      <c r="B1186" s="495">
        <f t="shared" si="5"/>
        <v>315477.69</v>
      </c>
      <c r="C1186" s="756">
        <v>297193.59000000003</v>
      </c>
      <c r="D1186" s="757">
        <v>18284.099999999999</v>
      </c>
    </row>
    <row r="1187" spans="1:4" x14ac:dyDescent="0.2">
      <c r="A1187" s="518">
        <v>44027</v>
      </c>
      <c r="B1187" s="495">
        <f t="shared" si="5"/>
        <v>315594.98</v>
      </c>
      <c r="C1187" s="756">
        <v>297310.88</v>
      </c>
      <c r="D1187" s="757">
        <v>18284.099999999999</v>
      </c>
    </row>
    <row r="1188" spans="1:4" x14ac:dyDescent="0.2">
      <c r="A1188" s="518">
        <v>44028</v>
      </c>
      <c r="B1188" s="495">
        <f t="shared" si="5"/>
        <v>318211.11</v>
      </c>
      <c r="C1188" s="756">
        <v>299927.01</v>
      </c>
      <c r="D1188" s="757">
        <v>18284.099999999999</v>
      </c>
    </row>
    <row r="1189" spans="1:4" x14ac:dyDescent="0.2">
      <c r="A1189" s="518">
        <v>44029</v>
      </c>
      <c r="B1189" s="495">
        <f t="shared" si="5"/>
        <v>318211.09999999998</v>
      </c>
      <c r="C1189" s="756">
        <v>299927</v>
      </c>
      <c r="D1189" s="757">
        <v>18284.099999999999</v>
      </c>
    </row>
    <row r="1190" spans="1:4" x14ac:dyDescent="0.2">
      <c r="A1190" s="518">
        <v>44032</v>
      </c>
      <c r="B1190" s="495">
        <f t="shared" si="5"/>
        <v>339655.69</v>
      </c>
      <c r="C1190" s="756">
        <v>304374.55</v>
      </c>
      <c r="D1190" s="757">
        <v>35281.14</v>
      </c>
    </row>
    <row r="1191" spans="1:4" x14ac:dyDescent="0.2">
      <c r="A1191" s="518">
        <v>44033</v>
      </c>
      <c r="B1191" s="495">
        <f t="shared" si="5"/>
        <v>328838.90999999997</v>
      </c>
      <c r="C1191" s="756">
        <v>293557.90999999997</v>
      </c>
      <c r="D1191" s="757">
        <v>35281</v>
      </c>
    </row>
    <row r="1192" spans="1:4" x14ac:dyDescent="0.2">
      <c r="A1192" s="518">
        <v>44034</v>
      </c>
      <c r="B1192" s="495">
        <f t="shared" si="5"/>
        <v>315049.81</v>
      </c>
      <c r="C1192" s="756">
        <v>305336.09999999998</v>
      </c>
      <c r="D1192" s="757">
        <v>9713.7099999999991</v>
      </c>
    </row>
    <row r="1193" spans="1:4" x14ac:dyDescent="0.2">
      <c r="A1193" s="518">
        <v>44035</v>
      </c>
      <c r="B1193" s="495">
        <f t="shared" si="5"/>
        <v>308750.14999999997</v>
      </c>
      <c r="C1193" s="756">
        <v>307782.98</v>
      </c>
      <c r="D1193" s="757">
        <v>967.17</v>
      </c>
    </row>
    <row r="1194" spans="1:4" x14ac:dyDescent="0.2">
      <c r="A1194" s="518">
        <v>44036</v>
      </c>
      <c r="B1194" s="495">
        <f t="shared" si="5"/>
        <v>309653.73</v>
      </c>
      <c r="C1194" s="756">
        <v>309453.73</v>
      </c>
      <c r="D1194" s="757">
        <v>200</v>
      </c>
    </row>
    <row r="1195" spans="1:4" x14ac:dyDescent="0.2">
      <c r="A1195" s="518">
        <v>44039</v>
      </c>
      <c r="B1195" s="495">
        <f t="shared" si="5"/>
        <v>300292.32</v>
      </c>
      <c r="C1195" s="756">
        <v>300092.32</v>
      </c>
      <c r="D1195" s="757">
        <v>200</v>
      </c>
    </row>
    <row r="1196" spans="1:4" x14ac:dyDescent="0.2">
      <c r="A1196" s="518">
        <v>44040</v>
      </c>
      <c r="B1196" s="495">
        <f t="shared" si="5"/>
        <v>300248.32000000001</v>
      </c>
      <c r="C1196" s="756">
        <v>300048.32</v>
      </c>
      <c r="D1196" s="757">
        <v>200</v>
      </c>
    </row>
    <row r="1197" spans="1:4" x14ac:dyDescent="0.2">
      <c r="A1197" s="518">
        <v>44041</v>
      </c>
      <c r="B1197" s="495">
        <f t="shared" si="5"/>
        <v>298885.23</v>
      </c>
      <c r="C1197" s="756">
        <v>298685.23</v>
      </c>
      <c r="D1197" s="757">
        <v>200</v>
      </c>
    </row>
    <row r="1198" spans="1:4" x14ac:dyDescent="0.2">
      <c r="A1198" s="518">
        <v>44042</v>
      </c>
      <c r="B1198" s="495">
        <f t="shared" si="5"/>
        <v>298918.89</v>
      </c>
      <c r="C1198" s="756">
        <v>298718.89</v>
      </c>
      <c r="D1198" s="757">
        <v>200</v>
      </c>
    </row>
    <row r="1199" spans="1:4" x14ac:dyDescent="0.2">
      <c r="A1199" s="518">
        <v>44043</v>
      </c>
      <c r="B1199" s="495">
        <f t="shared" ref="B1199:B1262" si="8">C1199+D1199</f>
        <v>298919</v>
      </c>
      <c r="C1199" s="756">
        <v>298719</v>
      </c>
      <c r="D1199" s="757">
        <v>200</v>
      </c>
    </row>
    <row r="1200" spans="1:4" x14ac:dyDescent="0.2">
      <c r="A1200" s="518">
        <v>44046</v>
      </c>
      <c r="B1200" s="495">
        <f t="shared" si="8"/>
        <v>262470.13</v>
      </c>
      <c r="C1200" s="756">
        <v>262270.13</v>
      </c>
      <c r="D1200" s="757">
        <v>200</v>
      </c>
    </row>
    <row r="1201" spans="1:4" x14ac:dyDescent="0.2">
      <c r="A1201" s="518">
        <v>44047</v>
      </c>
      <c r="B1201" s="495">
        <f t="shared" si="8"/>
        <v>254560.85</v>
      </c>
      <c r="C1201" s="756">
        <v>254360.85</v>
      </c>
      <c r="D1201" s="757">
        <v>200</v>
      </c>
    </row>
    <row r="1202" spans="1:4" x14ac:dyDescent="0.2">
      <c r="A1202" s="518">
        <v>44048</v>
      </c>
      <c r="B1202" s="495">
        <f t="shared" si="8"/>
        <v>254561</v>
      </c>
      <c r="C1202" s="756">
        <v>254361</v>
      </c>
      <c r="D1202" s="757">
        <v>200</v>
      </c>
    </row>
    <row r="1203" spans="1:4" x14ac:dyDescent="0.2">
      <c r="A1203" s="518">
        <v>44049</v>
      </c>
      <c r="B1203" s="495">
        <f t="shared" si="8"/>
        <v>256783.26</v>
      </c>
      <c r="C1203" s="756">
        <v>256583.26</v>
      </c>
      <c r="D1203" s="757">
        <v>200</v>
      </c>
    </row>
    <row r="1204" spans="1:4" x14ac:dyDescent="0.2">
      <c r="A1204" s="518">
        <v>44050</v>
      </c>
      <c r="B1204" s="495">
        <f t="shared" si="8"/>
        <v>256330.97</v>
      </c>
      <c r="C1204" s="756">
        <v>256130.97</v>
      </c>
      <c r="D1204" s="757">
        <v>200</v>
      </c>
    </row>
    <row r="1205" spans="1:4" x14ac:dyDescent="0.2">
      <c r="A1205" s="518">
        <v>44053</v>
      </c>
      <c r="B1205" s="495">
        <f t="shared" si="8"/>
        <v>256331</v>
      </c>
      <c r="C1205" s="756">
        <v>256131</v>
      </c>
      <c r="D1205" s="757">
        <v>200</v>
      </c>
    </row>
    <row r="1206" spans="1:4" x14ac:dyDescent="0.2">
      <c r="A1206" s="518">
        <v>44054</v>
      </c>
      <c r="B1206" s="495">
        <f t="shared" si="8"/>
        <v>256331</v>
      </c>
      <c r="C1206" s="756">
        <v>256131</v>
      </c>
      <c r="D1206" s="757">
        <v>200</v>
      </c>
    </row>
    <row r="1207" spans="1:4" x14ac:dyDescent="0.2">
      <c r="A1207" s="518">
        <v>44055</v>
      </c>
      <c r="B1207" s="495">
        <f t="shared" si="8"/>
        <v>256420.97</v>
      </c>
      <c r="C1207" s="756">
        <v>256220.97</v>
      </c>
      <c r="D1207" s="757">
        <v>200</v>
      </c>
    </row>
    <row r="1208" spans="1:4" x14ac:dyDescent="0.2">
      <c r="A1208" s="518">
        <v>44056</v>
      </c>
      <c r="B1208" s="495">
        <f t="shared" si="8"/>
        <v>256421</v>
      </c>
      <c r="C1208" s="756">
        <v>256221</v>
      </c>
      <c r="D1208" s="757">
        <v>200</v>
      </c>
    </row>
    <row r="1209" spans="1:4" x14ac:dyDescent="0.2">
      <c r="A1209" s="518">
        <v>44057</v>
      </c>
      <c r="B1209" s="495">
        <f t="shared" si="8"/>
        <v>296838.09999999998</v>
      </c>
      <c r="C1209" s="756">
        <v>296638.09999999998</v>
      </c>
      <c r="D1209" s="757">
        <v>200</v>
      </c>
    </row>
    <row r="1210" spans="1:4" x14ac:dyDescent="0.2">
      <c r="A1210" s="518">
        <v>44060</v>
      </c>
      <c r="B1210" s="495">
        <f t="shared" si="8"/>
        <v>261012.14</v>
      </c>
      <c r="C1210" s="756">
        <v>260812.14</v>
      </c>
      <c r="D1210" s="757">
        <v>200</v>
      </c>
    </row>
    <row r="1211" spans="1:4" x14ac:dyDescent="0.2">
      <c r="A1211" s="518">
        <v>44061</v>
      </c>
      <c r="B1211" s="495">
        <f t="shared" si="8"/>
        <v>345553.24</v>
      </c>
      <c r="C1211" s="756">
        <v>345353.24</v>
      </c>
      <c r="D1211" s="757">
        <v>200</v>
      </c>
    </row>
    <row r="1212" spans="1:4" x14ac:dyDescent="0.2">
      <c r="A1212" s="518">
        <v>44062</v>
      </c>
      <c r="B1212" s="495">
        <f t="shared" si="8"/>
        <v>345720.24</v>
      </c>
      <c r="C1212" s="756">
        <v>345520.24</v>
      </c>
      <c r="D1212" s="757">
        <v>200</v>
      </c>
    </row>
    <row r="1213" spans="1:4" x14ac:dyDescent="0.2">
      <c r="A1213" s="518">
        <v>44063</v>
      </c>
      <c r="B1213" s="495">
        <f t="shared" si="8"/>
        <v>343380.65</v>
      </c>
      <c r="C1213" s="756">
        <v>343180.65</v>
      </c>
      <c r="D1213" s="757">
        <v>200</v>
      </c>
    </row>
    <row r="1214" spans="1:4" x14ac:dyDescent="0.2">
      <c r="A1214" s="518">
        <v>44064</v>
      </c>
      <c r="B1214" s="495">
        <f t="shared" si="8"/>
        <v>342938.36</v>
      </c>
      <c r="C1214" s="756">
        <v>342738.36</v>
      </c>
      <c r="D1214" s="757">
        <v>200</v>
      </c>
    </row>
    <row r="1215" spans="1:4" x14ac:dyDescent="0.2">
      <c r="A1215" s="518">
        <v>44067</v>
      </c>
      <c r="B1215" s="495">
        <f t="shared" si="8"/>
        <v>342938</v>
      </c>
      <c r="C1215" s="756">
        <v>342738</v>
      </c>
      <c r="D1215" s="757">
        <v>200</v>
      </c>
    </row>
    <row r="1216" spans="1:4" x14ac:dyDescent="0.2">
      <c r="A1216" s="518">
        <v>44068</v>
      </c>
      <c r="B1216" s="495">
        <f t="shared" si="8"/>
        <v>340515.33</v>
      </c>
      <c r="C1216" s="756">
        <v>340315.33</v>
      </c>
      <c r="D1216" s="757">
        <v>200</v>
      </c>
    </row>
    <row r="1217" spans="1:4" x14ac:dyDescent="0.2">
      <c r="A1217" s="518">
        <v>44069</v>
      </c>
      <c r="B1217" s="495">
        <f t="shared" si="8"/>
        <v>359946.57</v>
      </c>
      <c r="C1217" s="756">
        <v>359746.57</v>
      </c>
      <c r="D1217" s="757">
        <v>200</v>
      </c>
    </row>
    <row r="1218" spans="1:4" x14ac:dyDescent="0.2">
      <c r="A1218" s="518">
        <v>44070</v>
      </c>
      <c r="B1218" s="495">
        <f t="shared" si="8"/>
        <v>359946.57</v>
      </c>
      <c r="C1218" s="756">
        <v>359746.57</v>
      </c>
      <c r="D1218" s="757">
        <v>200</v>
      </c>
    </row>
    <row r="1219" spans="1:4" x14ac:dyDescent="0.2">
      <c r="A1219" s="518">
        <v>44071</v>
      </c>
      <c r="B1219" s="495">
        <f t="shared" si="8"/>
        <v>359946.57</v>
      </c>
      <c r="C1219" s="756">
        <v>359746.57</v>
      </c>
      <c r="D1219" s="757">
        <v>200</v>
      </c>
    </row>
    <row r="1220" spans="1:4" x14ac:dyDescent="0.2">
      <c r="A1220" s="518">
        <v>44074</v>
      </c>
      <c r="B1220" s="495">
        <f t="shared" si="8"/>
        <v>359946.57</v>
      </c>
      <c r="C1220" s="756">
        <v>359746.57</v>
      </c>
      <c r="D1220" s="757">
        <v>200</v>
      </c>
    </row>
    <row r="1221" spans="1:4" x14ac:dyDescent="0.2">
      <c r="A1221" s="518">
        <v>44075</v>
      </c>
      <c r="B1221" s="495">
        <f t="shared" si="8"/>
        <v>347126.06</v>
      </c>
      <c r="C1221" s="756">
        <v>346926.06</v>
      </c>
      <c r="D1221" s="757">
        <v>200</v>
      </c>
    </row>
    <row r="1222" spans="1:4" x14ac:dyDescent="0.2">
      <c r="A1222" s="518">
        <v>44076</v>
      </c>
      <c r="B1222" s="495">
        <f t="shared" si="8"/>
        <v>347075.06</v>
      </c>
      <c r="C1222" s="756">
        <v>346875.06</v>
      </c>
      <c r="D1222" s="757">
        <v>200</v>
      </c>
    </row>
    <row r="1223" spans="1:4" x14ac:dyDescent="0.2">
      <c r="A1223" s="518">
        <v>44077</v>
      </c>
      <c r="B1223" s="495">
        <f t="shared" si="8"/>
        <v>350416.44</v>
      </c>
      <c r="C1223" s="756">
        <v>350216.44</v>
      </c>
      <c r="D1223" s="757">
        <v>200</v>
      </c>
    </row>
    <row r="1224" spans="1:4" x14ac:dyDescent="0.2">
      <c r="A1224" s="518">
        <v>44078</v>
      </c>
      <c r="B1224" s="495">
        <f t="shared" si="8"/>
        <v>343258.81</v>
      </c>
      <c r="C1224" s="756">
        <v>343058.81</v>
      </c>
      <c r="D1224" s="757">
        <v>200</v>
      </c>
    </row>
    <row r="1225" spans="1:4" x14ac:dyDescent="0.2">
      <c r="A1225" s="518">
        <v>44081</v>
      </c>
      <c r="B1225" s="495">
        <f t="shared" si="8"/>
        <v>343258.81</v>
      </c>
      <c r="C1225" s="756">
        <v>343058.81</v>
      </c>
      <c r="D1225" s="757">
        <v>200</v>
      </c>
    </row>
    <row r="1226" spans="1:4" x14ac:dyDescent="0.2">
      <c r="A1226" s="518">
        <v>44082</v>
      </c>
      <c r="B1226" s="495">
        <f t="shared" si="8"/>
        <v>343258.81</v>
      </c>
      <c r="C1226" s="756">
        <v>343058.81</v>
      </c>
      <c r="D1226" s="757">
        <v>200</v>
      </c>
    </row>
    <row r="1227" spans="1:4" x14ac:dyDescent="0.2">
      <c r="A1227" s="518">
        <v>44083</v>
      </c>
      <c r="B1227" s="495">
        <f t="shared" si="8"/>
        <v>343258.81</v>
      </c>
      <c r="C1227" s="756">
        <v>343058.81</v>
      </c>
      <c r="D1227" s="757">
        <v>200</v>
      </c>
    </row>
    <row r="1228" spans="1:4" x14ac:dyDescent="0.2">
      <c r="A1228" s="518">
        <v>44084</v>
      </c>
      <c r="B1228" s="495">
        <f t="shared" si="8"/>
        <v>351420.85</v>
      </c>
      <c r="C1228" s="756">
        <v>351220.85</v>
      </c>
      <c r="D1228" s="757">
        <v>200</v>
      </c>
    </row>
    <row r="1229" spans="1:4" x14ac:dyDescent="0.2">
      <c r="A1229" s="518">
        <v>44085</v>
      </c>
      <c r="B1229" s="495">
        <f t="shared" si="8"/>
        <v>351420.85</v>
      </c>
      <c r="C1229" s="756">
        <v>351220.85</v>
      </c>
      <c r="D1229" s="757">
        <v>200</v>
      </c>
    </row>
    <row r="1230" spans="1:4" x14ac:dyDescent="0.2">
      <c r="A1230" s="518">
        <v>44088</v>
      </c>
      <c r="B1230" s="495">
        <f t="shared" si="8"/>
        <v>319295.21000000002</v>
      </c>
      <c r="C1230" s="756">
        <v>319095.21000000002</v>
      </c>
      <c r="D1230" s="757">
        <v>200</v>
      </c>
    </row>
    <row r="1231" spans="1:4" x14ac:dyDescent="0.2">
      <c r="A1231" s="518">
        <v>44089</v>
      </c>
      <c r="B1231" s="495">
        <f t="shared" si="8"/>
        <v>319390.87</v>
      </c>
      <c r="C1231" s="756">
        <v>319190.87</v>
      </c>
      <c r="D1231" s="757">
        <v>200</v>
      </c>
    </row>
    <row r="1232" spans="1:4" x14ac:dyDescent="0.2">
      <c r="A1232" s="518">
        <v>44090</v>
      </c>
      <c r="B1232" s="495">
        <f t="shared" si="8"/>
        <v>318221.31</v>
      </c>
      <c r="C1232" s="756">
        <v>318021.31</v>
      </c>
      <c r="D1232" s="757">
        <v>200</v>
      </c>
    </row>
    <row r="1233" spans="1:4" x14ac:dyDescent="0.2">
      <c r="A1233" s="518">
        <v>44091</v>
      </c>
      <c r="B1233" s="495">
        <f t="shared" si="8"/>
        <v>321494.34000000003</v>
      </c>
      <c r="C1233" s="756">
        <v>321294.34000000003</v>
      </c>
      <c r="D1233" s="757">
        <v>200</v>
      </c>
    </row>
    <row r="1234" spans="1:4" x14ac:dyDescent="0.2">
      <c r="A1234" s="518">
        <v>44092</v>
      </c>
      <c r="B1234" s="495">
        <f t="shared" si="8"/>
        <v>321052.05</v>
      </c>
      <c r="C1234" s="756">
        <v>320852.05</v>
      </c>
      <c r="D1234" s="757">
        <v>200</v>
      </c>
    </row>
    <row r="1235" spans="1:4" x14ac:dyDescent="0.2">
      <c r="A1235" s="518">
        <v>44095</v>
      </c>
      <c r="B1235" s="495">
        <f t="shared" si="8"/>
        <v>321052</v>
      </c>
      <c r="C1235" s="756">
        <v>320852</v>
      </c>
      <c r="D1235" s="757">
        <v>200</v>
      </c>
    </row>
    <row r="1236" spans="1:4" x14ac:dyDescent="0.2">
      <c r="A1236" s="518">
        <v>44096</v>
      </c>
      <c r="B1236" s="495">
        <f t="shared" si="8"/>
        <v>347075.9</v>
      </c>
      <c r="C1236" s="756">
        <v>346875.9</v>
      </c>
      <c r="D1236" s="757">
        <v>200</v>
      </c>
    </row>
    <row r="1237" spans="1:4" x14ac:dyDescent="0.2">
      <c r="A1237" s="518">
        <v>44097</v>
      </c>
      <c r="B1237" s="495">
        <f t="shared" si="8"/>
        <v>348950.3</v>
      </c>
      <c r="C1237" s="756">
        <v>348750.3</v>
      </c>
      <c r="D1237" s="757">
        <v>200</v>
      </c>
    </row>
    <row r="1238" spans="1:4" x14ac:dyDescent="0.2">
      <c r="A1238" s="518">
        <v>44098</v>
      </c>
      <c r="B1238" s="495">
        <f t="shared" si="8"/>
        <v>354130.18</v>
      </c>
      <c r="C1238" s="756">
        <v>353930.18</v>
      </c>
      <c r="D1238" s="757">
        <v>200</v>
      </c>
    </row>
    <row r="1239" spans="1:4" x14ac:dyDescent="0.2">
      <c r="A1239" s="518">
        <v>44099</v>
      </c>
      <c r="B1239" s="495">
        <f t="shared" si="8"/>
        <v>354086.18</v>
      </c>
      <c r="C1239" s="756">
        <v>353886.18</v>
      </c>
      <c r="D1239" s="757">
        <v>200</v>
      </c>
    </row>
    <row r="1240" spans="1:4" x14ac:dyDescent="0.2">
      <c r="A1240" s="518">
        <v>44102</v>
      </c>
      <c r="B1240" s="495">
        <f t="shared" si="8"/>
        <v>348608</v>
      </c>
      <c r="C1240" s="756">
        <v>348408</v>
      </c>
      <c r="D1240" s="757">
        <v>200</v>
      </c>
    </row>
    <row r="1241" spans="1:4" x14ac:dyDescent="0.2">
      <c r="A1241" s="518">
        <v>44103</v>
      </c>
      <c r="B1241" s="495">
        <f t="shared" si="8"/>
        <v>313591.89</v>
      </c>
      <c r="C1241" s="756">
        <v>313391.89</v>
      </c>
      <c r="D1241" s="757">
        <v>200</v>
      </c>
    </row>
    <row r="1242" spans="1:4" x14ac:dyDescent="0.2">
      <c r="A1242" s="518">
        <v>44104</v>
      </c>
      <c r="B1242" s="495">
        <f t="shared" si="8"/>
        <v>348489.68</v>
      </c>
      <c r="C1242" s="756">
        <v>348289.68</v>
      </c>
      <c r="D1242" s="757">
        <v>200</v>
      </c>
    </row>
    <row r="1243" spans="1:4" x14ac:dyDescent="0.2">
      <c r="A1243" s="518">
        <v>44105</v>
      </c>
      <c r="B1243" s="495">
        <f t="shared" si="8"/>
        <v>346634.44</v>
      </c>
      <c r="C1243" s="756">
        <v>346434.44</v>
      </c>
      <c r="D1243" s="757">
        <v>200</v>
      </c>
    </row>
    <row r="1244" spans="1:4" x14ac:dyDescent="0.2">
      <c r="A1244" s="518">
        <v>44106</v>
      </c>
      <c r="B1244" s="495">
        <f t="shared" si="8"/>
        <v>346390.75</v>
      </c>
      <c r="C1244" s="756">
        <v>346190.75</v>
      </c>
      <c r="D1244" s="757">
        <v>200</v>
      </c>
    </row>
    <row r="1245" spans="1:4" x14ac:dyDescent="0.2">
      <c r="A1245" s="518">
        <v>44109</v>
      </c>
      <c r="B1245" s="495">
        <f t="shared" si="8"/>
        <v>346313.83</v>
      </c>
      <c r="C1245" s="756">
        <v>346113.83</v>
      </c>
      <c r="D1245" s="757">
        <v>200</v>
      </c>
    </row>
    <row r="1246" spans="1:4" x14ac:dyDescent="0.2">
      <c r="A1246" s="518">
        <v>44110</v>
      </c>
      <c r="B1246" s="495">
        <f t="shared" si="8"/>
        <v>346084.99</v>
      </c>
      <c r="C1246" s="756">
        <v>345884.99</v>
      </c>
      <c r="D1246" s="757">
        <v>200</v>
      </c>
    </row>
    <row r="1247" spans="1:4" x14ac:dyDescent="0.2">
      <c r="A1247" s="518">
        <v>44111</v>
      </c>
      <c r="B1247" s="495">
        <f t="shared" si="8"/>
        <v>346085</v>
      </c>
      <c r="C1247" s="756">
        <v>345885</v>
      </c>
      <c r="D1247" s="757">
        <v>200</v>
      </c>
    </row>
    <row r="1248" spans="1:4" x14ac:dyDescent="0.2">
      <c r="A1248" s="518">
        <v>44112</v>
      </c>
      <c r="B1248" s="495">
        <f t="shared" si="8"/>
        <v>380839.99</v>
      </c>
      <c r="C1248" s="756">
        <v>380639.99</v>
      </c>
      <c r="D1248" s="757">
        <v>200</v>
      </c>
    </row>
    <row r="1249" spans="1:4" x14ac:dyDescent="0.2">
      <c r="A1249" s="518">
        <v>44113</v>
      </c>
      <c r="B1249" s="495">
        <f t="shared" si="8"/>
        <v>380840</v>
      </c>
      <c r="C1249" s="756">
        <v>380640</v>
      </c>
      <c r="D1249" s="757">
        <v>200</v>
      </c>
    </row>
    <row r="1250" spans="1:4" x14ac:dyDescent="0.2">
      <c r="A1250" s="518">
        <v>44116</v>
      </c>
      <c r="B1250" s="495">
        <f t="shared" si="8"/>
        <v>380840</v>
      </c>
      <c r="C1250" s="756">
        <v>380640</v>
      </c>
      <c r="D1250" s="757">
        <v>200</v>
      </c>
    </row>
    <row r="1251" spans="1:4" x14ac:dyDescent="0.2">
      <c r="A1251" s="518">
        <v>44117</v>
      </c>
      <c r="B1251" s="495">
        <f t="shared" si="8"/>
        <v>346182.3</v>
      </c>
      <c r="C1251" s="756">
        <v>345982.3</v>
      </c>
      <c r="D1251" s="757">
        <v>200</v>
      </c>
    </row>
    <row r="1252" spans="1:4" x14ac:dyDescent="0.2">
      <c r="A1252" s="518">
        <v>44118</v>
      </c>
      <c r="B1252" s="495">
        <f t="shared" si="8"/>
        <v>346103.46</v>
      </c>
      <c r="C1252" s="756">
        <v>345903.46</v>
      </c>
      <c r="D1252" s="757">
        <v>200</v>
      </c>
    </row>
    <row r="1253" spans="1:4" x14ac:dyDescent="0.2">
      <c r="A1253" s="518">
        <v>44119</v>
      </c>
      <c r="B1253" s="495">
        <f t="shared" si="8"/>
        <v>339569.88</v>
      </c>
      <c r="C1253" s="756">
        <v>339369.88</v>
      </c>
      <c r="D1253" s="757">
        <v>200</v>
      </c>
    </row>
    <row r="1254" spans="1:4" x14ac:dyDescent="0.2">
      <c r="A1254" s="518">
        <v>44120</v>
      </c>
      <c r="B1254" s="495">
        <f t="shared" si="8"/>
        <v>364967.49</v>
      </c>
      <c r="C1254" s="756">
        <v>364767.49</v>
      </c>
      <c r="D1254" s="757">
        <v>200</v>
      </c>
    </row>
    <row r="1255" spans="1:4" x14ac:dyDescent="0.2">
      <c r="A1255" s="518">
        <v>44123</v>
      </c>
      <c r="B1255" s="495">
        <f t="shared" si="8"/>
        <v>343525.33</v>
      </c>
      <c r="C1255" s="756">
        <v>343325.33</v>
      </c>
      <c r="D1255" s="757">
        <v>200</v>
      </c>
    </row>
    <row r="1256" spans="1:4" x14ac:dyDescent="0.2">
      <c r="A1256" s="518">
        <v>44124</v>
      </c>
      <c r="B1256" s="495">
        <f t="shared" si="8"/>
        <v>343525</v>
      </c>
      <c r="C1256" s="756">
        <v>343325</v>
      </c>
      <c r="D1256" s="757">
        <v>200</v>
      </c>
    </row>
    <row r="1257" spans="1:4" x14ac:dyDescent="0.2">
      <c r="A1257" s="518">
        <v>44125</v>
      </c>
      <c r="B1257" s="495">
        <f t="shared" si="8"/>
        <v>340413.21</v>
      </c>
      <c r="C1257" s="756">
        <v>340213.21</v>
      </c>
      <c r="D1257" s="757">
        <v>200</v>
      </c>
    </row>
    <row r="1258" spans="1:4" x14ac:dyDescent="0.2">
      <c r="A1258" s="518">
        <v>44126</v>
      </c>
      <c r="B1258" s="495">
        <f t="shared" si="8"/>
        <v>354245.2</v>
      </c>
      <c r="C1258" s="756">
        <v>354045.2</v>
      </c>
      <c r="D1258" s="757">
        <v>200</v>
      </c>
    </row>
    <row r="1259" spans="1:4" x14ac:dyDescent="0.2">
      <c r="A1259" s="518">
        <v>44127</v>
      </c>
      <c r="B1259" s="495">
        <f t="shared" si="8"/>
        <v>354086.35</v>
      </c>
      <c r="C1259" s="756">
        <v>353886.35</v>
      </c>
      <c r="D1259" s="757">
        <v>200</v>
      </c>
    </row>
    <row r="1260" spans="1:4" x14ac:dyDescent="0.2">
      <c r="A1260" s="518">
        <v>44130</v>
      </c>
      <c r="B1260" s="495">
        <f t="shared" si="8"/>
        <v>354086</v>
      </c>
      <c r="C1260" s="756">
        <v>353886</v>
      </c>
      <c r="D1260" s="757">
        <v>200</v>
      </c>
    </row>
    <row r="1261" spans="1:4" x14ac:dyDescent="0.2">
      <c r="A1261" s="518">
        <v>44131</v>
      </c>
      <c r="B1261" s="495">
        <f t="shared" si="8"/>
        <v>312941.49</v>
      </c>
      <c r="C1261" s="756">
        <v>312741.49</v>
      </c>
      <c r="D1261" s="757">
        <v>200</v>
      </c>
    </row>
    <row r="1262" spans="1:4" x14ac:dyDescent="0.2">
      <c r="A1262" s="518">
        <v>44132</v>
      </c>
      <c r="B1262" s="495">
        <f t="shared" si="8"/>
        <v>312941</v>
      </c>
      <c r="C1262" s="756">
        <v>312741</v>
      </c>
      <c r="D1262" s="757">
        <v>200</v>
      </c>
    </row>
    <row r="1263" spans="1:4" x14ac:dyDescent="0.2">
      <c r="A1263" s="518">
        <v>44133</v>
      </c>
      <c r="B1263" s="495">
        <f t="shared" ref="B1263:B1326" si="9">C1263+D1263</f>
        <v>312941</v>
      </c>
      <c r="C1263" s="756">
        <v>312741</v>
      </c>
      <c r="D1263" s="757">
        <v>200</v>
      </c>
    </row>
    <row r="1264" spans="1:4" x14ac:dyDescent="0.2">
      <c r="A1264" s="518">
        <v>44134</v>
      </c>
      <c r="B1264" s="495">
        <f t="shared" si="9"/>
        <v>336359.66</v>
      </c>
      <c r="C1264" s="756">
        <v>336159.66</v>
      </c>
      <c r="D1264" s="757">
        <v>200</v>
      </c>
    </row>
    <row r="1265" spans="1:4" x14ac:dyDescent="0.2">
      <c r="A1265" s="518">
        <v>44137</v>
      </c>
      <c r="B1265" s="495">
        <f t="shared" si="9"/>
        <v>336077.1</v>
      </c>
      <c r="C1265" s="756">
        <v>335877.1</v>
      </c>
      <c r="D1265" s="757">
        <v>200</v>
      </c>
    </row>
    <row r="1266" spans="1:4" x14ac:dyDescent="0.2">
      <c r="A1266" s="518">
        <v>44138</v>
      </c>
      <c r="B1266" s="495">
        <f t="shared" si="9"/>
        <v>336077</v>
      </c>
      <c r="C1266" s="756">
        <v>335877</v>
      </c>
      <c r="D1266" s="757">
        <v>200</v>
      </c>
    </row>
    <row r="1267" spans="1:4" x14ac:dyDescent="0.2">
      <c r="A1267" s="518">
        <v>44139</v>
      </c>
      <c r="B1267" s="495">
        <f t="shared" si="9"/>
        <v>328153.34999999998</v>
      </c>
      <c r="C1267" s="756">
        <v>327953.34999999998</v>
      </c>
      <c r="D1267" s="757">
        <v>200</v>
      </c>
    </row>
    <row r="1268" spans="1:4" x14ac:dyDescent="0.2">
      <c r="A1268" s="518">
        <v>44140</v>
      </c>
      <c r="B1268" s="495">
        <f t="shared" si="9"/>
        <v>328497.34999999998</v>
      </c>
      <c r="C1268" s="756">
        <v>328297.34999999998</v>
      </c>
      <c r="D1268" s="757">
        <v>200</v>
      </c>
    </row>
    <row r="1269" spans="1:4" x14ac:dyDescent="0.2">
      <c r="A1269" s="518">
        <v>44141</v>
      </c>
      <c r="B1269" s="495">
        <f t="shared" si="9"/>
        <v>327078.57</v>
      </c>
      <c r="C1269" s="756">
        <v>326878.57</v>
      </c>
      <c r="D1269" s="757">
        <v>200</v>
      </c>
    </row>
    <row r="1270" spans="1:4" x14ac:dyDescent="0.2">
      <c r="A1270" s="518">
        <v>44144</v>
      </c>
      <c r="B1270" s="495">
        <f t="shared" si="9"/>
        <v>293224.96000000002</v>
      </c>
      <c r="C1270" s="756">
        <v>293024.96000000002</v>
      </c>
      <c r="D1270" s="757">
        <v>200</v>
      </c>
    </row>
    <row r="1271" spans="1:4" x14ac:dyDescent="0.2">
      <c r="A1271" s="518">
        <v>44145</v>
      </c>
      <c r="B1271" s="495">
        <f t="shared" si="9"/>
        <v>297955.08</v>
      </c>
      <c r="C1271" s="756">
        <v>297755.08</v>
      </c>
      <c r="D1271" s="757">
        <v>200</v>
      </c>
    </row>
    <row r="1272" spans="1:4" x14ac:dyDescent="0.2">
      <c r="A1272" s="518">
        <v>44146</v>
      </c>
      <c r="B1272" s="495">
        <f t="shared" si="9"/>
        <v>297955</v>
      </c>
      <c r="C1272" s="756">
        <v>297755</v>
      </c>
      <c r="D1272" s="757">
        <v>200</v>
      </c>
    </row>
    <row r="1273" spans="1:4" x14ac:dyDescent="0.2">
      <c r="A1273" s="518">
        <v>44147</v>
      </c>
      <c r="B1273" s="495">
        <f t="shared" si="9"/>
        <v>301097.59000000003</v>
      </c>
      <c r="C1273" s="756">
        <v>300897.59000000003</v>
      </c>
      <c r="D1273" s="757">
        <v>200</v>
      </c>
    </row>
    <row r="1274" spans="1:4" x14ac:dyDescent="0.2">
      <c r="A1274" s="518">
        <v>44148</v>
      </c>
      <c r="B1274" s="495">
        <f t="shared" si="9"/>
        <v>300720.71000000002</v>
      </c>
      <c r="C1274" s="756">
        <v>300520.71000000002</v>
      </c>
      <c r="D1274" s="757">
        <v>200</v>
      </c>
    </row>
    <row r="1275" spans="1:4" x14ac:dyDescent="0.2">
      <c r="A1275" s="518">
        <v>44151</v>
      </c>
      <c r="B1275" s="495">
        <f t="shared" si="9"/>
        <v>300721</v>
      </c>
      <c r="C1275" s="756">
        <v>300521</v>
      </c>
      <c r="D1275" s="757">
        <v>200</v>
      </c>
    </row>
    <row r="1276" spans="1:4" x14ac:dyDescent="0.2">
      <c r="A1276" s="518">
        <v>44152</v>
      </c>
      <c r="B1276" s="495">
        <f t="shared" si="9"/>
        <v>300721</v>
      </c>
      <c r="C1276" s="756">
        <v>300521</v>
      </c>
      <c r="D1276" s="757">
        <v>200</v>
      </c>
    </row>
    <row r="1277" spans="1:4" x14ac:dyDescent="0.2">
      <c r="A1277" s="518">
        <v>44153</v>
      </c>
      <c r="B1277" s="495">
        <f t="shared" si="9"/>
        <v>298371.37</v>
      </c>
      <c r="C1277" s="756">
        <v>298171.37</v>
      </c>
      <c r="D1277" s="757">
        <v>200</v>
      </c>
    </row>
    <row r="1278" spans="1:4" x14ac:dyDescent="0.2">
      <c r="A1278" s="518">
        <v>44154</v>
      </c>
      <c r="B1278" s="495">
        <f t="shared" si="9"/>
        <v>298371</v>
      </c>
      <c r="C1278" s="756">
        <v>298171</v>
      </c>
      <c r="D1278" s="757">
        <v>200</v>
      </c>
    </row>
    <row r="1279" spans="1:4" x14ac:dyDescent="0.2">
      <c r="A1279" s="518">
        <v>44155</v>
      </c>
      <c r="B1279" s="495">
        <f t="shared" si="9"/>
        <v>297912.75</v>
      </c>
      <c r="C1279" s="756">
        <v>297712.75</v>
      </c>
      <c r="D1279" s="757">
        <v>200</v>
      </c>
    </row>
    <row r="1280" spans="1:4" x14ac:dyDescent="0.2">
      <c r="A1280" s="518">
        <v>44158</v>
      </c>
      <c r="B1280" s="495">
        <f t="shared" si="9"/>
        <v>260100.75</v>
      </c>
      <c r="C1280" s="756">
        <v>259900.75</v>
      </c>
      <c r="D1280" s="757">
        <v>200</v>
      </c>
    </row>
    <row r="1281" spans="1:4" x14ac:dyDescent="0.2">
      <c r="A1281" s="518">
        <v>44159</v>
      </c>
      <c r="B1281" s="495">
        <f t="shared" si="9"/>
        <v>260101</v>
      </c>
      <c r="C1281" s="756">
        <v>259901</v>
      </c>
      <c r="D1281" s="757">
        <v>200</v>
      </c>
    </row>
    <row r="1282" spans="1:4" x14ac:dyDescent="0.2">
      <c r="A1282" s="518">
        <v>44160</v>
      </c>
      <c r="B1282" s="495">
        <f t="shared" si="9"/>
        <v>259952.43</v>
      </c>
      <c r="C1282" s="756">
        <v>259752.43</v>
      </c>
      <c r="D1282" s="757">
        <v>200</v>
      </c>
    </row>
    <row r="1283" spans="1:4" x14ac:dyDescent="0.2">
      <c r="A1283" s="518">
        <v>44161</v>
      </c>
      <c r="B1283" s="495">
        <f t="shared" si="9"/>
        <v>259952</v>
      </c>
      <c r="C1283" s="756">
        <v>259752</v>
      </c>
      <c r="D1283" s="757">
        <v>200</v>
      </c>
    </row>
    <row r="1284" spans="1:4" x14ac:dyDescent="0.2">
      <c r="A1284" s="518">
        <v>44162</v>
      </c>
      <c r="B1284" s="495">
        <f t="shared" si="9"/>
        <v>261011.41</v>
      </c>
      <c r="C1284" s="756">
        <v>260811.41</v>
      </c>
      <c r="D1284" s="757">
        <v>200</v>
      </c>
    </row>
    <row r="1285" spans="1:4" x14ac:dyDescent="0.2">
      <c r="A1285" s="518">
        <v>44165</v>
      </c>
      <c r="B1285" s="495">
        <f t="shared" si="9"/>
        <v>256570.76</v>
      </c>
      <c r="C1285" s="756">
        <v>256370.76</v>
      </c>
      <c r="D1285" s="757">
        <v>200</v>
      </c>
    </row>
    <row r="1286" spans="1:4" x14ac:dyDescent="0.2">
      <c r="A1286" s="518">
        <v>44166</v>
      </c>
      <c r="B1286" s="495">
        <f t="shared" si="9"/>
        <v>256571</v>
      </c>
      <c r="C1286" s="756">
        <v>256371</v>
      </c>
      <c r="D1286" s="757">
        <v>200</v>
      </c>
    </row>
    <row r="1287" spans="1:4" x14ac:dyDescent="0.2">
      <c r="A1287" s="518">
        <v>44167</v>
      </c>
      <c r="B1287" s="495">
        <f t="shared" si="9"/>
        <v>343824.57</v>
      </c>
      <c r="C1287" s="756">
        <v>343624.57</v>
      </c>
      <c r="D1287" s="757">
        <v>200</v>
      </c>
    </row>
    <row r="1288" spans="1:4" x14ac:dyDescent="0.2">
      <c r="A1288" s="518">
        <v>44168</v>
      </c>
      <c r="B1288" s="495">
        <f t="shared" si="9"/>
        <v>348428.77</v>
      </c>
      <c r="C1288" s="756">
        <v>348228.77</v>
      </c>
      <c r="D1288" s="757">
        <v>200</v>
      </c>
    </row>
    <row r="1289" spans="1:4" x14ac:dyDescent="0.2">
      <c r="A1289" s="518">
        <v>44169</v>
      </c>
      <c r="B1289" s="495">
        <f t="shared" si="9"/>
        <v>348429</v>
      </c>
      <c r="C1289" s="756">
        <v>348229</v>
      </c>
      <c r="D1289" s="757">
        <v>200</v>
      </c>
    </row>
    <row r="1290" spans="1:4" x14ac:dyDescent="0.2">
      <c r="A1290" s="518">
        <v>44172</v>
      </c>
      <c r="B1290" s="495">
        <f t="shared" si="9"/>
        <v>313593.81</v>
      </c>
      <c r="C1290" s="756">
        <v>313393.81</v>
      </c>
      <c r="D1290" s="757">
        <v>200</v>
      </c>
    </row>
    <row r="1291" spans="1:4" x14ac:dyDescent="0.2">
      <c r="A1291" s="518">
        <v>44173</v>
      </c>
      <c r="B1291" s="495">
        <f t="shared" si="9"/>
        <v>320775.28999999998</v>
      </c>
      <c r="C1291" s="756">
        <v>320575.28999999998</v>
      </c>
      <c r="D1291" s="757">
        <v>200</v>
      </c>
    </row>
    <row r="1292" spans="1:4" x14ac:dyDescent="0.2">
      <c r="A1292" s="518">
        <v>44174</v>
      </c>
      <c r="B1292" s="495">
        <f t="shared" si="9"/>
        <v>321115.28999999998</v>
      </c>
      <c r="C1292" s="756">
        <v>320915.28999999998</v>
      </c>
      <c r="D1292" s="757">
        <v>200</v>
      </c>
    </row>
    <row r="1293" spans="1:4" x14ac:dyDescent="0.2">
      <c r="A1293" s="518">
        <v>44175</v>
      </c>
      <c r="B1293" s="495">
        <f t="shared" si="9"/>
        <v>314719.49</v>
      </c>
      <c r="C1293" s="756">
        <v>314519.49</v>
      </c>
      <c r="D1293" s="757">
        <v>200</v>
      </c>
    </row>
    <row r="1294" spans="1:4" x14ac:dyDescent="0.2">
      <c r="A1294" s="518">
        <v>44176</v>
      </c>
      <c r="B1294" s="495">
        <f t="shared" si="9"/>
        <v>317009.81</v>
      </c>
      <c r="C1294" s="756">
        <v>316809.81</v>
      </c>
      <c r="D1294" s="757">
        <v>200</v>
      </c>
    </row>
    <row r="1295" spans="1:4" x14ac:dyDescent="0.2">
      <c r="A1295" s="518">
        <v>44179</v>
      </c>
      <c r="B1295" s="495">
        <f t="shared" si="9"/>
        <v>316409.81</v>
      </c>
      <c r="C1295" s="756">
        <v>316209.81</v>
      </c>
      <c r="D1295" s="757">
        <v>200</v>
      </c>
    </row>
    <row r="1296" spans="1:4" x14ac:dyDescent="0.2">
      <c r="A1296" s="518">
        <v>44180</v>
      </c>
      <c r="B1296" s="495">
        <f t="shared" si="9"/>
        <v>316462.65000000002</v>
      </c>
      <c r="C1296" s="756">
        <v>316262.65000000002</v>
      </c>
      <c r="D1296" s="757">
        <v>200</v>
      </c>
    </row>
    <row r="1297" spans="1:4" x14ac:dyDescent="0.2">
      <c r="A1297" s="518">
        <v>44181</v>
      </c>
      <c r="B1297" s="495">
        <f t="shared" si="9"/>
        <v>337790.61</v>
      </c>
      <c r="C1297" s="756">
        <v>337590.61</v>
      </c>
      <c r="D1297" s="757">
        <v>200</v>
      </c>
    </row>
    <row r="1298" spans="1:4" x14ac:dyDescent="0.2">
      <c r="A1298" s="518">
        <v>44182</v>
      </c>
      <c r="B1298" s="495">
        <f t="shared" si="9"/>
        <v>337791</v>
      </c>
      <c r="C1298" s="756">
        <v>337591</v>
      </c>
      <c r="D1298" s="757">
        <v>200</v>
      </c>
    </row>
    <row r="1299" spans="1:4" x14ac:dyDescent="0.2">
      <c r="A1299" s="518">
        <v>44183</v>
      </c>
      <c r="B1299" s="495">
        <f t="shared" si="9"/>
        <v>337791</v>
      </c>
      <c r="C1299" s="756">
        <v>337591</v>
      </c>
      <c r="D1299" s="757">
        <v>200</v>
      </c>
    </row>
    <row r="1300" spans="1:4" x14ac:dyDescent="0.2">
      <c r="A1300" s="518">
        <v>44186</v>
      </c>
      <c r="B1300" s="495">
        <f t="shared" si="9"/>
        <v>304627.44</v>
      </c>
      <c r="C1300" s="756">
        <v>304427.44</v>
      </c>
      <c r="D1300" s="757">
        <v>200</v>
      </c>
    </row>
    <row r="1301" spans="1:4" x14ac:dyDescent="0.2">
      <c r="A1301" s="518">
        <v>44187</v>
      </c>
      <c r="B1301" s="495">
        <f t="shared" si="9"/>
        <v>304802.88</v>
      </c>
      <c r="C1301" s="756">
        <v>304602.88</v>
      </c>
      <c r="D1301" s="757">
        <v>200</v>
      </c>
    </row>
    <row r="1302" spans="1:4" x14ac:dyDescent="0.2">
      <c r="A1302" s="518">
        <v>44188</v>
      </c>
      <c r="B1302" s="495">
        <f t="shared" si="9"/>
        <v>304803</v>
      </c>
      <c r="C1302" s="756">
        <v>304603</v>
      </c>
      <c r="D1302" s="757">
        <v>200</v>
      </c>
    </row>
    <row r="1303" spans="1:4" x14ac:dyDescent="0.2">
      <c r="A1303" s="518">
        <v>44189</v>
      </c>
      <c r="B1303" s="495">
        <f t="shared" si="9"/>
        <v>338461.96</v>
      </c>
      <c r="C1303" s="756">
        <v>338261.96</v>
      </c>
      <c r="D1303" s="757">
        <v>200</v>
      </c>
    </row>
    <row r="1304" spans="1:4" x14ac:dyDescent="0.2">
      <c r="A1304" s="518">
        <v>44190</v>
      </c>
      <c r="B1304" s="495">
        <f t="shared" si="9"/>
        <v>338462</v>
      </c>
      <c r="C1304" s="756">
        <v>338262</v>
      </c>
      <c r="D1304" s="757">
        <v>200</v>
      </c>
    </row>
    <row r="1305" spans="1:4" x14ac:dyDescent="0.2">
      <c r="A1305" s="518">
        <v>44193</v>
      </c>
      <c r="B1305" s="495">
        <f t="shared" si="9"/>
        <v>373533.96</v>
      </c>
      <c r="C1305" s="756">
        <v>373333.96</v>
      </c>
      <c r="D1305" s="757">
        <v>200</v>
      </c>
    </row>
    <row r="1306" spans="1:4" x14ac:dyDescent="0.2">
      <c r="A1306" s="518">
        <v>44194</v>
      </c>
      <c r="B1306" s="495">
        <f t="shared" si="9"/>
        <v>373168.21</v>
      </c>
      <c r="C1306" s="756">
        <v>372968.21</v>
      </c>
      <c r="D1306" s="757">
        <v>200</v>
      </c>
    </row>
    <row r="1307" spans="1:4" x14ac:dyDescent="0.2">
      <c r="A1307" s="518">
        <v>44195</v>
      </c>
      <c r="B1307" s="495">
        <f t="shared" si="9"/>
        <v>375552.7</v>
      </c>
      <c r="C1307" s="756">
        <v>375352.7</v>
      </c>
      <c r="D1307" s="757">
        <v>200</v>
      </c>
    </row>
    <row r="1308" spans="1:4" x14ac:dyDescent="0.2">
      <c r="A1308" s="518">
        <v>44196</v>
      </c>
      <c r="B1308" s="495">
        <f t="shared" si="9"/>
        <v>397543.49</v>
      </c>
      <c r="C1308" s="756">
        <v>397343.49</v>
      </c>
      <c r="D1308" s="757">
        <v>200</v>
      </c>
    </row>
    <row r="1309" spans="1:4" x14ac:dyDescent="0.2">
      <c r="A1309" s="518">
        <v>44197</v>
      </c>
      <c r="B1309" s="495">
        <f t="shared" si="9"/>
        <v>397543</v>
      </c>
      <c r="C1309" s="756">
        <v>397343</v>
      </c>
      <c r="D1309" s="757">
        <v>200</v>
      </c>
    </row>
    <row r="1310" spans="1:4" x14ac:dyDescent="0.2">
      <c r="A1310" s="518">
        <v>44200</v>
      </c>
      <c r="B1310" s="495">
        <f t="shared" si="9"/>
        <v>380539.51</v>
      </c>
      <c r="C1310" s="756">
        <v>380339.51</v>
      </c>
      <c r="D1310" s="757">
        <v>200</v>
      </c>
    </row>
    <row r="1311" spans="1:4" x14ac:dyDescent="0.2">
      <c r="A1311" s="518">
        <v>44201</v>
      </c>
      <c r="B1311" s="495">
        <f t="shared" si="9"/>
        <v>349091.91</v>
      </c>
      <c r="C1311" s="756">
        <v>348891.91</v>
      </c>
      <c r="D1311" s="757">
        <v>200</v>
      </c>
    </row>
    <row r="1312" spans="1:4" x14ac:dyDescent="0.2">
      <c r="A1312" s="518">
        <v>44202</v>
      </c>
      <c r="B1312" s="495">
        <f t="shared" si="9"/>
        <v>349092</v>
      </c>
      <c r="C1312" s="756">
        <v>348892</v>
      </c>
      <c r="D1312" s="757">
        <v>200</v>
      </c>
    </row>
    <row r="1313" spans="1:4" x14ac:dyDescent="0.2">
      <c r="A1313" s="518">
        <v>44203</v>
      </c>
      <c r="B1313" s="495">
        <f t="shared" si="9"/>
        <v>409281.75</v>
      </c>
      <c r="C1313" s="756">
        <v>409081.75</v>
      </c>
      <c r="D1313" s="757">
        <v>200</v>
      </c>
    </row>
    <row r="1314" spans="1:4" x14ac:dyDescent="0.2">
      <c r="A1314" s="518">
        <v>44204</v>
      </c>
      <c r="B1314" s="495">
        <f t="shared" si="9"/>
        <v>408971.69</v>
      </c>
      <c r="C1314" s="756">
        <v>408771.69</v>
      </c>
      <c r="D1314" s="757">
        <v>200</v>
      </c>
    </row>
    <row r="1315" spans="1:4" x14ac:dyDescent="0.2">
      <c r="A1315" s="518">
        <v>44207</v>
      </c>
      <c r="B1315" s="495">
        <f t="shared" si="9"/>
        <v>408739.83</v>
      </c>
      <c r="C1315" s="756">
        <v>408539.83</v>
      </c>
      <c r="D1315" s="757">
        <v>200</v>
      </c>
    </row>
    <row r="1316" spans="1:4" x14ac:dyDescent="0.2">
      <c r="A1316" s="518">
        <v>44208</v>
      </c>
      <c r="B1316" s="495">
        <f t="shared" si="9"/>
        <v>401650.97</v>
      </c>
      <c r="C1316" s="756">
        <v>401450.97</v>
      </c>
      <c r="D1316" s="757">
        <v>200</v>
      </c>
    </row>
    <row r="1317" spans="1:4" x14ac:dyDescent="0.2">
      <c r="A1317" s="518">
        <v>44209</v>
      </c>
      <c r="B1317" s="495">
        <f t="shared" si="9"/>
        <v>413709.67</v>
      </c>
      <c r="C1317" s="756">
        <v>413509.67</v>
      </c>
      <c r="D1317" s="757">
        <v>200</v>
      </c>
    </row>
    <row r="1318" spans="1:4" x14ac:dyDescent="0.2">
      <c r="A1318" s="518">
        <v>44210</v>
      </c>
      <c r="B1318" s="495">
        <f t="shared" si="9"/>
        <v>412321.56</v>
      </c>
      <c r="C1318" s="756">
        <v>412121.56</v>
      </c>
      <c r="D1318" s="757">
        <v>200</v>
      </c>
    </row>
    <row r="1319" spans="1:4" x14ac:dyDescent="0.2">
      <c r="A1319" s="518">
        <v>44211</v>
      </c>
      <c r="B1319" s="495">
        <f t="shared" si="9"/>
        <v>412384.91</v>
      </c>
      <c r="C1319" s="756">
        <v>412184.91</v>
      </c>
      <c r="D1319" s="757">
        <v>200</v>
      </c>
    </row>
    <row r="1320" spans="1:4" x14ac:dyDescent="0.2">
      <c r="A1320" s="518">
        <v>44214</v>
      </c>
      <c r="B1320" s="495">
        <f t="shared" si="9"/>
        <v>412385</v>
      </c>
      <c r="C1320" s="756">
        <v>412185</v>
      </c>
      <c r="D1320" s="757">
        <v>200</v>
      </c>
    </row>
    <row r="1321" spans="1:4" x14ac:dyDescent="0.2">
      <c r="A1321" s="518">
        <v>44215</v>
      </c>
      <c r="B1321" s="495">
        <f t="shared" si="9"/>
        <v>417699.08</v>
      </c>
      <c r="C1321" s="756">
        <v>417499.08</v>
      </c>
      <c r="D1321" s="757">
        <v>200</v>
      </c>
    </row>
    <row r="1322" spans="1:4" x14ac:dyDescent="0.2">
      <c r="A1322" s="518">
        <v>44216</v>
      </c>
      <c r="B1322" s="554">
        <f t="shared" si="9"/>
        <v>417952.08</v>
      </c>
      <c r="C1322" s="756">
        <v>417752.08</v>
      </c>
      <c r="D1322" s="757">
        <v>200</v>
      </c>
    </row>
    <row r="1323" spans="1:4" x14ac:dyDescent="0.2">
      <c r="A1323" s="518">
        <v>44217</v>
      </c>
      <c r="B1323" s="495">
        <f t="shared" si="9"/>
        <v>402996.41</v>
      </c>
      <c r="C1323" s="756">
        <v>402796.41</v>
      </c>
      <c r="D1323" s="757">
        <v>200</v>
      </c>
    </row>
    <row r="1324" spans="1:4" x14ac:dyDescent="0.2">
      <c r="A1324" s="518">
        <v>44218</v>
      </c>
      <c r="B1324" s="495">
        <f t="shared" si="9"/>
        <v>402527.5</v>
      </c>
      <c r="C1324" s="756">
        <v>402327.5</v>
      </c>
      <c r="D1324" s="757">
        <v>200</v>
      </c>
    </row>
    <row r="1325" spans="1:4" x14ac:dyDescent="0.2">
      <c r="A1325" s="518">
        <v>44221</v>
      </c>
      <c r="B1325" s="495">
        <f t="shared" si="9"/>
        <v>402528</v>
      </c>
      <c r="C1325" s="756">
        <v>402328</v>
      </c>
      <c r="D1325" s="757">
        <v>200</v>
      </c>
    </row>
    <row r="1326" spans="1:4" x14ac:dyDescent="0.2">
      <c r="A1326" s="518">
        <v>44222</v>
      </c>
      <c r="B1326" s="495">
        <f t="shared" si="9"/>
        <v>399742.18</v>
      </c>
      <c r="C1326" s="756">
        <v>399542.18</v>
      </c>
      <c r="D1326" s="757">
        <v>200</v>
      </c>
    </row>
    <row r="1327" spans="1:4" x14ac:dyDescent="0.2">
      <c r="A1327" s="518">
        <v>44223</v>
      </c>
      <c r="B1327" s="495">
        <f t="shared" ref="B1327:B1390" si="10">C1327+D1327</f>
        <v>399886.18</v>
      </c>
      <c r="C1327" s="756">
        <v>399686.18</v>
      </c>
      <c r="D1327" s="757">
        <v>200</v>
      </c>
    </row>
    <row r="1328" spans="1:4" x14ac:dyDescent="0.2">
      <c r="A1328" s="518">
        <v>44224</v>
      </c>
      <c r="B1328" s="495">
        <f t="shared" si="10"/>
        <v>393628.47</v>
      </c>
      <c r="C1328" s="756">
        <v>393428.47</v>
      </c>
      <c r="D1328" s="757">
        <v>200</v>
      </c>
    </row>
    <row r="1329" spans="1:4" x14ac:dyDescent="0.2">
      <c r="A1329" s="518">
        <v>44225</v>
      </c>
      <c r="B1329" s="495">
        <f t="shared" si="10"/>
        <v>393628</v>
      </c>
      <c r="C1329" s="756">
        <v>393428</v>
      </c>
      <c r="D1329" s="757">
        <v>200</v>
      </c>
    </row>
    <row r="1330" spans="1:4" x14ac:dyDescent="0.2">
      <c r="A1330" s="518">
        <v>44228</v>
      </c>
      <c r="B1330" s="495">
        <f t="shared" si="10"/>
        <v>393628</v>
      </c>
      <c r="C1330" s="756">
        <v>393428</v>
      </c>
      <c r="D1330" s="757">
        <v>200</v>
      </c>
    </row>
    <row r="1331" spans="1:4" x14ac:dyDescent="0.2">
      <c r="A1331" s="518">
        <v>44229</v>
      </c>
      <c r="B1331" s="495">
        <f t="shared" si="10"/>
        <v>359326.4</v>
      </c>
      <c r="C1331" s="756">
        <v>359126.4</v>
      </c>
      <c r="D1331" s="757">
        <v>200</v>
      </c>
    </row>
    <row r="1332" spans="1:4" x14ac:dyDescent="0.2">
      <c r="A1332" s="518">
        <v>44230</v>
      </c>
      <c r="B1332" s="495">
        <f t="shared" si="10"/>
        <v>359521.7</v>
      </c>
      <c r="C1332" s="756">
        <v>359321.7</v>
      </c>
      <c r="D1332" s="757">
        <v>200</v>
      </c>
    </row>
    <row r="1333" spans="1:4" x14ac:dyDescent="0.2">
      <c r="A1333" s="518">
        <v>44231</v>
      </c>
      <c r="B1333" s="495">
        <f t="shared" si="10"/>
        <v>359522</v>
      </c>
      <c r="C1333" s="756">
        <v>359322</v>
      </c>
      <c r="D1333" s="757">
        <v>200</v>
      </c>
    </row>
    <row r="1334" spans="1:4" x14ac:dyDescent="0.2">
      <c r="A1334" s="518">
        <v>44232</v>
      </c>
      <c r="B1334" s="495">
        <f t="shared" si="10"/>
        <v>347055.28</v>
      </c>
      <c r="C1334" s="756">
        <v>346855.28</v>
      </c>
      <c r="D1334" s="757">
        <v>200</v>
      </c>
    </row>
    <row r="1335" spans="1:4" x14ac:dyDescent="0.2">
      <c r="A1335" s="518">
        <v>44235</v>
      </c>
      <c r="B1335" s="495">
        <f t="shared" si="10"/>
        <v>369629.13</v>
      </c>
      <c r="C1335" s="756">
        <v>369429.13</v>
      </c>
      <c r="D1335" s="757">
        <v>200</v>
      </c>
    </row>
    <row r="1336" spans="1:4" x14ac:dyDescent="0.2">
      <c r="A1336" s="518">
        <v>44236</v>
      </c>
      <c r="B1336" s="495">
        <f t="shared" si="10"/>
        <v>382278.77</v>
      </c>
      <c r="C1336" s="756">
        <v>382078.77</v>
      </c>
      <c r="D1336" s="757">
        <v>200</v>
      </c>
    </row>
    <row r="1337" spans="1:4" x14ac:dyDescent="0.2">
      <c r="A1337" s="518">
        <v>44237</v>
      </c>
      <c r="B1337" s="495">
        <f t="shared" si="10"/>
        <v>382279</v>
      </c>
      <c r="C1337" s="756">
        <v>382079</v>
      </c>
      <c r="D1337" s="757">
        <v>200</v>
      </c>
    </row>
    <row r="1338" spans="1:4" x14ac:dyDescent="0.2">
      <c r="A1338" s="518">
        <v>44238</v>
      </c>
      <c r="B1338" s="495">
        <f t="shared" si="10"/>
        <v>378310.6</v>
      </c>
      <c r="C1338" s="756">
        <v>378110.6</v>
      </c>
      <c r="D1338" s="757">
        <v>200</v>
      </c>
    </row>
    <row r="1339" spans="1:4" x14ac:dyDescent="0.2">
      <c r="A1339" s="518">
        <v>44239</v>
      </c>
      <c r="B1339" s="495">
        <f t="shared" si="10"/>
        <v>378369.91</v>
      </c>
      <c r="C1339" s="756">
        <v>378169.91</v>
      </c>
      <c r="D1339" s="757">
        <v>200</v>
      </c>
    </row>
    <row r="1340" spans="1:4" x14ac:dyDescent="0.2">
      <c r="A1340" s="518">
        <v>44242</v>
      </c>
      <c r="B1340" s="495">
        <f t="shared" si="10"/>
        <v>378370</v>
      </c>
      <c r="C1340" s="756">
        <v>378170</v>
      </c>
      <c r="D1340" s="757">
        <v>200</v>
      </c>
    </row>
    <row r="1341" spans="1:4" x14ac:dyDescent="0.2">
      <c r="A1341" s="518">
        <v>44243</v>
      </c>
      <c r="B1341" s="554">
        <f t="shared" si="10"/>
        <v>345442.81</v>
      </c>
      <c r="C1341" s="756">
        <v>345242.81</v>
      </c>
      <c r="D1341" s="757">
        <v>200</v>
      </c>
    </row>
    <row r="1342" spans="1:4" x14ac:dyDescent="0.2">
      <c r="A1342" s="518">
        <v>44244</v>
      </c>
      <c r="B1342" s="495">
        <f t="shared" si="10"/>
        <v>345443</v>
      </c>
      <c r="C1342" s="756">
        <v>345243</v>
      </c>
      <c r="D1342" s="757">
        <v>200</v>
      </c>
    </row>
    <row r="1343" spans="1:4" x14ac:dyDescent="0.2">
      <c r="A1343" s="518">
        <v>44245</v>
      </c>
      <c r="B1343" s="495">
        <f t="shared" si="10"/>
        <v>345443</v>
      </c>
      <c r="C1343" s="756">
        <v>345243</v>
      </c>
      <c r="D1343" s="757">
        <v>200</v>
      </c>
    </row>
    <row r="1344" spans="1:4" x14ac:dyDescent="0.2">
      <c r="A1344" s="518">
        <v>44246</v>
      </c>
      <c r="B1344" s="495">
        <f t="shared" si="10"/>
        <v>364859.97</v>
      </c>
      <c r="C1344" s="756">
        <v>364659.97</v>
      </c>
      <c r="D1344" s="757">
        <v>200</v>
      </c>
    </row>
    <row r="1345" spans="1:4" x14ac:dyDescent="0.2">
      <c r="A1345" s="518">
        <v>44249</v>
      </c>
      <c r="B1345" s="495">
        <f t="shared" si="10"/>
        <v>368452.97</v>
      </c>
      <c r="C1345" s="756">
        <v>368252.97</v>
      </c>
      <c r="D1345" s="757">
        <v>200</v>
      </c>
    </row>
    <row r="1346" spans="1:4" x14ac:dyDescent="0.2">
      <c r="A1346" s="518">
        <v>44250</v>
      </c>
      <c r="B1346" s="495">
        <f t="shared" si="10"/>
        <v>368407.65</v>
      </c>
      <c r="C1346" s="756">
        <v>368207.65</v>
      </c>
      <c r="D1346" s="757">
        <v>200</v>
      </c>
    </row>
    <row r="1347" spans="1:4" x14ac:dyDescent="0.2">
      <c r="A1347" s="518">
        <v>44251</v>
      </c>
      <c r="B1347" s="495">
        <f t="shared" si="10"/>
        <v>373249.01</v>
      </c>
      <c r="C1347" s="756">
        <v>373049.01</v>
      </c>
      <c r="D1347" s="757">
        <v>200</v>
      </c>
    </row>
    <row r="1348" spans="1:4" x14ac:dyDescent="0.2">
      <c r="A1348" s="518">
        <v>44252</v>
      </c>
      <c r="B1348" s="495">
        <f t="shared" si="10"/>
        <v>373249.01</v>
      </c>
      <c r="C1348" s="756">
        <v>373049.01</v>
      </c>
      <c r="D1348" s="757">
        <v>200</v>
      </c>
    </row>
    <row r="1349" spans="1:4" x14ac:dyDescent="0.2">
      <c r="A1349" s="518">
        <v>44253</v>
      </c>
      <c r="B1349" s="495">
        <f t="shared" si="10"/>
        <v>404359.4</v>
      </c>
      <c r="C1349" s="756">
        <v>404159.4</v>
      </c>
      <c r="D1349" s="757">
        <v>200</v>
      </c>
    </row>
    <row r="1350" spans="1:4" x14ac:dyDescent="0.2">
      <c r="A1350" s="518">
        <v>44256</v>
      </c>
      <c r="B1350" s="495">
        <f t="shared" si="10"/>
        <v>398860.85</v>
      </c>
      <c r="C1350" s="756">
        <v>398660.85</v>
      </c>
      <c r="D1350" s="757">
        <v>200</v>
      </c>
    </row>
    <row r="1351" spans="1:4" x14ac:dyDescent="0.2">
      <c r="A1351" s="518">
        <v>44257</v>
      </c>
      <c r="B1351" s="495">
        <f t="shared" si="10"/>
        <v>365079.52</v>
      </c>
      <c r="C1351" s="756">
        <v>364879.52</v>
      </c>
      <c r="D1351" s="757">
        <v>200</v>
      </c>
    </row>
    <row r="1352" spans="1:4" x14ac:dyDescent="0.2">
      <c r="A1352" s="518">
        <v>44258</v>
      </c>
      <c r="B1352" s="495">
        <f t="shared" si="10"/>
        <v>406124.9</v>
      </c>
      <c r="C1352" s="756">
        <v>405924.9</v>
      </c>
      <c r="D1352" s="757">
        <v>200</v>
      </c>
    </row>
    <row r="1353" spans="1:4" x14ac:dyDescent="0.2">
      <c r="A1353" s="518">
        <v>44259</v>
      </c>
      <c r="B1353" s="495">
        <f t="shared" si="10"/>
        <v>409953.76</v>
      </c>
      <c r="C1353" s="756">
        <v>409753.76</v>
      </c>
      <c r="D1353" s="757">
        <v>200</v>
      </c>
    </row>
    <row r="1354" spans="1:4" x14ac:dyDescent="0.2">
      <c r="A1354" s="518">
        <v>44260</v>
      </c>
      <c r="B1354" s="495">
        <f t="shared" si="10"/>
        <v>400983.29</v>
      </c>
      <c r="C1354" s="756">
        <v>400783.29</v>
      </c>
      <c r="D1354" s="757">
        <v>200</v>
      </c>
    </row>
    <row r="1355" spans="1:4" x14ac:dyDescent="0.2">
      <c r="A1355" s="518">
        <v>44263</v>
      </c>
      <c r="B1355" s="495">
        <f t="shared" si="10"/>
        <v>400983</v>
      </c>
      <c r="C1355" s="756">
        <v>400783</v>
      </c>
      <c r="D1355" s="757">
        <v>200</v>
      </c>
    </row>
    <row r="1356" spans="1:4" x14ac:dyDescent="0.2">
      <c r="A1356" s="518">
        <v>44264</v>
      </c>
      <c r="B1356" s="495">
        <f t="shared" si="10"/>
        <v>399908.16</v>
      </c>
      <c r="C1356" s="756">
        <v>399708.15999999997</v>
      </c>
      <c r="D1356" s="757">
        <v>200</v>
      </c>
    </row>
    <row r="1357" spans="1:4" x14ac:dyDescent="0.2">
      <c r="A1357" s="518">
        <v>44265</v>
      </c>
      <c r="B1357" s="495">
        <f t="shared" si="10"/>
        <v>399908</v>
      </c>
      <c r="C1357" s="756">
        <v>399708</v>
      </c>
      <c r="D1357" s="757">
        <v>200</v>
      </c>
    </row>
    <row r="1358" spans="1:4" x14ac:dyDescent="0.2">
      <c r="A1358" s="518">
        <v>44266</v>
      </c>
      <c r="B1358" s="495">
        <f t="shared" si="10"/>
        <v>399908</v>
      </c>
      <c r="C1358" s="756">
        <v>399708</v>
      </c>
      <c r="D1358" s="757">
        <v>200</v>
      </c>
    </row>
    <row r="1359" spans="1:4" x14ac:dyDescent="0.2">
      <c r="A1359" s="518">
        <v>44267</v>
      </c>
      <c r="B1359" s="495">
        <f t="shared" si="10"/>
        <v>399766.22</v>
      </c>
      <c r="C1359" s="756">
        <v>399566.22</v>
      </c>
      <c r="D1359" s="757">
        <v>200</v>
      </c>
    </row>
    <row r="1360" spans="1:4" x14ac:dyDescent="0.2">
      <c r="A1360" s="518">
        <v>44270</v>
      </c>
      <c r="B1360" s="495">
        <f t="shared" si="10"/>
        <v>366689.23</v>
      </c>
      <c r="C1360" s="756">
        <v>366489.23</v>
      </c>
      <c r="D1360" s="757">
        <v>200</v>
      </c>
    </row>
    <row r="1361" spans="1:4" x14ac:dyDescent="0.2">
      <c r="A1361" s="518">
        <v>44271</v>
      </c>
      <c r="B1361" s="495">
        <f t="shared" si="10"/>
        <v>392136.38</v>
      </c>
      <c r="C1361" s="756">
        <v>391936.38</v>
      </c>
      <c r="D1361" s="757">
        <v>200</v>
      </c>
    </row>
    <row r="1362" spans="1:4" x14ac:dyDescent="0.2">
      <c r="A1362" s="518">
        <v>44272</v>
      </c>
      <c r="B1362" s="495">
        <f t="shared" si="10"/>
        <v>414771.89</v>
      </c>
      <c r="C1362" s="756">
        <v>414571.89</v>
      </c>
      <c r="D1362" s="757">
        <v>200</v>
      </c>
    </row>
    <row r="1363" spans="1:4" x14ac:dyDescent="0.2">
      <c r="A1363" s="518">
        <v>44273</v>
      </c>
      <c r="B1363" s="495">
        <f t="shared" si="10"/>
        <v>442093.39</v>
      </c>
      <c r="C1363" s="756">
        <v>441893.39</v>
      </c>
      <c r="D1363" s="757">
        <v>200</v>
      </c>
    </row>
    <row r="1364" spans="1:4" x14ac:dyDescent="0.2">
      <c r="A1364" s="518">
        <v>44274</v>
      </c>
      <c r="B1364" s="495">
        <f t="shared" si="10"/>
        <v>439966.74</v>
      </c>
      <c r="C1364" s="756">
        <v>439766.74</v>
      </c>
      <c r="D1364" s="757">
        <v>200</v>
      </c>
    </row>
    <row r="1365" spans="1:4" x14ac:dyDescent="0.2">
      <c r="A1365" s="518">
        <v>44277</v>
      </c>
      <c r="B1365" s="495">
        <f t="shared" si="10"/>
        <v>439966.74</v>
      </c>
      <c r="C1365" s="756">
        <v>439766.74</v>
      </c>
      <c r="D1365" s="757">
        <v>200</v>
      </c>
    </row>
    <row r="1366" spans="1:4" x14ac:dyDescent="0.2">
      <c r="A1366" s="518">
        <v>44278</v>
      </c>
      <c r="B1366" s="495">
        <f t="shared" si="10"/>
        <v>439966.74</v>
      </c>
      <c r="C1366" s="756">
        <v>439766.74</v>
      </c>
      <c r="D1366" s="757">
        <v>200</v>
      </c>
    </row>
    <row r="1367" spans="1:4" x14ac:dyDescent="0.2">
      <c r="A1367" s="518">
        <v>44279</v>
      </c>
      <c r="B1367" s="495">
        <f t="shared" si="10"/>
        <v>440251.74</v>
      </c>
      <c r="C1367" s="756">
        <v>440051.74</v>
      </c>
      <c r="D1367" s="757">
        <v>200</v>
      </c>
    </row>
    <row r="1368" spans="1:4" x14ac:dyDescent="0.2">
      <c r="A1368" s="518">
        <v>44280</v>
      </c>
      <c r="B1368" s="495">
        <f t="shared" si="10"/>
        <v>440252</v>
      </c>
      <c r="C1368" s="756">
        <v>440052</v>
      </c>
      <c r="D1368" s="757">
        <v>200</v>
      </c>
    </row>
    <row r="1369" spans="1:4" x14ac:dyDescent="0.2">
      <c r="A1369" s="518">
        <v>44281</v>
      </c>
      <c r="B1369" s="495">
        <f t="shared" si="10"/>
        <v>424641.64</v>
      </c>
      <c r="C1369" s="756">
        <v>424441.64</v>
      </c>
      <c r="D1369" s="757">
        <v>200</v>
      </c>
    </row>
    <row r="1370" spans="1:4" x14ac:dyDescent="0.2">
      <c r="A1370" s="518">
        <v>44284</v>
      </c>
      <c r="B1370" s="495">
        <f t="shared" si="10"/>
        <v>527059.86</v>
      </c>
      <c r="C1370" s="756">
        <v>526859.86</v>
      </c>
      <c r="D1370" s="757">
        <v>200</v>
      </c>
    </row>
    <row r="1371" spans="1:4" x14ac:dyDescent="0.2">
      <c r="A1371" s="518">
        <v>44285</v>
      </c>
      <c r="B1371" s="495">
        <f t="shared" si="10"/>
        <v>552226.89</v>
      </c>
      <c r="C1371" s="756">
        <v>552026.89</v>
      </c>
      <c r="D1371" s="757">
        <v>200</v>
      </c>
    </row>
    <row r="1372" spans="1:4" x14ac:dyDescent="0.2">
      <c r="A1372" s="518">
        <v>44286</v>
      </c>
      <c r="B1372" s="495">
        <f t="shared" si="10"/>
        <v>552439.89</v>
      </c>
      <c r="C1372" s="756">
        <v>552239.89</v>
      </c>
      <c r="D1372" s="757">
        <v>200</v>
      </c>
    </row>
    <row r="1373" spans="1:4" x14ac:dyDescent="0.2">
      <c r="A1373" s="518">
        <v>44287</v>
      </c>
      <c r="B1373" s="495">
        <f t="shared" si="10"/>
        <v>552439.89</v>
      </c>
      <c r="C1373" s="756">
        <v>552239.89</v>
      </c>
      <c r="D1373" s="757">
        <v>200</v>
      </c>
    </row>
    <row r="1374" spans="1:4" x14ac:dyDescent="0.2">
      <c r="A1374" s="518">
        <v>44288</v>
      </c>
      <c r="B1374" s="495">
        <f t="shared" si="10"/>
        <v>552129.82999999996</v>
      </c>
      <c r="C1374" s="756">
        <v>551929.82999999996</v>
      </c>
      <c r="D1374" s="757">
        <v>200</v>
      </c>
    </row>
    <row r="1375" spans="1:4" x14ac:dyDescent="0.2">
      <c r="A1375" s="518">
        <v>44291</v>
      </c>
      <c r="B1375" s="495">
        <f t="shared" si="10"/>
        <v>552130</v>
      </c>
      <c r="C1375" s="756">
        <v>551930</v>
      </c>
      <c r="D1375" s="757">
        <v>200</v>
      </c>
    </row>
    <row r="1376" spans="1:4" x14ac:dyDescent="0.2">
      <c r="A1376" s="518">
        <v>44292</v>
      </c>
      <c r="B1376" s="495">
        <f t="shared" si="10"/>
        <v>552377.82999999996</v>
      </c>
      <c r="C1376" s="756">
        <v>552177.82999999996</v>
      </c>
      <c r="D1376" s="757">
        <v>200</v>
      </c>
    </row>
    <row r="1377" spans="1:4" x14ac:dyDescent="0.2">
      <c r="A1377" s="518">
        <v>44293</v>
      </c>
      <c r="B1377" s="495">
        <f t="shared" si="10"/>
        <v>552378</v>
      </c>
      <c r="C1377" s="756">
        <v>552178</v>
      </c>
      <c r="D1377" s="757">
        <v>200</v>
      </c>
    </row>
    <row r="1378" spans="1:4" x14ac:dyDescent="0.2">
      <c r="A1378" s="518">
        <v>44294</v>
      </c>
      <c r="B1378" s="554">
        <f t="shared" si="10"/>
        <v>553005.37</v>
      </c>
      <c r="C1378" s="756">
        <v>552805.37</v>
      </c>
      <c r="D1378" s="757">
        <v>200</v>
      </c>
    </row>
    <row r="1379" spans="1:4" x14ac:dyDescent="0.2">
      <c r="A1379" s="518">
        <v>44295</v>
      </c>
      <c r="B1379" s="495">
        <f t="shared" si="10"/>
        <v>553005</v>
      </c>
      <c r="C1379" s="756">
        <v>552805</v>
      </c>
      <c r="D1379" s="757">
        <v>200</v>
      </c>
    </row>
    <row r="1380" spans="1:4" x14ac:dyDescent="0.2">
      <c r="A1380" s="518">
        <v>44298</v>
      </c>
      <c r="B1380" s="495">
        <f t="shared" si="10"/>
        <v>536104.62</v>
      </c>
      <c r="C1380" s="756">
        <v>535904.62</v>
      </c>
      <c r="D1380" s="757">
        <v>200</v>
      </c>
    </row>
    <row r="1381" spans="1:4" x14ac:dyDescent="0.2">
      <c r="A1381" s="518">
        <v>44299</v>
      </c>
      <c r="B1381" s="495">
        <f t="shared" si="10"/>
        <v>503475.62</v>
      </c>
      <c r="C1381" s="756">
        <v>503275.62</v>
      </c>
      <c r="D1381" s="757">
        <v>200</v>
      </c>
    </row>
    <row r="1382" spans="1:4" x14ac:dyDescent="0.2">
      <c r="A1382" s="518">
        <v>44300</v>
      </c>
      <c r="B1382" s="495">
        <f t="shared" si="10"/>
        <v>515272.72</v>
      </c>
      <c r="C1382" s="756">
        <v>515072.72</v>
      </c>
      <c r="D1382" s="757">
        <v>200</v>
      </c>
    </row>
    <row r="1383" spans="1:4" x14ac:dyDescent="0.2">
      <c r="A1383" s="518">
        <v>44301</v>
      </c>
      <c r="B1383" s="495">
        <f t="shared" si="10"/>
        <v>519939.48</v>
      </c>
      <c r="C1383" s="756">
        <v>519739.48</v>
      </c>
      <c r="D1383" s="757">
        <v>200</v>
      </c>
    </row>
    <row r="1384" spans="1:4" x14ac:dyDescent="0.2">
      <c r="A1384" s="518">
        <v>44302</v>
      </c>
      <c r="B1384" s="495">
        <f t="shared" si="10"/>
        <v>518569.61</v>
      </c>
      <c r="C1384" s="756">
        <v>518369.61</v>
      </c>
      <c r="D1384" s="757">
        <v>200</v>
      </c>
    </row>
    <row r="1385" spans="1:4" x14ac:dyDescent="0.2">
      <c r="A1385" s="518">
        <v>44305</v>
      </c>
      <c r="B1385" s="495">
        <f t="shared" si="10"/>
        <v>518755.61</v>
      </c>
      <c r="C1385" s="756">
        <v>518555.61</v>
      </c>
      <c r="D1385" s="757">
        <v>200</v>
      </c>
    </row>
    <row r="1386" spans="1:4" x14ac:dyDescent="0.2">
      <c r="A1386" s="518">
        <v>44306</v>
      </c>
      <c r="B1386" s="495">
        <f t="shared" si="10"/>
        <v>518755.61</v>
      </c>
      <c r="C1386" s="756">
        <v>518555.61</v>
      </c>
      <c r="D1386" s="757">
        <v>200</v>
      </c>
    </row>
    <row r="1387" spans="1:4" x14ac:dyDescent="0.2">
      <c r="A1387" s="518">
        <v>44307</v>
      </c>
      <c r="B1387" s="495">
        <f t="shared" si="10"/>
        <v>518755.61</v>
      </c>
      <c r="C1387" s="756">
        <v>518555.61</v>
      </c>
      <c r="D1387" s="757">
        <v>200</v>
      </c>
    </row>
    <row r="1388" spans="1:4" x14ac:dyDescent="0.2">
      <c r="A1388" s="518">
        <v>44308</v>
      </c>
      <c r="B1388" s="495">
        <f t="shared" si="10"/>
        <v>507528.36</v>
      </c>
      <c r="C1388" s="756">
        <v>507328.36</v>
      </c>
      <c r="D1388" s="757">
        <v>200</v>
      </c>
    </row>
    <row r="1389" spans="1:4" x14ac:dyDescent="0.2">
      <c r="A1389" s="518">
        <v>44309</v>
      </c>
      <c r="B1389" s="495">
        <f t="shared" si="10"/>
        <v>506769.51</v>
      </c>
      <c r="C1389" s="756">
        <v>506569.51</v>
      </c>
      <c r="D1389" s="757">
        <v>200</v>
      </c>
    </row>
    <row r="1390" spans="1:4" x14ac:dyDescent="0.2">
      <c r="A1390" s="518">
        <v>44312</v>
      </c>
      <c r="B1390" s="495">
        <f t="shared" si="10"/>
        <v>506770</v>
      </c>
      <c r="C1390" s="756">
        <v>506570</v>
      </c>
      <c r="D1390" s="757">
        <v>200</v>
      </c>
    </row>
    <row r="1391" spans="1:4" x14ac:dyDescent="0.2">
      <c r="A1391" s="518">
        <v>44313</v>
      </c>
      <c r="B1391" s="495">
        <f t="shared" ref="B1391:B1454" si="11">C1391+D1391</f>
        <v>473061.43</v>
      </c>
      <c r="C1391" s="756">
        <v>472861.43</v>
      </c>
      <c r="D1391" s="757">
        <v>200</v>
      </c>
    </row>
    <row r="1392" spans="1:4" x14ac:dyDescent="0.2">
      <c r="A1392" s="518">
        <v>44314</v>
      </c>
      <c r="B1392" s="495">
        <f t="shared" si="11"/>
        <v>479261.62</v>
      </c>
      <c r="C1392" s="756">
        <v>479061.62</v>
      </c>
      <c r="D1392" s="757">
        <v>200</v>
      </c>
    </row>
    <row r="1393" spans="1:4" x14ac:dyDescent="0.2">
      <c r="A1393" s="518">
        <v>44315</v>
      </c>
      <c r="B1393" s="495">
        <f t="shared" si="11"/>
        <v>478222.46</v>
      </c>
      <c r="C1393" s="756">
        <v>478022.46</v>
      </c>
      <c r="D1393" s="757">
        <v>200</v>
      </c>
    </row>
    <row r="1394" spans="1:4" x14ac:dyDescent="0.2">
      <c r="A1394" s="518">
        <v>44316</v>
      </c>
      <c r="B1394" s="495">
        <f t="shared" si="11"/>
        <v>477922.01</v>
      </c>
      <c r="C1394" s="756">
        <v>477722.01</v>
      </c>
      <c r="D1394" s="757">
        <v>200</v>
      </c>
    </row>
    <row r="1395" spans="1:4" x14ac:dyDescent="0.2">
      <c r="A1395" s="518">
        <v>44319</v>
      </c>
      <c r="B1395" s="495">
        <f t="shared" si="11"/>
        <v>477922.01</v>
      </c>
      <c r="C1395" s="756">
        <v>477722.01</v>
      </c>
      <c r="D1395" s="757">
        <v>200</v>
      </c>
    </row>
    <row r="1396" spans="1:4" x14ac:dyDescent="0.2">
      <c r="A1396" s="518">
        <v>44320</v>
      </c>
      <c r="B1396" s="495">
        <f t="shared" si="11"/>
        <v>477922.01</v>
      </c>
      <c r="C1396" s="756">
        <v>477722.01</v>
      </c>
      <c r="D1396" s="757">
        <v>200</v>
      </c>
    </row>
    <row r="1397" spans="1:4" x14ac:dyDescent="0.2">
      <c r="A1397" s="518">
        <v>44321</v>
      </c>
      <c r="B1397" s="495">
        <f t="shared" si="11"/>
        <v>477922.01</v>
      </c>
      <c r="C1397" s="756">
        <v>477722.01</v>
      </c>
      <c r="D1397" s="757">
        <v>200</v>
      </c>
    </row>
    <row r="1398" spans="1:4" x14ac:dyDescent="0.2">
      <c r="A1398" s="518">
        <v>44322</v>
      </c>
      <c r="B1398" s="495">
        <f t="shared" si="11"/>
        <v>477922.01</v>
      </c>
      <c r="C1398" s="756">
        <v>477722.01</v>
      </c>
      <c r="D1398" s="757">
        <v>200</v>
      </c>
    </row>
    <row r="1399" spans="1:4" x14ac:dyDescent="0.2">
      <c r="A1399" s="518">
        <v>44323</v>
      </c>
      <c r="B1399" s="495">
        <f t="shared" si="11"/>
        <v>463576.89</v>
      </c>
      <c r="C1399" s="756">
        <v>463376.89</v>
      </c>
      <c r="D1399" s="757">
        <v>200</v>
      </c>
    </row>
    <row r="1400" spans="1:4" x14ac:dyDescent="0.2">
      <c r="A1400" s="518">
        <v>44326</v>
      </c>
      <c r="B1400" s="495">
        <f t="shared" si="11"/>
        <v>473954.09</v>
      </c>
      <c r="C1400" s="756">
        <v>473754.09</v>
      </c>
      <c r="D1400" s="757">
        <v>200</v>
      </c>
    </row>
    <row r="1401" spans="1:4" x14ac:dyDescent="0.2">
      <c r="A1401" s="518">
        <v>44327</v>
      </c>
      <c r="B1401" s="495">
        <f t="shared" si="11"/>
        <v>520561.7</v>
      </c>
      <c r="C1401" s="756">
        <v>520361.7</v>
      </c>
      <c r="D1401" s="757">
        <v>200</v>
      </c>
    </row>
    <row r="1402" spans="1:4" x14ac:dyDescent="0.2">
      <c r="A1402" s="518">
        <v>44328</v>
      </c>
      <c r="B1402" s="495">
        <f t="shared" si="11"/>
        <v>520562</v>
      </c>
      <c r="C1402" s="756">
        <v>520362</v>
      </c>
      <c r="D1402" s="757">
        <v>200</v>
      </c>
    </row>
    <row r="1403" spans="1:4" x14ac:dyDescent="0.2">
      <c r="A1403" s="518">
        <v>44329</v>
      </c>
      <c r="B1403" s="495">
        <f t="shared" si="11"/>
        <v>525995.02</v>
      </c>
      <c r="C1403" s="756">
        <v>525795.02</v>
      </c>
      <c r="D1403" s="757">
        <v>200</v>
      </c>
    </row>
    <row r="1404" spans="1:4" x14ac:dyDescent="0.2">
      <c r="A1404" s="518">
        <v>44330</v>
      </c>
      <c r="B1404" s="495">
        <f t="shared" si="11"/>
        <v>521947.98</v>
      </c>
      <c r="C1404" s="756">
        <v>521747.98</v>
      </c>
      <c r="D1404" s="757">
        <v>200</v>
      </c>
    </row>
    <row r="1405" spans="1:4" x14ac:dyDescent="0.2">
      <c r="A1405" s="518">
        <v>44333</v>
      </c>
      <c r="B1405" s="495">
        <f t="shared" si="11"/>
        <v>521948</v>
      </c>
      <c r="C1405" s="756">
        <v>521748</v>
      </c>
      <c r="D1405" s="757">
        <v>200</v>
      </c>
    </row>
    <row r="1406" spans="1:4" x14ac:dyDescent="0.2">
      <c r="A1406" s="518">
        <v>44334</v>
      </c>
      <c r="B1406" s="495">
        <f t="shared" si="11"/>
        <v>521948</v>
      </c>
      <c r="C1406" s="756">
        <v>521748</v>
      </c>
      <c r="D1406" s="757">
        <v>200</v>
      </c>
    </row>
    <row r="1407" spans="1:4" x14ac:dyDescent="0.2">
      <c r="A1407" s="518">
        <v>44335</v>
      </c>
      <c r="B1407" s="495">
        <f t="shared" si="11"/>
        <v>522186.98</v>
      </c>
      <c r="C1407" s="756">
        <v>521986.98</v>
      </c>
      <c r="D1407" s="757">
        <v>200</v>
      </c>
    </row>
    <row r="1408" spans="1:4" x14ac:dyDescent="0.2">
      <c r="A1408" s="518">
        <v>44336</v>
      </c>
      <c r="B1408" s="495">
        <f t="shared" si="11"/>
        <v>518466.54</v>
      </c>
      <c r="C1408" s="756">
        <v>518266.54</v>
      </c>
      <c r="D1408" s="757">
        <v>200</v>
      </c>
    </row>
    <row r="1409" spans="1:4" x14ac:dyDescent="0.2">
      <c r="A1409" s="518">
        <v>44337</v>
      </c>
      <c r="B1409" s="495">
        <f t="shared" si="11"/>
        <v>518467</v>
      </c>
      <c r="C1409" s="756">
        <v>518267</v>
      </c>
      <c r="D1409" s="757">
        <v>200</v>
      </c>
    </row>
    <row r="1410" spans="1:4" x14ac:dyDescent="0.2">
      <c r="A1410" s="518">
        <v>44340</v>
      </c>
      <c r="B1410" s="495">
        <f t="shared" si="11"/>
        <v>486541.35</v>
      </c>
      <c r="C1410" s="756">
        <v>486341.35</v>
      </c>
      <c r="D1410" s="757">
        <v>200</v>
      </c>
    </row>
    <row r="1411" spans="1:4" x14ac:dyDescent="0.2">
      <c r="A1411" s="518">
        <v>44341</v>
      </c>
      <c r="B1411" s="495">
        <f t="shared" si="11"/>
        <v>486541</v>
      </c>
      <c r="C1411" s="756">
        <v>486341</v>
      </c>
      <c r="D1411" s="757">
        <v>200</v>
      </c>
    </row>
    <row r="1412" spans="1:4" x14ac:dyDescent="0.2">
      <c r="A1412" s="518">
        <v>44342</v>
      </c>
      <c r="B1412" s="495">
        <f t="shared" si="11"/>
        <v>512462.15</v>
      </c>
      <c r="C1412" s="756">
        <v>512262.15</v>
      </c>
      <c r="D1412" s="757">
        <v>200</v>
      </c>
    </row>
    <row r="1413" spans="1:4" x14ac:dyDescent="0.2">
      <c r="A1413" s="518">
        <v>44343</v>
      </c>
      <c r="B1413" s="495">
        <f t="shared" si="11"/>
        <v>512462</v>
      </c>
      <c r="C1413" s="756">
        <v>512262</v>
      </c>
      <c r="D1413" s="757">
        <v>200</v>
      </c>
    </row>
    <row r="1414" spans="1:4" x14ac:dyDescent="0.2">
      <c r="A1414" s="518">
        <v>44344</v>
      </c>
      <c r="B1414" s="495">
        <f t="shared" si="11"/>
        <v>513609.04</v>
      </c>
      <c r="C1414" s="756">
        <v>513409.04</v>
      </c>
      <c r="D1414" s="757">
        <v>200</v>
      </c>
    </row>
    <row r="1415" spans="1:4" x14ac:dyDescent="0.2">
      <c r="A1415" s="518">
        <v>44347</v>
      </c>
      <c r="B1415" s="495">
        <f t="shared" si="11"/>
        <v>513609</v>
      </c>
      <c r="C1415" s="756">
        <v>513409</v>
      </c>
      <c r="D1415" s="757">
        <v>200</v>
      </c>
    </row>
    <row r="1416" spans="1:4" x14ac:dyDescent="0.2">
      <c r="A1416" s="518">
        <v>44348</v>
      </c>
      <c r="B1416" s="495">
        <f t="shared" si="11"/>
        <v>513579.05</v>
      </c>
      <c r="C1416" s="756">
        <v>513379.05</v>
      </c>
      <c r="D1416" s="757">
        <v>200</v>
      </c>
    </row>
    <row r="1417" spans="1:4" x14ac:dyDescent="0.2">
      <c r="A1417" s="518">
        <v>44349</v>
      </c>
      <c r="B1417" s="495">
        <f t="shared" si="11"/>
        <v>514399.44</v>
      </c>
      <c r="C1417" s="756">
        <v>514199.44</v>
      </c>
      <c r="D1417" s="757">
        <v>200</v>
      </c>
    </row>
    <row r="1418" spans="1:4" x14ac:dyDescent="0.2">
      <c r="A1418" s="518">
        <v>44350</v>
      </c>
      <c r="B1418" s="495">
        <f t="shared" si="11"/>
        <v>501741.57</v>
      </c>
      <c r="C1418" s="756">
        <v>501541.57</v>
      </c>
      <c r="D1418" s="757">
        <v>200</v>
      </c>
    </row>
    <row r="1419" spans="1:4" x14ac:dyDescent="0.2">
      <c r="A1419" s="518">
        <v>44351</v>
      </c>
      <c r="B1419" s="495">
        <f t="shared" si="11"/>
        <v>501742</v>
      </c>
      <c r="C1419" s="756">
        <v>501542</v>
      </c>
      <c r="D1419" s="757">
        <v>200</v>
      </c>
    </row>
    <row r="1420" spans="1:4" x14ac:dyDescent="0.2">
      <c r="A1420" s="518">
        <v>44354</v>
      </c>
      <c r="B1420" s="495">
        <f t="shared" si="11"/>
        <v>502500.51</v>
      </c>
      <c r="C1420" s="756">
        <v>502300.51</v>
      </c>
      <c r="D1420" s="757">
        <v>200</v>
      </c>
    </row>
    <row r="1421" spans="1:4" x14ac:dyDescent="0.2">
      <c r="A1421" s="518">
        <v>44355</v>
      </c>
      <c r="B1421" s="495">
        <f t="shared" si="11"/>
        <v>502953.51</v>
      </c>
      <c r="C1421" s="756">
        <v>502753.51</v>
      </c>
      <c r="D1421" s="757">
        <v>200</v>
      </c>
    </row>
    <row r="1422" spans="1:4" x14ac:dyDescent="0.2">
      <c r="A1422" s="518">
        <v>44356</v>
      </c>
      <c r="B1422" s="495">
        <f t="shared" si="11"/>
        <v>502954</v>
      </c>
      <c r="C1422" s="756">
        <v>502754</v>
      </c>
      <c r="D1422" s="757">
        <v>200</v>
      </c>
    </row>
    <row r="1423" spans="1:4" x14ac:dyDescent="0.2">
      <c r="A1423" s="518">
        <v>44357</v>
      </c>
      <c r="B1423" s="495">
        <f t="shared" si="11"/>
        <v>483592.4</v>
      </c>
      <c r="C1423" s="756">
        <v>483392.4</v>
      </c>
      <c r="D1423" s="757">
        <v>200</v>
      </c>
    </row>
    <row r="1424" spans="1:4" x14ac:dyDescent="0.2">
      <c r="A1424" s="518">
        <v>44358</v>
      </c>
      <c r="B1424" s="495">
        <f t="shared" si="11"/>
        <v>483291.95</v>
      </c>
      <c r="C1424" s="756">
        <v>483091.95</v>
      </c>
      <c r="D1424" s="757">
        <v>200</v>
      </c>
    </row>
    <row r="1425" spans="1:4" x14ac:dyDescent="0.2">
      <c r="A1425" s="518">
        <v>44361</v>
      </c>
      <c r="B1425" s="495">
        <f t="shared" si="11"/>
        <v>495768.59</v>
      </c>
      <c r="C1425" s="756">
        <v>495568.59</v>
      </c>
      <c r="D1425" s="757">
        <v>200</v>
      </c>
    </row>
    <row r="1426" spans="1:4" x14ac:dyDescent="0.2">
      <c r="A1426" s="518">
        <v>44362</v>
      </c>
      <c r="B1426" s="495">
        <f t="shared" si="11"/>
        <v>495822.72</v>
      </c>
      <c r="C1426" s="756">
        <v>495622.72</v>
      </c>
      <c r="D1426" s="757">
        <v>200</v>
      </c>
    </row>
    <row r="1427" spans="1:4" x14ac:dyDescent="0.2">
      <c r="A1427" s="518">
        <v>44363</v>
      </c>
      <c r="B1427" s="495">
        <f t="shared" si="11"/>
        <v>520028.1</v>
      </c>
      <c r="C1427" s="756">
        <v>519828.1</v>
      </c>
      <c r="D1427" s="757">
        <v>200</v>
      </c>
    </row>
    <row r="1428" spans="1:4" x14ac:dyDescent="0.2">
      <c r="A1428" s="518">
        <v>44364</v>
      </c>
      <c r="B1428" s="495">
        <f t="shared" si="11"/>
        <v>517161.8</v>
      </c>
      <c r="C1428" s="756">
        <v>516961.8</v>
      </c>
      <c r="D1428" s="757">
        <v>200</v>
      </c>
    </row>
    <row r="1429" spans="1:4" x14ac:dyDescent="0.2">
      <c r="A1429" s="518">
        <v>44365</v>
      </c>
      <c r="B1429" s="495">
        <f t="shared" si="11"/>
        <v>518094.91</v>
      </c>
      <c r="C1429" s="756">
        <v>517894.91</v>
      </c>
      <c r="D1429" s="757">
        <v>200</v>
      </c>
    </row>
    <row r="1430" spans="1:4" x14ac:dyDescent="0.2">
      <c r="A1430" s="518">
        <v>44368</v>
      </c>
      <c r="B1430" s="495">
        <f t="shared" si="11"/>
        <v>484042.38</v>
      </c>
      <c r="C1430" s="756">
        <v>483842.38</v>
      </c>
      <c r="D1430" s="757">
        <v>200</v>
      </c>
    </row>
    <row r="1431" spans="1:4" x14ac:dyDescent="0.2">
      <c r="A1431" s="518">
        <v>44369</v>
      </c>
      <c r="B1431" s="495">
        <f t="shared" si="11"/>
        <v>497746.99</v>
      </c>
      <c r="C1431" s="756">
        <v>497546.99</v>
      </c>
      <c r="D1431" s="757">
        <v>200</v>
      </c>
    </row>
    <row r="1432" spans="1:4" x14ac:dyDescent="0.2">
      <c r="A1432" s="518">
        <v>44370</v>
      </c>
      <c r="B1432" s="495">
        <f t="shared" si="11"/>
        <v>497747</v>
      </c>
      <c r="C1432" s="756">
        <v>497547</v>
      </c>
      <c r="D1432" s="757">
        <v>200</v>
      </c>
    </row>
    <row r="1433" spans="1:4" x14ac:dyDescent="0.2">
      <c r="A1433" s="518">
        <v>44371</v>
      </c>
      <c r="B1433" s="495">
        <f t="shared" si="11"/>
        <v>495381.8</v>
      </c>
      <c r="C1433" s="756">
        <v>495181.8</v>
      </c>
      <c r="D1433" s="757">
        <v>200</v>
      </c>
    </row>
    <row r="1434" spans="1:4" x14ac:dyDescent="0.2">
      <c r="A1434" s="518">
        <v>44372</v>
      </c>
      <c r="B1434" s="495">
        <f t="shared" si="11"/>
        <v>495081.35</v>
      </c>
      <c r="C1434" s="756">
        <v>494881.35</v>
      </c>
      <c r="D1434" s="757">
        <v>200</v>
      </c>
    </row>
    <row r="1435" spans="1:4" x14ac:dyDescent="0.2">
      <c r="A1435" s="518">
        <v>44375</v>
      </c>
      <c r="B1435" s="495">
        <f t="shared" si="11"/>
        <v>495055.65</v>
      </c>
      <c r="C1435" s="756">
        <v>494855.65</v>
      </c>
      <c r="D1435" s="757">
        <v>200</v>
      </c>
    </row>
    <row r="1436" spans="1:4" x14ac:dyDescent="0.2">
      <c r="A1436" s="518">
        <v>44376</v>
      </c>
      <c r="B1436" s="495">
        <f t="shared" si="11"/>
        <v>495056</v>
      </c>
      <c r="C1436" s="756">
        <v>494856</v>
      </c>
      <c r="D1436" s="757">
        <v>200</v>
      </c>
    </row>
    <row r="1437" spans="1:4" x14ac:dyDescent="0.2">
      <c r="A1437" s="518">
        <v>44377</v>
      </c>
      <c r="B1437" s="495">
        <f t="shared" si="11"/>
        <v>497588.94</v>
      </c>
      <c r="C1437" s="756">
        <v>497388.94</v>
      </c>
      <c r="D1437" s="757">
        <v>200</v>
      </c>
    </row>
    <row r="1438" spans="1:4" x14ac:dyDescent="0.2">
      <c r="A1438" s="518">
        <v>44378</v>
      </c>
      <c r="B1438" s="495">
        <f t="shared" si="11"/>
        <v>488300.76</v>
      </c>
      <c r="C1438" s="756">
        <v>488100.76</v>
      </c>
      <c r="D1438" s="757">
        <v>200</v>
      </c>
    </row>
    <row r="1439" spans="1:4" x14ac:dyDescent="0.2">
      <c r="A1439" s="518">
        <v>44379</v>
      </c>
      <c r="B1439" s="495">
        <f t="shared" si="11"/>
        <v>488301</v>
      </c>
      <c r="C1439" s="756">
        <v>488101</v>
      </c>
      <c r="D1439" s="757">
        <v>200</v>
      </c>
    </row>
    <row r="1440" spans="1:4" x14ac:dyDescent="0.2">
      <c r="A1440" s="518">
        <v>44382</v>
      </c>
      <c r="B1440" s="495">
        <f t="shared" si="11"/>
        <v>488301</v>
      </c>
      <c r="C1440" s="756">
        <v>488101</v>
      </c>
      <c r="D1440" s="757">
        <v>200</v>
      </c>
    </row>
    <row r="1441" spans="1:4" x14ac:dyDescent="0.2">
      <c r="A1441" s="518">
        <v>44383</v>
      </c>
      <c r="B1441" s="495">
        <f t="shared" si="11"/>
        <v>453460.75</v>
      </c>
      <c r="C1441" s="756">
        <v>453260.75</v>
      </c>
      <c r="D1441" s="757">
        <v>200</v>
      </c>
    </row>
    <row r="1442" spans="1:4" x14ac:dyDescent="0.2">
      <c r="A1442" s="518">
        <v>44384</v>
      </c>
      <c r="B1442" s="495">
        <f t="shared" si="11"/>
        <v>453461</v>
      </c>
      <c r="C1442" s="756">
        <v>453261</v>
      </c>
      <c r="D1442" s="757">
        <v>200</v>
      </c>
    </row>
    <row r="1443" spans="1:4" x14ac:dyDescent="0.2">
      <c r="A1443" s="518">
        <v>44385</v>
      </c>
      <c r="B1443" s="495">
        <f t="shared" si="11"/>
        <v>453914.75</v>
      </c>
      <c r="C1443" s="756">
        <v>453714.75</v>
      </c>
      <c r="D1443" s="757">
        <v>200</v>
      </c>
    </row>
    <row r="1444" spans="1:4" x14ac:dyDescent="0.2">
      <c r="A1444" s="518">
        <v>44386</v>
      </c>
      <c r="B1444" s="495">
        <f t="shared" si="11"/>
        <v>451808.36</v>
      </c>
      <c r="C1444" s="756">
        <v>451608.36</v>
      </c>
      <c r="D1444" s="757">
        <v>200</v>
      </c>
    </row>
    <row r="1445" spans="1:4" x14ac:dyDescent="0.2">
      <c r="A1445" s="518">
        <v>44389</v>
      </c>
      <c r="B1445" s="495">
        <f t="shared" si="11"/>
        <v>451808</v>
      </c>
      <c r="C1445" s="756">
        <v>451608</v>
      </c>
      <c r="D1445" s="757">
        <v>200</v>
      </c>
    </row>
    <row r="1446" spans="1:4" x14ac:dyDescent="0.2">
      <c r="A1446" s="518">
        <v>44390</v>
      </c>
      <c r="B1446" s="495">
        <f t="shared" si="11"/>
        <v>452941.65</v>
      </c>
      <c r="C1446" s="756">
        <v>452741.65</v>
      </c>
      <c r="D1446" s="757">
        <v>200</v>
      </c>
    </row>
    <row r="1447" spans="1:4" x14ac:dyDescent="0.2">
      <c r="A1447" s="518">
        <v>44391</v>
      </c>
      <c r="B1447" s="495">
        <f t="shared" si="11"/>
        <v>453131.97</v>
      </c>
      <c r="C1447" s="756">
        <v>452931.97</v>
      </c>
      <c r="D1447" s="757">
        <v>200</v>
      </c>
    </row>
    <row r="1448" spans="1:4" x14ac:dyDescent="0.2">
      <c r="A1448" s="518">
        <v>44392</v>
      </c>
      <c r="B1448" s="495">
        <f t="shared" si="11"/>
        <v>453180.49</v>
      </c>
      <c r="C1448" s="756">
        <v>452980.49</v>
      </c>
      <c r="D1448" s="757">
        <v>200</v>
      </c>
    </row>
    <row r="1449" spans="1:4" x14ac:dyDescent="0.2">
      <c r="A1449" s="518">
        <v>44393</v>
      </c>
      <c r="B1449" s="495">
        <f t="shared" si="11"/>
        <v>453180</v>
      </c>
      <c r="C1449" s="756">
        <v>452980</v>
      </c>
      <c r="D1449" s="757">
        <v>200</v>
      </c>
    </row>
    <row r="1450" spans="1:4" x14ac:dyDescent="0.2">
      <c r="A1450" s="518">
        <v>44396</v>
      </c>
      <c r="B1450" s="495">
        <f t="shared" si="11"/>
        <v>436299.85</v>
      </c>
      <c r="C1450" s="756">
        <v>436099.85</v>
      </c>
      <c r="D1450" s="757">
        <v>200</v>
      </c>
    </row>
    <row r="1451" spans="1:4" x14ac:dyDescent="0.2">
      <c r="A1451" s="518">
        <v>44397</v>
      </c>
      <c r="B1451" s="495">
        <f t="shared" si="11"/>
        <v>400936.9</v>
      </c>
      <c r="C1451" s="756">
        <v>400736.9</v>
      </c>
      <c r="D1451" s="757">
        <v>200</v>
      </c>
    </row>
    <row r="1452" spans="1:4" x14ac:dyDescent="0.2">
      <c r="A1452" s="518">
        <v>44398</v>
      </c>
      <c r="B1452" s="495">
        <f t="shared" si="11"/>
        <v>400937</v>
      </c>
      <c r="C1452" s="756">
        <v>400737</v>
      </c>
      <c r="D1452" s="757">
        <v>200</v>
      </c>
    </row>
    <row r="1453" spans="1:4" x14ac:dyDescent="0.2">
      <c r="A1453" s="518">
        <v>44399</v>
      </c>
      <c r="B1453" s="495">
        <f t="shared" si="11"/>
        <v>298716.2</v>
      </c>
      <c r="C1453" s="756">
        <v>298516.2</v>
      </c>
      <c r="D1453" s="757">
        <v>200</v>
      </c>
    </row>
    <row r="1454" spans="1:4" x14ac:dyDescent="0.2">
      <c r="A1454" s="518">
        <v>44400</v>
      </c>
      <c r="B1454" s="495">
        <f t="shared" si="11"/>
        <v>298557.34999999998</v>
      </c>
      <c r="C1454" s="756">
        <v>298357.34999999998</v>
      </c>
      <c r="D1454" s="757">
        <v>200</v>
      </c>
    </row>
    <row r="1455" spans="1:4" x14ac:dyDescent="0.2">
      <c r="A1455" s="518">
        <v>44403</v>
      </c>
      <c r="B1455" s="495">
        <f t="shared" ref="B1455" si="12">C1455+D1455</f>
        <v>298557</v>
      </c>
      <c r="C1455" s="756">
        <v>298357</v>
      </c>
      <c r="D1455" s="757">
        <v>200</v>
      </c>
    </row>
    <row r="1456" spans="1:4" x14ac:dyDescent="0.2">
      <c r="A1456" s="518">
        <v>44404</v>
      </c>
      <c r="B1456" s="495">
        <v>298047.28999999998</v>
      </c>
      <c r="C1456" s="756">
        <v>298357</v>
      </c>
      <c r="D1456" s="757">
        <v>200</v>
      </c>
    </row>
    <row r="1457" spans="1:4" x14ac:dyDescent="0.2">
      <c r="A1457" s="518">
        <v>44405</v>
      </c>
      <c r="B1457" s="495">
        <f t="shared" ref="B1457:B1520" si="13">C1457+D1457</f>
        <v>298221.59000000003</v>
      </c>
      <c r="C1457" s="495">
        <v>298021.59000000003</v>
      </c>
      <c r="D1457" s="757">
        <v>200</v>
      </c>
    </row>
    <row r="1458" spans="1:4" x14ac:dyDescent="0.2">
      <c r="A1458" s="518">
        <v>44406</v>
      </c>
      <c r="B1458" s="495">
        <f t="shared" si="13"/>
        <v>298222</v>
      </c>
      <c r="C1458" s="495">
        <v>298022</v>
      </c>
      <c r="D1458" s="757">
        <v>200</v>
      </c>
    </row>
    <row r="1459" spans="1:4" x14ac:dyDescent="0.2">
      <c r="A1459" s="518">
        <v>44407</v>
      </c>
      <c r="B1459" s="495">
        <f t="shared" si="13"/>
        <v>286090</v>
      </c>
      <c r="C1459" s="495">
        <v>285890</v>
      </c>
      <c r="D1459" s="757">
        <v>200</v>
      </c>
    </row>
    <row r="1460" spans="1:4" x14ac:dyDescent="0.2">
      <c r="A1460" s="518">
        <v>44410</v>
      </c>
      <c r="B1460" s="495">
        <f t="shared" si="13"/>
        <v>285690.83</v>
      </c>
      <c r="C1460" s="495">
        <v>285490.83</v>
      </c>
      <c r="D1460" s="757">
        <v>200</v>
      </c>
    </row>
    <row r="1461" spans="1:4" x14ac:dyDescent="0.2">
      <c r="A1461" s="518">
        <v>44411</v>
      </c>
      <c r="B1461" s="495">
        <f t="shared" si="13"/>
        <v>250196.9</v>
      </c>
      <c r="C1461" s="495">
        <v>249996.9</v>
      </c>
      <c r="D1461" s="757">
        <v>200</v>
      </c>
    </row>
    <row r="1462" spans="1:4" x14ac:dyDescent="0.2">
      <c r="A1462" s="518">
        <v>44412</v>
      </c>
      <c r="B1462" s="495">
        <f t="shared" si="13"/>
        <v>250197</v>
      </c>
      <c r="C1462" s="495">
        <v>249997</v>
      </c>
      <c r="D1462" s="757">
        <v>200</v>
      </c>
    </row>
    <row r="1463" spans="1:4" x14ac:dyDescent="0.2">
      <c r="A1463" s="518">
        <v>44413</v>
      </c>
      <c r="B1463" s="495">
        <f t="shared" si="13"/>
        <v>242217.24</v>
      </c>
      <c r="C1463" s="495">
        <v>242017.24</v>
      </c>
      <c r="D1463" s="757">
        <v>200</v>
      </c>
    </row>
    <row r="1464" spans="1:4" x14ac:dyDescent="0.2">
      <c r="A1464" s="518">
        <v>44414</v>
      </c>
      <c r="B1464" s="495">
        <f t="shared" si="13"/>
        <v>241916.79</v>
      </c>
      <c r="C1464" s="495">
        <v>241716.79</v>
      </c>
      <c r="D1464" s="757">
        <v>200</v>
      </c>
    </row>
    <row r="1465" spans="1:4" x14ac:dyDescent="0.2">
      <c r="A1465" s="518">
        <v>44417</v>
      </c>
      <c r="B1465" s="495">
        <f t="shared" si="13"/>
        <v>242014.29</v>
      </c>
      <c r="C1465" s="495">
        <v>241814.29</v>
      </c>
      <c r="D1465" s="757">
        <v>200</v>
      </c>
    </row>
    <row r="1466" spans="1:4" x14ac:dyDescent="0.2">
      <c r="A1466" s="518">
        <v>44418</v>
      </c>
      <c r="B1466" s="495">
        <f t="shared" si="13"/>
        <v>260028.48</v>
      </c>
      <c r="C1466" s="495">
        <v>259828.48000000001</v>
      </c>
      <c r="D1466" s="757">
        <v>200</v>
      </c>
    </row>
    <row r="1467" spans="1:4" x14ac:dyDescent="0.2">
      <c r="A1467" s="518">
        <v>44419</v>
      </c>
      <c r="B1467" s="495">
        <f t="shared" si="13"/>
        <v>261085.42</v>
      </c>
      <c r="C1467" s="495">
        <v>260885.42</v>
      </c>
      <c r="D1467" s="757">
        <v>200</v>
      </c>
    </row>
    <row r="1468" spans="1:4" x14ac:dyDescent="0.2">
      <c r="A1468" s="518">
        <v>44420</v>
      </c>
      <c r="B1468" s="495">
        <f t="shared" si="13"/>
        <v>261983.68</v>
      </c>
      <c r="C1468" s="495">
        <v>261783.67999999999</v>
      </c>
      <c r="D1468" s="757">
        <v>200</v>
      </c>
    </row>
    <row r="1469" spans="1:4" x14ac:dyDescent="0.2">
      <c r="A1469" s="518">
        <v>44421</v>
      </c>
      <c r="B1469" s="495">
        <f t="shared" si="13"/>
        <v>262016.54</v>
      </c>
      <c r="C1469" s="495">
        <v>261816.54</v>
      </c>
      <c r="D1469" s="757">
        <v>200</v>
      </c>
    </row>
    <row r="1470" spans="1:4" x14ac:dyDescent="0.2">
      <c r="A1470" s="518">
        <v>44424</v>
      </c>
      <c r="B1470" s="495">
        <f t="shared" si="13"/>
        <v>262016.54</v>
      </c>
      <c r="C1470" s="495">
        <f t="shared" ref="C1470:C1522" si="14">C1469</f>
        <v>261816.54</v>
      </c>
      <c r="D1470" s="757">
        <v>200</v>
      </c>
    </row>
    <row r="1471" spans="1:4" x14ac:dyDescent="0.2">
      <c r="A1471" s="518">
        <v>44425</v>
      </c>
      <c r="B1471" s="495">
        <f t="shared" si="13"/>
        <v>226196.56</v>
      </c>
      <c r="C1471" s="495">
        <v>225996.56</v>
      </c>
      <c r="D1471" s="757">
        <v>200</v>
      </c>
    </row>
    <row r="1472" spans="1:4" x14ac:dyDescent="0.2">
      <c r="A1472" s="518">
        <v>44426</v>
      </c>
      <c r="B1472" s="495">
        <f t="shared" si="13"/>
        <v>245030.16</v>
      </c>
      <c r="C1472" s="495">
        <v>244830.16</v>
      </c>
      <c r="D1472" s="757">
        <v>200</v>
      </c>
    </row>
    <row r="1473" spans="1:4" x14ac:dyDescent="0.2">
      <c r="A1473" s="518">
        <v>44427</v>
      </c>
      <c r="B1473" s="495">
        <f t="shared" si="13"/>
        <v>229633.33</v>
      </c>
      <c r="C1473" s="495">
        <v>229433.33</v>
      </c>
      <c r="D1473" s="757">
        <v>200</v>
      </c>
    </row>
    <row r="1474" spans="1:4" x14ac:dyDescent="0.2">
      <c r="A1474" s="518">
        <v>44428</v>
      </c>
      <c r="B1474" s="495">
        <f t="shared" si="13"/>
        <v>247195.12</v>
      </c>
      <c r="C1474" s="495">
        <v>246995.12</v>
      </c>
      <c r="D1474" s="757">
        <v>200</v>
      </c>
    </row>
    <row r="1475" spans="1:4" x14ac:dyDescent="0.2">
      <c r="A1475" s="518">
        <v>44431</v>
      </c>
      <c r="B1475" s="495">
        <f t="shared" si="13"/>
        <v>247195.12</v>
      </c>
      <c r="C1475" s="495">
        <f t="shared" si="14"/>
        <v>246995.12</v>
      </c>
      <c r="D1475" s="757">
        <v>200</v>
      </c>
    </row>
    <row r="1476" spans="1:4" x14ac:dyDescent="0.2">
      <c r="A1476" s="518">
        <v>44432</v>
      </c>
      <c r="B1476" s="495">
        <f t="shared" si="13"/>
        <v>347649.83</v>
      </c>
      <c r="C1476" s="495">
        <v>347449.83</v>
      </c>
      <c r="D1476" s="757">
        <v>200</v>
      </c>
    </row>
    <row r="1477" spans="1:4" x14ac:dyDescent="0.2">
      <c r="A1477" s="518">
        <v>44433</v>
      </c>
      <c r="B1477" s="495">
        <f t="shared" si="13"/>
        <v>347649.83</v>
      </c>
      <c r="C1477" s="495">
        <f t="shared" si="14"/>
        <v>347449.83</v>
      </c>
      <c r="D1477" s="757">
        <v>200</v>
      </c>
    </row>
    <row r="1478" spans="1:4" x14ac:dyDescent="0.2">
      <c r="A1478" s="518">
        <v>44434</v>
      </c>
      <c r="B1478" s="495">
        <f t="shared" si="13"/>
        <v>341237.68</v>
      </c>
      <c r="C1478" s="495">
        <v>341037.68</v>
      </c>
      <c r="D1478" s="757">
        <v>200</v>
      </c>
    </row>
    <row r="1479" spans="1:4" x14ac:dyDescent="0.2">
      <c r="A1479" s="518">
        <v>44435</v>
      </c>
      <c r="B1479" s="495">
        <f t="shared" si="13"/>
        <v>373525.01</v>
      </c>
      <c r="C1479" s="495">
        <v>373325.01</v>
      </c>
      <c r="D1479" s="757">
        <v>200</v>
      </c>
    </row>
    <row r="1480" spans="1:4" x14ac:dyDescent="0.2">
      <c r="A1480" s="518">
        <v>44438</v>
      </c>
      <c r="B1480" s="495">
        <f t="shared" si="13"/>
        <v>373525.01</v>
      </c>
      <c r="C1480" s="495">
        <f t="shared" si="14"/>
        <v>373325.01</v>
      </c>
      <c r="D1480" s="757">
        <v>200</v>
      </c>
    </row>
    <row r="1481" spans="1:4" x14ac:dyDescent="0.2">
      <c r="A1481" s="518">
        <v>44439</v>
      </c>
      <c r="B1481" s="495">
        <f t="shared" si="13"/>
        <v>336851.39</v>
      </c>
      <c r="C1481" s="495">
        <v>336651.39</v>
      </c>
      <c r="D1481" s="757">
        <v>200</v>
      </c>
    </row>
    <row r="1482" spans="1:4" x14ac:dyDescent="0.2">
      <c r="A1482" s="518">
        <v>44440</v>
      </c>
      <c r="B1482" s="495">
        <f t="shared" si="13"/>
        <v>336851.39</v>
      </c>
      <c r="C1482" s="495">
        <f t="shared" si="14"/>
        <v>336651.39</v>
      </c>
      <c r="D1482" s="757">
        <v>200</v>
      </c>
    </row>
    <row r="1483" spans="1:4" x14ac:dyDescent="0.2">
      <c r="A1483" s="518">
        <v>44441</v>
      </c>
      <c r="B1483" s="495">
        <f t="shared" si="13"/>
        <v>336851.39</v>
      </c>
      <c r="C1483" s="495">
        <f t="shared" si="14"/>
        <v>336651.39</v>
      </c>
      <c r="D1483" s="757">
        <v>200</v>
      </c>
    </row>
    <row r="1484" spans="1:4" x14ac:dyDescent="0.2">
      <c r="A1484" s="518">
        <v>44442</v>
      </c>
      <c r="B1484" s="495">
        <f t="shared" si="13"/>
        <v>360197.14</v>
      </c>
      <c r="C1484" s="495">
        <v>359997.14</v>
      </c>
      <c r="D1484" s="757">
        <v>200</v>
      </c>
    </row>
    <row r="1485" spans="1:4" x14ac:dyDescent="0.2">
      <c r="A1485" s="518">
        <v>44445</v>
      </c>
      <c r="B1485" s="495">
        <f t="shared" si="13"/>
        <v>360197.14</v>
      </c>
      <c r="C1485" s="495">
        <f t="shared" si="14"/>
        <v>359997.14</v>
      </c>
      <c r="D1485" s="757">
        <v>200</v>
      </c>
    </row>
    <row r="1486" spans="1:4" x14ac:dyDescent="0.2">
      <c r="A1486" s="518">
        <v>44446</v>
      </c>
      <c r="B1486" s="495">
        <f t="shared" si="13"/>
        <v>354806.36</v>
      </c>
      <c r="C1486" s="495">
        <v>354606.36</v>
      </c>
      <c r="D1486" s="757">
        <v>200</v>
      </c>
    </row>
    <row r="1487" spans="1:4" x14ac:dyDescent="0.2">
      <c r="A1487" s="518">
        <v>44447</v>
      </c>
      <c r="B1487" s="495">
        <f t="shared" si="13"/>
        <v>354806.36</v>
      </c>
      <c r="C1487" s="495">
        <f t="shared" si="14"/>
        <v>354606.36</v>
      </c>
      <c r="D1487" s="757">
        <v>200</v>
      </c>
    </row>
    <row r="1488" spans="1:4" x14ac:dyDescent="0.2">
      <c r="A1488" s="518">
        <v>44448</v>
      </c>
      <c r="B1488" s="495">
        <f t="shared" si="13"/>
        <v>354806.36</v>
      </c>
      <c r="C1488" s="495">
        <f t="shared" si="14"/>
        <v>354606.36</v>
      </c>
      <c r="D1488" s="757">
        <v>200</v>
      </c>
    </row>
    <row r="1489" spans="1:4" x14ac:dyDescent="0.2">
      <c r="A1489" s="518">
        <v>44449</v>
      </c>
      <c r="B1489" s="495">
        <f t="shared" si="13"/>
        <v>354806.36</v>
      </c>
      <c r="C1489" s="495">
        <f t="shared" si="14"/>
        <v>354606.36</v>
      </c>
      <c r="D1489" s="757">
        <v>200</v>
      </c>
    </row>
    <row r="1490" spans="1:4" x14ac:dyDescent="0.2">
      <c r="A1490" s="518">
        <v>44452</v>
      </c>
      <c r="B1490" s="495">
        <f t="shared" si="13"/>
        <v>317290.98</v>
      </c>
      <c r="C1490" s="495">
        <v>317090.98</v>
      </c>
      <c r="D1490" s="757">
        <v>200</v>
      </c>
    </row>
    <row r="1491" spans="1:4" x14ac:dyDescent="0.2">
      <c r="A1491" s="518">
        <v>44453</v>
      </c>
      <c r="B1491" s="495">
        <f t="shared" si="13"/>
        <v>365898.08</v>
      </c>
      <c r="C1491" s="495">
        <v>365698.08</v>
      </c>
      <c r="D1491" s="757">
        <v>200</v>
      </c>
    </row>
    <row r="1492" spans="1:4" x14ac:dyDescent="0.2">
      <c r="A1492" s="518">
        <v>44454</v>
      </c>
      <c r="B1492" s="495">
        <f t="shared" si="13"/>
        <v>365935.11</v>
      </c>
      <c r="C1492" s="495">
        <v>365735.11</v>
      </c>
      <c r="D1492" s="757">
        <v>200</v>
      </c>
    </row>
    <row r="1493" spans="1:4" x14ac:dyDescent="0.2">
      <c r="A1493" s="518">
        <v>44455</v>
      </c>
      <c r="B1493" s="495">
        <f t="shared" si="13"/>
        <v>365935.11</v>
      </c>
      <c r="C1493" s="495">
        <f t="shared" si="14"/>
        <v>365735.11</v>
      </c>
      <c r="D1493" s="757">
        <v>200</v>
      </c>
    </row>
    <row r="1494" spans="1:4" x14ac:dyDescent="0.2">
      <c r="A1494" s="518">
        <v>44456</v>
      </c>
      <c r="B1494" s="495">
        <f t="shared" si="13"/>
        <v>357664.5</v>
      </c>
      <c r="C1494" s="495">
        <v>357464.5</v>
      </c>
      <c r="D1494" s="757">
        <v>200</v>
      </c>
    </row>
    <row r="1495" spans="1:4" x14ac:dyDescent="0.2">
      <c r="A1495" s="518">
        <v>44459</v>
      </c>
      <c r="B1495" s="495">
        <f t="shared" si="13"/>
        <v>357664.5</v>
      </c>
      <c r="C1495" s="495">
        <f t="shared" si="14"/>
        <v>357464.5</v>
      </c>
      <c r="D1495" s="757">
        <v>200</v>
      </c>
    </row>
    <row r="1496" spans="1:4" x14ac:dyDescent="0.2">
      <c r="A1496" s="518">
        <v>44460</v>
      </c>
      <c r="B1496" s="495">
        <f t="shared" si="13"/>
        <v>357664.5</v>
      </c>
      <c r="C1496" s="495">
        <f t="shared" si="14"/>
        <v>357464.5</v>
      </c>
      <c r="D1496" s="757">
        <v>200</v>
      </c>
    </row>
    <row r="1497" spans="1:4" x14ac:dyDescent="0.2">
      <c r="A1497" s="518">
        <v>44461</v>
      </c>
      <c r="B1497" s="495">
        <f t="shared" si="13"/>
        <v>364108.39</v>
      </c>
      <c r="C1497" s="495">
        <v>363908.39</v>
      </c>
      <c r="D1497" s="757">
        <v>200</v>
      </c>
    </row>
    <row r="1498" spans="1:4" x14ac:dyDescent="0.2">
      <c r="A1498" s="518">
        <v>44462</v>
      </c>
      <c r="B1498" s="495">
        <f t="shared" si="13"/>
        <v>372557.83</v>
      </c>
      <c r="C1498" s="495">
        <v>372357.83</v>
      </c>
      <c r="D1498" s="757">
        <v>200</v>
      </c>
    </row>
    <row r="1499" spans="1:4" x14ac:dyDescent="0.2">
      <c r="A1499" s="518">
        <v>44463</v>
      </c>
      <c r="B1499" s="495">
        <f t="shared" si="13"/>
        <v>372557.83</v>
      </c>
      <c r="C1499" s="495">
        <f t="shared" si="14"/>
        <v>372357.83</v>
      </c>
      <c r="D1499" s="757">
        <v>200</v>
      </c>
    </row>
    <row r="1500" spans="1:4" x14ac:dyDescent="0.2">
      <c r="A1500" s="518">
        <v>44466</v>
      </c>
      <c r="B1500" s="495">
        <f t="shared" si="13"/>
        <v>393073.43</v>
      </c>
      <c r="C1500" s="495">
        <v>392873.43</v>
      </c>
      <c r="D1500" s="757">
        <v>200</v>
      </c>
    </row>
    <row r="1501" spans="1:4" x14ac:dyDescent="0.2">
      <c r="A1501" s="518">
        <v>44467</v>
      </c>
      <c r="B1501" s="495">
        <f t="shared" si="13"/>
        <v>354832.22</v>
      </c>
      <c r="C1501" s="495">
        <v>354632.22</v>
      </c>
      <c r="D1501" s="757">
        <v>200</v>
      </c>
    </row>
    <row r="1502" spans="1:4" x14ac:dyDescent="0.2">
      <c r="A1502" s="518">
        <v>44468</v>
      </c>
      <c r="B1502" s="495">
        <f t="shared" si="13"/>
        <v>354832.22</v>
      </c>
      <c r="C1502" s="495">
        <f t="shared" si="14"/>
        <v>354632.22</v>
      </c>
      <c r="D1502" s="757">
        <v>200</v>
      </c>
    </row>
    <row r="1503" spans="1:4" x14ac:dyDescent="0.2">
      <c r="A1503" s="518">
        <v>44469</v>
      </c>
      <c r="B1503" s="495">
        <f t="shared" si="13"/>
        <v>354832.22</v>
      </c>
      <c r="C1503" s="495">
        <f t="shared" si="14"/>
        <v>354632.22</v>
      </c>
      <c r="D1503" s="757">
        <v>200</v>
      </c>
    </row>
    <row r="1504" spans="1:4" x14ac:dyDescent="0.2">
      <c r="A1504" s="518">
        <v>44470</v>
      </c>
      <c r="B1504" s="495">
        <f t="shared" si="13"/>
        <v>343420.25</v>
      </c>
      <c r="C1504" s="495">
        <v>343220.25</v>
      </c>
      <c r="D1504" s="757">
        <v>200</v>
      </c>
    </row>
    <row r="1505" spans="1:4" x14ac:dyDescent="0.2">
      <c r="A1505" s="518">
        <v>44473</v>
      </c>
      <c r="B1505" s="495">
        <f t="shared" si="13"/>
        <v>343420.25</v>
      </c>
      <c r="C1505" s="495">
        <f t="shared" si="14"/>
        <v>343220.25</v>
      </c>
      <c r="D1505" s="757">
        <v>200</v>
      </c>
    </row>
    <row r="1506" spans="1:4" x14ac:dyDescent="0.2">
      <c r="A1506" s="518">
        <v>44474</v>
      </c>
      <c r="B1506" s="495">
        <f t="shared" si="13"/>
        <v>343582.25</v>
      </c>
      <c r="C1506" s="495">
        <v>343382.25</v>
      </c>
      <c r="D1506" s="757">
        <v>200</v>
      </c>
    </row>
    <row r="1507" spans="1:4" x14ac:dyDescent="0.2">
      <c r="A1507" s="518">
        <v>44475</v>
      </c>
      <c r="B1507" s="495">
        <f t="shared" si="13"/>
        <v>343582.25</v>
      </c>
      <c r="C1507" s="495">
        <f t="shared" si="14"/>
        <v>343382.25</v>
      </c>
      <c r="D1507" s="757">
        <v>200</v>
      </c>
    </row>
    <row r="1508" spans="1:4" x14ac:dyDescent="0.2">
      <c r="A1508" s="518">
        <v>44476</v>
      </c>
      <c r="B1508" s="495">
        <f t="shared" si="13"/>
        <v>343606.26</v>
      </c>
      <c r="C1508" s="495">
        <v>343406.26</v>
      </c>
      <c r="D1508" s="757">
        <v>200</v>
      </c>
    </row>
    <row r="1509" spans="1:4" x14ac:dyDescent="0.2">
      <c r="A1509" s="518">
        <v>44477</v>
      </c>
      <c r="B1509" s="495">
        <f t="shared" si="13"/>
        <v>329221.56</v>
      </c>
      <c r="C1509" s="495">
        <v>329021.56</v>
      </c>
      <c r="D1509" s="757">
        <v>200</v>
      </c>
    </row>
    <row r="1510" spans="1:4" x14ac:dyDescent="0.2">
      <c r="A1510" s="518">
        <v>44480</v>
      </c>
      <c r="B1510" s="495">
        <f t="shared" si="13"/>
        <v>329221.56</v>
      </c>
      <c r="C1510" s="495">
        <f t="shared" si="14"/>
        <v>329021.56</v>
      </c>
      <c r="D1510" s="757">
        <v>200</v>
      </c>
    </row>
    <row r="1511" spans="1:4" x14ac:dyDescent="0.2">
      <c r="A1511" s="518">
        <v>44481</v>
      </c>
      <c r="B1511" s="495">
        <f t="shared" si="13"/>
        <v>288818.46999999997</v>
      </c>
      <c r="C1511" s="495">
        <v>288618.46999999997</v>
      </c>
      <c r="D1511" s="757">
        <v>200</v>
      </c>
    </row>
    <row r="1512" spans="1:4" x14ac:dyDescent="0.2">
      <c r="A1512" s="518">
        <v>44482</v>
      </c>
      <c r="B1512" s="495">
        <f t="shared" si="13"/>
        <v>288818.46999999997</v>
      </c>
      <c r="C1512" s="495">
        <f t="shared" si="14"/>
        <v>288618.46999999997</v>
      </c>
      <c r="D1512" s="757">
        <v>200</v>
      </c>
    </row>
    <row r="1513" spans="1:4" x14ac:dyDescent="0.2">
      <c r="A1513" s="518">
        <v>44483</v>
      </c>
      <c r="B1513" s="495">
        <f t="shared" si="13"/>
        <v>295077.74</v>
      </c>
      <c r="C1513" s="495">
        <v>294877.74</v>
      </c>
      <c r="D1513" s="757">
        <v>200</v>
      </c>
    </row>
    <row r="1514" spans="1:4" x14ac:dyDescent="0.2">
      <c r="A1514" s="518">
        <v>44484</v>
      </c>
      <c r="B1514" s="495">
        <f t="shared" si="13"/>
        <v>313755.08</v>
      </c>
      <c r="C1514" s="495">
        <v>313555.08</v>
      </c>
      <c r="D1514" s="757">
        <v>200</v>
      </c>
    </row>
    <row r="1515" spans="1:4" x14ac:dyDescent="0.2">
      <c r="A1515" s="518">
        <v>44487</v>
      </c>
      <c r="B1515" s="495">
        <f t="shared" si="13"/>
        <v>314129.08</v>
      </c>
      <c r="C1515" s="495">
        <v>313929.08</v>
      </c>
      <c r="D1515" s="757">
        <v>200</v>
      </c>
    </row>
    <row r="1516" spans="1:4" x14ac:dyDescent="0.2">
      <c r="A1516" s="518">
        <v>44488</v>
      </c>
      <c r="B1516" s="495">
        <f t="shared" si="13"/>
        <v>314618.64</v>
      </c>
      <c r="C1516" s="495">
        <v>314418.64</v>
      </c>
      <c r="D1516" s="757">
        <v>200</v>
      </c>
    </row>
    <row r="1517" spans="1:4" x14ac:dyDescent="0.2">
      <c r="A1517" s="518">
        <v>44489</v>
      </c>
      <c r="B1517" s="495">
        <f t="shared" si="13"/>
        <v>312798.90999999997</v>
      </c>
      <c r="C1517" s="495">
        <v>312598.90999999997</v>
      </c>
      <c r="D1517" s="757">
        <v>200</v>
      </c>
    </row>
    <row r="1518" spans="1:4" x14ac:dyDescent="0.2">
      <c r="A1518" s="518">
        <v>44490</v>
      </c>
      <c r="B1518" s="495">
        <f t="shared" si="13"/>
        <v>312798.90999999997</v>
      </c>
      <c r="C1518" s="495">
        <f t="shared" si="14"/>
        <v>312598.90999999997</v>
      </c>
      <c r="D1518" s="757">
        <v>200</v>
      </c>
    </row>
    <row r="1519" spans="1:4" x14ac:dyDescent="0.2">
      <c r="A1519" s="518">
        <v>44491</v>
      </c>
      <c r="B1519" s="495">
        <f t="shared" si="13"/>
        <v>312852.06</v>
      </c>
      <c r="C1519" s="495">
        <v>312652.06</v>
      </c>
      <c r="D1519" s="757">
        <v>200</v>
      </c>
    </row>
    <row r="1520" spans="1:4" x14ac:dyDescent="0.2">
      <c r="A1520" s="518">
        <v>44494</v>
      </c>
      <c r="B1520" s="495">
        <f t="shared" si="13"/>
        <v>276164.93</v>
      </c>
      <c r="C1520" s="495">
        <v>275964.93</v>
      </c>
      <c r="D1520" s="757">
        <v>200</v>
      </c>
    </row>
    <row r="1521" spans="1:4" x14ac:dyDescent="0.2">
      <c r="A1521" s="518">
        <v>44495</v>
      </c>
      <c r="B1521" s="495">
        <f t="shared" ref="B1521:B1584" si="15">C1521+D1521</f>
        <v>272175.64</v>
      </c>
      <c r="C1521" s="495">
        <v>271975.64</v>
      </c>
      <c r="D1521" s="757">
        <v>200</v>
      </c>
    </row>
    <row r="1522" spans="1:4" x14ac:dyDescent="0.2">
      <c r="A1522" s="518">
        <v>44496</v>
      </c>
      <c r="B1522" s="495">
        <f t="shared" si="15"/>
        <v>272175.64</v>
      </c>
      <c r="C1522" s="495">
        <f t="shared" si="14"/>
        <v>271975.64</v>
      </c>
      <c r="D1522" s="757">
        <v>200</v>
      </c>
    </row>
    <row r="1523" spans="1:4" x14ac:dyDescent="0.2">
      <c r="A1523" s="518">
        <v>44497</v>
      </c>
      <c r="B1523" s="495">
        <f t="shared" si="15"/>
        <v>272474.64</v>
      </c>
      <c r="C1523" s="495">
        <v>272274.64</v>
      </c>
      <c r="D1523" s="757">
        <v>200</v>
      </c>
    </row>
    <row r="1524" spans="1:4" x14ac:dyDescent="0.2">
      <c r="A1524" s="518">
        <v>44498</v>
      </c>
      <c r="B1524" s="495">
        <f t="shared" si="15"/>
        <v>272174.19</v>
      </c>
      <c r="C1524" s="495">
        <v>271974.19</v>
      </c>
      <c r="D1524" s="757">
        <v>200</v>
      </c>
    </row>
    <row r="1525" spans="1:4" x14ac:dyDescent="0.2">
      <c r="A1525" s="518">
        <v>44501</v>
      </c>
      <c r="B1525" s="495">
        <f t="shared" si="15"/>
        <v>272174.19</v>
      </c>
      <c r="C1525" s="495">
        <f>C1524</f>
        <v>271974.19</v>
      </c>
      <c r="D1525" s="757">
        <v>200</v>
      </c>
    </row>
    <row r="1526" spans="1:4" x14ac:dyDescent="0.2">
      <c r="A1526" s="518">
        <v>44502</v>
      </c>
      <c r="B1526" s="495">
        <f t="shared" si="15"/>
        <v>272174.19</v>
      </c>
      <c r="C1526" s="495">
        <f t="shared" ref="C1526:C1564" si="16">C1525</f>
        <v>271974.19</v>
      </c>
      <c r="D1526" s="757">
        <v>200</v>
      </c>
    </row>
    <row r="1527" spans="1:4" x14ac:dyDescent="0.2">
      <c r="A1527" s="518">
        <v>44503</v>
      </c>
      <c r="B1527" s="495">
        <f t="shared" si="15"/>
        <v>260821.81</v>
      </c>
      <c r="C1527" s="495">
        <v>260621.81</v>
      </c>
      <c r="D1527" s="757">
        <v>200</v>
      </c>
    </row>
    <row r="1528" spans="1:4" x14ac:dyDescent="0.2">
      <c r="A1528" s="518">
        <v>44504</v>
      </c>
      <c r="B1528" s="495">
        <f t="shared" si="15"/>
        <v>260821.81</v>
      </c>
      <c r="C1528" s="495">
        <f t="shared" si="16"/>
        <v>260621.81</v>
      </c>
      <c r="D1528" s="757">
        <v>200</v>
      </c>
    </row>
    <row r="1529" spans="1:4" x14ac:dyDescent="0.2">
      <c r="A1529" s="518">
        <v>44505</v>
      </c>
      <c r="B1529" s="495">
        <f t="shared" si="15"/>
        <v>260821.81</v>
      </c>
      <c r="C1529" s="495">
        <f t="shared" si="16"/>
        <v>260621.81</v>
      </c>
      <c r="D1529" s="757">
        <v>200</v>
      </c>
    </row>
    <row r="1530" spans="1:4" x14ac:dyDescent="0.2">
      <c r="A1530" s="518">
        <v>44508</v>
      </c>
      <c r="B1530" s="554">
        <f t="shared" si="15"/>
        <v>224274.32</v>
      </c>
      <c r="C1530" s="495">
        <v>224074.32</v>
      </c>
      <c r="D1530" s="757">
        <v>200</v>
      </c>
    </row>
    <row r="1531" spans="1:4" x14ac:dyDescent="0.2">
      <c r="A1531" s="518">
        <v>44509</v>
      </c>
      <c r="B1531" s="495">
        <f t="shared" si="15"/>
        <v>239871.56</v>
      </c>
      <c r="C1531" s="495">
        <v>239671.56</v>
      </c>
      <c r="D1531" s="757">
        <v>200</v>
      </c>
    </row>
    <row r="1532" spans="1:4" x14ac:dyDescent="0.2">
      <c r="A1532" s="518">
        <v>44510</v>
      </c>
      <c r="B1532" s="495">
        <f t="shared" si="15"/>
        <v>260426.56</v>
      </c>
      <c r="C1532" s="495">
        <v>260226.56</v>
      </c>
      <c r="D1532" s="757">
        <v>200</v>
      </c>
    </row>
    <row r="1533" spans="1:4" x14ac:dyDescent="0.2">
      <c r="A1533" s="518">
        <v>44511</v>
      </c>
      <c r="B1533" s="495">
        <f t="shared" si="15"/>
        <v>260426.56</v>
      </c>
      <c r="C1533" s="495">
        <f t="shared" si="16"/>
        <v>260226.56</v>
      </c>
      <c r="D1533" s="757">
        <v>200</v>
      </c>
    </row>
    <row r="1534" spans="1:4" x14ac:dyDescent="0.2">
      <c r="A1534" s="518">
        <v>44512</v>
      </c>
      <c r="B1534" s="495">
        <f t="shared" si="15"/>
        <v>260450.57</v>
      </c>
      <c r="C1534" s="495">
        <v>260250.57</v>
      </c>
      <c r="D1534" s="757">
        <v>200</v>
      </c>
    </row>
    <row r="1535" spans="1:4" x14ac:dyDescent="0.2">
      <c r="A1535" s="518">
        <v>44515</v>
      </c>
      <c r="B1535" s="495">
        <f t="shared" si="15"/>
        <v>260178.68</v>
      </c>
      <c r="C1535" s="495">
        <v>259978.68</v>
      </c>
      <c r="D1535" s="757">
        <v>200</v>
      </c>
    </row>
    <row r="1536" spans="1:4" x14ac:dyDescent="0.2">
      <c r="A1536" s="518">
        <v>44516</v>
      </c>
      <c r="B1536" s="495">
        <f t="shared" si="15"/>
        <v>260178.68</v>
      </c>
      <c r="C1536" s="495">
        <f t="shared" si="16"/>
        <v>259978.68</v>
      </c>
      <c r="D1536" s="757">
        <v>200</v>
      </c>
    </row>
    <row r="1537" spans="1:4" x14ac:dyDescent="0.2">
      <c r="A1537" s="518">
        <v>44517</v>
      </c>
      <c r="B1537" s="495">
        <f t="shared" si="15"/>
        <v>260178.68</v>
      </c>
      <c r="C1537" s="495">
        <f t="shared" si="16"/>
        <v>259978.68</v>
      </c>
      <c r="D1537" s="757">
        <v>200</v>
      </c>
    </row>
    <row r="1538" spans="1:4" x14ac:dyDescent="0.2">
      <c r="A1538" s="518">
        <v>44518</v>
      </c>
      <c r="B1538" s="495">
        <f t="shared" si="15"/>
        <v>298441.25</v>
      </c>
      <c r="C1538" s="495">
        <v>298241.25</v>
      </c>
      <c r="D1538" s="757">
        <v>200</v>
      </c>
    </row>
    <row r="1539" spans="1:4" x14ac:dyDescent="0.2">
      <c r="A1539" s="518">
        <v>44519</v>
      </c>
      <c r="B1539" s="495">
        <f t="shared" si="15"/>
        <v>302391.25</v>
      </c>
      <c r="C1539" s="495">
        <v>302191.25</v>
      </c>
      <c r="D1539" s="757">
        <v>200</v>
      </c>
    </row>
    <row r="1540" spans="1:4" x14ac:dyDescent="0.2">
      <c r="A1540" s="518">
        <v>44522</v>
      </c>
      <c r="B1540" s="495">
        <f t="shared" si="15"/>
        <v>261860.06</v>
      </c>
      <c r="C1540" s="495">
        <v>261660.06</v>
      </c>
      <c r="D1540" s="757">
        <v>200</v>
      </c>
    </row>
    <row r="1541" spans="1:4" x14ac:dyDescent="0.2">
      <c r="A1541" s="518">
        <v>44523</v>
      </c>
      <c r="B1541" s="495">
        <f t="shared" si="15"/>
        <v>261860.06</v>
      </c>
      <c r="C1541" s="495">
        <f t="shared" si="16"/>
        <v>261660.06</v>
      </c>
      <c r="D1541" s="757">
        <v>200</v>
      </c>
    </row>
    <row r="1542" spans="1:4" x14ac:dyDescent="0.2">
      <c r="A1542" s="518">
        <v>44524</v>
      </c>
      <c r="B1542" s="495">
        <f t="shared" si="15"/>
        <v>336740.96</v>
      </c>
      <c r="C1542" s="495">
        <v>336540.96</v>
      </c>
      <c r="D1542" s="757">
        <v>200</v>
      </c>
    </row>
    <row r="1543" spans="1:4" x14ac:dyDescent="0.2">
      <c r="A1543" s="518">
        <v>44525</v>
      </c>
      <c r="B1543" s="495">
        <f t="shared" si="15"/>
        <v>336740.96</v>
      </c>
      <c r="C1543" s="495">
        <f t="shared" si="16"/>
        <v>336540.96</v>
      </c>
      <c r="D1543" s="757">
        <v>200</v>
      </c>
    </row>
    <row r="1544" spans="1:4" x14ac:dyDescent="0.2">
      <c r="A1544" s="518">
        <v>44526</v>
      </c>
      <c r="B1544" s="495">
        <f t="shared" si="15"/>
        <v>396383.57</v>
      </c>
      <c r="C1544" s="495">
        <v>396183.57</v>
      </c>
      <c r="D1544" s="757">
        <v>200</v>
      </c>
    </row>
    <row r="1545" spans="1:4" x14ac:dyDescent="0.2">
      <c r="A1545" s="518">
        <v>44529</v>
      </c>
      <c r="B1545" s="495">
        <f t="shared" si="15"/>
        <v>396383.57</v>
      </c>
      <c r="C1545" s="495">
        <f t="shared" si="16"/>
        <v>396183.57</v>
      </c>
      <c r="D1545" s="757">
        <v>200</v>
      </c>
    </row>
    <row r="1546" spans="1:4" x14ac:dyDescent="0.2">
      <c r="A1546" s="518">
        <v>44530</v>
      </c>
      <c r="B1546" s="495">
        <f t="shared" si="15"/>
        <v>396383.57</v>
      </c>
      <c r="C1546" s="495">
        <f t="shared" si="16"/>
        <v>396183.57</v>
      </c>
      <c r="D1546" s="757">
        <v>200</v>
      </c>
    </row>
    <row r="1547" spans="1:4" x14ac:dyDescent="0.2">
      <c r="A1547" s="518">
        <v>44531</v>
      </c>
      <c r="B1547" s="495">
        <f t="shared" si="15"/>
        <v>406646.33</v>
      </c>
      <c r="C1547" s="495">
        <v>406446.33</v>
      </c>
      <c r="D1547" s="757">
        <v>200</v>
      </c>
    </row>
    <row r="1548" spans="1:4" x14ac:dyDescent="0.2">
      <c r="A1548" s="518">
        <v>44532</v>
      </c>
      <c r="B1548" s="495">
        <f t="shared" si="15"/>
        <v>406646.33</v>
      </c>
      <c r="C1548" s="495">
        <f t="shared" si="16"/>
        <v>406446.33</v>
      </c>
      <c r="D1548" s="757">
        <v>200</v>
      </c>
    </row>
    <row r="1549" spans="1:4" x14ac:dyDescent="0.2">
      <c r="A1549" s="518">
        <v>44533</v>
      </c>
      <c r="B1549" s="495">
        <f t="shared" si="15"/>
        <v>402705.53</v>
      </c>
      <c r="C1549" s="495">
        <v>402505.53</v>
      </c>
      <c r="D1549" s="757">
        <v>200</v>
      </c>
    </row>
    <row r="1550" spans="1:4" x14ac:dyDescent="0.2">
      <c r="A1550" s="518">
        <v>44536</v>
      </c>
      <c r="B1550" s="495">
        <f t="shared" si="15"/>
        <v>402705.53</v>
      </c>
      <c r="C1550" s="495">
        <f t="shared" si="16"/>
        <v>402505.53</v>
      </c>
      <c r="D1550" s="757">
        <v>200</v>
      </c>
    </row>
    <row r="1551" spans="1:4" x14ac:dyDescent="0.2">
      <c r="A1551" s="518">
        <v>44537</v>
      </c>
      <c r="B1551" s="495">
        <f t="shared" si="15"/>
        <v>367227.88</v>
      </c>
      <c r="C1551" s="495">
        <v>367027.88</v>
      </c>
      <c r="D1551" s="757">
        <v>200</v>
      </c>
    </row>
    <row r="1552" spans="1:4" x14ac:dyDescent="0.2">
      <c r="A1552" s="518">
        <v>44538</v>
      </c>
      <c r="B1552" s="495">
        <f t="shared" si="15"/>
        <v>367227.88</v>
      </c>
      <c r="C1552" s="495">
        <f t="shared" si="16"/>
        <v>367027.88</v>
      </c>
      <c r="D1552" s="757">
        <v>200</v>
      </c>
    </row>
    <row r="1553" spans="1:4" x14ac:dyDescent="0.2">
      <c r="A1553" s="518">
        <v>44539</v>
      </c>
      <c r="B1553" s="495">
        <f t="shared" si="15"/>
        <v>361816.56</v>
      </c>
      <c r="C1553" s="495">
        <v>361616.56</v>
      </c>
      <c r="D1553" s="757">
        <v>200</v>
      </c>
    </row>
    <row r="1554" spans="1:4" x14ac:dyDescent="0.2">
      <c r="A1554" s="518">
        <v>44540</v>
      </c>
      <c r="B1554" s="495">
        <f t="shared" si="15"/>
        <v>363428.01</v>
      </c>
      <c r="C1554" s="495">
        <v>363228.01</v>
      </c>
      <c r="D1554" s="757">
        <v>200</v>
      </c>
    </row>
    <row r="1555" spans="1:4" x14ac:dyDescent="0.2">
      <c r="A1555" s="518">
        <v>44543</v>
      </c>
      <c r="B1555" s="495">
        <f t="shared" si="15"/>
        <v>363428.01</v>
      </c>
      <c r="C1555" s="495">
        <f t="shared" si="16"/>
        <v>363228.01</v>
      </c>
      <c r="D1555" s="757">
        <v>200</v>
      </c>
    </row>
    <row r="1556" spans="1:4" x14ac:dyDescent="0.2">
      <c r="A1556" s="518">
        <v>44544</v>
      </c>
      <c r="B1556" s="495">
        <f t="shared" si="15"/>
        <v>388311.01</v>
      </c>
      <c r="C1556" s="495">
        <v>388111.01</v>
      </c>
      <c r="D1556" s="757">
        <v>200</v>
      </c>
    </row>
    <row r="1557" spans="1:4" x14ac:dyDescent="0.2">
      <c r="A1557" s="518">
        <v>44545</v>
      </c>
      <c r="B1557" s="495">
        <f t="shared" si="15"/>
        <v>388648.09</v>
      </c>
      <c r="C1557" s="495">
        <v>388448.09</v>
      </c>
      <c r="D1557" s="757">
        <v>200</v>
      </c>
    </row>
    <row r="1558" spans="1:4" x14ac:dyDescent="0.2">
      <c r="A1558" s="518">
        <v>44546</v>
      </c>
      <c r="B1558" s="495">
        <f t="shared" si="15"/>
        <v>388648.09</v>
      </c>
      <c r="C1558" s="495">
        <f t="shared" si="16"/>
        <v>388448.09</v>
      </c>
      <c r="D1558" s="757">
        <v>200</v>
      </c>
    </row>
    <row r="1559" spans="1:4" x14ac:dyDescent="0.2">
      <c r="A1559" s="518">
        <v>44547</v>
      </c>
      <c r="B1559" s="495">
        <f t="shared" si="15"/>
        <v>388648.09</v>
      </c>
      <c r="C1559" s="495">
        <f t="shared" si="16"/>
        <v>388448.09</v>
      </c>
      <c r="D1559" s="757">
        <v>200</v>
      </c>
    </row>
    <row r="1560" spans="1:4" x14ac:dyDescent="0.2">
      <c r="A1560" s="518">
        <v>44550</v>
      </c>
      <c r="B1560" s="495">
        <f t="shared" si="15"/>
        <v>402388.44</v>
      </c>
      <c r="C1560" s="495">
        <v>402188.44</v>
      </c>
      <c r="D1560" s="757">
        <v>200</v>
      </c>
    </row>
    <row r="1561" spans="1:4" x14ac:dyDescent="0.2">
      <c r="A1561" s="518">
        <v>44551</v>
      </c>
      <c r="B1561" s="495">
        <f t="shared" si="15"/>
        <v>364870.61</v>
      </c>
      <c r="C1561" s="495">
        <v>364670.61</v>
      </c>
      <c r="D1561" s="757">
        <v>200</v>
      </c>
    </row>
    <row r="1562" spans="1:4" x14ac:dyDescent="0.2">
      <c r="A1562" s="518">
        <v>44552</v>
      </c>
      <c r="B1562" s="495">
        <f t="shared" si="15"/>
        <v>364870.61</v>
      </c>
      <c r="C1562" s="495">
        <f t="shared" si="16"/>
        <v>364670.61</v>
      </c>
      <c r="D1562" s="757">
        <v>200</v>
      </c>
    </row>
    <row r="1563" spans="1:4" x14ac:dyDescent="0.2">
      <c r="A1563" s="518">
        <v>44553</v>
      </c>
      <c r="B1563" s="495">
        <f t="shared" si="15"/>
        <v>364270.61</v>
      </c>
      <c r="C1563" s="495">
        <v>364070.61</v>
      </c>
      <c r="D1563" s="757">
        <v>200</v>
      </c>
    </row>
    <row r="1564" spans="1:4" x14ac:dyDescent="0.2">
      <c r="A1564" s="518">
        <v>44554</v>
      </c>
      <c r="B1564" s="495">
        <f t="shared" si="15"/>
        <v>364270.61</v>
      </c>
      <c r="C1564" s="495">
        <f t="shared" si="16"/>
        <v>364070.61</v>
      </c>
      <c r="D1564" s="757">
        <v>200</v>
      </c>
    </row>
    <row r="1565" spans="1:4" x14ac:dyDescent="0.2">
      <c r="A1565" s="518">
        <v>44557</v>
      </c>
      <c r="B1565" s="495">
        <f t="shared" si="15"/>
        <v>364511.61</v>
      </c>
      <c r="C1565" s="495">
        <v>364311.61</v>
      </c>
      <c r="D1565" s="757">
        <v>200</v>
      </c>
    </row>
    <row r="1566" spans="1:4" x14ac:dyDescent="0.2">
      <c r="A1566" s="518">
        <v>44558</v>
      </c>
      <c r="B1566" s="495">
        <f t="shared" si="15"/>
        <v>366287.78</v>
      </c>
      <c r="C1566" s="495">
        <v>366087.78</v>
      </c>
      <c r="D1566" s="757">
        <v>200</v>
      </c>
    </row>
    <row r="1567" spans="1:4" x14ac:dyDescent="0.2">
      <c r="A1567" s="518">
        <v>44559</v>
      </c>
      <c r="B1567" s="495">
        <f t="shared" si="15"/>
        <v>406505.93</v>
      </c>
      <c r="C1567" s="495">
        <v>406305.93</v>
      </c>
      <c r="D1567" s="757">
        <v>200</v>
      </c>
    </row>
    <row r="1568" spans="1:4" x14ac:dyDescent="0.2">
      <c r="A1568" s="518">
        <v>44560</v>
      </c>
      <c r="B1568" s="495">
        <f>C1568+D1568</f>
        <v>406602.93</v>
      </c>
      <c r="C1568" s="495">
        <v>406402.93</v>
      </c>
      <c r="D1568" s="757">
        <v>200</v>
      </c>
    </row>
    <row r="1569" spans="1:4" x14ac:dyDescent="0.2">
      <c r="A1569" s="518">
        <v>44561</v>
      </c>
      <c r="B1569" s="495">
        <f t="shared" si="15"/>
        <v>406700.45</v>
      </c>
      <c r="C1569" s="495">
        <v>406500.45</v>
      </c>
      <c r="D1569" s="757">
        <v>200</v>
      </c>
    </row>
    <row r="1570" spans="1:4" x14ac:dyDescent="0.2">
      <c r="A1570" s="518">
        <v>44564</v>
      </c>
      <c r="B1570" s="495">
        <f t="shared" si="15"/>
        <v>406650.45</v>
      </c>
      <c r="C1570" s="495">
        <v>406450.45</v>
      </c>
      <c r="D1570" s="757">
        <v>200</v>
      </c>
    </row>
    <row r="1571" spans="1:4" x14ac:dyDescent="0.2">
      <c r="A1571" s="518">
        <v>44565</v>
      </c>
      <c r="B1571" s="495">
        <f t="shared" si="15"/>
        <v>372842.39</v>
      </c>
      <c r="C1571" s="495">
        <v>372642.39</v>
      </c>
      <c r="D1571" s="757">
        <v>200</v>
      </c>
    </row>
    <row r="1572" spans="1:4" x14ac:dyDescent="0.2">
      <c r="A1572" s="518">
        <v>44566</v>
      </c>
      <c r="B1572" s="495">
        <f t="shared" si="15"/>
        <v>370078.36</v>
      </c>
      <c r="C1572" s="495">
        <v>369878.36</v>
      </c>
      <c r="D1572" s="757">
        <v>200</v>
      </c>
    </row>
    <row r="1573" spans="1:4" x14ac:dyDescent="0.2">
      <c r="A1573" s="518">
        <v>44567</v>
      </c>
      <c r="B1573" s="495">
        <f t="shared" si="15"/>
        <v>368257.32</v>
      </c>
      <c r="C1573" s="495">
        <v>368057.32</v>
      </c>
      <c r="D1573" s="757">
        <v>200</v>
      </c>
    </row>
    <row r="1574" spans="1:4" x14ac:dyDescent="0.2">
      <c r="A1574" s="518">
        <v>44568</v>
      </c>
      <c r="B1574" s="495">
        <f t="shared" si="15"/>
        <v>369146.3</v>
      </c>
      <c r="C1574" s="495">
        <v>368946.3</v>
      </c>
      <c r="D1574" s="757">
        <v>200</v>
      </c>
    </row>
    <row r="1575" spans="1:4" x14ac:dyDescent="0.2">
      <c r="A1575" s="518">
        <v>44571</v>
      </c>
      <c r="B1575" s="495">
        <f t="shared" si="15"/>
        <v>369146.3</v>
      </c>
      <c r="C1575" s="495">
        <f t="shared" ref="C1575:C1637" si="17">C1574</f>
        <v>368946.3</v>
      </c>
      <c r="D1575" s="757">
        <v>200</v>
      </c>
    </row>
    <row r="1576" spans="1:4" x14ac:dyDescent="0.2">
      <c r="A1576" s="518">
        <v>44572</v>
      </c>
      <c r="B1576" s="495">
        <f t="shared" si="15"/>
        <v>369146.3</v>
      </c>
      <c r="C1576" s="495">
        <f t="shared" si="17"/>
        <v>368946.3</v>
      </c>
      <c r="D1576" s="757">
        <v>200</v>
      </c>
    </row>
    <row r="1577" spans="1:4" x14ac:dyDescent="0.2">
      <c r="A1577" s="518">
        <v>44573</v>
      </c>
      <c r="B1577" s="495">
        <f t="shared" si="15"/>
        <v>369146.3</v>
      </c>
      <c r="C1577" s="495">
        <f t="shared" si="17"/>
        <v>368946.3</v>
      </c>
      <c r="D1577" s="757">
        <v>200</v>
      </c>
    </row>
    <row r="1578" spans="1:4" x14ac:dyDescent="0.2">
      <c r="A1578" s="518">
        <v>44574</v>
      </c>
      <c r="B1578" s="495">
        <f t="shared" si="15"/>
        <v>369318.3</v>
      </c>
      <c r="C1578" s="495">
        <v>369118.3</v>
      </c>
      <c r="D1578" s="757">
        <v>200</v>
      </c>
    </row>
    <row r="1579" spans="1:4" x14ac:dyDescent="0.2">
      <c r="A1579" s="518">
        <v>44575</v>
      </c>
      <c r="B1579" s="495">
        <f t="shared" si="15"/>
        <v>369357.16</v>
      </c>
      <c r="C1579" s="495">
        <v>369157.16</v>
      </c>
      <c r="D1579" s="757">
        <v>200</v>
      </c>
    </row>
    <row r="1580" spans="1:4" x14ac:dyDescent="0.2">
      <c r="A1580" s="518">
        <v>44578</v>
      </c>
      <c r="B1580" s="495">
        <f t="shared" si="15"/>
        <v>369357.16</v>
      </c>
      <c r="C1580" s="495">
        <f t="shared" si="17"/>
        <v>369157.16</v>
      </c>
      <c r="D1580" s="757">
        <v>200</v>
      </c>
    </row>
    <row r="1581" spans="1:4" x14ac:dyDescent="0.2">
      <c r="A1581" s="518">
        <v>44579</v>
      </c>
      <c r="B1581" s="495">
        <f t="shared" si="15"/>
        <v>328912.42</v>
      </c>
      <c r="C1581" s="495">
        <v>328712.42</v>
      </c>
      <c r="D1581" s="757">
        <v>200</v>
      </c>
    </row>
    <row r="1582" spans="1:4" x14ac:dyDescent="0.2">
      <c r="A1582" s="518">
        <v>44580</v>
      </c>
      <c r="B1582" s="495">
        <f t="shared" si="15"/>
        <v>324854.01</v>
      </c>
      <c r="C1582" s="495">
        <v>324654.01</v>
      </c>
      <c r="D1582" s="757">
        <v>200</v>
      </c>
    </row>
    <row r="1583" spans="1:4" x14ac:dyDescent="0.2">
      <c r="A1583" s="518">
        <v>44581</v>
      </c>
      <c r="B1583" s="495">
        <f t="shared" si="15"/>
        <v>373026.22</v>
      </c>
      <c r="C1583" s="495">
        <v>372826.22</v>
      </c>
      <c r="D1583" s="757">
        <v>200</v>
      </c>
    </row>
    <row r="1584" spans="1:4" ht="12.75" customHeight="1" x14ac:dyDescent="0.2">
      <c r="A1584" s="518">
        <v>44582</v>
      </c>
      <c r="B1584" s="495">
        <f t="shared" si="15"/>
        <v>372715.39</v>
      </c>
      <c r="C1584" s="495">
        <v>372515.39</v>
      </c>
      <c r="D1584" s="757">
        <v>200</v>
      </c>
    </row>
    <row r="1585" spans="1:4" x14ac:dyDescent="0.2">
      <c r="A1585" s="518">
        <v>44585</v>
      </c>
      <c r="B1585" s="495">
        <f t="shared" ref="B1585:B1648" si="18">C1585+D1585</f>
        <v>352413.78</v>
      </c>
      <c r="C1585" s="495">
        <v>352213.78</v>
      </c>
      <c r="D1585" s="757">
        <v>200</v>
      </c>
    </row>
    <row r="1586" spans="1:4" x14ac:dyDescent="0.2">
      <c r="A1586" s="518">
        <v>44586</v>
      </c>
      <c r="B1586" s="495">
        <f t="shared" si="18"/>
        <v>324543.71999999997</v>
      </c>
      <c r="C1586" s="495">
        <v>324343.71999999997</v>
      </c>
      <c r="D1586" s="757">
        <v>200</v>
      </c>
    </row>
    <row r="1587" spans="1:4" x14ac:dyDescent="0.2">
      <c r="A1587" s="518">
        <v>44587</v>
      </c>
      <c r="B1587" s="495">
        <f t="shared" si="18"/>
        <v>324510.76</v>
      </c>
      <c r="C1587" s="495">
        <v>324310.76</v>
      </c>
      <c r="D1587" s="757">
        <v>200</v>
      </c>
    </row>
    <row r="1588" spans="1:4" x14ac:dyDescent="0.2">
      <c r="A1588" s="518">
        <v>44588</v>
      </c>
      <c r="B1588" s="495">
        <f t="shared" si="18"/>
        <v>290902.11</v>
      </c>
      <c r="C1588" s="495">
        <v>290702.11</v>
      </c>
      <c r="D1588" s="757">
        <v>200</v>
      </c>
    </row>
    <row r="1589" spans="1:4" x14ac:dyDescent="0.2">
      <c r="A1589" s="518">
        <v>44589</v>
      </c>
      <c r="B1589" s="495">
        <f t="shared" si="18"/>
        <v>290902.11</v>
      </c>
      <c r="C1589" s="495">
        <f t="shared" si="17"/>
        <v>290702.11</v>
      </c>
      <c r="D1589" s="757">
        <v>200</v>
      </c>
    </row>
    <row r="1590" spans="1:4" x14ac:dyDescent="0.2">
      <c r="A1590" s="518">
        <v>44592</v>
      </c>
      <c r="B1590" s="495">
        <f t="shared" si="18"/>
        <v>309578.59999999998</v>
      </c>
      <c r="C1590" s="495">
        <v>309378.59999999998</v>
      </c>
      <c r="D1590" s="757">
        <v>200</v>
      </c>
    </row>
    <row r="1591" spans="1:4" x14ac:dyDescent="0.2">
      <c r="A1591" s="518">
        <v>44593</v>
      </c>
      <c r="B1591" s="495">
        <f t="shared" si="18"/>
        <v>292963.95</v>
      </c>
      <c r="C1591" s="495">
        <v>292763.95</v>
      </c>
      <c r="D1591" s="757">
        <v>200</v>
      </c>
    </row>
    <row r="1592" spans="1:4" x14ac:dyDescent="0.2">
      <c r="A1592" s="518">
        <v>44594</v>
      </c>
      <c r="B1592" s="495">
        <f t="shared" si="18"/>
        <v>345714.5</v>
      </c>
      <c r="C1592" s="495">
        <v>345514.5</v>
      </c>
      <c r="D1592" s="757">
        <v>200</v>
      </c>
    </row>
    <row r="1593" spans="1:4" x14ac:dyDescent="0.2">
      <c r="A1593" s="518">
        <v>44595</v>
      </c>
      <c r="B1593" s="495">
        <f t="shared" si="18"/>
        <v>344030.58</v>
      </c>
      <c r="C1593" s="495">
        <v>343830.58</v>
      </c>
      <c r="D1593" s="757">
        <v>200</v>
      </c>
    </row>
    <row r="1594" spans="1:4" x14ac:dyDescent="0.2">
      <c r="A1594" s="518">
        <v>44596</v>
      </c>
      <c r="B1594" s="495">
        <f t="shared" si="18"/>
        <v>387503.42</v>
      </c>
      <c r="C1594" s="495">
        <v>387303.42</v>
      </c>
      <c r="D1594" s="757">
        <v>200</v>
      </c>
    </row>
    <row r="1595" spans="1:4" x14ac:dyDescent="0.2">
      <c r="A1595" s="518">
        <v>44599</v>
      </c>
      <c r="B1595" s="495">
        <f t="shared" si="18"/>
        <v>387503.42</v>
      </c>
      <c r="C1595" s="495">
        <f t="shared" si="17"/>
        <v>387303.42</v>
      </c>
      <c r="D1595" s="757">
        <v>200</v>
      </c>
    </row>
    <row r="1596" spans="1:4" x14ac:dyDescent="0.2">
      <c r="A1596" s="518">
        <v>44600</v>
      </c>
      <c r="B1596" s="495">
        <f t="shared" si="18"/>
        <v>387503.42</v>
      </c>
      <c r="C1596" s="495">
        <f t="shared" si="17"/>
        <v>387303.42</v>
      </c>
      <c r="D1596" s="757">
        <v>200</v>
      </c>
    </row>
    <row r="1597" spans="1:4" x14ac:dyDescent="0.2">
      <c r="A1597" s="518">
        <v>44601</v>
      </c>
      <c r="B1597" s="495">
        <f t="shared" si="18"/>
        <v>387503.42</v>
      </c>
      <c r="C1597" s="495">
        <f t="shared" si="17"/>
        <v>387303.42</v>
      </c>
      <c r="D1597" s="757">
        <v>200</v>
      </c>
    </row>
    <row r="1598" spans="1:4" x14ac:dyDescent="0.2">
      <c r="A1598" s="518">
        <v>44602</v>
      </c>
      <c r="B1598" s="554">
        <f t="shared" si="18"/>
        <v>411517.59</v>
      </c>
      <c r="C1598" s="495">
        <v>411317.59</v>
      </c>
      <c r="D1598" s="757">
        <v>200</v>
      </c>
    </row>
    <row r="1599" spans="1:4" x14ac:dyDescent="0.2">
      <c r="A1599" s="518">
        <v>44603</v>
      </c>
      <c r="B1599" s="495">
        <f t="shared" si="18"/>
        <v>388476.71</v>
      </c>
      <c r="C1599" s="495">
        <v>388276.71</v>
      </c>
      <c r="D1599" s="757">
        <v>200</v>
      </c>
    </row>
    <row r="1600" spans="1:4" x14ac:dyDescent="0.2">
      <c r="A1600" s="518">
        <v>44606</v>
      </c>
      <c r="B1600" s="495">
        <f t="shared" si="18"/>
        <v>388476.71</v>
      </c>
      <c r="C1600" s="495">
        <f t="shared" si="17"/>
        <v>388276.71</v>
      </c>
      <c r="D1600" s="757">
        <v>200</v>
      </c>
    </row>
    <row r="1601" spans="1:4" x14ac:dyDescent="0.2">
      <c r="A1601" s="518">
        <v>44607</v>
      </c>
      <c r="B1601" s="495">
        <f t="shared" si="18"/>
        <v>350398.25</v>
      </c>
      <c r="C1601" s="495">
        <v>350198.25</v>
      </c>
      <c r="D1601" s="757">
        <v>200</v>
      </c>
    </row>
    <row r="1602" spans="1:4" x14ac:dyDescent="0.2">
      <c r="A1602" s="518">
        <v>44608</v>
      </c>
      <c r="B1602" s="495">
        <f t="shared" si="18"/>
        <v>350398.25</v>
      </c>
      <c r="C1602" s="495">
        <f t="shared" si="17"/>
        <v>350198.25</v>
      </c>
      <c r="D1602" s="757">
        <v>200</v>
      </c>
    </row>
    <row r="1603" spans="1:4" x14ac:dyDescent="0.2">
      <c r="A1603" s="518">
        <v>44609</v>
      </c>
      <c r="B1603" s="495">
        <f t="shared" si="18"/>
        <v>329726.17</v>
      </c>
      <c r="C1603" s="495">
        <v>329526.17</v>
      </c>
      <c r="D1603" s="757">
        <v>200</v>
      </c>
    </row>
    <row r="1604" spans="1:4" x14ac:dyDescent="0.2">
      <c r="A1604" s="518">
        <v>44610</v>
      </c>
      <c r="B1604" s="495">
        <f t="shared" si="18"/>
        <v>329566.19</v>
      </c>
      <c r="C1604" s="495">
        <v>329366.19</v>
      </c>
      <c r="D1604" s="757">
        <v>200</v>
      </c>
    </row>
    <row r="1605" spans="1:4" x14ac:dyDescent="0.2">
      <c r="A1605" s="518">
        <v>44613</v>
      </c>
      <c r="B1605" s="495">
        <f t="shared" si="18"/>
        <v>329566.19</v>
      </c>
      <c r="C1605" s="495">
        <f t="shared" si="17"/>
        <v>329366.19</v>
      </c>
      <c r="D1605" s="757">
        <v>200</v>
      </c>
    </row>
    <row r="1606" spans="1:4" x14ac:dyDescent="0.2">
      <c r="A1606" s="518">
        <v>44614</v>
      </c>
      <c r="B1606" s="495">
        <f t="shared" si="18"/>
        <v>329566.19</v>
      </c>
      <c r="C1606" s="495">
        <f t="shared" si="17"/>
        <v>329366.19</v>
      </c>
      <c r="D1606" s="757">
        <v>200</v>
      </c>
    </row>
    <row r="1607" spans="1:4" x14ac:dyDescent="0.2">
      <c r="A1607" s="518">
        <v>44615</v>
      </c>
      <c r="B1607" s="495">
        <f t="shared" si="18"/>
        <v>330827.17</v>
      </c>
      <c r="C1607" s="495">
        <v>330627.17</v>
      </c>
      <c r="D1607" s="757">
        <v>200</v>
      </c>
    </row>
    <row r="1608" spans="1:4" x14ac:dyDescent="0.2">
      <c r="A1608" s="518">
        <v>44616</v>
      </c>
      <c r="B1608" s="495">
        <f t="shared" si="18"/>
        <v>331382.17</v>
      </c>
      <c r="C1608" s="495">
        <v>331182.17</v>
      </c>
      <c r="D1608" s="757">
        <v>200</v>
      </c>
    </row>
    <row r="1609" spans="1:4" x14ac:dyDescent="0.2">
      <c r="A1609" s="518">
        <v>44617</v>
      </c>
      <c r="B1609" s="495">
        <f t="shared" si="18"/>
        <v>331382.17</v>
      </c>
      <c r="C1609" s="495">
        <f t="shared" si="17"/>
        <v>331182.17</v>
      </c>
      <c r="D1609" s="757">
        <v>200</v>
      </c>
    </row>
    <row r="1610" spans="1:4" x14ac:dyDescent="0.2">
      <c r="A1610" s="518">
        <v>44620</v>
      </c>
      <c r="B1610" s="495">
        <f t="shared" si="18"/>
        <v>331382.17</v>
      </c>
      <c r="C1610" s="495">
        <f t="shared" si="17"/>
        <v>331182.17</v>
      </c>
      <c r="D1610" s="757">
        <v>200</v>
      </c>
    </row>
    <row r="1611" spans="1:4" x14ac:dyDescent="0.2">
      <c r="A1611" s="518">
        <v>44621</v>
      </c>
      <c r="B1611" s="495">
        <f t="shared" si="18"/>
        <v>293888.99</v>
      </c>
      <c r="C1611" s="495">
        <v>293688.99</v>
      </c>
      <c r="D1611" s="757">
        <v>200</v>
      </c>
    </row>
    <row r="1612" spans="1:4" x14ac:dyDescent="0.2">
      <c r="A1612" s="518">
        <v>44622</v>
      </c>
      <c r="B1612" s="495">
        <f t="shared" si="18"/>
        <v>321342.32</v>
      </c>
      <c r="C1612" s="495">
        <v>321142.32</v>
      </c>
      <c r="D1612" s="757">
        <v>200</v>
      </c>
    </row>
    <row r="1613" spans="1:4" x14ac:dyDescent="0.2">
      <c r="A1613" s="518">
        <v>44623</v>
      </c>
      <c r="B1613" s="495">
        <f t="shared" si="18"/>
        <v>328875.55</v>
      </c>
      <c r="C1613" s="495">
        <v>328675.55</v>
      </c>
      <c r="D1613" s="757">
        <v>200</v>
      </c>
    </row>
    <row r="1614" spans="1:4" x14ac:dyDescent="0.2">
      <c r="A1614" s="518">
        <v>44624</v>
      </c>
      <c r="B1614" s="495">
        <f t="shared" si="18"/>
        <v>311978.17</v>
      </c>
      <c r="C1614" s="495">
        <v>311778.17</v>
      </c>
      <c r="D1614" s="757">
        <v>200</v>
      </c>
    </row>
    <row r="1615" spans="1:4" x14ac:dyDescent="0.2">
      <c r="A1615" s="518">
        <v>44627</v>
      </c>
      <c r="B1615" s="495">
        <f t="shared" si="18"/>
        <v>311978.17</v>
      </c>
      <c r="C1615" s="495">
        <f t="shared" si="17"/>
        <v>311778.17</v>
      </c>
      <c r="D1615" s="757">
        <v>200</v>
      </c>
    </row>
    <row r="1616" spans="1:4" x14ac:dyDescent="0.2">
      <c r="A1616" s="518">
        <v>44628</v>
      </c>
      <c r="B1616" s="495">
        <f t="shared" si="18"/>
        <v>323791.65000000002</v>
      </c>
      <c r="C1616" s="495">
        <v>323591.65000000002</v>
      </c>
      <c r="D1616" s="757">
        <v>200</v>
      </c>
    </row>
    <row r="1617" spans="1:4" x14ac:dyDescent="0.2">
      <c r="A1617" s="518">
        <v>44629</v>
      </c>
      <c r="B1617" s="495">
        <f t="shared" si="18"/>
        <v>323791.65000000002</v>
      </c>
      <c r="C1617" s="495">
        <f t="shared" si="17"/>
        <v>323591.65000000002</v>
      </c>
      <c r="D1617" s="757">
        <v>200</v>
      </c>
    </row>
    <row r="1618" spans="1:4" x14ac:dyDescent="0.2">
      <c r="A1618" s="518">
        <v>44630</v>
      </c>
      <c r="B1618" s="495">
        <f t="shared" si="18"/>
        <v>304395.95</v>
      </c>
      <c r="C1618" s="495">
        <v>304195.95</v>
      </c>
      <c r="D1618" s="757">
        <v>200</v>
      </c>
    </row>
    <row r="1619" spans="1:4" x14ac:dyDescent="0.2">
      <c r="A1619" s="518">
        <v>44631</v>
      </c>
      <c r="B1619" s="495">
        <f t="shared" si="18"/>
        <v>304395.95</v>
      </c>
      <c r="C1619" s="495">
        <f t="shared" si="17"/>
        <v>304195.95</v>
      </c>
      <c r="D1619" s="757">
        <v>200</v>
      </c>
    </row>
    <row r="1620" spans="1:4" x14ac:dyDescent="0.2">
      <c r="A1620" s="518">
        <v>44634</v>
      </c>
      <c r="B1620" s="495">
        <f t="shared" si="18"/>
        <v>304395.95</v>
      </c>
      <c r="C1620" s="495">
        <f t="shared" si="17"/>
        <v>304195.95</v>
      </c>
      <c r="D1620" s="757">
        <v>200</v>
      </c>
    </row>
    <row r="1621" spans="1:4" x14ac:dyDescent="0.2">
      <c r="A1621" s="518">
        <v>44635</v>
      </c>
      <c r="B1621" s="495">
        <f t="shared" si="18"/>
        <v>354177.58</v>
      </c>
      <c r="C1621" s="495">
        <v>353977.58</v>
      </c>
      <c r="D1621" s="757">
        <v>200</v>
      </c>
    </row>
    <row r="1622" spans="1:4" x14ac:dyDescent="0.2">
      <c r="A1622" s="518">
        <v>44636</v>
      </c>
      <c r="B1622" s="495">
        <f t="shared" si="18"/>
        <v>354177.58</v>
      </c>
      <c r="C1622" s="495">
        <f t="shared" si="17"/>
        <v>353977.58</v>
      </c>
      <c r="D1622" s="757">
        <v>200</v>
      </c>
    </row>
    <row r="1623" spans="1:4" x14ac:dyDescent="0.2">
      <c r="A1623" s="518">
        <v>44637</v>
      </c>
      <c r="B1623" s="495">
        <f t="shared" si="18"/>
        <v>272443</v>
      </c>
      <c r="C1623" s="495">
        <v>272243</v>
      </c>
      <c r="D1623" s="757">
        <v>200</v>
      </c>
    </row>
    <row r="1624" spans="1:4" x14ac:dyDescent="0.2">
      <c r="A1624" s="518">
        <v>44638</v>
      </c>
      <c r="B1624" s="495">
        <f t="shared" si="18"/>
        <v>271968.02</v>
      </c>
      <c r="C1624" s="495">
        <v>271768.02</v>
      </c>
      <c r="D1624" s="757">
        <v>200</v>
      </c>
    </row>
    <row r="1625" spans="1:4" x14ac:dyDescent="0.2">
      <c r="A1625" s="518">
        <v>44641</v>
      </c>
      <c r="B1625" s="495">
        <f t="shared" si="18"/>
        <v>287143.02</v>
      </c>
      <c r="C1625" s="495">
        <v>286943.02</v>
      </c>
      <c r="D1625" s="757">
        <v>200</v>
      </c>
    </row>
    <row r="1626" spans="1:4" x14ac:dyDescent="0.2">
      <c r="A1626" s="518">
        <v>44642</v>
      </c>
      <c r="B1626" s="495">
        <f t="shared" si="18"/>
        <v>287143.02</v>
      </c>
      <c r="C1626" s="495">
        <f t="shared" si="17"/>
        <v>286943.02</v>
      </c>
      <c r="D1626" s="757">
        <v>200</v>
      </c>
    </row>
    <row r="1627" spans="1:4" x14ac:dyDescent="0.2">
      <c r="A1627" s="518">
        <v>44643</v>
      </c>
      <c r="B1627" s="495">
        <f t="shared" si="18"/>
        <v>171561.3</v>
      </c>
      <c r="C1627" s="495">
        <v>171361.3</v>
      </c>
      <c r="D1627" s="757">
        <v>200</v>
      </c>
    </row>
    <row r="1628" spans="1:4" x14ac:dyDescent="0.2">
      <c r="A1628" s="518">
        <v>44644</v>
      </c>
      <c r="B1628" s="495">
        <f t="shared" si="18"/>
        <v>171561.3</v>
      </c>
      <c r="C1628" s="495">
        <f t="shared" si="17"/>
        <v>171361.3</v>
      </c>
      <c r="D1628" s="757">
        <v>200</v>
      </c>
    </row>
    <row r="1629" spans="1:4" x14ac:dyDescent="0.2">
      <c r="A1629" s="518">
        <v>44645</v>
      </c>
      <c r="B1629" s="495">
        <f t="shared" si="18"/>
        <v>194069.16</v>
      </c>
      <c r="C1629" s="495">
        <v>193869.16</v>
      </c>
      <c r="D1629" s="757">
        <v>200</v>
      </c>
    </row>
    <row r="1630" spans="1:4" x14ac:dyDescent="0.2">
      <c r="A1630" s="518">
        <v>44648</v>
      </c>
      <c r="B1630" s="495">
        <f t="shared" si="18"/>
        <v>184965.34</v>
      </c>
      <c r="C1630" s="495">
        <v>184765.34</v>
      </c>
      <c r="D1630" s="757">
        <v>200</v>
      </c>
    </row>
    <row r="1631" spans="1:4" x14ac:dyDescent="0.2">
      <c r="A1631" s="518">
        <v>44649</v>
      </c>
      <c r="B1631" s="495">
        <f t="shared" si="18"/>
        <v>140741.59</v>
      </c>
      <c r="C1631" s="495">
        <v>140541.59</v>
      </c>
      <c r="D1631" s="757">
        <v>200</v>
      </c>
    </row>
    <row r="1632" spans="1:4" x14ac:dyDescent="0.2">
      <c r="A1632" s="518">
        <v>44650</v>
      </c>
      <c r="B1632" s="554">
        <f t="shared" si="18"/>
        <v>140708.63</v>
      </c>
      <c r="C1632" s="495">
        <v>140508.63</v>
      </c>
      <c r="D1632" s="757">
        <v>200</v>
      </c>
    </row>
    <row r="1633" spans="1:4" x14ac:dyDescent="0.2">
      <c r="A1633" s="518">
        <v>44651</v>
      </c>
      <c r="B1633" s="495">
        <f t="shared" si="18"/>
        <v>281239.25</v>
      </c>
      <c r="C1633" s="495">
        <v>281039.25</v>
      </c>
      <c r="D1633" s="757">
        <v>200</v>
      </c>
    </row>
    <row r="1634" spans="1:4" x14ac:dyDescent="0.2">
      <c r="A1634" s="518">
        <v>44652</v>
      </c>
      <c r="B1634" s="495">
        <f t="shared" si="18"/>
        <v>283716.02</v>
      </c>
      <c r="C1634" s="495">
        <v>283516.02</v>
      </c>
      <c r="D1634" s="757">
        <v>200</v>
      </c>
    </row>
    <row r="1635" spans="1:4" x14ac:dyDescent="0.2">
      <c r="A1635" s="518">
        <v>44655</v>
      </c>
      <c r="B1635" s="495">
        <f t="shared" si="18"/>
        <v>283716.02</v>
      </c>
      <c r="C1635" s="495">
        <f t="shared" si="17"/>
        <v>283516.02</v>
      </c>
      <c r="D1635" s="757">
        <v>200</v>
      </c>
    </row>
    <row r="1636" spans="1:4" x14ac:dyDescent="0.2">
      <c r="A1636" s="518">
        <v>44656</v>
      </c>
      <c r="B1636" s="495">
        <f t="shared" si="18"/>
        <v>300477.89</v>
      </c>
      <c r="C1636" s="495">
        <v>300277.89</v>
      </c>
      <c r="D1636" s="757">
        <v>200</v>
      </c>
    </row>
    <row r="1637" spans="1:4" x14ac:dyDescent="0.2">
      <c r="A1637" s="518">
        <v>44657</v>
      </c>
      <c r="B1637" s="495">
        <f t="shared" si="18"/>
        <v>300477.89</v>
      </c>
      <c r="C1637" s="495">
        <f t="shared" si="17"/>
        <v>300277.89</v>
      </c>
      <c r="D1637" s="757">
        <v>200</v>
      </c>
    </row>
    <row r="1638" spans="1:4" x14ac:dyDescent="0.2">
      <c r="A1638" s="518">
        <v>44658</v>
      </c>
      <c r="B1638" s="495">
        <f t="shared" si="18"/>
        <v>301029.09000000003</v>
      </c>
      <c r="C1638" s="495">
        <v>300829.09000000003</v>
      </c>
      <c r="D1638" s="757">
        <v>200</v>
      </c>
    </row>
    <row r="1639" spans="1:4" x14ac:dyDescent="0.2">
      <c r="A1639" s="518">
        <v>44659</v>
      </c>
      <c r="B1639" s="495">
        <f t="shared" si="18"/>
        <v>296794.44</v>
      </c>
      <c r="C1639" s="495">
        <v>296594.44</v>
      </c>
      <c r="D1639" s="757">
        <v>200</v>
      </c>
    </row>
    <row r="1640" spans="1:4" x14ac:dyDescent="0.2">
      <c r="A1640" s="518">
        <v>44662</v>
      </c>
      <c r="B1640" s="495">
        <f t="shared" si="18"/>
        <v>296989.44</v>
      </c>
      <c r="C1640" s="495">
        <v>296789.44</v>
      </c>
      <c r="D1640" s="757">
        <v>200</v>
      </c>
    </row>
    <row r="1641" spans="1:4" x14ac:dyDescent="0.2">
      <c r="A1641" s="518">
        <v>44663</v>
      </c>
      <c r="B1641" s="495">
        <f t="shared" si="18"/>
        <v>274755.46000000002</v>
      </c>
      <c r="C1641" s="495">
        <v>274555.46000000002</v>
      </c>
      <c r="D1641" s="757">
        <v>200</v>
      </c>
    </row>
    <row r="1642" spans="1:4" x14ac:dyDescent="0.2">
      <c r="A1642" s="518">
        <v>44664</v>
      </c>
      <c r="B1642" s="495">
        <f t="shared" si="18"/>
        <v>274755.46000000002</v>
      </c>
      <c r="C1642" s="495">
        <f t="shared" ref="C1642:C1656" si="19">C1641</f>
        <v>274555.46000000002</v>
      </c>
      <c r="D1642" s="757">
        <v>200</v>
      </c>
    </row>
    <row r="1643" spans="1:4" x14ac:dyDescent="0.2">
      <c r="A1643" s="518">
        <v>44665</v>
      </c>
      <c r="B1643" s="495">
        <f t="shared" si="18"/>
        <v>273817.88</v>
      </c>
      <c r="C1643" s="495">
        <v>273617.88</v>
      </c>
      <c r="D1643" s="757">
        <v>200</v>
      </c>
    </row>
    <row r="1644" spans="1:4" x14ac:dyDescent="0.2">
      <c r="A1644" s="518">
        <v>44666</v>
      </c>
      <c r="B1644" s="495">
        <f t="shared" si="18"/>
        <v>273375.03999999998</v>
      </c>
      <c r="C1644" s="495">
        <v>273175.03999999998</v>
      </c>
      <c r="D1644" s="757">
        <v>200</v>
      </c>
    </row>
    <row r="1645" spans="1:4" x14ac:dyDescent="0.2">
      <c r="A1645" s="518">
        <v>44669</v>
      </c>
      <c r="B1645" s="495">
        <f t="shared" si="18"/>
        <v>306978.36</v>
      </c>
      <c r="C1645" s="495">
        <v>306778.36</v>
      </c>
      <c r="D1645" s="757">
        <v>200</v>
      </c>
    </row>
    <row r="1646" spans="1:4" x14ac:dyDescent="0.2">
      <c r="A1646" s="518">
        <v>44670</v>
      </c>
      <c r="B1646" s="495">
        <f t="shared" si="18"/>
        <v>306978.36</v>
      </c>
      <c r="C1646" s="495">
        <f t="shared" si="19"/>
        <v>306778.36</v>
      </c>
      <c r="D1646" s="757">
        <v>200</v>
      </c>
    </row>
    <row r="1647" spans="1:4" x14ac:dyDescent="0.2">
      <c r="A1647" s="518">
        <v>44671</v>
      </c>
      <c r="B1647" s="495">
        <f t="shared" si="18"/>
        <v>266613.8</v>
      </c>
      <c r="C1647" s="495">
        <v>266413.8</v>
      </c>
      <c r="D1647" s="757">
        <v>200</v>
      </c>
    </row>
    <row r="1648" spans="1:4" x14ac:dyDescent="0.2">
      <c r="A1648" s="518">
        <v>44672</v>
      </c>
      <c r="B1648" s="495">
        <f t="shared" si="18"/>
        <v>271958.33</v>
      </c>
      <c r="C1648" s="495">
        <v>271758.33</v>
      </c>
      <c r="D1648" s="757">
        <v>200</v>
      </c>
    </row>
    <row r="1649" spans="1:4" x14ac:dyDescent="0.2">
      <c r="A1649" s="518">
        <v>44673</v>
      </c>
      <c r="B1649" s="495">
        <f t="shared" ref="B1649:B1655" si="20">C1649+D1649</f>
        <v>271799.48</v>
      </c>
      <c r="C1649" s="495">
        <v>271599.48</v>
      </c>
      <c r="D1649" s="757">
        <v>200</v>
      </c>
    </row>
    <row r="1650" spans="1:4" x14ac:dyDescent="0.2">
      <c r="A1650" s="518">
        <v>44676</v>
      </c>
      <c r="B1650" s="495">
        <f t="shared" si="20"/>
        <v>271799.48</v>
      </c>
      <c r="C1650" s="495">
        <f t="shared" si="19"/>
        <v>271599.48</v>
      </c>
      <c r="D1650" s="757">
        <v>200</v>
      </c>
    </row>
    <row r="1651" spans="1:4" x14ac:dyDescent="0.2">
      <c r="A1651" s="518">
        <v>44677</v>
      </c>
      <c r="B1651" s="495">
        <f t="shared" si="20"/>
        <v>231449.55</v>
      </c>
      <c r="C1651" s="495">
        <v>231249.55</v>
      </c>
      <c r="D1651" s="757">
        <v>200</v>
      </c>
    </row>
    <row r="1652" spans="1:4" x14ac:dyDescent="0.2">
      <c r="A1652" s="518">
        <v>44678</v>
      </c>
      <c r="B1652" s="495">
        <f t="shared" si="20"/>
        <v>255926.54</v>
      </c>
      <c r="C1652" s="495">
        <v>255726.54</v>
      </c>
      <c r="D1652" s="757">
        <v>200</v>
      </c>
    </row>
    <row r="1653" spans="1:4" x14ac:dyDescent="0.2">
      <c r="A1653" s="518">
        <v>44679</v>
      </c>
      <c r="B1653" s="495">
        <f t="shared" si="20"/>
        <v>256457.54</v>
      </c>
      <c r="C1653" s="495">
        <v>256257.54</v>
      </c>
      <c r="D1653" s="757">
        <v>200</v>
      </c>
    </row>
    <row r="1654" spans="1:4" x14ac:dyDescent="0.2">
      <c r="A1654" s="518">
        <v>44680</v>
      </c>
      <c r="B1654" s="495">
        <f t="shared" si="20"/>
        <v>255982.56</v>
      </c>
      <c r="C1654" s="495">
        <v>255782.56</v>
      </c>
      <c r="D1654" s="757">
        <v>200</v>
      </c>
    </row>
    <row r="1655" spans="1:4" x14ac:dyDescent="0.2">
      <c r="A1655" s="518">
        <v>44683</v>
      </c>
      <c r="B1655" s="495">
        <f t="shared" si="20"/>
        <v>255982.56</v>
      </c>
      <c r="C1655" s="495">
        <f t="shared" si="19"/>
        <v>255782.56</v>
      </c>
      <c r="D1655" s="757">
        <v>200</v>
      </c>
    </row>
    <row r="1656" spans="1:4" x14ac:dyDescent="0.2">
      <c r="A1656" s="518">
        <v>44684</v>
      </c>
      <c r="B1656" s="495">
        <f t="shared" ref="B1656:B1659" si="21">C1656+D1656</f>
        <v>255982.56</v>
      </c>
      <c r="C1656" s="495">
        <f t="shared" si="19"/>
        <v>255782.56</v>
      </c>
      <c r="D1656" s="757">
        <v>200</v>
      </c>
    </row>
    <row r="1657" spans="1:4" x14ac:dyDescent="0.2">
      <c r="A1657" s="518">
        <v>44685</v>
      </c>
      <c r="B1657" s="495">
        <f t="shared" si="21"/>
        <v>237408.49</v>
      </c>
      <c r="C1657" s="495">
        <v>237208.49</v>
      </c>
      <c r="D1657" s="757">
        <v>200</v>
      </c>
    </row>
    <row r="1658" spans="1:4" x14ac:dyDescent="0.2">
      <c r="A1658" s="518">
        <v>44686</v>
      </c>
      <c r="B1658" s="495">
        <f t="shared" si="21"/>
        <v>237595.16</v>
      </c>
      <c r="C1658" s="495">
        <v>237395.16</v>
      </c>
      <c r="D1658" s="757">
        <v>200</v>
      </c>
    </row>
    <row r="1659" spans="1:4" x14ac:dyDescent="0.2">
      <c r="A1659" s="518">
        <v>44687</v>
      </c>
      <c r="B1659" s="495">
        <f t="shared" si="21"/>
        <v>237595.16</v>
      </c>
      <c r="C1659" s="495">
        <f>C1658</f>
        <v>237395.16</v>
      </c>
      <c r="D1659" s="757">
        <v>200</v>
      </c>
    </row>
    <row r="1660" spans="1:4" x14ac:dyDescent="0.2">
      <c r="A1660" s="518">
        <v>44690</v>
      </c>
      <c r="B1660" s="495">
        <f t="shared" ref="B1660:B1664" si="22">C1660+D1660</f>
        <v>237595.16</v>
      </c>
      <c r="C1660" s="495">
        <f>C1659</f>
        <v>237395.16</v>
      </c>
      <c r="D1660" s="757">
        <v>200</v>
      </c>
    </row>
    <row r="1661" spans="1:4" x14ac:dyDescent="0.2">
      <c r="A1661" s="518">
        <v>44691</v>
      </c>
      <c r="B1661" s="495">
        <f t="shared" si="22"/>
        <v>198176.08</v>
      </c>
      <c r="C1661" s="495">
        <v>197976.08</v>
      </c>
      <c r="D1661" s="757">
        <v>200</v>
      </c>
    </row>
    <row r="1662" spans="1:4" x14ac:dyDescent="0.2">
      <c r="A1662" s="518">
        <v>44692</v>
      </c>
      <c r="B1662" s="495">
        <f t="shared" si="22"/>
        <v>206509.41</v>
      </c>
      <c r="C1662" s="495">
        <v>206309.41</v>
      </c>
      <c r="D1662" s="757">
        <v>200</v>
      </c>
    </row>
    <row r="1663" spans="1:4" x14ac:dyDescent="0.2">
      <c r="A1663" s="518">
        <v>44693</v>
      </c>
      <c r="B1663" s="495">
        <f t="shared" si="22"/>
        <v>196309.39</v>
      </c>
      <c r="C1663" s="495">
        <v>196109.39</v>
      </c>
      <c r="D1663" s="757">
        <v>200</v>
      </c>
    </row>
    <row r="1664" spans="1:4" x14ac:dyDescent="0.2">
      <c r="A1664" s="518">
        <v>44694</v>
      </c>
      <c r="B1664" s="495">
        <f t="shared" si="22"/>
        <v>217592.12</v>
      </c>
      <c r="C1664" s="495">
        <v>217392.12</v>
      </c>
      <c r="D1664" s="757">
        <v>200</v>
      </c>
    </row>
    <row r="1665" spans="1:4" x14ac:dyDescent="0.2">
      <c r="A1665" s="518">
        <v>44697</v>
      </c>
      <c r="B1665" s="495">
        <f t="shared" ref="B1665:B1712" si="23">C1665+D1665</f>
        <v>217592.12</v>
      </c>
      <c r="C1665" s="495">
        <f t="shared" ref="C1665:C1712" si="24">C1664</f>
        <v>217392.12</v>
      </c>
      <c r="D1665" s="757">
        <v>200</v>
      </c>
    </row>
    <row r="1666" spans="1:4" x14ac:dyDescent="0.2">
      <c r="A1666" s="518">
        <v>44698</v>
      </c>
      <c r="B1666" s="495">
        <f t="shared" si="23"/>
        <v>217592.12</v>
      </c>
      <c r="C1666" s="495">
        <f t="shared" si="24"/>
        <v>217392.12</v>
      </c>
      <c r="D1666" s="757">
        <v>200</v>
      </c>
    </row>
    <row r="1667" spans="1:4" x14ac:dyDescent="0.2">
      <c r="A1667" s="518">
        <v>44699</v>
      </c>
      <c r="B1667" s="495">
        <f t="shared" si="23"/>
        <v>217592.12</v>
      </c>
      <c r="C1667" s="495">
        <f t="shared" si="24"/>
        <v>217392.12</v>
      </c>
      <c r="D1667" s="757">
        <v>200</v>
      </c>
    </row>
    <row r="1668" spans="1:4" x14ac:dyDescent="0.2">
      <c r="A1668" s="518">
        <v>44700</v>
      </c>
      <c r="B1668" s="495">
        <f t="shared" si="23"/>
        <v>221731.08</v>
      </c>
      <c r="C1668" s="495">
        <v>221531.08</v>
      </c>
      <c r="D1668" s="757">
        <v>200</v>
      </c>
    </row>
    <row r="1669" spans="1:4" x14ac:dyDescent="0.2">
      <c r="A1669" s="518">
        <v>44701</v>
      </c>
      <c r="B1669" s="495">
        <f t="shared" si="23"/>
        <v>217798.74</v>
      </c>
      <c r="C1669" s="495">
        <v>217598.74</v>
      </c>
      <c r="D1669" s="757">
        <v>200</v>
      </c>
    </row>
    <row r="1670" spans="1:4" x14ac:dyDescent="0.2">
      <c r="A1670" s="518">
        <v>44704</v>
      </c>
      <c r="B1670" s="495">
        <f t="shared" si="23"/>
        <v>176485.8</v>
      </c>
      <c r="C1670" s="495">
        <v>176285.8</v>
      </c>
      <c r="D1670" s="757">
        <v>200</v>
      </c>
    </row>
    <row r="1671" spans="1:4" x14ac:dyDescent="0.2">
      <c r="A1671" s="518">
        <v>44705</v>
      </c>
      <c r="B1671" s="495">
        <f t="shared" si="23"/>
        <v>176485.8</v>
      </c>
      <c r="C1671" s="495">
        <f t="shared" si="24"/>
        <v>176285.8</v>
      </c>
      <c r="D1671" s="757">
        <v>200</v>
      </c>
    </row>
    <row r="1672" spans="1:4" x14ac:dyDescent="0.2">
      <c r="A1672" s="518">
        <v>44706</v>
      </c>
      <c r="B1672" s="495">
        <f t="shared" si="23"/>
        <v>176485.8</v>
      </c>
      <c r="C1672" s="495">
        <f t="shared" si="24"/>
        <v>176285.8</v>
      </c>
      <c r="D1672" s="757">
        <v>200</v>
      </c>
    </row>
    <row r="1673" spans="1:4" x14ac:dyDescent="0.2">
      <c r="A1673" s="518">
        <v>44707</v>
      </c>
      <c r="B1673" s="495">
        <f t="shared" si="23"/>
        <v>317719.40999999997</v>
      </c>
      <c r="C1673" s="495">
        <v>317519.40999999997</v>
      </c>
      <c r="D1673" s="757">
        <v>200</v>
      </c>
    </row>
    <row r="1674" spans="1:4" x14ac:dyDescent="0.2">
      <c r="A1674" s="518">
        <v>44708</v>
      </c>
      <c r="B1674" s="495">
        <f t="shared" si="23"/>
        <v>317244.43</v>
      </c>
      <c r="C1674" s="495">
        <v>317044.43</v>
      </c>
      <c r="D1674" s="757">
        <v>200</v>
      </c>
    </row>
    <row r="1675" spans="1:4" x14ac:dyDescent="0.2">
      <c r="A1675" s="518">
        <v>44711</v>
      </c>
      <c r="B1675" s="495">
        <f t="shared" si="23"/>
        <v>317244.43</v>
      </c>
      <c r="C1675" s="495">
        <f t="shared" si="24"/>
        <v>317044.43</v>
      </c>
      <c r="D1675" s="757">
        <v>200</v>
      </c>
    </row>
    <row r="1676" spans="1:4" x14ac:dyDescent="0.2">
      <c r="A1676" s="518">
        <v>44712</v>
      </c>
      <c r="B1676" s="495">
        <f t="shared" si="23"/>
        <v>317244.43</v>
      </c>
      <c r="C1676" s="495">
        <f t="shared" si="24"/>
        <v>317044.43</v>
      </c>
      <c r="D1676" s="757">
        <v>200</v>
      </c>
    </row>
    <row r="1677" spans="1:4" x14ac:dyDescent="0.2">
      <c r="A1677" s="518">
        <v>44713</v>
      </c>
      <c r="B1677" s="495">
        <f t="shared" si="23"/>
        <v>317244.43</v>
      </c>
      <c r="C1677" s="495">
        <f t="shared" si="24"/>
        <v>317044.43</v>
      </c>
      <c r="D1677" s="757">
        <v>200</v>
      </c>
    </row>
    <row r="1678" spans="1:4" x14ac:dyDescent="0.2">
      <c r="A1678" s="518">
        <v>44714</v>
      </c>
      <c r="B1678" s="495">
        <f t="shared" si="23"/>
        <v>317244.43</v>
      </c>
      <c r="C1678" s="495">
        <f t="shared" si="24"/>
        <v>317044.43</v>
      </c>
      <c r="D1678" s="757">
        <v>200</v>
      </c>
    </row>
    <row r="1679" spans="1:4" x14ac:dyDescent="0.2">
      <c r="A1679" s="518">
        <v>44715</v>
      </c>
      <c r="B1679" s="495">
        <f t="shared" si="23"/>
        <v>311632.77</v>
      </c>
      <c r="C1679" s="495">
        <v>311432.77</v>
      </c>
      <c r="D1679" s="757">
        <v>200</v>
      </c>
    </row>
    <row r="1680" spans="1:4" x14ac:dyDescent="0.2">
      <c r="A1680" s="518">
        <v>44718</v>
      </c>
      <c r="B1680" s="495">
        <f t="shared" si="23"/>
        <v>311632.77</v>
      </c>
      <c r="C1680" s="495">
        <f t="shared" si="24"/>
        <v>311432.77</v>
      </c>
      <c r="D1680" s="757">
        <v>200</v>
      </c>
    </row>
    <row r="1681" spans="1:4" x14ac:dyDescent="0.2">
      <c r="A1681" s="518">
        <v>44719</v>
      </c>
      <c r="B1681" s="495">
        <f t="shared" si="23"/>
        <v>272576.3</v>
      </c>
      <c r="C1681" s="495">
        <v>272376.3</v>
      </c>
      <c r="D1681" s="757">
        <v>200</v>
      </c>
    </row>
    <row r="1682" spans="1:4" x14ac:dyDescent="0.2">
      <c r="A1682" s="518">
        <v>44720</v>
      </c>
      <c r="B1682" s="495">
        <f t="shared" si="23"/>
        <v>272576.3</v>
      </c>
      <c r="C1682" s="495">
        <f t="shared" si="24"/>
        <v>272376.3</v>
      </c>
      <c r="D1682" s="757">
        <v>200</v>
      </c>
    </row>
    <row r="1683" spans="1:4" x14ac:dyDescent="0.2">
      <c r="A1683" s="518">
        <v>44721</v>
      </c>
      <c r="B1683" s="495">
        <f t="shared" si="23"/>
        <v>262789.33</v>
      </c>
      <c r="C1683" s="495">
        <v>262589.33</v>
      </c>
      <c r="D1683" s="757">
        <v>200</v>
      </c>
    </row>
    <row r="1684" spans="1:4" x14ac:dyDescent="0.2">
      <c r="A1684" s="518">
        <v>44722</v>
      </c>
      <c r="B1684" s="495">
        <f t="shared" si="23"/>
        <v>262314.34999999998</v>
      </c>
      <c r="C1684" s="495">
        <v>262114.35</v>
      </c>
      <c r="D1684" s="757">
        <v>200</v>
      </c>
    </row>
    <row r="1685" spans="1:4" x14ac:dyDescent="0.2">
      <c r="A1685" s="518">
        <v>44725</v>
      </c>
      <c r="B1685" s="495">
        <f t="shared" si="23"/>
        <v>262577.34999999998</v>
      </c>
      <c r="C1685" s="495">
        <v>262377.34999999998</v>
      </c>
      <c r="D1685" s="757">
        <v>200</v>
      </c>
    </row>
    <row r="1686" spans="1:4" x14ac:dyDescent="0.2">
      <c r="A1686" s="518">
        <v>44726</v>
      </c>
      <c r="B1686" s="495">
        <f t="shared" si="23"/>
        <v>262577.34999999998</v>
      </c>
      <c r="C1686" s="495">
        <f t="shared" si="24"/>
        <v>262377.34999999998</v>
      </c>
      <c r="D1686" s="757">
        <v>200</v>
      </c>
    </row>
    <row r="1687" spans="1:4" x14ac:dyDescent="0.2">
      <c r="A1687" s="518">
        <v>44727</v>
      </c>
      <c r="B1687" s="495">
        <f t="shared" si="23"/>
        <v>359115.13</v>
      </c>
      <c r="C1687" s="495">
        <v>358915.13</v>
      </c>
      <c r="D1687" s="757">
        <v>200</v>
      </c>
    </row>
    <row r="1688" spans="1:4" x14ac:dyDescent="0.2">
      <c r="A1688" s="518">
        <v>44728</v>
      </c>
      <c r="B1688" s="495">
        <f t="shared" si="23"/>
        <v>359115.13</v>
      </c>
      <c r="C1688" s="495">
        <f t="shared" si="24"/>
        <v>358915.13</v>
      </c>
      <c r="D1688" s="757">
        <v>200</v>
      </c>
    </row>
    <row r="1689" spans="1:4" x14ac:dyDescent="0.2">
      <c r="A1689" s="518">
        <v>44729</v>
      </c>
      <c r="B1689" s="495">
        <f t="shared" si="23"/>
        <v>359115.13</v>
      </c>
      <c r="C1689" s="495">
        <f t="shared" si="24"/>
        <v>358915.13</v>
      </c>
      <c r="D1689" s="757">
        <v>200</v>
      </c>
    </row>
    <row r="1690" spans="1:4" x14ac:dyDescent="0.2">
      <c r="A1690" s="518">
        <v>44732</v>
      </c>
      <c r="B1690" s="495">
        <f t="shared" si="23"/>
        <v>317912.34000000003</v>
      </c>
      <c r="C1690" s="495">
        <v>317712.34000000003</v>
      </c>
      <c r="D1690" s="757">
        <v>200</v>
      </c>
    </row>
    <row r="1691" spans="1:4" x14ac:dyDescent="0.2">
      <c r="A1691" s="518">
        <v>44733</v>
      </c>
      <c r="B1691" s="495">
        <f t="shared" si="23"/>
        <v>318373.34000000003</v>
      </c>
      <c r="C1691" s="495">
        <v>318173.34000000003</v>
      </c>
      <c r="D1691" s="757">
        <v>200</v>
      </c>
    </row>
    <row r="1692" spans="1:4" x14ac:dyDescent="0.2">
      <c r="A1692" s="518">
        <v>44734</v>
      </c>
      <c r="B1692" s="495">
        <f t="shared" si="23"/>
        <v>319350.08</v>
      </c>
      <c r="C1692" s="495">
        <v>319150.08000000002</v>
      </c>
      <c r="D1692" s="757">
        <v>200</v>
      </c>
    </row>
    <row r="1693" spans="1:4" x14ac:dyDescent="0.2">
      <c r="A1693" s="518">
        <v>44735</v>
      </c>
      <c r="B1693" s="495">
        <f t="shared" si="23"/>
        <v>329131.38</v>
      </c>
      <c r="C1693" s="495">
        <v>328931.38</v>
      </c>
      <c r="D1693" s="757">
        <v>200</v>
      </c>
    </row>
    <row r="1694" spans="1:4" x14ac:dyDescent="0.2">
      <c r="A1694" s="518">
        <v>44736</v>
      </c>
      <c r="B1694" s="495">
        <f t="shared" si="23"/>
        <v>329131.38</v>
      </c>
      <c r="C1694" s="495">
        <f t="shared" si="24"/>
        <v>328931.38</v>
      </c>
      <c r="D1694" s="757">
        <v>200</v>
      </c>
    </row>
    <row r="1695" spans="1:4" x14ac:dyDescent="0.2">
      <c r="A1695" s="518">
        <v>44739</v>
      </c>
      <c r="B1695" s="495">
        <f t="shared" si="23"/>
        <v>329131.38</v>
      </c>
      <c r="C1695" s="495">
        <f t="shared" si="24"/>
        <v>328931.38</v>
      </c>
      <c r="D1695" s="757">
        <v>200</v>
      </c>
    </row>
    <row r="1696" spans="1:4" x14ac:dyDescent="0.2">
      <c r="A1696" s="518">
        <v>44740</v>
      </c>
      <c r="B1696" s="495">
        <f t="shared" si="23"/>
        <v>329131.38</v>
      </c>
      <c r="C1696" s="495">
        <f t="shared" si="24"/>
        <v>328931.38</v>
      </c>
      <c r="D1696" s="757">
        <v>200</v>
      </c>
    </row>
    <row r="1697" spans="1:4" x14ac:dyDescent="0.2">
      <c r="A1697" s="518">
        <v>44741</v>
      </c>
      <c r="B1697" s="495">
        <f t="shared" si="23"/>
        <v>358518.98</v>
      </c>
      <c r="C1697" s="495">
        <v>358318.98</v>
      </c>
      <c r="D1697" s="757">
        <v>200</v>
      </c>
    </row>
    <row r="1698" spans="1:4" x14ac:dyDescent="0.2">
      <c r="A1698" s="518">
        <v>44742</v>
      </c>
      <c r="B1698" s="495">
        <f t="shared" si="23"/>
        <v>388026.98</v>
      </c>
      <c r="C1698" s="495">
        <v>387826.98</v>
      </c>
      <c r="D1698" s="757">
        <v>200</v>
      </c>
    </row>
    <row r="1699" spans="1:4" x14ac:dyDescent="0.2">
      <c r="A1699" s="518">
        <v>44743</v>
      </c>
      <c r="B1699" s="495">
        <f t="shared" si="23"/>
        <v>388026.98</v>
      </c>
      <c r="C1699" s="495">
        <f t="shared" si="24"/>
        <v>387826.98</v>
      </c>
      <c r="D1699" s="757">
        <v>200</v>
      </c>
    </row>
    <row r="1700" spans="1:4" x14ac:dyDescent="0.2">
      <c r="A1700" s="518">
        <v>44746</v>
      </c>
      <c r="B1700" s="495">
        <f t="shared" si="23"/>
        <v>388026.98</v>
      </c>
      <c r="C1700" s="495">
        <f t="shared" si="24"/>
        <v>387826.98</v>
      </c>
      <c r="D1700" s="757">
        <v>200</v>
      </c>
    </row>
    <row r="1701" spans="1:4" x14ac:dyDescent="0.2">
      <c r="A1701" s="518">
        <v>44747</v>
      </c>
      <c r="B1701" s="495">
        <f t="shared" si="23"/>
        <v>347383.35</v>
      </c>
      <c r="C1701" s="495">
        <v>347183.35</v>
      </c>
      <c r="D1701" s="757">
        <v>200</v>
      </c>
    </row>
    <row r="1702" spans="1:4" x14ac:dyDescent="0.2">
      <c r="A1702" s="518">
        <v>44748</v>
      </c>
      <c r="B1702" s="495">
        <f t="shared" si="23"/>
        <v>347507.35</v>
      </c>
      <c r="C1702" s="495">
        <v>347307.35</v>
      </c>
      <c r="D1702" s="757">
        <v>200</v>
      </c>
    </row>
    <row r="1703" spans="1:4" x14ac:dyDescent="0.2">
      <c r="A1703" s="518">
        <v>44749</v>
      </c>
      <c r="B1703" s="495">
        <f t="shared" si="23"/>
        <v>347648.35</v>
      </c>
      <c r="C1703" s="495">
        <v>347448.35</v>
      </c>
      <c r="D1703" s="757">
        <v>200</v>
      </c>
    </row>
    <row r="1704" spans="1:4" x14ac:dyDescent="0.2">
      <c r="A1704" s="518">
        <v>44750</v>
      </c>
      <c r="B1704" s="495">
        <f t="shared" si="23"/>
        <v>347173.37</v>
      </c>
      <c r="C1704" s="495">
        <v>346973.37</v>
      </c>
      <c r="D1704" s="757">
        <v>200</v>
      </c>
    </row>
    <row r="1705" spans="1:4" x14ac:dyDescent="0.2">
      <c r="A1705" s="518">
        <v>44753</v>
      </c>
      <c r="B1705" s="495">
        <f t="shared" si="23"/>
        <v>347173.37</v>
      </c>
      <c r="C1705" s="495">
        <f t="shared" si="24"/>
        <v>346973.37</v>
      </c>
      <c r="D1705" s="757">
        <v>200</v>
      </c>
    </row>
    <row r="1706" spans="1:4" x14ac:dyDescent="0.2">
      <c r="A1706" s="518">
        <v>44754</v>
      </c>
      <c r="B1706" s="495">
        <f t="shared" si="23"/>
        <v>347422.37</v>
      </c>
      <c r="C1706" s="495">
        <v>347222.37</v>
      </c>
      <c r="D1706" s="757">
        <v>200</v>
      </c>
    </row>
    <row r="1707" spans="1:4" x14ac:dyDescent="0.2">
      <c r="A1707" s="518">
        <v>44755</v>
      </c>
      <c r="B1707" s="495">
        <f t="shared" si="23"/>
        <v>347422.37</v>
      </c>
      <c r="C1707" s="495">
        <f t="shared" si="24"/>
        <v>347222.37</v>
      </c>
      <c r="D1707" s="757">
        <v>200</v>
      </c>
    </row>
    <row r="1708" spans="1:4" x14ac:dyDescent="0.2">
      <c r="A1708" s="518">
        <v>44756</v>
      </c>
      <c r="B1708" s="495">
        <f t="shared" si="23"/>
        <v>353674.1</v>
      </c>
      <c r="C1708" s="495">
        <v>353474.1</v>
      </c>
      <c r="D1708" s="757">
        <v>200</v>
      </c>
    </row>
    <row r="1709" spans="1:4" x14ac:dyDescent="0.2">
      <c r="A1709" s="518">
        <v>44757</v>
      </c>
      <c r="B1709" s="495">
        <f t="shared" si="23"/>
        <v>355815.56</v>
      </c>
      <c r="C1709" s="495">
        <v>355615.56</v>
      </c>
      <c r="D1709" s="757">
        <v>200</v>
      </c>
    </row>
    <row r="1710" spans="1:4" x14ac:dyDescent="0.2">
      <c r="A1710" s="518">
        <v>44760</v>
      </c>
      <c r="B1710" s="495">
        <f t="shared" si="23"/>
        <v>319836.78000000003</v>
      </c>
      <c r="C1710" s="495">
        <v>319636.78000000003</v>
      </c>
      <c r="D1710" s="757">
        <v>200</v>
      </c>
    </row>
    <row r="1711" spans="1:4" x14ac:dyDescent="0.2">
      <c r="A1711" s="518">
        <v>44761</v>
      </c>
      <c r="B1711" s="495">
        <f t="shared" si="23"/>
        <v>296807.06</v>
      </c>
      <c r="C1711" s="495">
        <v>296607.06</v>
      </c>
      <c r="D1711" s="757">
        <v>200</v>
      </c>
    </row>
    <row r="1712" spans="1:4" x14ac:dyDescent="0.2">
      <c r="A1712" s="518">
        <v>44762</v>
      </c>
      <c r="B1712" s="495">
        <f t="shared" si="23"/>
        <v>296807.06</v>
      </c>
      <c r="C1712" s="495">
        <f t="shared" si="24"/>
        <v>296607.06</v>
      </c>
      <c r="D1712" s="757">
        <v>200</v>
      </c>
    </row>
    <row r="1713" spans="1:4" x14ac:dyDescent="0.2">
      <c r="A1713" s="518"/>
      <c r="C1713" s="495"/>
      <c r="D1713" s="757"/>
    </row>
    <row r="1714" spans="1:4" x14ac:dyDescent="0.2">
      <c r="A1714" s="523" t="s">
        <v>269</v>
      </c>
      <c r="B1714" s="495">
        <f>MAX(B$1570:B1698)</f>
        <v>411517.59</v>
      </c>
    </row>
    <row r="1715" spans="1:4" x14ac:dyDescent="0.2">
      <c r="A1715" s="523" t="s">
        <v>270</v>
      </c>
      <c r="B1715" s="495">
        <f>MIN(B$1570:B1698)</f>
        <v>140708.63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418</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90" t="s">
        <v>49</v>
      </c>
      <c r="H5" s="890"/>
      <c r="I5" s="890"/>
      <c r="J5" s="890"/>
      <c r="K5" s="890"/>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54" t="s">
        <v>413</v>
      </c>
      <c r="H7" s="755" t="s">
        <v>414</v>
      </c>
      <c r="I7" s="755" t="s">
        <v>419</v>
      </c>
      <c r="J7" s="755"/>
      <c r="K7" s="754" t="s">
        <v>420</v>
      </c>
      <c r="L7" s="891" t="s">
        <v>421</v>
      </c>
      <c r="M7" s="891"/>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41504</v>
      </c>
      <c r="H9" s="322">
        <v>25300</v>
      </c>
      <c r="I9" s="322">
        <v>66804</v>
      </c>
      <c r="J9" s="322"/>
      <c r="K9" s="264">
        <v>175000</v>
      </c>
      <c r="L9" s="510">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14147</v>
      </c>
      <c r="H10" s="322">
        <v>24011.0864</v>
      </c>
      <c r="I10" s="322">
        <v>38158.0864</v>
      </c>
      <c r="J10" s="322"/>
      <c r="K10" s="264">
        <v>49619</v>
      </c>
      <c r="L10" s="510">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103487</v>
      </c>
      <c r="H12" s="322">
        <v>87197.56</v>
      </c>
      <c r="I12" s="322">
        <v>190684.56</v>
      </c>
      <c r="J12" s="322"/>
      <c r="K12" s="264">
        <v>196175</v>
      </c>
      <c r="L12" s="510">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9000</v>
      </c>
      <c r="H13" s="322">
        <v>9000</v>
      </c>
      <c r="I13" s="322">
        <v>18000</v>
      </c>
      <c r="J13" s="322"/>
      <c r="K13" s="264">
        <v>18000</v>
      </c>
      <c r="L13" s="510">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409</v>
      </c>
      <c r="E14" s="421"/>
      <c r="F14" s="73"/>
      <c r="G14" s="322">
        <v>48393</v>
      </c>
      <c r="H14" s="322">
        <v>58479.097600000001</v>
      </c>
      <c r="I14" s="322">
        <v>106872.09760000001</v>
      </c>
      <c r="J14" s="322"/>
      <c r="K14" s="264">
        <v>169400</v>
      </c>
      <c r="L14" s="510">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380</v>
      </c>
      <c r="D15" s="421"/>
      <c r="E15" s="421"/>
      <c r="F15" s="73"/>
      <c r="G15" s="322">
        <v>5140</v>
      </c>
      <c r="H15" s="322">
        <v>5045</v>
      </c>
      <c r="I15" s="322">
        <v>10185</v>
      </c>
      <c r="J15" s="322"/>
      <c r="K15" s="264">
        <v>17000</v>
      </c>
      <c r="L15" s="510">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701</v>
      </c>
      <c r="H16" s="322">
        <v>592.29</v>
      </c>
      <c r="I16" s="322">
        <v>1293.29</v>
      </c>
      <c r="J16" s="322"/>
      <c r="K16" s="264">
        <v>1200</v>
      </c>
      <c r="L16" s="510">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2152</v>
      </c>
      <c r="H17" s="322">
        <v>1900</v>
      </c>
      <c r="I17" s="322">
        <v>4052</v>
      </c>
      <c r="J17" s="322"/>
      <c r="K17" s="264">
        <v>4200</v>
      </c>
      <c r="L17" s="510">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-2942</v>
      </c>
      <c r="H18" s="322">
        <v>0</v>
      </c>
      <c r="I18" s="322">
        <v>-2942</v>
      </c>
      <c r="J18" s="322"/>
      <c r="K18" s="264">
        <v>1500</v>
      </c>
      <c r="L18" s="510">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422</v>
      </c>
      <c r="D19" s="421"/>
      <c r="E19" s="421"/>
      <c r="F19" s="73"/>
      <c r="G19" s="322"/>
      <c r="H19" s="322"/>
      <c r="I19" s="322">
        <v>0</v>
      </c>
      <c r="J19" s="322"/>
      <c r="K19" s="264"/>
      <c r="L19" s="510">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0">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398</v>
      </c>
      <c r="E21" s="421"/>
      <c r="F21" s="421"/>
      <c r="G21" s="322">
        <v>4073</v>
      </c>
      <c r="H21" s="322">
        <v>1960.0200000000002</v>
      </c>
      <c r="I21" s="322">
        <v>6033.02</v>
      </c>
      <c r="J21" s="322"/>
      <c r="K21" s="264">
        <v>5000</v>
      </c>
      <c r="L21" s="510">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50"/>
      <c r="D22" s="421" t="s">
        <v>17</v>
      </c>
      <c r="E22" s="750"/>
      <c r="F22" s="750"/>
      <c r="G22" s="322">
        <v>25000</v>
      </c>
      <c r="H22" s="322">
        <v>25000</v>
      </c>
      <c r="I22" s="322">
        <v>50000</v>
      </c>
      <c r="J22" s="322"/>
      <c r="K22" s="264">
        <v>50000</v>
      </c>
      <c r="L22" s="510">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50"/>
      <c r="D23" s="421" t="s">
        <v>423</v>
      </c>
      <c r="E23" s="750"/>
      <c r="F23" s="750"/>
      <c r="G23" s="322">
        <v>15000</v>
      </c>
      <c r="H23" s="322">
        <v>0</v>
      </c>
      <c r="I23" s="322">
        <v>15000</v>
      </c>
      <c r="J23" s="322"/>
      <c r="K23" s="264">
        <v>0</v>
      </c>
      <c r="L23" s="510">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50"/>
      <c r="D24" s="421" t="s">
        <v>424</v>
      </c>
      <c r="E24" s="750"/>
      <c r="F24" s="750"/>
      <c r="G24" s="322">
        <v>5488</v>
      </c>
      <c r="H24" s="322">
        <v>0</v>
      </c>
      <c r="I24" s="322">
        <v>5488</v>
      </c>
      <c r="J24" s="322"/>
      <c r="K24" s="264">
        <v>0</v>
      </c>
      <c r="L24" s="510">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324</v>
      </c>
      <c r="D25" s="750"/>
      <c r="E25" s="750"/>
      <c r="F25" s="750"/>
      <c r="G25" s="322">
        <v>0</v>
      </c>
      <c r="H25" s="322">
        <v>0</v>
      </c>
      <c r="I25" s="322">
        <v>0</v>
      </c>
      <c r="J25" s="322"/>
      <c r="K25" s="264">
        <v>2000</v>
      </c>
      <c r="L25" s="510">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109</v>
      </c>
      <c r="D26" s="750"/>
      <c r="E26" s="750"/>
      <c r="F26" s="750"/>
      <c r="G26" s="322">
        <v>23288</v>
      </c>
      <c r="H26" s="322">
        <v>23288</v>
      </c>
      <c r="I26" s="322">
        <v>46576</v>
      </c>
      <c r="J26" s="322"/>
      <c r="K26" s="322">
        <v>46576</v>
      </c>
      <c r="L26" s="510">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425</v>
      </c>
      <c r="D27" s="750"/>
      <c r="E27" s="750"/>
      <c r="F27" s="750"/>
      <c r="G27" s="322">
        <v>11328.2</v>
      </c>
      <c r="H27" s="322">
        <v>10450</v>
      </c>
      <c r="I27" s="322">
        <v>21778.2</v>
      </c>
      <c r="J27" s="322"/>
      <c r="K27" s="322">
        <v>3500</v>
      </c>
      <c r="L27" s="510">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102</v>
      </c>
      <c r="D28" s="750"/>
      <c r="E28" s="750"/>
      <c r="F28" s="750"/>
      <c r="G28" s="322">
        <v>9500</v>
      </c>
      <c r="H28" s="322">
        <v>9499.7799999999988</v>
      </c>
      <c r="I28" s="322">
        <v>18999.78</v>
      </c>
      <c r="J28" s="322"/>
      <c r="K28" s="322">
        <v>19000</v>
      </c>
      <c r="L28" s="510">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321</v>
      </c>
      <c r="D29" s="750"/>
      <c r="E29" s="750"/>
      <c r="F29" s="750"/>
      <c r="G29" s="322">
        <v>26000</v>
      </c>
      <c r="H29" s="322">
        <v>20800.019999999997</v>
      </c>
      <c r="I29" s="322">
        <v>46800.02</v>
      </c>
      <c r="J29" s="322"/>
      <c r="K29" s="322">
        <v>53000</v>
      </c>
      <c r="L29" s="510">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323</v>
      </c>
      <c r="D30" s="750"/>
      <c r="E30" s="750"/>
      <c r="F30" s="750"/>
      <c r="G30" s="322">
        <v>5764.37</v>
      </c>
      <c r="H30" s="322">
        <v>5781</v>
      </c>
      <c r="I30" s="322">
        <v>11545.369999999999</v>
      </c>
      <c r="J30" s="322"/>
      <c r="K30" s="322">
        <v>16835</v>
      </c>
      <c r="L30" s="510">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105</v>
      </c>
      <c r="E31" s="421"/>
      <c r="F31" s="73"/>
      <c r="G31" s="759">
        <v>722601.28999999992</v>
      </c>
      <c r="H31" s="759">
        <v>640258.77733000007</v>
      </c>
      <c r="I31" s="759">
        <v>1362860.0673300002</v>
      </c>
      <c r="J31" s="759"/>
      <c r="K31" s="759">
        <v>1669325</v>
      </c>
      <c r="L31" s="760">
        <v>-306464.93267000001</v>
      </c>
      <c r="M31" s="761">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6"/>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62">
        <v>1102996</v>
      </c>
      <c r="L34" s="510">
        <v>-215358.93999999994</v>
      </c>
      <c r="M34" s="437">
        <v>-0.19524906708637196</v>
      </c>
    </row>
    <row r="35" spans="1:57" s="68" customFormat="1" ht="20.25" x14ac:dyDescent="0.2">
      <c r="A35" s="67"/>
      <c r="B35" s="67"/>
      <c r="C35" s="79" t="s">
        <v>113</v>
      </c>
      <c r="D35" s="79"/>
      <c r="E35" s="79"/>
      <c r="F35" s="79"/>
      <c r="G35" s="232">
        <v>102132.08</v>
      </c>
      <c r="H35" s="322">
        <v>85992.050000000017</v>
      </c>
      <c r="I35" s="322">
        <v>188124.13</v>
      </c>
      <c r="J35" s="322"/>
      <c r="K35" s="763">
        <v>224967</v>
      </c>
      <c r="L35" s="510">
        <v>-36842.869999999995</v>
      </c>
      <c r="M35" s="437">
        <v>-0.16377010850480292</v>
      </c>
    </row>
    <row r="36" spans="1:57" s="68" customFormat="1" ht="20.25" x14ac:dyDescent="0.2">
      <c r="A36" s="67"/>
      <c r="B36" s="67"/>
      <c r="C36" s="79" t="s">
        <v>114</v>
      </c>
      <c r="D36" s="79"/>
      <c r="E36" s="79"/>
      <c r="F36" s="79"/>
      <c r="G36" s="232">
        <v>900</v>
      </c>
      <c r="H36" s="322">
        <v>900</v>
      </c>
      <c r="I36" s="322">
        <v>1800</v>
      </c>
      <c r="J36" s="322"/>
      <c r="K36" s="763">
        <v>1800</v>
      </c>
      <c r="L36" s="510">
        <v>0</v>
      </c>
      <c r="M36" s="437">
        <v>0</v>
      </c>
    </row>
    <row r="37" spans="1:57" s="68" customFormat="1" ht="20.25" x14ac:dyDescent="0.2">
      <c r="A37" s="67"/>
      <c r="B37" s="67"/>
      <c r="C37" s="79" t="s">
        <v>104</v>
      </c>
      <c r="D37" s="79"/>
      <c r="E37" s="79"/>
      <c r="F37" s="79"/>
      <c r="G37" s="232">
        <v>23288</v>
      </c>
      <c r="H37" s="322">
        <v>23288</v>
      </c>
      <c r="I37" s="322">
        <v>46576</v>
      </c>
      <c r="J37" s="322"/>
      <c r="K37" s="763">
        <v>46576</v>
      </c>
      <c r="L37" s="510">
        <v>0</v>
      </c>
      <c r="M37" s="437">
        <v>0</v>
      </c>
    </row>
    <row r="38" spans="1:57" s="68" customFormat="1" ht="20.25" x14ac:dyDescent="0.2">
      <c r="A38" s="67"/>
      <c r="B38" s="67"/>
      <c r="C38" s="79" t="s">
        <v>115</v>
      </c>
      <c r="D38" s="79"/>
      <c r="E38" s="79"/>
      <c r="F38" s="79"/>
      <c r="G38" s="232">
        <v>10831.87</v>
      </c>
      <c r="H38" s="322">
        <v>10418.370000000001</v>
      </c>
      <c r="I38" s="322">
        <v>21250.240000000002</v>
      </c>
      <c r="J38" s="322"/>
      <c r="K38" s="763">
        <v>19050</v>
      </c>
      <c r="L38" s="510">
        <v>2200.2400000000016</v>
      </c>
      <c r="M38" s="437">
        <v>0.11549816272965888</v>
      </c>
    </row>
    <row r="39" spans="1:57" s="68" customFormat="1" ht="20.25" x14ac:dyDescent="0.2">
      <c r="A39" s="67"/>
      <c r="B39" s="67"/>
      <c r="C39" s="79" t="s">
        <v>116</v>
      </c>
      <c r="D39" s="79"/>
      <c r="E39" s="79"/>
      <c r="F39" s="79"/>
      <c r="G39" s="232">
        <v>1224.3499999999999</v>
      </c>
      <c r="H39" s="322">
        <v>1207.24</v>
      </c>
      <c r="I39" s="322">
        <v>2431.59</v>
      </c>
      <c r="J39" s="322"/>
      <c r="K39" s="763">
        <v>3377</v>
      </c>
      <c r="L39" s="510">
        <v>-945.40999999999985</v>
      </c>
      <c r="M39" s="437">
        <v>-0.27995558187740593</v>
      </c>
    </row>
    <row r="40" spans="1:57" s="68" customFormat="1" ht="20.25" x14ac:dyDescent="0.2">
      <c r="A40" s="67"/>
      <c r="B40" s="67"/>
      <c r="C40" s="79" t="s">
        <v>117</v>
      </c>
      <c r="D40" s="79"/>
      <c r="E40" s="79"/>
      <c r="F40" s="79"/>
      <c r="G40" s="232">
        <v>1941.95</v>
      </c>
      <c r="H40" s="322">
        <v>1791.4500000000003</v>
      </c>
      <c r="I40" s="322">
        <v>3733.4000000000005</v>
      </c>
      <c r="J40" s="322"/>
      <c r="K40" s="763">
        <v>4254</v>
      </c>
      <c r="L40" s="510">
        <v>-520.59999999999945</v>
      </c>
      <c r="M40" s="437">
        <v>-0.12237893747061576</v>
      </c>
    </row>
    <row r="41" spans="1:57" s="68" customFormat="1" ht="20.25" x14ac:dyDescent="0.2">
      <c r="A41" s="67"/>
      <c r="B41" s="67"/>
      <c r="C41" s="79" t="s">
        <v>118</v>
      </c>
      <c r="D41" s="79"/>
      <c r="E41" s="79"/>
      <c r="F41" s="79"/>
      <c r="G41" s="232">
        <v>525.84</v>
      </c>
      <c r="H41" s="322">
        <v>1029.27</v>
      </c>
      <c r="I41" s="322">
        <v>1555.1100000000001</v>
      </c>
      <c r="J41" s="322"/>
      <c r="K41" s="763">
        <v>12334</v>
      </c>
      <c r="L41" s="510">
        <v>-10778.89</v>
      </c>
      <c r="M41" s="437">
        <v>-0.8739168153072806</v>
      </c>
    </row>
    <row r="42" spans="1:57" s="68" customFormat="1" ht="20.25" x14ac:dyDescent="0.2">
      <c r="A42" s="67"/>
      <c r="B42" s="67"/>
      <c r="C42" s="79" t="s">
        <v>119</v>
      </c>
      <c r="D42" s="79"/>
      <c r="E42" s="79"/>
      <c r="F42" s="79"/>
      <c r="G42" s="232">
        <v>18906.52</v>
      </c>
      <c r="H42" s="322">
        <v>15450</v>
      </c>
      <c r="I42" s="322">
        <v>34356.520000000004</v>
      </c>
      <c r="J42" s="322"/>
      <c r="K42" s="763">
        <v>38115</v>
      </c>
      <c r="L42" s="510">
        <v>-3758.4799999999959</v>
      </c>
      <c r="M42" s="437">
        <v>-9.8608946608946507E-2</v>
      </c>
    </row>
    <row r="43" spans="1:57" s="68" customFormat="1" ht="20.25" x14ac:dyDescent="0.2">
      <c r="A43" s="67"/>
      <c r="B43" s="67"/>
      <c r="C43" s="79" t="s">
        <v>120</v>
      </c>
      <c r="D43" s="79"/>
      <c r="E43" s="79"/>
      <c r="F43" s="79"/>
      <c r="G43" s="232">
        <v>672.76</v>
      </c>
      <c r="H43" s="322">
        <v>828.07</v>
      </c>
      <c r="I43" s="322">
        <v>1500.83</v>
      </c>
      <c r="J43" s="322"/>
      <c r="K43" s="763">
        <v>5448</v>
      </c>
      <c r="L43" s="510">
        <v>-3947.17</v>
      </c>
      <c r="M43" s="437">
        <v>-0.72451725403817913</v>
      </c>
    </row>
    <row r="44" spans="1:57" s="68" customFormat="1" ht="20.25" x14ac:dyDescent="0.2">
      <c r="A44" s="67"/>
      <c r="B44" s="67"/>
      <c r="C44" s="79" t="s">
        <v>121</v>
      </c>
      <c r="D44" s="79"/>
      <c r="E44" s="79"/>
      <c r="F44" s="79"/>
      <c r="G44" s="232">
        <v>419</v>
      </c>
      <c r="H44" s="322">
        <v>588.96333333333337</v>
      </c>
      <c r="I44" s="322">
        <v>1007.9633333333334</v>
      </c>
      <c r="J44" s="322"/>
      <c r="K44" s="763">
        <v>1262</v>
      </c>
      <c r="L44" s="510">
        <v>-254.03666666666663</v>
      </c>
      <c r="M44" s="437">
        <v>-0.20129688325409401</v>
      </c>
    </row>
    <row r="45" spans="1:57" s="68" customFormat="1" ht="20.25" x14ac:dyDescent="0.2">
      <c r="A45" s="67"/>
      <c r="B45" s="67"/>
      <c r="C45" s="79" t="s">
        <v>166</v>
      </c>
      <c r="D45" s="79"/>
      <c r="E45" s="79"/>
      <c r="F45" s="79"/>
      <c r="G45" s="232">
        <v>7425</v>
      </c>
      <c r="H45" s="322">
        <v>2735</v>
      </c>
      <c r="I45" s="322">
        <v>10160</v>
      </c>
      <c r="J45" s="322"/>
      <c r="K45" s="763">
        <v>12600</v>
      </c>
      <c r="L45" s="510">
        <v>-2440</v>
      </c>
      <c r="M45" s="437">
        <v>-0.19365079365079366</v>
      </c>
    </row>
    <row r="46" spans="1:57" s="68" customFormat="1" ht="20.25" x14ac:dyDescent="0.2">
      <c r="A46" s="67"/>
      <c r="B46" s="67"/>
      <c r="C46" s="892" t="s">
        <v>326</v>
      </c>
      <c r="D46" s="892"/>
      <c r="E46" s="892"/>
      <c r="F46" s="892"/>
      <c r="G46" s="232">
        <v>67</v>
      </c>
      <c r="H46" s="322">
        <v>0</v>
      </c>
      <c r="I46" s="322">
        <v>67</v>
      </c>
      <c r="J46" s="322"/>
      <c r="K46" s="763">
        <v>0</v>
      </c>
      <c r="L46" s="510">
        <v>67</v>
      </c>
      <c r="M46" s="437"/>
      <c r="O46" s="742"/>
    </row>
    <row r="47" spans="1:57" s="68" customFormat="1" ht="20.25" x14ac:dyDescent="0.2">
      <c r="A47" s="67"/>
      <c r="B47" s="67"/>
      <c r="C47" s="79" t="s">
        <v>122</v>
      </c>
      <c r="D47" s="79"/>
      <c r="E47" s="79"/>
      <c r="F47" s="79"/>
      <c r="G47" s="322">
        <v>9698.2999999999993</v>
      </c>
      <c r="H47" s="322">
        <v>6282.170000000001</v>
      </c>
      <c r="I47" s="322">
        <v>15980.470000000001</v>
      </c>
      <c r="J47" s="322"/>
      <c r="K47" s="763">
        <v>12425</v>
      </c>
      <c r="L47" s="510">
        <v>3555.4700000000012</v>
      </c>
      <c r="M47" s="437">
        <v>0.28615452716297796</v>
      </c>
    </row>
    <row r="48" spans="1:57" s="68" customFormat="1" ht="20.25" x14ac:dyDescent="0.2">
      <c r="A48" s="67"/>
      <c r="B48" s="67"/>
      <c r="C48" s="79" t="s">
        <v>123</v>
      </c>
      <c r="D48" s="79"/>
      <c r="E48" s="79"/>
      <c r="F48" s="79"/>
      <c r="G48" s="322">
        <v>5409.5</v>
      </c>
      <c r="H48" s="322">
        <v>6493.7800000000007</v>
      </c>
      <c r="I48" s="322">
        <v>11903.28</v>
      </c>
      <c r="J48" s="322"/>
      <c r="K48" s="763">
        <v>11716</v>
      </c>
      <c r="L48" s="510">
        <v>187.28000000000065</v>
      </c>
      <c r="M48" s="437">
        <v>1.5984977808125696E-2</v>
      </c>
      <c r="O48" s="742"/>
    </row>
    <row r="49" spans="1:17" s="68" customFormat="1" ht="20.25" x14ac:dyDescent="0.2">
      <c r="A49" s="67"/>
      <c r="B49" s="67"/>
      <c r="C49" s="79" t="s">
        <v>130</v>
      </c>
      <c r="D49" s="79"/>
      <c r="E49" s="79"/>
      <c r="F49" s="79"/>
      <c r="G49" s="232">
        <v>733.4</v>
      </c>
      <c r="H49" s="322">
        <v>410</v>
      </c>
      <c r="I49" s="322">
        <v>1143.4000000000001</v>
      </c>
      <c r="J49" s="322"/>
      <c r="K49" s="763">
        <v>1280</v>
      </c>
      <c r="L49" s="510">
        <v>-136.59999999999991</v>
      </c>
      <c r="M49" s="437">
        <v>-0.10671874999999993</v>
      </c>
    </row>
    <row r="50" spans="1:17" s="68" customFormat="1" ht="20.25" x14ac:dyDescent="0.2">
      <c r="A50" s="67"/>
      <c r="B50" s="67"/>
      <c r="C50" s="79" t="s">
        <v>124</v>
      </c>
      <c r="D50" s="79"/>
      <c r="E50" s="79"/>
      <c r="F50" s="79"/>
      <c r="G50" s="322">
        <v>540.31999999999994</v>
      </c>
      <c r="H50" s="322">
        <v>0</v>
      </c>
      <c r="I50" s="322">
        <v>540.31999999999994</v>
      </c>
      <c r="J50" s="322"/>
      <c r="K50" s="763">
        <v>10470</v>
      </c>
      <c r="L50" s="510">
        <v>-9929.68</v>
      </c>
      <c r="M50" s="437">
        <v>-0.94839350525310417</v>
      </c>
      <c r="O50" s="742"/>
    </row>
    <row r="51" spans="1:17" s="68" customFormat="1" ht="20.25" customHeight="1" x14ac:dyDescent="0.2">
      <c r="A51" s="67"/>
      <c r="B51" s="67"/>
      <c r="C51" s="79" t="s">
        <v>199</v>
      </c>
      <c r="D51" s="79"/>
      <c r="E51" s="79"/>
      <c r="F51" s="79"/>
      <c r="G51" s="232">
        <v>2381.4</v>
      </c>
      <c r="H51" s="322">
        <v>300</v>
      </c>
      <c r="I51" s="322">
        <v>2681.4</v>
      </c>
      <c r="J51" s="322"/>
      <c r="K51" s="763">
        <v>20850</v>
      </c>
      <c r="L51" s="510">
        <v>-18168.599999999999</v>
      </c>
      <c r="M51" s="437">
        <v>-0.87139568345323737</v>
      </c>
    </row>
    <row r="52" spans="1:17" s="76" customFormat="1" ht="20.25" x14ac:dyDescent="0.2">
      <c r="A52" s="79"/>
      <c r="B52" s="79"/>
      <c r="C52" s="79" t="s">
        <v>126</v>
      </c>
      <c r="D52" s="79"/>
      <c r="E52" s="79"/>
      <c r="F52" s="79"/>
      <c r="G52" s="322">
        <v>23932</v>
      </c>
      <c r="H52" s="322">
        <v>4454</v>
      </c>
      <c r="I52" s="322">
        <v>28386</v>
      </c>
      <c r="J52" s="322"/>
      <c r="K52" s="763">
        <v>12937</v>
      </c>
      <c r="L52" s="510">
        <v>15449</v>
      </c>
      <c r="M52" s="437">
        <v>1.1941717554301616</v>
      </c>
    </row>
    <row r="53" spans="1:17" s="68" customFormat="1" ht="20.25" x14ac:dyDescent="0.2">
      <c r="A53" s="67"/>
      <c r="B53" s="67"/>
      <c r="C53" s="79" t="s">
        <v>165</v>
      </c>
      <c r="D53" s="79"/>
      <c r="E53" s="79"/>
      <c r="F53" s="79"/>
      <c r="G53" s="232">
        <v>31384.95</v>
      </c>
      <c r="H53" s="322">
        <v>23455</v>
      </c>
      <c r="I53" s="322">
        <v>54839.95</v>
      </c>
      <c r="J53" s="322"/>
      <c r="K53" s="763">
        <v>60011</v>
      </c>
      <c r="L53" s="510">
        <v>-5171.0500000000029</v>
      </c>
      <c r="M53" s="437">
        <v>-8.6168369132325784E-2</v>
      </c>
      <c r="Q53" s="341"/>
    </row>
    <row r="54" spans="1:17" s="68" customFormat="1" ht="20.25" x14ac:dyDescent="0.2">
      <c r="A54" s="67"/>
      <c r="B54" s="67"/>
      <c r="C54" s="79" t="s">
        <v>127</v>
      </c>
      <c r="D54" s="79"/>
      <c r="E54" s="79"/>
      <c r="F54" s="79"/>
      <c r="G54" s="232">
        <v>31753.16</v>
      </c>
      <c r="H54" s="322">
        <v>14675</v>
      </c>
      <c r="I54" s="322">
        <v>46428.160000000003</v>
      </c>
      <c r="J54" s="322"/>
      <c r="K54" s="763">
        <v>61119</v>
      </c>
      <c r="L54" s="510">
        <v>-14690.839999999997</v>
      </c>
      <c r="M54" s="437">
        <v>-0.2403645347600582</v>
      </c>
    </row>
    <row r="55" spans="1:17" s="68" customFormat="1" ht="21" thickBot="1" x14ac:dyDescent="0.25">
      <c r="A55" s="67"/>
      <c r="B55" s="67"/>
      <c r="C55" s="79" t="s">
        <v>411</v>
      </c>
      <c r="D55" s="79"/>
      <c r="E55" s="79"/>
      <c r="F55" s="79"/>
      <c r="G55" s="241">
        <v>297</v>
      </c>
      <c r="H55" s="399">
        <v>990</v>
      </c>
      <c r="I55" s="399">
        <v>1287</v>
      </c>
      <c r="J55" s="399"/>
      <c r="K55" s="764">
        <v>0</v>
      </c>
      <c r="L55" s="513">
        <v>1287</v>
      </c>
      <c r="M55" s="512"/>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61">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65" t="s">
        <v>426</v>
      </c>
      <c r="D58"/>
      <c r="E58" s="67"/>
      <c r="F58" s="67"/>
      <c r="G58" s="242">
        <v>1122.9000000000233</v>
      </c>
      <c r="H58" s="242">
        <v>-1652.6560033332789</v>
      </c>
      <c r="I58" s="242">
        <v>-529.75600333325565</v>
      </c>
      <c r="J58" s="232"/>
      <c r="K58" s="242">
        <v>5738</v>
      </c>
      <c r="L58" s="766">
        <v>-6267.7560033332556</v>
      </c>
      <c r="M58" s="761">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65" t="s">
        <v>427</v>
      </c>
      <c r="D62"/>
      <c r="E62"/>
      <c r="F62"/>
      <c r="G62" s="767">
        <v>-18377.099999999977</v>
      </c>
      <c r="H62" s="767">
        <v>-21372.656003333279</v>
      </c>
      <c r="I62" s="767">
        <v>-39749.756003333256</v>
      </c>
      <c r="J62" s="237"/>
      <c r="K62" s="767">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428</v>
      </c>
      <c r="G64" s="232"/>
      <c r="H64" s="232"/>
      <c r="I64" s="232"/>
      <c r="J64" s="232"/>
      <c r="K64" s="232"/>
    </row>
    <row r="65" spans="1:11" s="76" customFormat="1" ht="20.25" x14ac:dyDescent="0.2">
      <c r="A65" s="79"/>
      <c r="B65" s="79"/>
      <c r="D65" s="79"/>
      <c r="E65" s="79"/>
      <c r="F65" s="769" t="s">
        <v>429</v>
      </c>
      <c r="G65" s="232"/>
      <c r="H65" s="232"/>
      <c r="I65" s="232"/>
      <c r="J65" s="232"/>
      <c r="K65" s="232"/>
    </row>
    <row r="66" spans="1:11" s="76" customFormat="1" ht="20.25" x14ac:dyDescent="0.2">
      <c r="A66" s="79"/>
      <c r="B66" s="79"/>
      <c r="D66" s="79"/>
      <c r="E66" s="79"/>
      <c r="F66" s="769" t="s">
        <v>434</v>
      </c>
      <c r="G66" s="232"/>
      <c r="H66" s="232"/>
      <c r="I66" s="232"/>
      <c r="J66" s="232"/>
      <c r="K66" s="232"/>
    </row>
    <row r="67" spans="1:11" s="68" customFormat="1" ht="20.25" x14ac:dyDescent="0.2">
      <c r="A67" s="67"/>
      <c r="B67" s="67"/>
      <c r="D67" s="79"/>
      <c r="E67" s="67"/>
      <c r="F67" s="769" t="s">
        <v>430</v>
      </c>
      <c r="G67" s="232"/>
      <c r="H67" s="232"/>
      <c r="I67" s="232"/>
      <c r="J67" s="232"/>
      <c r="K67" s="232"/>
    </row>
    <row r="68" spans="1:11" s="68" customFormat="1" ht="23.25" x14ac:dyDescent="0.2">
      <c r="A68" s="67"/>
      <c r="B68" s="271"/>
      <c r="C68" s="67"/>
      <c r="D68" s="67"/>
      <c r="E68" s="67"/>
      <c r="F68" s="769" t="s">
        <v>431</v>
      </c>
      <c r="G68" s="237"/>
      <c r="H68" s="237"/>
      <c r="I68" s="237"/>
      <c r="J68" s="237"/>
      <c r="K68" s="237"/>
    </row>
    <row r="69" spans="1:11" s="68" customFormat="1" ht="20.25" x14ac:dyDescent="0.2">
      <c r="A69" s="67"/>
      <c r="B69" s="67"/>
      <c r="C69" s="67"/>
      <c r="D69" s="67"/>
      <c r="E69" s="67"/>
      <c r="F69" s="769" t="s">
        <v>432</v>
      </c>
      <c r="G69" s="232"/>
      <c r="H69" s="232"/>
      <c r="I69" s="232"/>
      <c r="J69" s="232"/>
      <c r="K69" s="232"/>
    </row>
    <row r="70" spans="1:11" s="82" customFormat="1" ht="26.25" x14ac:dyDescent="0.2">
      <c r="A70" s="268"/>
      <c r="B70" s="268"/>
      <c r="C70" s="268"/>
      <c r="D70" s="268"/>
      <c r="E70" s="268"/>
      <c r="F70" s="769" t="s">
        <v>433</v>
      </c>
      <c r="G70" s="237"/>
      <c r="H70" s="237"/>
      <c r="I70" s="237"/>
      <c r="J70" s="237"/>
      <c r="K70" s="237"/>
    </row>
    <row r="71" spans="1:11" s="18" customFormat="1" ht="20.25" x14ac:dyDescent="0.3">
      <c r="A71" s="122"/>
      <c r="B71" s="122"/>
      <c r="C71" s="122"/>
      <c r="D71" s="122"/>
      <c r="E71" s="122"/>
      <c r="F71" s="770"/>
      <c r="G71" s="277"/>
      <c r="H71" s="277"/>
      <c r="I71" s="277"/>
      <c r="J71" s="277"/>
      <c r="K71" s="277"/>
    </row>
    <row r="72" spans="1:11" ht="20.25" x14ac:dyDescent="0.3">
      <c r="F72" s="771"/>
      <c r="G72" s="277"/>
      <c r="H72" s="277"/>
      <c r="I72" s="277"/>
      <c r="J72" s="277"/>
      <c r="K72" s="277"/>
    </row>
    <row r="73" spans="1:11" ht="20.25" x14ac:dyDescent="0.3">
      <c r="F73" s="771"/>
      <c r="G73" s="768"/>
      <c r="H73" s="277"/>
      <c r="I73" s="277"/>
      <c r="J73" s="277"/>
      <c r="K73" s="277"/>
    </row>
    <row r="74" spans="1:11" ht="20.25" x14ac:dyDescent="0.3">
      <c r="F74" s="771"/>
      <c r="G74" s="274"/>
      <c r="H74" s="274"/>
      <c r="I74" s="274"/>
      <c r="J74" s="274"/>
      <c r="K74" s="274"/>
    </row>
    <row r="75" spans="1:11" ht="18" x14ac:dyDescent="0.25">
      <c r="F75" s="771"/>
    </row>
    <row r="76" spans="1:11" ht="18" x14ac:dyDescent="0.25">
      <c r="F76" s="771"/>
    </row>
    <row r="77" spans="1:11" ht="18" x14ac:dyDescent="0.25">
      <c r="F77" s="771"/>
    </row>
    <row r="78" spans="1:11" ht="18" x14ac:dyDescent="0.25">
      <c r="F78" s="771"/>
    </row>
    <row r="79" spans="1:11" ht="18" x14ac:dyDescent="0.25">
      <c r="F79" s="771"/>
    </row>
    <row r="80" spans="1:11" ht="18" x14ac:dyDescent="0.25">
      <c r="F80" s="771"/>
    </row>
    <row r="81" spans="6:6" ht="18" x14ac:dyDescent="0.25">
      <c r="F81" s="771"/>
    </row>
    <row r="82" spans="6:6" ht="18" x14ac:dyDescent="0.25">
      <c r="F82" s="771"/>
    </row>
    <row r="83" spans="6:6" ht="18" x14ac:dyDescent="0.25">
      <c r="F83" s="772"/>
    </row>
    <row r="84" spans="6:6" ht="18" x14ac:dyDescent="0.25">
      <c r="F84" s="772"/>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1"/>
  <sheetViews>
    <sheetView tabSelected="1" zoomScale="85" zoomScaleNormal="85" workbookViewId="0">
      <selection activeCell="C2" sqref="C2"/>
    </sheetView>
  </sheetViews>
  <sheetFormatPr defaultRowHeight="14.25" x14ac:dyDescent="0.2"/>
  <cols>
    <col min="1" max="1" width="50" style="4" customWidth="1"/>
    <col min="2" max="2" width="26" style="4" customWidth="1"/>
    <col min="3" max="3" width="17.25" style="784" customWidth="1"/>
    <col min="4" max="4" width="13.625" style="784" customWidth="1"/>
    <col min="5" max="5" width="12.75" style="784"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554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314" t="s">
        <v>12</v>
      </c>
      <c r="C6" s="314" t="s">
        <v>1</v>
      </c>
      <c r="D6" s="314" t="s">
        <v>2</v>
      </c>
      <c r="E6" s="314" t="s">
        <v>3</v>
      </c>
      <c r="F6" s="319" t="s">
        <v>9</v>
      </c>
      <c r="G6" s="319" t="s">
        <v>27</v>
      </c>
      <c r="H6" s="775" t="s">
        <v>196</v>
      </c>
      <c r="I6" s="319" t="s">
        <v>26</v>
      </c>
      <c r="J6" s="775" t="s">
        <v>19</v>
      </c>
      <c r="K6" s="319"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22" t="s">
        <v>329</v>
      </c>
      <c r="B7" s="623" t="s">
        <v>14</v>
      </c>
      <c r="C7" s="291" t="s">
        <v>343</v>
      </c>
      <c r="D7" s="290">
        <v>43466</v>
      </c>
      <c r="E7" s="290">
        <v>43830</v>
      </c>
      <c r="F7" s="307"/>
      <c r="G7" s="293"/>
      <c r="H7" s="308"/>
      <c r="I7" s="293"/>
      <c r="J7" s="774"/>
      <c r="K7" s="302"/>
      <c r="L7" s="46"/>
      <c r="M7" s="29"/>
      <c r="N7" s="29"/>
    </row>
    <row r="8" spans="1:669" hidden="1" x14ac:dyDescent="0.2">
      <c r="A8" s="862" t="s">
        <v>555</v>
      </c>
      <c r="B8" s="828" t="s">
        <v>14</v>
      </c>
      <c r="C8" s="872"/>
      <c r="D8" s="877">
        <v>44287</v>
      </c>
      <c r="E8" s="789">
        <v>44635</v>
      </c>
      <c r="F8" s="878">
        <v>29668</v>
      </c>
      <c r="G8" s="776">
        <f>F8</f>
        <v>29668</v>
      </c>
      <c r="H8" s="829">
        <f>'June''22 AR Aging '!G6</f>
        <v>0</v>
      </c>
      <c r="I8" s="830">
        <v>29668</v>
      </c>
      <c r="J8" s="829">
        <f>F8-I8</f>
        <v>0</v>
      </c>
      <c r="K8" s="885"/>
      <c r="L8" s="46"/>
      <c r="M8" s="29"/>
      <c r="N8" s="29"/>
    </row>
    <row r="9" spans="1:669" x14ac:dyDescent="0.2">
      <c r="A9" s="863" t="s">
        <v>564</v>
      </c>
      <c r="B9" s="823" t="s">
        <v>14</v>
      </c>
      <c r="C9" s="6" t="s">
        <v>563</v>
      </c>
      <c r="D9" s="825">
        <v>44652</v>
      </c>
      <c r="E9" s="824">
        <v>44742</v>
      </c>
      <c r="F9" s="827">
        <v>9750</v>
      </c>
      <c r="G9" s="851">
        <f>I9-H9</f>
        <v>0</v>
      </c>
      <c r="H9" s="826">
        <f>'June''22 AR Aging '!G67</f>
        <v>9750</v>
      </c>
      <c r="I9" s="851">
        <v>9750</v>
      </c>
      <c r="J9" s="827">
        <f>F9-I9</f>
        <v>0</v>
      </c>
      <c r="K9" s="889"/>
      <c r="L9" s="248"/>
      <c r="M9" s="282"/>
      <c r="N9" s="29"/>
    </row>
    <row r="10" spans="1:669" x14ac:dyDescent="0.2">
      <c r="A10" s="864" t="s">
        <v>490</v>
      </c>
      <c r="B10" s="624" t="s">
        <v>13</v>
      </c>
      <c r="C10" s="873" t="s">
        <v>343</v>
      </c>
      <c r="D10" s="729">
        <v>44562</v>
      </c>
      <c r="E10" s="789">
        <v>44926</v>
      </c>
      <c r="F10" s="888">
        <v>141001</v>
      </c>
      <c r="G10" s="776">
        <f>I10-H10</f>
        <v>32596.270000000004</v>
      </c>
      <c r="H10" s="306">
        <f>'June''22 AR Aging '!G7</f>
        <v>35313.550000000003</v>
      </c>
      <c r="I10" s="776">
        <v>67909.820000000007</v>
      </c>
      <c r="J10" s="798">
        <f>F10-I10</f>
        <v>73091.179999999993</v>
      </c>
      <c r="K10" s="306"/>
      <c r="L10" s="791"/>
      <c r="M10" s="282"/>
      <c r="N10" s="29"/>
    </row>
    <row r="11" spans="1:669" x14ac:dyDescent="0.2">
      <c r="A11" s="1" t="s">
        <v>481</v>
      </c>
      <c r="B11" s="623" t="s">
        <v>13</v>
      </c>
      <c r="C11" s="6" t="s">
        <v>342</v>
      </c>
      <c r="D11" s="290">
        <v>44378</v>
      </c>
      <c r="E11" s="7">
        <v>44742</v>
      </c>
      <c r="F11" s="887">
        <v>300000</v>
      </c>
      <c r="G11" s="308">
        <f>I11-H11</f>
        <v>230898.71</v>
      </c>
      <c r="H11" s="293">
        <f>'June''22 AR Aging '!G13</f>
        <v>62643.6</v>
      </c>
      <c r="I11" s="308">
        <v>293542.31</v>
      </c>
      <c r="J11" s="307">
        <f t="shared" ref="J11" si="0">F11-I11</f>
        <v>6457.6900000000023</v>
      </c>
      <c r="K11" s="302"/>
      <c r="L11" s="791"/>
      <c r="M11" s="282"/>
      <c r="N11" s="29"/>
    </row>
    <row r="12" spans="1:669" x14ac:dyDescent="0.2">
      <c r="A12" s="865" t="s">
        <v>558</v>
      </c>
      <c r="B12" s="624" t="s">
        <v>13</v>
      </c>
      <c r="C12" s="872" t="s">
        <v>342</v>
      </c>
      <c r="D12" s="729">
        <v>44743</v>
      </c>
      <c r="E12" s="789">
        <v>45107</v>
      </c>
      <c r="F12" s="879">
        <v>300000</v>
      </c>
      <c r="G12" s="776"/>
      <c r="H12" s="306"/>
      <c r="I12" s="776"/>
      <c r="J12" s="798"/>
      <c r="K12" s="358"/>
      <c r="L12" s="791"/>
      <c r="M12" s="282"/>
      <c r="N12" s="29"/>
    </row>
    <row r="13" spans="1:669" hidden="1" x14ac:dyDescent="0.2">
      <c r="A13" s="863" t="s">
        <v>344</v>
      </c>
      <c r="B13" s="623" t="s">
        <v>13</v>
      </c>
      <c r="C13" s="6" t="s">
        <v>155</v>
      </c>
      <c r="D13" s="290">
        <v>43374</v>
      </c>
      <c r="E13" s="7">
        <v>43585</v>
      </c>
      <c r="F13" s="307"/>
      <c r="G13" s="308"/>
      <c r="H13" s="293"/>
      <c r="I13" s="308"/>
      <c r="J13" s="307"/>
      <c r="K13" s="302"/>
      <c r="L13" s="791"/>
      <c r="M13" s="282"/>
      <c r="N13" s="29"/>
    </row>
    <row r="14" spans="1:669" x14ac:dyDescent="0.2">
      <c r="A14" s="863" t="s">
        <v>476</v>
      </c>
      <c r="B14" s="623" t="s">
        <v>13</v>
      </c>
      <c r="C14" s="6" t="s">
        <v>367</v>
      </c>
      <c r="D14" s="290">
        <v>44409</v>
      </c>
      <c r="E14" s="7">
        <v>44773</v>
      </c>
      <c r="F14" s="307">
        <v>330000</v>
      </c>
      <c r="G14" s="308">
        <f>I14-H14</f>
        <v>203020.85</v>
      </c>
      <c r="H14" s="293">
        <f>'June''22 AR Aging '!G31</f>
        <v>48726.09</v>
      </c>
      <c r="I14" s="308">
        <v>251746.94</v>
      </c>
      <c r="J14" s="307">
        <f t="shared" ref="J14" si="1">F14-I14</f>
        <v>78253.06</v>
      </c>
      <c r="K14" s="293"/>
      <c r="L14" s="791"/>
      <c r="M14" s="282"/>
      <c r="N14" s="29"/>
    </row>
    <row r="15" spans="1:669" x14ac:dyDescent="0.2">
      <c r="A15" s="865" t="s">
        <v>559</v>
      </c>
      <c r="B15" s="624" t="s">
        <v>13</v>
      </c>
      <c r="C15" s="872" t="s">
        <v>367</v>
      </c>
      <c r="D15" s="729">
        <v>44774</v>
      </c>
      <c r="E15" s="789">
        <v>45137</v>
      </c>
      <c r="F15" s="798">
        <v>330000</v>
      </c>
      <c r="G15" s="776"/>
      <c r="H15" s="306"/>
      <c r="I15" s="776"/>
      <c r="J15" s="798"/>
      <c r="K15" s="306"/>
      <c r="L15" s="792"/>
      <c r="M15" s="282"/>
      <c r="N15" s="29"/>
    </row>
    <row r="16" spans="1:669" s="3" customFormat="1" hidden="1" x14ac:dyDescent="0.2">
      <c r="A16" s="866" t="s">
        <v>405</v>
      </c>
      <c r="B16" s="720" t="s">
        <v>16</v>
      </c>
      <c r="C16" s="874" t="s">
        <v>5</v>
      </c>
      <c r="D16" s="730">
        <v>43831</v>
      </c>
      <c r="E16" s="790">
        <v>44196</v>
      </c>
      <c r="F16" s="799"/>
      <c r="G16" s="882"/>
      <c r="H16" s="293"/>
      <c r="I16" s="882"/>
      <c r="J16" s="799"/>
      <c r="K16" s="721"/>
      <c r="L16" s="791"/>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863"/>
      <c r="B17" s="623"/>
      <c r="C17" s="6"/>
      <c r="D17" s="290"/>
      <c r="E17" s="7"/>
      <c r="F17" s="307"/>
      <c r="G17" s="308"/>
      <c r="H17" s="293"/>
      <c r="I17" s="884"/>
      <c r="J17" s="307"/>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hidden="1" x14ac:dyDescent="0.2">
      <c r="A18" s="867" t="s">
        <v>441</v>
      </c>
      <c r="B18" s="623" t="s">
        <v>16</v>
      </c>
      <c r="C18" s="6" t="s">
        <v>21</v>
      </c>
      <c r="D18" s="290">
        <v>44287</v>
      </c>
      <c r="E18" s="7">
        <v>44468</v>
      </c>
      <c r="F18" s="307"/>
      <c r="G18" s="308"/>
      <c r="H18" s="293"/>
      <c r="I18" s="308"/>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863"/>
      <c r="B19" s="623" t="s">
        <v>16</v>
      </c>
      <c r="C19" s="6" t="s">
        <v>21</v>
      </c>
      <c r="D19" s="290">
        <v>42644</v>
      </c>
      <c r="E19" s="7">
        <v>43008</v>
      </c>
      <c r="F19" s="307"/>
      <c r="G19" s="308"/>
      <c r="H19" s="307"/>
      <c r="I19" s="308"/>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863" t="s">
        <v>195</v>
      </c>
      <c r="B20" s="623" t="s">
        <v>16</v>
      </c>
      <c r="C20" s="6" t="s">
        <v>21</v>
      </c>
      <c r="D20" s="290">
        <v>43556</v>
      </c>
      <c r="E20" s="7">
        <v>43921</v>
      </c>
      <c r="F20" s="307"/>
      <c r="G20" s="308"/>
      <c r="H20" s="307"/>
      <c r="I20" s="308"/>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863" t="s">
        <v>195</v>
      </c>
      <c r="B21" s="623" t="s">
        <v>16</v>
      </c>
      <c r="C21" s="6" t="s">
        <v>21</v>
      </c>
      <c r="D21" s="290">
        <v>43922</v>
      </c>
      <c r="E21" s="7">
        <v>44286</v>
      </c>
      <c r="F21" s="880"/>
      <c r="G21" s="308"/>
      <c r="H21" s="307"/>
      <c r="I21" s="308"/>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customHeight="1" x14ac:dyDescent="0.2">
      <c r="A22" s="863" t="s">
        <v>492</v>
      </c>
      <c r="B22" s="623" t="s">
        <v>16</v>
      </c>
      <c r="C22" s="6" t="s">
        <v>5</v>
      </c>
      <c r="D22" s="290">
        <v>44562</v>
      </c>
      <c r="E22" s="7">
        <v>44926</v>
      </c>
      <c r="F22" s="880">
        <v>46000</v>
      </c>
      <c r="G22" s="308">
        <f>I22-H22</f>
        <v>15333.34</v>
      </c>
      <c r="H22" s="307">
        <f>'June''22 AR Aging '!G39</f>
        <v>7666.66</v>
      </c>
      <c r="I22" s="308">
        <f>46000/12*6</f>
        <v>23000</v>
      </c>
      <c r="J22" s="307">
        <f>F22-I22</f>
        <v>23000</v>
      </c>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75" customHeight="1" x14ac:dyDescent="0.2">
      <c r="A23" s="867" t="s">
        <v>560</v>
      </c>
      <c r="B23" s="623" t="s">
        <v>16</v>
      </c>
      <c r="C23" s="6" t="s">
        <v>21</v>
      </c>
      <c r="D23" s="290">
        <v>44652</v>
      </c>
      <c r="E23" s="7">
        <v>44804</v>
      </c>
      <c r="F23" s="880">
        <v>3246</v>
      </c>
      <c r="G23" s="308">
        <f>I23-H23</f>
        <v>665.39999999999986</v>
      </c>
      <c r="H23" s="307">
        <f>'June''22 AR Aging '!G47</f>
        <v>1297.68</v>
      </c>
      <c r="I23" s="308">
        <v>1963.08</v>
      </c>
      <c r="J23" s="307">
        <f>F23-I23</f>
        <v>1282.92</v>
      </c>
      <c r="K23" s="293"/>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hidden="1" customHeight="1" x14ac:dyDescent="0.2">
      <c r="A24" s="1" t="s">
        <v>469</v>
      </c>
      <c r="B24" s="623" t="s">
        <v>16</v>
      </c>
      <c r="C24" s="6" t="s">
        <v>21</v>
      </c>
      <c r="D24" s="290">
        <v>44287</v>
      </c>
      <c r="E24" s="7">
        <v>44651</v>
      </c>
      <c r="F24" s="880"/>
      <c r="G24" s="308"/>
      <c r="H24" s="307"/>
      <c r="I24" s="308"/>
      <c r="J24" s="307"/>
      <c r="K24" s="29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8" customHeight="1" x14ac:dyDescent="0.2">
      <c r="A25" s="2" t="s">
        <v>469</v>
      </c>
      <c r="B25" s="624" t="s">
        <v>16</v>
      </c>
      <c r="C25" s="872" t="s">
        <v>21</v>
      </c>
      <c r="D25" s="729">
        <v>44652</v>
      </c>
      <c r="E25" s="789">
        <v>45016</v>
      </c>
      <c r="F25" s="886">
        <v>147911</v>
      </c>
      <c r="G25" s="776">
        <f>I25-H25</f>
        <v>0</v>
      </c>
      <c r="H25" s="798">
        <f>'June''22 AR Aging '!G50</f>
        <v>35783.64</v>
      </c>
      <c r="I25" s="776">
        <v>35783.64</v>
      </c>
      <c r="J25" s="798">
        <f>147911-I25</f>
        <v>112127.36</v>
      </c>
      <c r="K25" s="306"/>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2.75" hidden="1" customHeight="1" x14ac:dyDescent="0.2">
      <c r="A26" s="868" t="s">
        <v>447</v>
      </c>
      <c r="B26" s="801" t="s">
        <v>392</v>
      </c>
      <c r="C26" s="505" t="s">
        <v>21</v>
      </c>
      <c r="D26" s="802">
        <v>44256</v>
      </c>
      <c r="E26" s="797">
        <v>44621</v>
      </c>
      <c r="F26" s="880"/>
      <c r="G26" s="308"/>
      <c r="H26" s="307"/>
      <c r="I26" s="308"/>
      <c r="J26" s="307"/>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868"/>
      <c r="B27" s="801"/>
      <c r="C27" s="505"/>
      <c r="D27" s="802"/>
      <c r="E27" s="797"/>
      <c r="F27" s="880"/>
      <c r="G27" s="308"/>
      <c r="H27" s="307"/>
      <c r="I27" s="308"/>
      <c r="J27" s="307"/>
      <c r="K27" s="293"/>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727" customFormat="1" ht="15.75" customHeight="1" x14ac:dyDescent="0.2">
      <c r="A28" s="869" t="s">
        <v>493</v>
      </c>
      <c r="B28" s="793" t="s">
        <v>392</v>
      </c>
      <c r="C28" s="875" t="s">
        <v>21</v>
      </c>
      <c r="D28" s="795">
        <v>44562</v>
      </c>
      <c r="E28" s="794">
        <v>44926</v>
      </c>
      <c r="F28" s="881">
        <v>119886</v>
      </c>
      <c r="G28" s="883">
        <f t="shared" ref="G28:G31" si="2">I28-H28</f>
        <v>37570.92</v>
      </c>
      <c r="H28" s="800">
        <f>'June''22 AR Aging '!G70</f>
        <v>20189.41</v>
      </c>
      <c r="I28" s="883">
        <v>57760.33</v>
      </c>
      <c r="J28" s="800">
        <f>F28-I28</f>
        <v>62125.67</v>
      </c>
      <c r="K28" s="796"/>
      <c r="L28" s="723"/>
      <c r="M28" s="724"/>
      <c r="N28" s="725"/>
      <c r="O28" s="725"/>
      <c r="P28" s="725"/>
      <c r="Q28" s="725"/>
      <c r="R28" s="725"/>
      <c r="S28" s="725"/>
      <c r="T28" s="725"/>
      <c r="U28" s="725"/>
      <c r="V28" s="725"/>
      <c r="W28" s="725"/>
      <c r="X28" s="725"/>
      <c r="Y28" s="725"/>
      <c r="Z28" s="725"/>
      <c r="AA28" s="725"/>
      <c r="AB28" s="726"/>
      <c r="AC28" s="726"/>
      <c r="AD28" s="726"/>
      <c r="AE28" s="726"/>
      <c r="AF28" s="726"/>
      <c r="AG28" s="726"/>
      <c r="AH28" s="726"/>
      <c r="AI28" s="726"/>
      <c r="AJ28" s="726"/>
      <c r="AK28" s="726"/>
      <c r="AL28" s="726"/>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c r="IW28" s="369"/>
      <c r="IX28" s="369"/>
      <c r="IY28" s="369"/>
      <c r="IZ28" s="369"/>
      <c r="JA28" s="369"/>
      <c r="JB28" s="369"/>
      <c r="JC28" s="369"/>
      <c r="JD28" s="369"/>
      <c r="JE28" s="369"/>
      <c r="JF28" s="369"/>
      <c r="JG28" s="369"/>
      <c r="JH28" s="369"/>
      <c r="JI28" s="369"/>
      <c r="JJ28" s="369"/>
      <c r="JK28" s="369"/>
      <c r="JL28" s="369"/>
      <c r="JM28" s="369"/>
      <c r="JN28" s="369"/>
      <c r="JO28" s="369"/>
      <c r="JP28" s="369"/>
      <c r="JQ28" s="369"/>
      <c r="JR28" s="369"/>
      <c r="JS28" s="369"/>
      <c r="JT28" s="369"/>
      <c r="JU28" s="369"/>
      <c r="JV28" s="369"/>
      <c r="JW28" s="369"/>
      <c r="JX28" s="369"/>
      <c r="JY28" s="369"/>
      <c r="JZ28" s="369"/>
      <c r="KA28" s="369"/>
      <c r="KB28" s="369"/>
      <c r="KC28" s="369"/>
      <c r="KD28" s="369"/>
      <c r="KE28" s="369"/>
      <c r="KF28" s="369"/>
      <c r="KG28" s="369"/>
      <c r="KH28" s="369"/>
      <c r="KI28" s="369"/>
      <c r="KJ28" s="369"/>
      <c r="KK28" s="369"/>
      <c r="KL28" s="369"/>
      <c r="KM28" s="369"/>
      <c r="KN28" s="369"/>
      <c r="KO28" s="369"/>
      <c r="KP28" s="369"/>
      <c r="KQ28" s="369"/>
      <c r="KR28" s="369"/>
      <c r="KS28" s="369"/>
      <c r="KT28" s="369"/>
      <c r="KU28" s="369"/>
      <c r="KV28" s="369"/>
      <c r="KW28" s="369"/>
      <c r="KX28" s="369"/>
      <c r="KY28" s="369"/>
      <c r="KZ28" s="369"/>
      <c r="LA28" s="369"/>
      <c r="LB28" s="369"/>
      <c r="LC28" s="369"/>
      <c r="LD28" s="369"/>
      <c r="LE28" s="369"/>
      <c r="LF28" s="369"/>
      <c r="LG28" s="369"/>
      <c r="LH28" s="369"/>
      <c r="LI28" s="369"/>
      <c r="LJ28" s="369"/>
      <c r="LK28" s="369"/>
      <c r="LL28" s="369"/>
      <c r="LM28" s="369"/>
      <c r="LN28" s="369"/>
      <c r="LO28" s="369"/>
      <c r="LP28" s="369"/>
      <c r="LQ28" s="369"/>
      <c r="LR28" s="369"/>
      <c r="LS28" s="369"/>
      <c r="LT28" s="369"/>
      <c r="LU28" s="369"/>
      <c r="LV28" s="369"/>
      <c r="LW28" s="369"/>
      <c r="LX28" s="369"/>
      <c r="LY28" s="369"/>
      <c r="LZ28" s="369"/>
      <c r="MA28" s="369"/>
      <c r="MB28" s="369"/>
      <c r="MC28" s="369"/>
      <c r="MD28" s="369"/>
      <c r="ME28" s="369"/>
      <c r="MF28" s="369"/>
      <c r="MG28" s="369"/>
      <c r="MH28" s="369"/>
      <c r="MI28" s="369"/>
      <c r="MJ28" s="369"/>
      <c r="MK28" s="369"/>
      <c r="ML28" s="369"/>
      <c r="MM28" s="369"/>
      <c r="MN28" s="369"/>
      <c r="MO28" s="369"/>
      <c r="MP28" s="369"/>
      <c r="MQ28" s="369"/>
      <c r="MR28" s="369"/>
      <c r="MS28" s="369"/>
      <c r="MT28" s="369"/>
      <c r="MU28" s="369"/>
      <c r="MV28" s="369"/>
      <c r="MW28" s="369"/>
      <c r="MX28" s="369"/>
      <c r="MY28" s="369"/>
      <c r="MZ28" s="369"/>
      <c r="NA28" s="369"/>
      <c r="NB28" s="369"/>
      <c r="NC28" s="369"/>
      <c r="ND28" s="369"/>
      <c r="NE28" s="369"/>
      <c r="NF28" s="369"/>
      <c r="NG28" s="369"/>
      <c r="NH28" s="369"/>
      <c r="NI28" s="369"/>
      <c r="NJ28" s="369"/>
      <c r="NK28" s="369"/>
      <c r="NL28" s="369"/>
      <c r="NM28" s="369"/>
      <c r="NN28" s="369"/>
      <c r="NO28" s="369"/>
      <c r="NP28" s="369"/>
      <c r="NQ28" s="369"/>
      <c r="NR28" s="369"/>
      <c r="NS28" s="369"/>
      <c r="NT28" s="369"/>
      <c r="NU28" s="369"/>
      <c r="NV28" s="369"/>
      <c r="NW28" s="369"/>
      <c r="NX28" s="369"/>
      <c r="NY28" s="369"/>
      <c r="NZ28" s="369"/>
      <c r="OA28" s="369"/>
      <c r="OB28" s="369"/>
      <c r="OC28" s="369"/>
      <c r="OD28" s="369"/>
      <c r="OE28" s="369"/>
      <c r="OF28" s="369"/>
      <c r="OG28" s="369"/>
      <c r="OH28" s="369"/>
      <c r="OI28" s="369"/>
      <c r="OJ28" s="369"/>
      <c r="OK28" s="369"/>
      <c r="OL28" s="369"/>
      <c r="OM28" s="369"/>
      <c r="ON28" s="369"/>
      <c r="OO28" s="369"/>
      <c r="OP28" s="369"/>
      <c r="OQ28" s="369"/>
      <c r="OR28" s="369"/>
      <c r="OS28" s="369"/>
      <c r="OT28" s="369"/>
      <c r="OU28" s="369"/>
      <c r="OV28" s="369"/>
      <c r="OW28" s="369"/>
      <c r="OX28" s="369"/>
      <c r="OY28" s="369"/>
      <c r="OZ28" s="369"/>
      <c r="PA28" s="369"/>
      <c r="PB28" s="369"/>
      <c r="PC28" s="369"/>
      <c r="PD28" s="369"/>
      <c r="PE28" s="369"/>
      <c r="PF28" s="369"/>
      <c r="PG28" s="369"/>
      <c r="PH28" s="369"/>
      <c r="PI28" s="369"/>
      <c r="PJ28" s="369"/>
      <c r="PK28" s="369"/>
      <c r="PL28" s="369"/>
      <c r="PM28" s="369"/>
      <c r="PN28" s="369"/>
      <c r="PO28" s="369"/>
      <c r="PP28" s="369"/>
      <c r="PQ28" s="369"/>
      <c r="PR28" s="369"/>
      <c r="PS28" s="369"/>
      <c r="PT28" s="369"/>
      <c r="PU28" s="369"/>
      <c r="PV28" s="369"/>
      <c r="PW28" s="369"/>
      <c r="PX28" s="369"/>
      <c r="PY28" s="369"/>
      <c r="PZ28" s="369"/>
      <c r="QA28" s="369"/>
      <c r="QB28" s="369"/>
      <c r="QC28" s="369"/>
      <c r="QD28" s="369"/>
      <c r="QE28" s="369"/>
      <c r="QF28" s="369"/>
      <c r="QG28" s="369"/>
      <c r="QH28" s="369"/>
      <c r="QI28" s="369"/>
      <c r="QJ28" s="369"/>
      <c r="QK28" s="369"/>
      <c r="QL28" s="369"/>
      <c r="QM28" s="369"/>
      <c r="QN28" s="369"/>
      <c r="QO28" s="369"/>
      <c r="QP28" s="369"/>
      <c r="QQ28" s="369"/>
      <c r="QR28" s="369"/>
      <c r="QS28" s="369"/>
      <c r="QT28" s="369"/>
      <c r="QU28" s="369"/>
      <c r="QV28" s="369"/>
      <c r="QW28" s="369"/>
      <c r="QX28" s="369"/>
      <c r="QY28" s="369"/>
      <c r="QZ28" s="369"/>
      <c r="RA28" s="369"/>
      <c r="RB28" s="369"/>
      <c r="RC28" s="369"/>
      <c r="RD28" s="369"/>
      <c r="RE28" s="369"/>
      <c r="RF28" s="369"/>
      <c r="RG28" s="369"/>
      <c r="RH28" s="369"/>
      <c r="RI28" s="369"/>
      <c r="RJ28" s="369"/>
      <c r="RK28" s="369"/>
      <c r="RL28" s="369"/>
      <c r="RM28" s="369"/>
      <c r="RN28" s="369"/>
      <c r="RO28" s="369"/>
      <c r="RP28" s="369"/>
      <c r="RQ28" s="369"/>
      <c r="RR28" s="369"/>
      <c r="RS28" s="369"/>
      <c r="RT28" s="369"/>
      <c r="RU28" s="369"/>
      <c r="RV28" s="369"/>
      <c r="RW28" s="369"/>
      <c r="RX28" s="369"/>
      <c r="RY28" s="369"/>
      <c r="RZ28" s="369"/>
      <c r="SA28" s="369"/>
      <c r="SB28" s="369"/>
      <c r="SC28" s="369"/>
      <c r="SD28" s="369"/>
      <c r="SE28" s="369"/>
      <c r="SF28" s="369"/>
      <c r="SG28" s="369"/>
      <c r="SH28" s="369"/>
      <c r="SI28" s="369"/>
      <c r="SJ28" s="369"/>
      <c r="SK28" s="369"/>
      <c r="SL28" s="369"/>
      <c r="SM28" s="369"/>
      <c r="SN28" s="369"/>
      <c r="SO28" s="369"/>
      <c r="SP28" s="369"/>
      <c r="SQ28" s="369"/>
      <c r="SR28" s="369"/>
      <c r="SS28" s="369"/>
      <c r="ST28" s="369"/>
      <c r="SU28" s="369"/>
      <c r="SV28" s="369"/>
      <c r="SW28" s="369"/>
      <c r="SX28" s="369"/>
      <c r="SY28" s="369"/>
      <c r="SZ28" s="369"/>
      <c r="TA28" s="369"/>
      <c r="TB28" s="369"/>
      <c r="TC28" s="369"/>
      <c r="TD28" s="369"/>
      <c r="TE28" s="369"/>
      <c r="TF28" s="369"/>
      <c r="TG28" s="369"/>
      <c r="TH28" s="369"/>
      <c r="TI28" s="369"/>
      <c r="TJ28" s="369"/>
      <c r="TK28" s="369"/>
      <c r="TL28" s="369"/>
      <c r="TM28" s="369"/>
      <c r="TN28" s="369"/>
      <c r="TO28" s="369"/>
      <c r="TP28" s="369"/>
      <c r="TQ28" s="369"/>
      <c r="TR28" s="369"/>
      <c r="TS28" s="369"/>
      <c r="TT28" s="369"/>
      <c r="TU28" s="369"/>
      <c r="TV28" s="369"/>
      <c r="TW28" s="369"/>
      <c r="TX28" s="369"/>
      <c r="TY28" s="369"/>
      <c r="TZ28" s="369"/>
      <c r="UA28" s="369"/>
      <c r="UB28" s="369"/>
      <c r="UC28" s="369"/>
      <c r="UD28" s="369"/>
      <c r="UE28" s="369"/>
      <c r="UF28" s="369"/>
      <c r="UG28" s="369"/>
      <c r="UH28" s="369"/>
      <c r="UI28" s="369"/>
      <c r="UJ28" s="369"/>
      <c r="UK28" s="369"/>
      <c r="UL28" s="369"/>
      <c r="UM28" s="369"/>
      <c r="UN28" s="369"/>
      <c r="UO28" s="369"/>
      <c r="UP28" s="369"/>
      <c r="UQ28" s="369"/>
      <c r="UR28" s="369"/>
      <c r="US28" s="369"/>
      <c r="UT28" s="369"/>
      <c r="UU28" s="369"/>
      <c r="UV28" s="369"/>
      <c r="UW28" s="369"/>
      <c r="UX28" s="369"/>
      <c r="UY28" s="369"/>
      <c r="UZ28" s="369"/>
      <c r="VA28" s="369"/>
      <c r="VB28" s="369"/>
      <c r="VC28" s="369"/>
      <c r="VD28" s="369"/>
      <c r="VE28" s="369"/>
      <c r="VF28" s="369"/>
      <c r="VG28" s="369"/>
      <c r="VH28" s="369"/>
      <c r="VI28" s="369"/>
      <c r="VJ28" s="369"/>
      <c r="VK28" s="369"/>
      <c r="VL28" s="369"/>
      <c r="VM28" s="369"/>
      <c r="VN28" s="369"/>
      <c r="VO28" s="369"/>
      <c r="VP28" s="369"/>
      <c r="VQ28" s="369"/>
      <c r="VR28" s="369"/>
      <c r="VS28" s="369"/>
      <c r="VT28" s="369"/>
      <c r="VU28" s="369"/>
      <c r="VV28" s="369"/>
      <c r="VW28" s="369"/>
      <c r="VX28" s="369"/>
      <c r="VY28" s="369"/>
      <c r="VZ28" s="369"/>
      <c r="WA28" s="369"/>
      <c r="WB28" s="369"/>
      <c r="WC28" s="369"/>
      <c r="WD28" s="369"/>
      <c r="WE28" s="369"/>
      <c r="WF28" s="369"/>
      <c r="WG28" s="369"/>
      <c r="WH28" s="369"/>
      <c r="WI28" s="369"/>
      <c r="WJ28" s="369"/>
      <c r="WK28" s="369"/>
      <c r="WL28" s="369"/>
      <c r="WM28" s="369"/>
      <c r="WN28" s="369"/>
      <c r="WO28" s="369"/>
      <c r="WP28" s="369"/>
      <c r="WQ28" s="369"/>
      <c r="WR28" s="369"/>
      <c r="WS28" s="369"/>
      <c r="WT28" s="369"/>
      <c r="WU28" s="369"/>
      <c r="WV28" s="369"/>
      <c r="WW28" s="369"/>
      <c r="WX28" s="369"/>
      <c r="WY28" s="369"/>
      <c r="WZ28" s="369"/>
      <c r="XA28" s="369"/>
      <c r="XB28" s="369"/>
      <c r="XC28" s="369"/>
      <c r="XD28" s="369"/>
      <c r="XE28" s="369"/>
      <c r="XF28" s="369"/>
      <c r="XG28" s="369"/>
      <c r="XH28" s="369"/>
      <c r="XI28" s="369"/>
      <c r="XJ28" s="369"/>
      <c r="XK28" s="369"/>
      <c r="XL28" s="369"/>
      <c r="XM28" s="369"/>
      <c r="XN28" s="369"/>
      <c r="XO28" s="369"/>
      <c r="XP28" s="369"/>
      <c r="XQ28" s="369"/>
      <c r="XR28" s="369"/>
      <c r="XS28" s="369"/>
      <c r="XT28" s="369"/>
      <c r="XU28" s="369"/>
      <c r="XV28" s="369"/>
      <c r="XW28" s="369"/>
      <c r="XX28" s="369"/>
      <c r="XY28" s="369"/>
      <c r="XZ28" s="369"/>
      <c r="YA28" s="369"/>
      <c r="YB28" s="369"/>
      <c r="YC28" s="369"/>
      <c r="YD28" s="369"/>
      <c r="YE28" s="369"/>
      <c r="YF28" s="369"/>
      <c r="YG28" s="369"/>
      <c r="YH28" s="369"/>
      <c r="YI28" s="369"/>
      <c r="YJ28" s="369"/>
      <c r="YK28" s="369"/>
      <c r="YL28" s="369"/>
      <c r="YM28" s="369"/>
      <c r="YN28" s="369"/>
      <c r="YO28" s="369"/>
      <c r="YP28" s="369"/>
      <c r="YQ28" s="369"/>
      <c r="YR28" s="369"/>
      <c r="YS28" s="369"/>
    </row>
    <row r="29" spans="1:669" s="3" customFormat="1" hidden="1" x14ac:dyDescent="0.2">
      <c r="A29" s="863"/>
      <c r="B29" s="623"/>
      <c r="C29" s="6"/>
      <c r="D29" s="290"/>
      <c r="E29" s="7"/>
      <c r="F29" s="307"/>
      <c r="G29" s="308"/>
      <c r="H29" s="307"/>
      <c r="I29" s="308"/>
      <c r="J29" s="307"/>
      <c r="K29" s="293"/>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row>
    <row r="30" spans="1:669" s="3" customFormat="1" ht="15" x14ac:dyDescent="0.25">
      <c r="A30" s="865" t="s">
        <v>494</v>
      </c>
      <c r="B30" s="624" t="s">
        <v>307</v>
      </c>
      <c r="C30" s="872" t="s">
        <v>21</v>
      </c>
      <c r="D30" s="729">
        <v>44562</v>
      </c>
      <c r="E30" s="789">
        <v>44926</v>
      </c>
      <c r="F30" s="798">
        <v>18000</v>
      </c>
      <c r="G30" s="776">
        <f t="shared" si="2"/>
        <v>4500</v>
      </c>
      <c r="H30" s="798">
        <f>'June''22 AR Aging '!G40</f>
        <v>4500</v>
      </c>
      <c r="I30" s="776">
        <f>1500*6</f>
        <v>9000</v>
      </c>
      <c r="J30" s="798">
        <f>F30-I30</f>
        <v>9000</v>
      </c>
      <c r="K30" s="306"/>
      <c r="L30" s="713"/>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x14ac:dyDescent="0.2">
      <c r="A31" s="864" t="s">
        <v>561</v>
      </c>
      <c r="B31" s="823" t="s">
        <v>464</v>
      </c>
      <c r="C31" s="873" t="s">
        <v>465</v>
      </c>
      <c r="D31" s="825">
        <v>44317</v>
      </c>
      <c r="E31" s="824">
        <v>44834</v>
      </c>
      <c r="F31" s="827">
        <v>20000</v>
      </c>
      <c r="G31" s="851">
        <f t="shared" si="2"/>
        <v>9460.91</v>
      </c>
      <c r="H31" s="827">
        <f>'June''22 AR Aging '!G62</f>
        <v>6327.8</v>
      </c>
      <c r="I31" s="851">
        <v>15788.71</v>
      </c>
      <c r="J31" s="827">
        <f>F31-I31</f>
        <v>4211.2900000000009</v>
      </c>
      <c r="K31" s="826"/>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idden="1" x14ac:dyDescent="0.2">
      <c r="A32" s="865"/>
      <c r="B32" s="624"/>
      <c r="C32" s="872"/>
      <c r="D32" s="729"/>
      <c r="E32" s="789"/>
      <c r="F32" s="798"/>
      <c r="G32" s="776"/>
      <c r="H32" s="798"/>
      <c r="I32" s="776"/>
      <c r="J32" s="798"/>
      <c r="K32" s="306"/>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870" t="s">
        <v>438</v>
      </c>
      <c r="B33" s="611" t="s">
        <v>179</v>
      </c>
      <c r="C33" s="6" t="s">
        <v>465</v>
      </c>
      <c r="D33" s="290">
        <v>44083</v>
      </c>
      <c r="E33" s="7">
        <v>44435</v>
      </c>
      <c r="F33" s="302"/>
      <c r="G33" s="308"/>
      <c r="H33" s="307"/>
      <c r="I33" s="308"/>
      <c r="J33" s="307"/>
      <c r="K33" s="293"/>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t="15" thickBot="1" x14ac:dyDescent="0.25">
      <c r="A34" s="871" t="s">
        <v>562</v>
      </c>
      <c r="B34" s="382" t="s">
        <v>179</v>
      </c>
      <c r="C34" s="876" t="s">
        <v>465</v>
      </c>
      <c r="D34" s="383">
        <v>44438</v>
      </c>
      <c r="E34" s="780">
        <v>44801</v>
      </c>
      <c r="F34" s="744">
        <v>44853</v>
      </c>
      <c r="G34" s="781">
        <f>I34-H34</f>
        <v>34971.129999999997</v>
      </c>
      <c r="H34" s="303">
        <f>'June''22 AR Aging '!G60</f>
        <v>812.19</v>
      </c>
      <c r="I34" s="781">
        <v>35783.32</v>
      </c>
      <c r="J34" s="303">
        <f>F34-I34</f>
        <v>9069.68</v>
      </c>
      <c r="K34" s="294"/>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17" customFormat="1" ht="16.5" thickBot="1" x14ac:dyDescent="0.3">
      <c r="A35" s="257" t="s">
        <v>33</v>
      </c>
      <c r="B35" s="258"/>
      <c r="C35" s="259"/>
      <c r="D35" s="260"/>
      <c r="E35" s="260"/>
      <c r="F35" s="284"/>
      <c r="G35" s="284">
        <f>SUM(G9:G34)</f>
        <v>569017.53</v>
      </c>
      <c r="H35" s="284">
        <f>SUM(H7:H34)</f>
        <v>233010.61999999997</v>
      </c>
      <c r="I35" s="284">
        <f>SUM(I9:I34)</f>
        <v>802028.14999999991</v>
      </c>
      <c r="J35" s="284">
        <f>SUM(J9:J34)</f>
        <v>378618.85</v>
      </c>
      <c r="K35" s="284">
        <f>SUM(K9:K34)</f>
        <v>0</v>
      </c>
      <c r="L35" s="47"/>
      <c r="M35" s="37"/>
      <c r="N35" s="37"/>
      <c r="O35" s="37"/>
      <c r="P35" s="37"/>
      <c r="Q35" s="37"/>
      <c r="R35" s="37"/>
      <c r="S35" s="37"/>
      <c r="T35" s="37"/>
      <c r="U35" s="37"/>
      <c r="V35" s="37"/>
      <c r="W35" s="37"/>
      <c r="X35" s="37"/>
      <c r="Y35" s="37"/>
      <c r="Z35" s="37"/>
      <c r="AA35" s="37"/>
      <c r="AB35" s="38"/>
      <c r="AC35" s="38"/>
      <c r="AD35" s="38"/>
      <c r="AE35" s="38"/>
      <c r="AF35" s="38"/>
      <c r="AG35" s="38"/>
      <c r="AH35" s="38"/>
      <c r="AI35" s="38"/>
      <c r="AJ35" s="38"/>
      <c r="AK35" s="38"/>
      <c r="AL35" s="38"/>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row>
    <row r="36" spans="1:669" s="18" customFormat="1" x14ac:dyDescent="0.2">
      <c r="A36" s="787"/>
      <c r="B36" s="787"/>
      <c r="C36" s="19"/>
      <c r="D36" s="787"/>
      <c r="E36" s="283"/>
      <c r="F36" s="29"/>
      <c r="G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row>
    <row r="37" spans="1:669" s="18" customFormat="1" ht="10.5" customHeight="1" thickBot="1" x14ac:dyDescent="0.25">
      <c r="A37" s="1"/>
      <c r="B37" s="44"/>
      <c r="C37" s="6"/>
      <c r="D37" s="6"/>
      <c r="E37" s="6"/>
      <c r="F37" s="29"/>
      <c r="G37" s="29"/>
      <c r="H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22" customFormat="1" ht="16.5" thickBot="1" x14ac:dyDescent="0.3">
      <c r="A38" s="298" t="s">
        <v>35</v>
      </c>
      <c r="B38" s="156"/>
      <c r="C38" s="157"/>
      <c r="D38" s="157"/>
      <c r="E38" s="157"/>
      <c r="F38" s="158"/>
      <c r="G38" s="158"/>
      <c r="H38" s="158"/>
      <c r="I38" s="158"/>
      <c r="J38" s="158"/>
      <c r="K38" s="15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0" customFormat="1" ht="45.75" thickBot="1" x14ac:dyDescent="0.25">
      <c r="A39" s="314" t="s">
        <v>22</v>
      </c>
      <c r="B39" s="925" t="s">
        <v>12</v>
      </c>
      <c r="C39" s="926"/>
      <c r="D39" s="314" t="s">
        <v>2</v>
      </c>
      <c r="E39" s="314" t="s">
        <v>3</v>
      </c>
      <c r="F39" s="319" t="s">
        <v>23</v>
      </c>
      <c r="G39" s="319" t="s">
        <v>497</v>
      </c>
      <c r="H39" s="319" t="s">
        <v>163</v>
      </c>
      <c r="I39" s="319" t="s">
        <v>19</v>
      </c>
      <c r="J39" s="319" t="s">
        <v>333</v>
      </c>
      <c r="K39" s="319" t="s">
        <v>4</v>
      </c>
      <c r="L39" s="35"/>
      <c r="M39" s="35"/>
      <c r="N39" s="35"/>
      <c r="O39" s="35"/>
      <c r="P39" s="35"/>
      <c r="Q39" s="35"/>
      <c r="R39" s="35"/>
      <c r="S39" s="35"/>
      <c r="T39" s="35"/>
      <c r="U39" s="6"/>
      <c r="V39" s="35"/>
      <c r="W39" s="35"/>
      <c r="X39" s="35"/>
      <c r="Y39" s="35"/>
      <c r="Z39" s="35"/>
      <c r="AA39" s="35"/>
      <c r="AB39" s="36"/>
      <c r="AC39" s="36"/>
      <c r="AD39" s="36"/>
      <c r="AE39" s="36"/>
      <c r="AF39" s="36"/>
      <c r="AG39" s="36"/>
      <c r="AH39" s="36"/>
      <c r="AI39" s="36"/>
      <c r="AJ39" s="36"/>
      <c r="AK39" s="36"/>
      <c r="AL39" s="3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row>
    <row r="40" spans="1:669" hidden="1" x14ac:dyDescent="0.2">
      <c r="A40" s="286" t="s">
        <v>15</v>
      </c>
      <c r="B40" s="931" t="s">
        <v>11</v>
      </c>
      <c r="C40" s="932"/>
      <c r="D40" s="290">
        <v>41275</v>
      </c>
      <c r="E40" s="290">
        <v>41639</v>
      </c>
      <c r="F40" s="293"/>
      <c r="G40" s="293">
        <v>0</v>
      </c>
      <c r="H40" s="293"/>
      <c r="I40" s="293">
        <f>F40-H40</f>
        <v>0</v>
      </c>
      <c r="J40" s="293">
        <v>0</v>
      </c>
      <c r="K40" s="293">
        <f t="shared" ref="K40:K46" si="3">I40</f>
        <v>0</v>
      </c>
      <c r="L40" s="29"/>
      <c r="M40" s="29"/>
      <c r="N40" s="29"/>
    </row>
    <row r="41" spans="1:669" hidden="1" x14ac:dyDescent="0.2">
      <c r="A41" s="286" t="s">
        <v>262</v>
      </c>
      <c r="B41" s="931" t="s">
        <v>11</v>
      </c>
      <c r="C41" s="932"/>
      <c r="D41" s="290">
        <v>42736</v>
      </c>
      <c r="E41" s="290">
        <v>43100</v>
      </c>
      <c r="F41" s="293"/>
      <c r="G41" s="293">
        <v>0</v>
      </c>
      <c r="H41" s="293">
        <v>25000</v>
      </c>
      <c r="I41" s="293">
        <f>25000-H41</f>
        <v>0</v>
      </c>
      <c r="J41" s="293"/>
      <c r="K41" s="381">
        <f t="shared" si="3"/>
        <v>0</v>
      </c>
      <c r="L41" s="29"/>
      <c r="M41" s="29"/>
      <c r="N41" s="29"/>
    </row>
    <row r="42" spans="1:669" hidden="1" x14ac:dyDescent="0.2">
      <c r="A42" s="286" t="s">
        <v>318</v>
      </c>
      <c r="B42" s="931" t="s">
        <v>11</v>
      </c>
      <c r="C42" s="932"/>
      <c r="D42" s="290">
        <v>43466</v>
      </c>
      <c r="E42" s="290">
        <v>43830</v>
      </c>
      <c r="F42" s="293"/>
      <c r="G42" s="293"/>
      <c r="H42" s="293"/>
      <c r="I42" s="293"/>
      <c r="J42" s="293"/>
      <c r="K42" s="719"/>
      <c r="L42" s="29"/>
      <c r="M42" s="29"/>
      <c r="N42" s="29"/>
    </row>
    <row r="43" spans="1:669" ht="15" hidden="1" x14ac:dyDescent="0.25">
      <c r="A43" s="778" t="s">
        <v>406</v>
      </c>
      <c r="B43" s="937" t="s">
        <v>11</v>
      </c>
      <c r="C43" s="932"/>
      <c r="D43" s="779">
        <v>43831</v>
      </c>
      <c r="E43" s="7">
        <v>44196</v>
      </c>
      <c r="F43" s="745"/>
      <c r="G43" s="308"/>
      <c r="H43" s="745"/>
      <c r="I43" s="308">
        <f>F43-H43</f>
        <v>0</v>
      </c>
      <c r="J43" s="745"/>
      <c r="K43" s="783">
        <f>I43</f>
        <v>0</v>
      </c>
      <c r="L43" s="29"/>
      <c r="M43" s="29"/>
      <c r="N43" s="29"/>
    </row>
    <row r="44" spans="1:669" hidden="1" x14ac:dyDescent="0.2">
      <c r="A44" s="286"/>
      <c r="B44" s="937"/>
      <c r="C44" s="932"/>
      <c r="D44" s="290"/>
      <c r="E44" s="7"/>
      <c r="F44" s="293"/>
      <c r="G44" s="308"/>
      <c r="H44" s="293"/>
      <c r="I44" s="308"/>
      <c r="J44" s="293"/>
      <c r="K44" s="307"/>
      <c r="L44" s="29"/>
      <c r="M44" s="29"/>
      <c r="N44" s="29"/>
    </row>
    <row r="45" spans="1:669" hidden="1" x14ac:dyDescent="0.2">
      <c r="A45" s="286" t="s">
        <v>442</v>
      </c>
      <c r="B45" s="937" t="s">
        <v>11</v>
      </c>
      <c r="C45" s="932"/>
      <c r="D45" s="290">
        <v>44105</v>
      </c>
      <c r="E45" s="7" t="s">
        <v>408</v>
      </c>
      <c r="F45" s="293"/>
      <c r="G45" s="308"/>
      <c r="H45" s="293"/>
      <c r="I45" s="308"/>
      <c r="J45" s="293"/>
      <c r="K45" s="307"/>
      <c r="L45" s="29"/>
      <c r="M45" s="29"/>
      <c r="N45" s="29"/>
    </row>
    <row r="46" spans="1:669" ht="15" x14ac:dyDescent="0.25">
      <c r="A46" s="286" t="s">
        <v>495</v>
      </c>
      <c r="B46" s="937" t="s">
        <v>11</v>
      </c>
      <c r="C46" s="932"/>
      <c r="D46" s="290">
        <v>44562</v>
      </c>
      <c r="E46" s="7">
        <v>44926</v>
      </c>
      <c r="F46" s="293">
        <v>25000</v>
      </c>
      <c r="G46" s="308">
        <v>25000</v>
      </c>
      <c r="H46" s="293">
        <v>12327.26</v>
      </c>
      <c r="I46" s="308">
        <f>F46-H46</f>
        <v>12672.74</v>
      </c>
      <c r="J46" s="293"/>
      <c r="K46" s="307">
        <f t="shared" si="3"/>
        <v>12672.74</v>
      </c>
      <c r="L46" s="29"/>
      <c r="M46" s="29"/>
      <c r="N46" s="29"/>
    </row>
    <row r="47" spans="1:669" x14ac:dyDescent="0.2">
      <c r="A47" s="286" t="s">
        <v>485</v>
      </c>
      <c r="B47" s="937" t="s">
        <v>11</v>
      </c>
      <c r="C47" s="932"/>
      <c r="D47" s="290">
        <v>44228</v>
      </c>
      <c r="E47" s="7">
        <v>44592</v>
      </c>
      <c r="F47" s="293">
        <v>3900</v>
      </c>
      <c r="G47" s="308">
        <v>2943</v>
      </c>
      <c r="H47" s="293">
        <v>1748.49</v>
      </c>
      <c r="I47" s="308">
        <f>G47-H47</f>
        <v>1194.51</v>
      </c>
      <c r="J47" s="293"/>
      <c r="K47" s="307">
        <f>I47</f>
        <v>1194.51</v>
      </c>
      <c r="L47" s="29"/>
      <c r="M47" s="29"/>
      <c r="N47" s="29"/>
    </row>
    <row r="48" spans="1:669" x14ac:dyDescent="0.2">
      <c r="A48" s="286" t="s">
        <v>496</v>
      </c>
      <c r="B48" s="937" t="s">
        <v>11</v>
      </c>
      <c r="C48" s="932"/>
      <c r="D48" s="290">
        <v>44228</v>
      </c>
      <c r="E48" s="7">
        <v>44592</v>
      </c>
      <c r="F48" s="293">
        <v>3000</v>
      </c>
      <c r="G48" s="308"/>
      <c r="H48" s="293"/>
      <c r="I48" s="308">
        <f>3000</f>
        <v>3000</v>
      </c>
      <c r="J48" s="293"/>
      <c r="K48" s="307">
        <f>I48</f>
        <v>3000</v>
      </c>
      <c r="L48" s="29"/>
      <c r="M48" s="29"/>
      <c r="N48" s="29"/>
    </row>
    <row r="49" spans="1:669" x14ac:dyDescent="0.2">
      <c r="A49" s="286" t="s">
        <v>477</v>
      </c>
      <c r="B49" s="937" t="s">
        <v>11</v>
      </c>
      <c r="C49" s="932"/>
      <c r="D49" s="290">
        <v>44378</v>
      </c>
      <c r="E49" s="7">
        <v>44742</v>
      </c>
      <c r="F49" s="293">
        <v>100000</v>
      </c>
      <c r="G49" s="308">
        <v>100000</v>
      </c>
      <c r="H49" s="293"/>
      <c r="I49" s="308">
        <v>100000</v>
      </c>
      <c r="J49" s="293"/>
      <c r="K49" s="307">
        <f>G49</f>
        <v>100000</v>
      </c>
      <c r="L49" s="29"/>
      <c r="M49" s="29"/>
      <c r="N49" s="29"/>
    </row>
    <row r="50" spans="1:669" s="4" customFormat="1" x14ac:dyDescent="0.2">
      <c r="A50" s="286" t="s">
        <v>387</v>
      </c>
      <c r="B50" s="935" t="s">
        <v>17</v>
      </c>
      <c r="C50" s="936"/>
      <c r="D50" s="290">
        <v>44562</v>
      </c>
      <c r="E50" s="7">
        <v>45291</v>
      </c>
      <c r="F50" s="293">
        <v>100000</v>
      </c>
      <c r="G50" s="308">
        <v>0</v>
      </c>
      <c r="H50" s="293">
        <f>20000+2500*6</f>
        <v>35000</v>
      </c>
      <c r="I50" s="308">
        <f>50000-H50</f>
        <v>15000</v>
      </c>
      <c r="J50" s="293"/>
      <c r="K50" s="307">
        <f>I50</f>
        <v>15000</v>
      </c>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row>
    <row r="51" spans="1:669" s="4" customFormat="1" ht="15" hidden="1" x14ac:dyDescent="0.25">
      <c r="A51" s="286" t="s">
        <v>403</v>
      </c>
      <c r="B51" s="928" t="s">
        <v>402</v>
      </c>
      <c r="C51" s="928"/>
      <c r="D51" s="623"/>
      <c r="E51" s="787"/>
      <c r="F51" s="293"/>
      <c r="G51" s="308"/>
      <c r="H51" s="293"/>
      <c r="I51" s="308"/>
      <c r="J51" s="307"/>
      <c r="K51" s="381"/>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row>
    <row r="52" spans="1:669" s="2" customFormat="1" ht="15" thickBot="1" x14ac:dyDescent="0.25">
      <c r="A52" s="286" t="s">
        <v>18</v>
      </c>
      <c r="B52" s="928" t="s">
        <v>39</v>
      </c>
      <c r="C52" s="928"/>
      <c r="D52" s="290">
        <v>40226</v>
      </c>
      <c r="E52" s="6" t="s">
        <v>25</v>
      </c>
      <c r="F52" s="293">
        <f>8007.78+5000+50</f>
        <v>13057.779999999999</v>
      </c>
      <c r="G52" s="308">
        <v>898.7</v>
      </c>
      <c r="H52" s="293"/>
      <c r="I52" s="308">
        <f>+G52-H52</f>
        <v>898.7</v>
      </c>
      <c r="J52" s="293">
        <f>I52</f>
        <v>898.7</v>
      </c>
      <c r="K52" s="307"/>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row>
    <row r="53" spans="1:669" s="2" customFormat="1" ht="15" hidden="1" thickBot="1" x14ac:dyDescent="0.25">
      <c r="A53" s="286" t="s">
        <v>388</v>
      </c>
      <c r="B53" s="928" t="s">
        <v>407</v>
      </c>
      <c r="C53" s="928"/>
      <c r="D53" s="290">
        <v>43770</v>
      </c>
      <c r="E53" s="7">
        <v>44196</v>
      </c>
      <c r="F53" s="293"/>
      <c r="G53" s="308"/>
      <c r="H53" s="293"/>
      <c r="I53" s="308"/>
      <c r="J53" s="293"/>
      <c r="K53" s="307"/>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2" customFormat="1" ht="15.75" thickBot="1" x14ac:dyDescent="0.3">
      <c r="A54" s="287"/>
      <c r="B54" s="933"/>
      <c r="C54" s="934"/>
      <c r="D54" s="383"/>
      <c r="E54" s="780"/>
      <c r="F54" s="744"/>
      <c r="G54" s="781"/>
      <c r="H54" s="294"/>
      <c r="I54" s="308"/>
      <c r="J54" s="294"/>
      <c r="K54" s="303"/>
      <c r="L54" s="782" t="s">
        <v>98</v>
      </c>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252" customFormat="1" ht="15.75" thickBot="1" x14ac:dyDescent="0.3">
      <c r="A55" s="285" t="s">
        <v>28</v>
      </c>
      <c r="B55" s="288"/>
      <c r="C55" s="288"/>
      <c r="D55" s="289"/>
      <c r="E55" s="289"/>
      <c r="F55" s="292">
        <f t="shared" ref="F55:K55" si="4">SUM(F40:F54)</f>
        <v>244957.78</v>
      </c>
      <c r="G55" s="295">
        <f t="shared" si="4"/>
        <v>128841.7</v>
      </c>
      <c r="H55" s="803">
        <f t="shared" si="4"/>
        <v>74075.75</v>
      </c>
      <c r="I55" s="804">
        <f t="shared" si="4"/>
        <v>132765.95000000001</v>
      </c>
      <c r="J55" s="296">
        <f t="shared" si="4"/>
        <v>898.7</v>
      </c>
      <c r="K55" s="297">
        <f t="shared" si="4"/>
        <v>131867.25</v>
      </c>
      <c r="L55" s="435">
        <f>K35+K55</f>
        <v>131867.25</v>
      </c>
      <c r="M55" s="250"/>
      <c r="N55" s="250"/>
      <c r="O55" s="250"/>
      <c r="P55" s="250"/>
      <c r="Q55" s="250"/>
      <c r="R55" s="250"/>
      <c r="S55" s="250"/>
      <c r="T55" s="250"/>
      <c r="U55" s="251"/>
      <c r="V55" s="250"/>
      <c r="W55" s="250"/>
      <c r="X55" s="250"/>
      <c r="Y55" s="250"/>
      <c r="Z55" s="250"/>
      <c r="AA55" s="250"/>
      <c r="AB55" s="250"/>
      <c r="AC55" s="250"/>
      <c r="AD55" s="250"/>
      <c r="AE55" s="250"/>
      <c r="AF55" s="250"/>
      <c r="AG55" s="250"/>
      <c r="AH55" s="250"/>
      <c r="AI55" s="250"/>
      <c r="AJ55" s="250"/>
      <c r="AK55" s="250"/>
      <c r="AL55" s="250"/>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1"/>
      <c r="IK55" s="251"/>
      <c r="IL55" s="251"/>
      <c r="IM55" s="251"/>
      <c r="IN55" s="251"/>
      <c r="IO55" s="251"/>
      <c r="IP55" s="251"/>
      <c r="IQ55" s="251"/>
      <c r="IR55" s="251"/>
      <c r="IS55" s="251"/>
      <c r="IT55" s="251"/>
      <c r="IU55" s="251"/>
      <c r="IV55" s="251"/>
      <c r="IW55" s="251"/>
      <c r="IX55" s="251"/>
      <c r="IY55" s="251"/>
      <c r="IZ55" s="251"/>
      <c r="JA55" s="251"/>
      <c r="JB55" s="251"/>
      <c r="JC55" s="251"/>
      <c r="JD55" s="251"/>
      <c r="JE55" s="251"/>
      <c r="JF55" s="251"/>
      <c r="JG55" s="251"/>
      <c r="JH55" s="251"/>
      <c r="JI55" s="251"/>
      <c r="JJ55" s="251"/>
      <c r="JK55" s="251"/>
      <c r="JL55" s="251"/>
      <c r="JM55" s="251"/>
      <c r="JN55" s="251"/>
      <c r="JO55" s="251"/>
      <c r="JP55" s="251"/>
      <c r="JQ55" s="251"/>
      <c r="JR55" s="251"/>
      <c r="JS55" s="251"/>
      <c r="JT55" s="251"/>
      <c r="JU55" s="251"/>
      <c r="JV55" s="251"/>
      <c r="JW55" s="251"/>
      <c r="JX55" s="251"/>
      <c r="JY55" s="251"/>
      <c r="JZ55" s="251"/>
      <c r="KA55" s="251"/>
      <c r="KB55" s="251"/>
      <c r="KC55" s="251"/>
      <c r="KD55" s="251"/>
      <c r="KE55" s="251"/>
      <c r="KF55" s="251"/>
      <c r="KG55" s="251"/>
      <c r="KH55" s="251"/>
      <c r="KI55" s="251"/>
      <c r="KJ55" s="251"/>
      <c r="KK55" s="251"/>
      <c r="KL55" s="251"/>
      <c r="KM55" s="251"/>
      <c r="KN55" s="251"/>
      <c r="KO55" s="251"/>
      <c r="KP55" s="251"/>
      <c r="KQ55" s="251"/>
      <c r="KR55" s="251"/>
      <c r="KS55" s="251"/>
      <c r="KT55" s="251"/>
      <c r="KU55" s="251"/>
      <c r="KV55" s="251"/>
      <c r="KW55" s="251"/>
      <c r="KX55" s="251"/>
      <c r="KY55" s="251"/>
      <c r="KZ55" s="251"/>
      <c r="LA55" s="251"/>
      <c r="LB55" s="251"/>
      <c r="LC55" s="251"/>
      <c r="LD55" s="251"/>
      <c r="LE55" s="251"/>
      <c r="LF55" s="251"/>
      <c r="LG55" s="251"/>
      <c r="LH55" s="251"/>
      <c r="LI55" s="251"/>
      <c r="LJ55" s="251"/>
      <c r="LK55" s="251"/>
      <c r="LL55" s="251"/>
      <c r="LM55" s="251"/>
      <c r="LN55" s="251"/>
      <c r="LO55" s="251"/>
      <c r="LP55" s="251"/>
      <c r="LQ55" s="251"/>
      <c r="LR55" s="251"/>
      <c r="LS55" s="251"/>
      <c r="LT55" s="251"/>
      <c r="LU55" s="251"/>
      <c r="LV55" s="251"/>
      <c r="LW55" s="251"/>
      <c r="LX55" s="251"/>
      <c r="LY55" s="251"/>
      <c r="LZ55" s="251"/>
      <c r="MA55" s="251"/>
      <c r="MB55" s="251"/>
      <c r="MC55" s="251"/>
      <c r="MD55" s="251"/>
      <c r="ME55" s="251"/>
      <c r="MF55" s="251"/>
      <c r="MG55" s="251"/>
      <c r="MH55" s="251"/>
      <c r="MI55" s="251"/>
      <c r="MJ55" s="251"/>
      <c r="MK55" s="251"/>
      <c r="ML55" s="251"/>
      <c r="MM55" s="251"/>
      <c r="MN55" s="251"/>
      <c r="MO55" s="251"/>
      <c r="MP55" s="251"/>
      <c r="MQ55" s="251"/>
      <c r="MR55" s="251"/>
      <c r="MS55" s="251"/>
      <c r="MT55" s="251"/>
      <c r="MU55" s="251"/>
      <c r="MV55" s="251"/>
      <c r="MW55" s="251"/>
      <c r="MX55" s="251"/>
      <c r="MY55" s="251"/>
      <c r="MZ55" s="251"/>
      <c r="NA55" s="251"/>
      <c r="NB55" s="251"/>
      <c r="NC55" s="251"/>
      <c r="ND55" s="251"/>
      <c r="NE55" s="251"/>
      <c r="NF55" s="251"/>
      <c r="NG55" s="251"/>
      <c r="NH55" s="251"/>
      <c r="NI55" s="251"/>
      <c r="NJ55" s="251"/>
      <c r="NK55" s="251"/>
      <c r="NL55" s="251"/>
      <c r="NM55" s="251"/>
      <c r="NN55" s="251"/>
      <c r="NO55" s="251"/>
      <c r="NP55" s="251"/>
      <c r="NQ55" s="251"/>
      <c r="NR55" s="251"/>
      <c r="NS55" s="251"/>
      <c r="NT55" s="251"/>
      <c r="NU55" s="251"/>
      <c r="NV55" s="251"/>
      <c r="NW55" s="251"/>
      <c r="NX55" s="251"/>
      <c r="NY55" s="251"/>
      <c r="NZ55" s="251"/>
      <c r="OA55" s="251"/>
      <c r="OB55" s="251"/>
      <c r="OC55" s="251"/>
      <c r="OD55" s="251"/>
      <c r="OE55" s="251"/>
      <c r="OF55" s="251"/>
      <c r="OG55" s="251"/>
      <c r="OH55" s="251"/>
      <c r="OI55" s="251"/>
      <c r="OJ55" s="251"/>
      <c r="OK55" s="251"/>
      <c r="OL55" s="251"/>
      <c r="OM55" s="251"/>
      <c r="ON55" s="251"/>
      <c r="OO55" s="251"/>
      <c r="OP55" s="251"/>
      <c r="OQ55" s="251"/>
      <c r="OR55" s="251"/>
      <c r="OS55" s="251"/>
      <c r="OT55" s="251"/>
      <c r="OU55" s="251"/>
      <c r="OV55" s="251"/>
      <c r="OW55" s="251"/>
      <c r="OX55" s="251"/>
      <c r="OY55" s="251"/>
      <c r="OZ55" s="251"/>
      <c r="PA55" s="251"/>
      <c r="PB55" s="251"/>
      <c r="PC55" s="251"/>
      <c r="PD55" s="251"/>
      <c r="PE55" s="251"/>
      <c r="PF55" s="251"/>
      <c r="PG55" s="251"/>
      <c r="PH55" s="251"/>
      <c r="PI55" s="251"/>
      <c r="PJ55" s="251"/>
      <c r="PK55" s="251"/>
      <c r="PL55" s="251"/>
      <c r="PM55" s="251"/>
      <c r="PN55" s="251"/>
      <c r="PO55" s="251"/>
      <c r="PP55" s="251"/>
      <c r="PQ55" s="251"/>
      <c r="PR55" s="251"/>
      <c r="PS55" s="251"/>
      <c r="PT55" s="251"/>
      <c r="PU55" s="251"/>
      <c r="PV55" s="251"/>
      <c r="PW55" s="251"/>
      <c r="PX55" s="251"/>
      <c r="PY55" s="251"/>
      <c r="PZ55" s="251"/>
      <c r="QA55" s="251"/>
      <c r="QB55" s="251"/>
      <c r="QC55" s="251"/>
      <c r="QD55" s="251"/>
      <c r="QE55" s="251"/>
      <c r="QF55" s="251"/>
      <c r="QG55" s="251"/>
      <c r="QH55" s="251"/>
      <c r="QI55" s="251"/>
      <c r="QJ55" s="251"/>
      <c r="QK55" s="251"/>
      <c r="QL55" s="251"/>
      <c r="QM55" s="251"/>
      <c r="QN55" s="251"/>
      <c r="QO55" s="251"/>
      <c r="QP55" s="251"/>
      <c r="QQ55" s="251"/>
      <c r="QR55" s="251"/>
      <c r="QS55" s="251"/>
      <c r="QT55" s="251"/>
      <c r="QU55" s="251"/>
      <c r="QV55" s="251"/>
      <c r="QW55" s="251"/>
      <c r="QX55" s="251"/>
      <c r="QY55" s="251"/>
      <c r="QZ55" s="251"/>
      <c r="RA55" s="251"/>
      <c r="RB55" s="251"/>
      <c r="RC55" s="251"/>
      <c r="RD55" s="251"/>
      <c r="RE55" s="251"/>
      <c r="RF55" s="251"/>
      <c r="RG55" s="251"/>
      <c r="RH55" s="251"/>
      <c r="RI55" s="251"/>
      <c r="RJ55" s="251"/>
      <c r="RK55" s="251"/>
      <c r="RL55" s="251"/>
      <c r="RM55" s="251"/>
      <c r="RN55" s="251"/>
      <c r="RO55" s="251"/>
      <c r="RP55" s="251"/>
      <c r="RQ55" s="251"/>
      <c r="RR55" s="251"/>
      <c r="RS55" s="251"/>
      <c r="RT55" s="251"/>
      <c r="RU55" s="251"/>
      <c r="RV55" s="251"/>
      <c r="RW55" s="251"/>
      <c r="RX55" s="251"/>
      <c r="RY55" s="251"/>
      <c r="RZ55" s="251"/>
      <c r="SA55" s="251"/>
      <c r="SB55" s="251"/>
      <c r="SC55" s="251"/>
      <c r="SD55" s="251"/>
      <c r="SE55" s="251"/>
      <c r="SF55" s="251"/>
      <c r="SG55" s="251"/>
      <c r="SH55" s="251"/>
      <c r="SI55" s="251"/>
      <c r="SJ55" s="251"/>
      <c r="SK55" s="251"/>
      <c r="SL55" s="251"/>
      <c r="SM55" s="251"/>
      <c r="SN55" s="251"/>
      <c r="SO55" s="251"/>
      <c r="SP55" s="251"/>
      <c r="SQ55" s="251"/>
      <c r="SR55" s="251"/>
      <c r="SS55" s="251"/>
      <c r="ST55" s="251"/>
      <c r="SU55" s="251"/>
      <c r="SV55" s="251"/>
      <c r="SW55" s="251"/>
      <c r="SX55" s="251"/>
      <c r="SY55" s="251"/>
      <c r="SZ55" s="251"/>
      <c r="TA55" s="251"/>
      <c r="TB55" s="251"/>
      <c r="TC55" s="251"/>
      <c r="TD55" s="251"/>
      <c r="TE55" s="251"/>
      <c r="TF55" s="251"/>
      <c r="TG55" s="251"/>
      <c r="TH55" s="251"/>
      <c r="TI55" s="251"/>
      <c r="TJ55" s="251"/>
      <c r="TK55" s="251"/>
      <c r="TL55" s="251"/>
      <c r="TM55" s="251"/>
      <c r="TN55" s="251"/>
      <c r="TO55" s="251"/>
      <c r="TP55" s="251"/>
      <c r="TQ55" s="251"/>
      <c r="TR55" s="251"/>
      <c r="TS55" s="251"/>
      <c r="TT55" s="251"/>
      <c r="TU55" s="251"/>
      <c r="TV55" s="251"/>
      <c r="TW55" s="251"/>
      <c r="TX55" s="251"/>
      <c r="TY55" s="251"/>
      <c r="TZ55" s="251"/>
      <c r="UA55" s="251"/>
      <c r="UB55" s="251"/>
      <c r="UC55" s="251"/>
      <c r="UD55" s="251"/>
      <c r="UE55" s="251"/>
      <c r="UF55" s="251"/>
      <c r="UG55" s="251"/>
      <c r="UH55" s="251"/>
      <c r="UI55" s="251"/>
      <c r="UJ55" s="251"/>
      <c r="UK55" s="251"/>
      <c r="UL55" s="251"/>
      <c r="UM55" s="251"/>
      <c r="UN55" s="251"/>
      <c r="UO55" s="251"/>
      <c r="UP55" s="251"/>
      <c r="UQ55" s="251"/>
      <c r="UR55" s="251"/>
      <c r="US55" s="251"/>
      <c r="UT55" s="251"/>
      <c r="UU55" s="251"/>
      <c r="UV55" s="251"/>
      <c r="UW55" s="251"/>
      <c r="UX55" s="251"/>
      <c r="UY55" s="251"/>
      <c r="UZ55" s="251"/>
      <c r="VA55" s="251"/>
      <c r="VB55" s="251"/>
      <c r="VC55" s="251"/>
      <c r="VD55" s="251"/>
      <c r="VE55" s="251"/>
      <c r="VF55" s="251"/>
      <c r="VG55" s="251"/>
      <c r="VH55" s="251"/>
      <c r="VI55" s="251"/>
      <c r="VJ55" s="251"/>
      <c r="VK55" s="251"/>
      <c r="VL55" s="251"/>
      <c r="VM55" s="251"/>
      <c r="VN55" s="251"/>
      <c r="VO55" s="251"/>
      <c r="VP55" s="251"/>
      <c r="VQ55" s="251"/>
      <c r="VR55" s="251"/>
      <c r="VS55" s="251"/>
      <c r="VT55" s="251"/>
      <c r="VU55" s="251"/>
      <c r="VV55" s="251"/>
      <c r="VW55" s="251"/>
      <c r="VX55" s="251"/>
      <c r="VY55" s="251"/>
      <c r="VZ55" s="251"/>
      <c r="WA55" s="251"/>
      <c r="WB55" s="251"/>
      <c r="WC55" s="251"/>
      <c r="WD55" s="251"/>
      <c r="WE55" s="251"/>
      <c r="WF55" s="251"/>
      <c r="WG55" s="251"/>
      <c r="WH55" s="251"/>
      <c r="WI55" s="251"/>
      <c r="WJ55" s="251"/>
      <c r="WK55" s="251"/>
      <c r="WL55" s="251"/>
      <c r="WM55" s="251"/>
      <c r="WN55" s="251"/>
      <c r="WO55" s="251"/>
      <c r="WP55" s="251"/>
      <c r="WQ55" s="251"/>
      <c r="WR55" s="251"/>
      <c r="WS55" s="251"/>
      <c r="WT55" s="251"/>
      <c r="WU55" s="251"/>
      <c r="WV55" s="251"/>
      <c r="WW55" s="251"/>
      <c r="WX55" s="251"/>
      <c r="WY55" s="251"/>
      <c r="WZ55" s="251"/>
      <c r="XA55" s="251"/>
      <c r="XB55" s="251"/>
      <c r="XC55" s="251"/>
      <c r="XD55" s="251"/>
      <c r="XE55" s="251"/>
      <c r="XF55" s="251"/>
      <c r="XG55" s="251"/>
      <c r="XH55" s="251"/>
      <c r="XI55" s="251"/>
      <c r="XJ55" s="251"/>
      <c r="XK55" s="251"/>
      <c r="XL55" s="251"/>
      <c r="XM55" s="251"/>
      <c r="XN55" s="251"/>
      <c r="XO55" s="251"/>
      <c r="XP55" s="251"/>
      <c r="XQ55" s="251"/>
      <c r="XR55" s="251"/>
      <c r="XS55" s="251"/>
      <c r="XT55" s="251"/>
      <c r="XU55" s="251"/>
      <c r="XV55" s="251"/>
      <c r="XW55" s="251"/>
      <c r="XX55" s="251"/>
      <c r="XY55" s="251"/>
      <c r="XZ55" s="251"/>
      <c r="YA55" s="251"/>
      <c r="YB55" s="251"/>
      <c r="YC55" s="251"/>
      <c r="YD55" s="251"/>
      <c r="YE55" s="251"/>
      <c r="YF55" s="251"/>
      <c r="YG55" s="251"/>
      <c r="YH55" s="251"/>
      <c r="YI55" s="251"/>
      <c r="YJ55" s="251"/>
      <c r="YK55" s="251"/>
      <c r="YL55" s="251"/>
      <c r="YM55" s="251"/>
      <c r="YN55" s="251"/>
      <c r="YO55" s="251"/>
      <c r="YP55" s="251"/>
      <c r="YQ55" s="251"/>
      <c r="YR55" s="251"/>
      <c r="YS55" s="251"/>
    </row>
    <row r="56" spans="1:669" s="18" customFormat="1" ht="15" thickBot="1" x14ac:dyDescent="0.25">
      <c r="B56" s="1"/>
      <c r="C56" s="6"/>
      <c r="D56" s="6"/>
      <c r="E56" s="6"/>
      <c r="F56" s="29"/>
      <c r="G56" s="29"/>
      <c r="H56" s="29"/>
      <c r="I56" s="29"/>
      <c r="J56" s="29"/>
      <c r="K56" s="29"/>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1" customFormat="1" ht="18.75" thickBot="1" x14ac:dyDescent="0.3">
      <c r="A57" s="298" t="s">
        <v>138</v>
      </c>
      <c r="B57" s="299"/>
      <c r="C57" s="300"/>
      <c r="D57" s="300"/>
      <c r="E57" s="300"/>
      <c r="F57" s="301"/>
      <c r="G57" s="301"/>
      <c r="H57" s="301"/>
      <c r="I57" s="301"/>
      <c r="J57" s="301"/>
      <c r="K57" s="304"/>
      <c r="L57" s="301"/>
      <c r="M57" s="305"/>
      <c r="N57" s="40"/>
      <c r="O57" s="40"/>
      <c r="P57" s="40"/>
      <c r="Q57" s="40"/>
      <c r="R57" s="40"/>
      <c r="S57" s="40"/>
      <c r="T57" s="40"/>
      <c r="U57" s="41"/>
      <c r="V57" s="40"/>
      <c r="W57" s="40"/>
      <c r="X57" s="40"/>
      <c r="Y57" s="40"/>
      <c r="Z57" s="40"/>
      <c r="AA57" s="40"/>
      <c r="AB57" s="42"/>
      <c r="AC57" s="42"/>
      <c r="AD57" s="42"/>
      <c r="AE57" s="42"/>
      <c r="AF57" s="42"/>
      <c r="AG57" s="42"/>
      <c r="AH57" s="42"/>
      <c r="AI57" s="42"/>
      <c r="AJ57" s="42"/>
      <c r="AK57" s="42"/>
      <c r="AL57" s="42"/>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c r="ME57" s="41"/>
      <c r="MF57" s="41"/>
      <c r="MG57" s="41"/>
      <c r="MH57" s="41"/>
      <c r="MI57" s="41"/>
      <c r="MJ57" s="41"/>
      <c r="MK57" s="41"/>
      <c r="ML57" s="41"/>
      <c r="MM57" s="41"/>
      <c r="MN57" s="41"/>
      <c r="MO57" s="41"/>
      <c r="MP57" s="41"/>
      <c r="MQ57" s="41"/>
      <c r="MR57" s="41"/>
      <c r="MS57" s="41"/>
      <c r="MT57" s="41"/>
      <c r="MU57" s="41"/>
      <c r="MV57" s="41"/>
      <c r="MW57" s="41"/>
      <c r="MX57" s="41"/>
      <c r="MY57" s="41"/>
      <c r="MZ57" s="41"/>
      <c r="NA57" s="41"/>
      <c r="NB57" s="41"/>
      <c r="NC57" s="41"/>
      <c r="ND57" s="41"/>
      <c r="NE57" s="41"/>
      <c r="NF57" s="41"/>
      <c r="NG57" s="41"/>
      <c r="NH57" s="41"/>
      <c r="NI57" s="41"/>
      <c r="NJ57" s="41"/>
      <c r="NK57" s="41"/>
      <c r="NL57" s="41"/>
      <c r="NM57" s="41"/>
      <c r="NN57" s="41"/>
      <c r="NO57" s="41"/>
      <c r="NP57" s="41"/>
      <c r="NQ57" s="41"/>
      <c r="NR57" s="41"/>
      <c r="NS57" s="41"/>
      <c r="NT57" s="41"/>
      <c r="NU57" s="41"/>
      <c r="NV57" s="41"/>
      <c r="NW57" s="41"/>
      <c r="NX57" s="41"/>
      <c r="NY57" s="41"/>
      <c r="NZ57" s="41"/>
      <c r="OA57" s="41"/>
      <c r="OB57" s="41"/>
      <c r="OC57" s="41"/>
      <c r="OD57" s="41"/>
      <c r="OE57" s="41"/>
      <c r="OF57" s="41"/>
      <c r="OG57" s="41"/>
      <c r="OH57" s="41"/>
      <c r="OI57" s="41"/>
      <c r="OJ57" s="41"/>
      <c r="OK57" s="41"/>
      <c r="OL57" s="41"/>
      <c r="OM57" s="41"/>
      <c r="ON57" s="41"/>
      <c r="OO57" s="41"/>
      <c r="OP57" s="41"/>
      <c r="OQ57" s="41"/>
      <c r="OR57" s="41"/>
      <c r="OS57" s="41"/>
      <c r="OT57" s="41"/>
      <c r="OU57" s="41"/>
      <c r="OV57" s="41"/>
      <c r="OW57" s="41"/>
      <c r="OX57" s="41"/>
      <c r="OY57" s="41"/>
      <c r="OZ57" s="41"/>
      <c r="PA57" s="41"/>
      <c r="PB57" s="41"/>
      <c r="PC57" s="41"/>
      <c r="PD57" s="41"/>
      <c r="PE57" s="41"/>
      <c r="PF57" s="41"/>
      <c r="PG57" s="41"/>
      <c r="PH57" s="41"/>
      <c r="PI57" s="41"/>
      <c r="PJ57" s="41"/>
      <c r="PK57" s="41"/>
      <c r="PL57" s="41"/>
      <c r="PM57" s="41"/>
      <c r="PN57" s="41"/>
      <c r="PO57" s="41"/>
      <c r="PP57" s="41"/>
      <c r="PQ57" s="41"/>
      <c r="PR57" s="41"/>
      <c r="PS57" s="41"/>
      <c r="PT57" s="41"/>
      <c r="PU57" s="41"/>
      <c r="PV57" s="41"/>
      <c r="PW57" s="41"/>
      <c r="PX57" s="41"/>
      <c r="PY57" s="41"/>
      <c r="PZ57" s="41"/>
      <c r="QA57" s="41"/>
      <c r="QB57" s="41"/>
      <c r="QC57" s="41"/>
      <c r="QD57" s="41"/>
      <c r="QE57" s="41"/>
      <c r="QF57" s="41"/>
      <c r="QG57" s="41"/>
      <c r="QH57" s="41"/>
      <c r="QI57" s="41"/>
      <c r="QJ57" s="41"/>
      <c r="QK57" s="41"/>
      <c r="QL57" s="41"/>
      <c r="QM57" s="41"/>
      <c r="QN57" s="41"/>
      <c r="QO57" s="41"/>
      <c r="QP57" s="41"/>
      <c r="QQ57" s="41"/>
      <c r="QR57" s="41"/>
      <c r="QS57" s="41"/>
      <c r="QT57" s="41"/>
      <c r="QU57" s="41"/>
      <c r="QV57" s="41"/>
      <c r="QW57" s="41"/>
      <c r="QX57" s="41"/>
      <c r="QY57" s="41"/>
      <c r="QZ57" s="41"/>
      <c r="RA57" s="41"/>
      <c r="RB57" s="41"/>
      <c r="RC57" s="41"/>
      <c r="RD57" s="41"/>
      <c r="RE57" s="41"/>
      <c r="RF57" s="41"/>
      <c r="RG57" s="41"/>
      <c r="RH57" s="41"/>
      <c r="RI57" s="41"/>
      <c r="RJ57" s="41"/>
      <c r="RK57" s="41"/>
      <c r="RL57" s="41"/>
      <c r="RM57" s="41"/>
      <c r="RN57" s="41"/>
      <c r="RO57" s="41"/>
      <c r="RP57" s="41"/>
      <c r="RQ57" s="41"/>
      <c r="RR57" s="41"/>
      <c r="RS57" s="41"/>
      <c r="RT57" s="41"/>
      <c r="RU57" s="41"/>
      <c r="RV57" s="41"/>
      <c r="RW57" s="41"/>
      <c r="RX57" s="41"/>
      <c r="RY57" s="41"/>
      <c r="RZ57" s="41"/>
      <c r="SA57" s="41"/>
      <c r="SB57" s="41"/>
      <c r="SC57" s="41"/>
      <c r="SD57" s="41"/>
      <c r="SE57" s="41"/>
      <c r="SF57" s="41"/>
      <c r="SG57" s="41"/>
      <c r="SH57" s="41"/>
      <c r="SI57" s="41"/>
      <c r="SJ57" s="41"/>
      <c r="SK57" s="41"/>
      <c r="SL57" s="41"/>
      <c r="SM57" s="41"/>
      <c r="SN57" s="41"/>
      <c r="SO57" s="41"/>
      <c r="SP57" s="41"/>
      <c r="SQ57" s="41"/>
      <c r="SR57" s="41"/>
      <c r="SS57" s="41"/>
      <c r="ST57" s="41"/>
      <c r="SU57" s="41"/>
      <c r="SV57" s="41"/>
      <c r="SW57" s="41"/>
      <c r="SX57" s="41"/>
      <c r="SY57" s="41"/>
      <c r="SZ57" s="41"/>
      <c r="TA57" s="41"/>
      <c r="TB57" s="41"/>
      <c r="TC57" s="41"/>
      <c r="TD57" s="41"/>
      <c r="TE57" s="41"/>
      <c r="TF57" s="41"/>
      <c r="TG57" s="41"/>
      <c r="TH57" s="41"/>
      <c r="TI57" s="41"/>
      <c r="TJ57" s="41"/>
      <c r="TK57" s="41"/>
      <c r="TL57" s="41"/>
      <c r="TM57" s="41"/>
      <c r="TN57" s="41"/>
      <c r="TO57" s="41"/>
      <c r="TP57" s="41"/>
      <c r="TQ57" s="41"/>
      <c r="TR57" s="41"/>
      <c r="TS57" s="41"/>
      <c r="TT57" s="41"/>
      <c r="TU57" s="41"/>
      <c r="TV57" s="41"/>
      <c r="TW57" s="41"/>
      <c r="TX57" s="41"/>
      <c r="TY57" s="41"/>
      <c r="TZ57" s="41"/>
      <c r="UA57" s="41"/>
      <c r="UB57" s="41"/>
      <c r="UC57" s="41"/>
      <c r="UD57" s="41"/>
      <c r="UE57" s="41"/>
      <c r="UF57" s="41"/>
      <c r="UG57" s="41"/>
      <c r="UH57" s="41"/>
      <c r="UI57" s="41"/>
      <c r="UJ57" s="4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row>
    <row r="58" spans="1:669" s="23" customFormat="1" ht="33.75" customHeight="1" thickBot="1" x14ac:dyDescent="0.25">
      <c r="A58" s="314" t="s">
        <v>31</v>
      </c>
      <c r="B58" s="925" t="s">
        <v>24</v>
      </c>
      <c r="C58" s="926"/>
      <c r="D58" s="926"/>
      <c r="E58" s="930"/>
      <c r="F58" s="318" t="s">
        <v>36</v>
      </c>
      <c r="G58" s="256" t="s">
        <v>497</v>
      </c>
      <c r="H58" s="256" t="s">
        <v>162</v>
      </c>
      <c r="I58" s="256" t="s">
        <v>523</v>
      </c>
      <c r="J58" s="256" t="s">
        <v>163</v>
      </c>
      <c r="K58" s="256" t="s">
        <v>10</v>
      </c>
      <c r="L58" s="256" t="s">
        <v>332</v>
      </c>
      <c r="M58" s="256" t="s">
        <v>4</v>
      </c>
      <c r="N58" s="35"/>
      <c r="O58" s="35"/>
      <c r="P58" s="35"/>
      <c r="Q58" s="35"/>
      <c r="R58" s="35"/>
      <c r="S58" s="35"/>
      <c r="T58" s="35"/>
      <c r="U58" s="6"/>
      <c r="V58" s="35"/>
      <c r="W58" s="35"/>
      <c r="X58" s="35"/>
      <c r="Y58" s="35"/>
      <c r="Z58" s="35"/>
      <c r="AA58" s="35"/>
      <c r="AB58" s="36"/>
      <c r="AC58" s="36"/>
      <c r="AD58" s="36"/>
      <c r="AE58" s="36"/>
      <c r="AF58" s="36"/>
      <c r="AG58" s="36"/>
      <c r="AH58" s="36"/>
      <c r="AI58" s="36"/>
      <c r="AJ58" s="36"/>
      <c r="AK58" s="36"/>
      <c r="AL58" s="3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row>
    <row r="59" spans="1:669" s="18" customFormat="1" x14ac:dyDescent="0.2">
      <c r="A59" s="286" t="s">
        <v>498</v>
      </c>
      <c r="B59" s="844" t="s">
        <v>482</v>
      </c>
      <c r="C59" s="845"/>
      <c r="D59" s="845"/>
      <c r="E59" s="846"/>
      <c r="F59" s="293">
        <v>52000</v>
      </c>
      <c r="G59" s="293"/>
      <c r="H59" s="293">
        <v>52000</v>
      </c>
      <c r="I59" s="293">
        <v>26000</v>
      </c>
      <c r="J59" s="307">
        <f>52000/12*6</f>
        <v>26000</v>
      </c>
      <c r="K59" s="381">
        <f>G59+H59-J59</f>
        <v>26000</v>
      </c>
      <c r="L59" s="293">
        <f>K59</f>
        <v>26000</v>
      </c>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row>
    <row r="60" spans="1:669" s="18" customFormat="1" x14ac:dyDescent="0.2">
      <c r="A60" s="286" t="s">
        <v>514</v>
      </c>
      <c r="B60" s="848" t="s">
        <v>501</v>
      </c>
      <c r="C60" s="849"/>
      <c r="D60" s="849"/>
      <c r="E60" s="850"/>
      <c r="F60" s="293">
        <v>10400</v>
      </c>
      <c r="G60" s="293"/>
      <c r="H60" s="293">
        <v>10400</v>
      </c>
      <c r="I60" s="293"/>
      <c r="J60" s="307">
        <f>10400/12*6</f>
        <v>5200</v>
      </c>
      <c r="K60" s="381">
        <f>10400-J60</f>
        <v>5200</v>
      </c>
      <c r="L60" s="293">
        <f>K60</f>
        <v>5200</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row>
    <row r="61" spans="1:669" s="18" customFormat="1" x14ac:dyDescent="0.2">
      <c r="A61" s="286" t="s">
        <v>499</v>
      </c>
      <c r="B61" s="927" t="s">
        <v>483</v>
      </c>
      <c r="C61" s="928"/>
      <c r="D61" s="928"/>
      <c r="E61" s="929"/>
      <c r="F61" s="293">
        <v>20000</v>
      </c>
      <c r="G61" s="293"/>
      <c r="H61" s="293">
        <f>F61</f>
        <v>20000</v>
      </c>
      <c r="I61" s="293"/>
      <c r="J61" s="307">
        <f>H61/12*6</f>
        <v>10000</v>
      </c>
      <c r="K61" s="381">
        <f>H61-J61</f>
        <v>10000</v>
      </c>
      <c r="L61" s="293">
        <f>K61</f>
        <v>10000</v>
      </c>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row>
    <row r="62" spans="1:669" s="18" customFormat="1" x14ac:dyDescent="0.2">
      <c r="A62" s="286" t="s">
        <v>500</v>
      </c>
      <c r="B62" s="844" t="s">
        <v>484</v>
      </c>
      <c r="C62" s="845"/>
      <c r="D62" s="845"/>
      <c r="E62" s="846"/>
      <c r="F62" s="293" t="s">
        <v>505</v>
      </c>
      <c r="G62" s="293"/>
      <c r="H62" s="293"/>
      <c r="I62" s="293">
        <f>I63</f>
        <v>3360</v>
      </c>
      <c r="J62" s="307">
        <v>3360</v>
      </c>
      <c r="K62" s="381"/>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row>
    <row r="63" spans="1:669" s="18" customFormat="1" x14ac:dyDescent="0.2">
      <c r="A63" s="286" t="s">
        <v>515</v>
      </c>
      <c r="B63" s="848" t="s">
        <v>484</v>
      </c>
      <c r="C63" s="849"/>
      <c r="D63" s="849"/>
      <c r="E63" s="850"/>
      <c r="F63" s="293" t="s">
        <v>504</v>
      </c>
      <c r="G63" s="293"/>
      <c r="H63" s="293"/>
      <c r="I63" s="293">
        <f>'June''22 AR Aging '!G64</f>
        <v>3360</v>
      </c>
      <c r="J63" s="307">
        <f>I63</f>
        <v>3360</v>
      </c>
      <c r="K63" s="381"/>
      <c r="L63" s="293"/>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x14ac:dyDescent="0.2">
      <c r="A64" s="286" t="s">
        <v>20</v>
      </c>
      <c r="B64" s="927" t="s">
        <v>439</v>
      </c>
      <c r="C64" s="928"/>
      <c r="D64" s="928"/>
      <c r="E64" s="929"/>
      <c r="F64" s="293"/>
      <c r="G64" s="293">
        <v>0</v>
      </c>
      <c r="H64" s="293">
        <f>J64</f>
        <v>7735.85</v>
      </c>
      <c r="I64" s="293"/>
      <c r="J64" s="307">
        <v>7735.85</v>
      </c>
      <c r="K64" s="381">
        <f>H64-J64</f>
        <v>0</v>
      </c>
      <c r="L64" s="293">
        <v>0</v>
      </c>
      <c r="M64" s="293">
        <v>0</v>
      </c>
      <c r="N64" s="29"/>
    </row>
    <row r="65" spans="1:669" x14ac:dyDescent="0.2">
      <c r="A65" s="286" t="s">
        <v>20</v>
      </c>
      <c r="B65" s="927" t="s">
        <v>6</v>
      </c>
      <c r="C65" s="928"/>
      <c r="D65" s="928"/>
      <c r="E65" s="929"/>
      <c r="F65" s="293"/>
      <c r="G65" s="293">
        <v>374.76</v>
      </c>
      <c r="H65" s="293"/>
      <c r="I65" s="293"/>
      <c r="J65" s="307"/>
      <c r="K65" s="381">
        <f>G65+H65-J65</f>
        <v>374.76</v>
      </c>
      <c r="L65" s="293">
        <f>K65</f>
        <v>374.76</v>
      </c>
      <c r="M65" s="293">
        <v>0</v>
      </c>
      <c r="N65" s="29"/>
    </row>
    <row r="66" spans="1:669" x14ac:dyDescent="0.2">
      <c r="A66" s="286" t="s">
        <v>20</v>
      </c>
      <c r="B66" s="927" t="s">
        <v>7</v>
      </c>
      <c r="C66" s="928"/>
      <c r="D66" s="928"/>
      <c r="E66" s="929"/>
      <c r="F66" s="293"/>
      <c r="G66" s="293">
        <v>8805.2999999999993</v>
      </c>
      <c r="H66" s="293">
        <v>10000</v>
      </c>
      <c r="I66" s="293">
        <v>0</v>
      </c>
      <c r="J66" s="307">
        <f>10000-3726.21</f>
        <v>6273.79</v>
      </c>
      <c r="K66" s="381">
        <f>G66+H66-J66</f>
        <v>12531.509999999998</v>
      </c>
      <c r="L66" s="293">
        <f>K66</f>
        <v>12531.509999999998</v>
      </c>
      <c r="M66" s="293">
        <v>0</v>
      </c>
      <c r="N66" s="29"/>
    </row>
    <row r="67" spans="1:669" ht="15" thickBot="1" x14ac:dyDescent="0.25">
      <c r="A67" s="286" t="s">
        <v>20</v>
      </c>
      <c r="B67" s="927" t="s">
        <v>8</v>
      </c>
      <c r="C67" s="928"/>
      <c r="D67" s="928"/>
      <c r="E67" s="929"/>
      <c r="F67" s="293"/>
      <c r="G67" s="293">
        <v>3136.83</v>
      </c>
      <c r="H67" s="293">
        <v>10000</v>
      </c>
      <c r="I67" s="293"/>
      <c r="J67" s="307">
        <f>10000-7252.87</f>
        <v>2747.13</v>
      </c>
      <c r="K67" s="381">
        <f>G67+H67-J67</f>
        <v>10389.700000000001</v>
      </c>
      <c r="L67" s="293">
        <f>K67</f>
        <v>10389.700000000001</v>
      </c>
      <c r="M67" s="293">
        <v>0</v>
      </c>
      <c r="N67" s="29"/>
    </row>
    <row r="68" spans="1:669" s="25" customFormat="1" ht="15" hidden="1" thickBot="1" x14ac:dyDescent="0.25">
      <c r="A68" s="286" t="s">
        <v>380</v>
      </c>
      <c r="B68" s="927" t="s">
        <v>366</v>
      </c>
      <c r="C68" s="928"/>
      <c r="D68" s="928"/>
      <c r="E68" s="929"/>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s="25" customFormat="1" ht="15" hidden="1" thickBot="1" x14ac:dyDescent="0.25">
      <c r="A69" s="286" t="s">
        <v>20</v>
      </c>
      <c r="B69" s="786" t="s">
        <v>75</v>
      </c>
      <c r="C69" s="787"/>
      <c r="D69" s="787"/>
      <c r="E69" s="788"/>
      <c r="F69" s="293"/>
      <c r="G69" s="293"/>
      <c r="H69" s="293"/>
      <c r="I69" s="293"/>
      <c r="J69" s="293"/>
      <c r="K69" s="293"/>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row>
    <row r="70" spans="1:669" s="18" customFormat="1" ht="15" hidden="1" customHeight="1" thickBot="1" x14ac:dyDescent="0.25">
      <c r="A70" s="287"/>
      <c r="B70" s="927"/>
      <c r="C70" s="928"/>
      <c r="D70" s="928"/>
      <c r="E70" s="929"/>
      <c r="F70" s="294"/>
      <c r="G70" s="294">
        <v>0</v>
      </c>
      <c r="H70" s="294"/>
      <c r="I70" s="303"/>
      <c r="J70" s="294"/>
      <c r="K70" s="294"/>
      <c r="L70" s="294"/>
      <c r="M70" s="294">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row>
    <row r="71" spans="1:669" s="252" customFormat="1" ht="15.75" thickBot="1" x14ac:dyDescent="0.3">
      <c r="A71" s="315" t="s">
        <v>34</v>
      </c>
      <c r="B71" s="316"/>
      <c r="C71" s="316"/>
      <c r="D71" s="316"/>
      <c r="E71" s="317"/>
      <c r="F71" s="374">
        <f t="shared" ref="F71:M71" si="5">SUM(F59:F70)</f>
        <v>82400</v>
      </c>
      <c r="G71" s="375">
        <f t="shared" si="5"/>
        <v>12316.89</v>
      </c>
      <c r="H71" s="375">
        <f t="shared" si="5"/>
        <v>110135.85</v>
      </c>
      <c r="I71" s="375">
        <f t="shared" si="5"/>
        <v>32720</v>
      </c>
      <c r="J71" s="375">
        <f t="shared" si="5"/>
        <v>64676.77</v>
      </c>
      <c r="K71" s="376">
        <f t="shared" si="5"/>
        <v>64495.97</v>
      </c>
      <c r="L71" s="377">
        <f t="shared" si="5"/>
        <v>64495.97</v>
      </c>
      <c r="M71" s="376">
        <f t="shared" si="5"/>
        <v>0</v>
      </c>
      <c r="N71" s="250"/>
      <c r="O71" s="250"/>
      <c r="P71" s="250"/>
      <c r="Q71" s="250"/>
      <c r="R71" s="250"/>
      <c r="S71" s="250"/>
      <c r="T71" s="250"/>
      <c r="U71" s="251"/>
      <c r="V71" s="250"/>
      <c r="W71" s="250"/>
      <c r="X71" s="250"/>
      <c r="Y71" s="250"/>
      <c r="Z71" s="250"/>
      <c r="AA71" s="250"/>
      <c r="AB71" s="250"/>
      <c r="AC71" s="250"/>
      <c r="AD71" s="250"/>
      <c r="AE71" s="250"/>
      <c r="AF71" s="250"/>
      <c r="AG71" s="250"/>
      <c r="AH71" s="250"/>
      <c r="AI71" s="250"/>
      <c r="AJ71" s="250"/>
      <c r="AK71" s="250"/>
      <c r="AL71" s="250"/>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251"/>
      <c r="MV71" s="251"/>
      <c r="MW71" s="251"/>
      <c r="MX71" s="251"/>
      <c r="MY71" s="251"/>
      <c r="MZ71" s="251"/>
      <c r="NA71" s="251"/>
      <c r="NB71" s="251"/>
      <c r="NC71" s="251"/>
      <c r="ND71" s="251"/>
      <c r="NE71" s="251"/>
      <c r="NF71" s="251"/>
      <c r="NG71" s="251"/>
      <c r="NH71" s="251"/>
      <c r="NI71" s="251"/>
      <c r="NJ71" s="251"/>
      <c r="NK71" s="251"/>
      <c r="NL71" s="251"/>
      <c r="NM71" s="251"/>
      <c r="NN71" s="251"/>
      <c r="NO71" s="251"/>
      <c r="NP71" s="251"/>
      <c r="NQ71" s="251"/>
      <c r="NR71" s="251"/>
      <c r="NS71" s="251"/>
      <c r="NT71" s="251"/>
      <c r="NU71" s="251"/>
      <c r="NV71" s="251"/>
      <c r="NW71" s="251"/>
      <c r="NX71" s="251"/>
      <c r="NY71" s="251"/>
      <c r="NZ71" s="251"/>
      <c r="OA71" s="251"/>
      <c r="OB71" s="251"/>
      <c r="OC71" s="251"/>
      <c r="OD71" s="251"/>
      <c r="OE71" s="251"/>
      <c r="OF71" s="251"/>
      <c r="OG71" s="251"/>
      <c r="OH71" s="251"/>
      <c r="OI71" s="251"/>
      <c r="OJ71" s="251"/>
      <c r="OK71" s="251"/>
      <c r="OL71" s="251"/>
      <c r="OM71" s="251"/>
      <c r="ON71" s="251"/>
      <c r="OO71" s="251"/>
      <c r="OP71" s="251"/>
      <c r="OQ71" s="251"/>
      <c r="OR71" s="251"/>
      <c r="OS71" s="251"/>
      <c r="OT71" s="251"/>
      <c r="OU71" s="251"/>
      <c r="OV71" s="251"/>
      <c r="OW71" s="251"/>
      <c r="OX71" s="251"/>
      <c r="OY71" s="251"/>
      <c r="OZ71" s="251"/>
      <c r="PA71" s="251"/>
      <c r="PB71" s="251"/>
      <c r="PC71" s="251"/>
      <c r="PD71" s="251"/>
      <c r="PE71" s="251"/>
      <c r="PF71" s="251"/>
      <c r="PG71" s="251"/>
      <c r="PH71" s="251"/>
      <c r="PI71" s="251"/>
      <c r="PJ71" s="251"/>
      <c r="PK71" s="251"/>
      <c r="PL71" s="251"/>
      <c r="PM71" s="251"/>
      <c r="PN71" s="251"/>
      <c r="PO71" s="251"/>
      <c r="PP71" s="251"/>
      <c r="PQ71" s="251"/>
      <c r="PR71" s="251"/>
      <c r="PS71" s="251"/>
      <c r="PT71" s="251"/>
      <c r="PU71" s="251"/>
      <c r="PV71" s="251"/>
      <c r="PW71" s="251"/>
      <c r="PX71" s="251"/>
      <c r="PY71" s="251"/>
      <c r="PZ71" s="251"/>
      <c r="QA71" s="251"/>
      <c r="QB71" s="251"/>
      <c r="QC71" s="251"/>
      <c r="QD71" s="251"/>
      <c r="QE71" s="251"/>
      <c r="QF71" s="251"/>
      <c r="QG71" s="251"/>
      <c r="QH71" s="251"/>
      <c r="QI71" s="251"/>
      <c r="QJ71" s="251"/>
      <c r="QK71" s="251"/>
      <c r="QL71" s="251"/>
      <c r="QM71" s="251"/>
      <c r="QN71" s="251"/>
      <c r="QO71" s="251"/>
      <c r="QP71" s="251"/>
      <c r="QQ71" s="251"/>
      <c r="QR71" s="251"/>
      <c r="QS71" s="251"/>
      <c r="QT71" s="251"/>
      <c r="QU71" s="251"/>
      <c r="QV71" s="251"/>
      <c r="QW71" s="251"/>
      <c r="QX71" s="251"/>
      <c r="QY71" s="251"/>
      <c r="QZ71" s="251"/>
      <c r="RA71" s="251"/>
      <c r="RB71" s="251"/>
      <c r="RC71" s="251"/>
      <c r="RD71" s="251"/>
      <c r="RE71" s="251"/>
      <c r="RF71" s="251"/>
      <c r="RG71" s="251"/>
      <c r="RH71" s="251"/>
      <c r="RI71" s="251"/>
      <c r="RJ71" s="251"/>
      <c r="RK71" s="251"/>
      <c r="RL71" s="251"/>
      <c r="RM71" s="251"/>
      <c r="RN71" s="251"/>
      <c r="RO71" s="251"/>
      <c r="RP71" s="251"/>
      <c r="RQ71" s="251"/>
      <c r="RR71" s="251"/>
      <c r="RS71" s="251"/>
      <c r="RT71" s="251"/>
      <c r="RU71" s="251"/>
      <c r="RV71" s="251"/>
      <c r="RW71" s="251"/>
      <c r="RX71" s="251"/>
      <c r="RY71" s="251"/>
      <c r="RZ71" s="251"/>
      <c r="SA71" s="251"/>
      <c r="SB71" s="251"/>
      <c r="SC71" s="251"/>
      <c r="SD71" s="251"/>
      <c r="SE71" s="251"/>
      <c r="SF71" s="251"/>
      <c r="SG71" s="251"/>
      <c r="SH71" s="251"/>
      <c r="SI71" s="251"/>
      <c r="SJ71" s="251"/>
      <c r="SK71" s="251"/>
      <c r="SL71" s="251"/>
      <c r="SM71" s="251"/>
      <c r="SN71" s="251"/>
      <c r="SO71" s="251"/>
      <c r="SP71" s="251"/>
      <c r="SQ71" s="251"/>
      <c r="SR71" s="251"/>
      <c r="SS71" s="251"/>
      <c r="ST71" s="251"/>
      <c r="SU71" s="251"/>
      <c r="SV71" s="251"/>
      <c r="SW71" s="251"/>
      <c r="SX71" s="251"/>
      <c r="SY71" s="251"/>
      <c r="SZ71" s="251"/>
      <c r="TA71" s="251"/>
      <c r="TB71" s="251"/>
      <c r="TC71" s="251"/>
      <c r="TD71" s="251"/>
      <c r="TE71" s="251"/>
      <c r="TF71" s="251"/>
      <c r="TG71" s="251"/>
      <c r="TH71" s="251"/>
      <c r="TI71" s="251"/>
      <c r="TJ71" s="251"/>
      <c r="TK71" s="251"/>
      <c r="TL71" s="251"/>
      <c r="TM71" s="251"/>
      <c r="TN71" s="251"/>
      <c r="TO71" s="251"/>
      <c r="TP71" s="251"/>
      <c r="TQ71" s="251"/>
      <c r="TR71" s="251"/>
      <c r="TS71" s="251"/>
      <c r="TT71" s="251"/>
      <c r="TU71" s="251"/>
      <c r="TV71" s="251"/>
      <c r="TW71" s="251"/>
      <c r="TX71" s="251"/>
      <c r="TY71" s="251"/>
      <c r="TZ71" s="251"/>
      <c r="UA71" s="251"/>
      <c r="UB71" s="251"/>
      <c r="UC71" s="251"/>
      <c r="UD71" s="251"/>
      <c r="UE71" s="251"/>
      <c r="UF71" s="251"/>
      <c r="UG71" s="251"/>
      <c r="UH71" s="251"/>
      <c r="UI71" s="251"/>
      <c r="UJ71" s="251"/>
      <c r="UK71" s="251"/>
      <c r="UL71" s="251"/>
      <c r="UM71" s="251"/>
      <c r="UN71" s="251"/>
      <c r="UO71" s="251"/>
      <c r="UP71" s="251"/>
      <c r="UQ71" s="251"/>
      <c r="UR71" s="251"/>
      <c r="US71" s="251"/>
      <c r="UT71" s="251"/>
      <c r="UU71" s="251"/>
      <c r="UV71" s="251"/>
      <c r="UW71" s="251"/>
      <c r="UX71" s="251"/>
      <c r="UY71" s="251"/>
      <c r="UZ71" s="251"/>
      <c r="VA71" s="251"/>
      <c r="VB71" s="251"/>
      <c r="VC71" s="251"/>
      <c r="VD71" s="251"/>
      <c r="VE71" s="251"/>
      <c r="VF71" s="251"/>
      <c r="VG71" s="251"/>
      <c r="VH71" s="251"/>
      <c r="VI71" s="251"/>
      <c r="VJ71" s="251"/>
      <c r="VK71" s="251"/>
      <c r="VL71" s="251"/>
      <c r="VM71" s="251"/>
      <c r="VN71" s="251"/>
      <c r="VO71" s="251"/>
      <c r="VP71" s="251"/>
      <c r="VQ71" s="251"/>
      <c r="VR71" s="251"/>
      <c r="VS71" s="251"/>
      <c r="VT71" s="251"/>
      <c r="VU71" s="251"/>
      <c r="VV71" s="251"/>
      <c r="VW71" s="251"/>
      <c r="VX71" s="251"/>
      <c r="VY71" s="251"/>
      <c r="VZ71" s="251"/>
      <c r="WA71" s="251"/>
      <c r="WB71" s="251"/>
      <c r="WC71" s="251"/>
      <c r="WD71" s="251"/>
      <c r="WE71" s="251"/>
      <c r="WF71" s="251"/>
      <c r="WG71" s="251"/>
      <c r="WH71" s="251"/>
      <c r="WI71" s="251"/>
      <c r="WJ71" s="251"/>
      <c r="WK71" s="251"/>
      <c r="WL71" s="251"/>
      <c r="WM71" s="251"/>
      <c r="WN71" s="251"/>
      <c r="WO71" s="251"/>
      <c r="WP71" s="251"/>
      <c r="WQ71" s="251"/>
      <c r="WR71" s="251"/>
      <c r="WS71" s="251"/>
      <c r="WT71" s="251"/>
      <c r="WU71" s="251"/>
      <c r="WV71" s="251"/>
      <c r="WW71" s="251"/>
      <c r="WX71" s="251"/>
      <c r="WY71" s="251"/>
      <c r="WZ71" s="251"/>
      <c r="XA71" s="251"/>
      <c r="XB71" s="251"/>
      <c r="XC71" s="251"/>
      <c r="XD71" s="251"/>
      <c r="XE71" s="251"/>
      <c r="XF71" s="251"/>
      <c r="XG71" s="251"/>
      <c r="XH71" s="251"/>
      <c r="XI71" s="251"/>
      <c r="XJ71" s="251"/>
      <c r="XK71" s="251"/>
      <c r="XL71" s="251"/>
      <c r="XM71" s="251"/>
      <c r="XN71" s="251"/>
      <c r="XO71" s="251"/>
      <c r="XP71" s="251"/>
      <c r="XQ71" s="251"/>
      <c r="XR71" s="251"/>
      <c r="XS71" s="251"/>
      <c r="XT71" s="251"/>
      <c r="XU71" s="251"/>
      <c r="XV71" s="251"/>
      <c r="XW71" s="251"/>
      <c r="XX71" s="251"/>
      <c r="XY71" s="251"/>
      <c r="XZ71" s="251"/>
      <c r="YA71" s="251"/>
      <c r="YB71" s="251"/>
      <c r="YC71" s="251"/>
      <c r="YD71" s="251"/>
      <c r="YE71" s="251"/>
      <c r="YF71" s="251"/>
      <c r="YG71" s="251"/>
      <c r="YH71" s="251"/>
      <c r="YI71" s="251"/>
      <c r="YJ71" s="251"/>
      <c r="YK71" s="251"/>
      <c r="YL71" s="251"/>
      <c r="YM71" s="251"/>
      <c r="YN71" s="251"/>
      <c r="YO71" s="251"/>
      <c r="YP71" s="251"/>
      <c r="YQ71" s="251"/>
      <c r="YR71" s="251"/>
      <c r="YS71" s="251"/>
    </row>
    <row r="72" spans="1:669" ht="15" thickBot="1" x14ac:dyDescent="0.25">
      <c r="H72" s="28"/>
      <c r="L72" s="673" t="s">
        <v>345</v>
      </c>
      <c r="N72" s="29"/>
    </row>
    <row r="73" spans="1:669" s="48" customFormat="1" ht="16.5" thickBot="1" x14ac:dyDescent="0.3">
      <c r="A73" s="52"/>
      <c r="B73" s="53"/>
      <c r="C73" s="53"/>
      <c r="D73" s="53"/>
      <c r="E73" s="53"/>
      <c r="F73" s="53"/>
      <c r="G73" s="53"/>
      <c r="H73" s="53"/>
      <c r="I73" s="53"/>
      <c r="J73" s="53"/>
      <c r="K73" s="53"/>
      <c r="L73" s="489">
        <f>L71+J55</f>
        <v>65394.67</v>
      </c>
      <c r="M73" s="667"/>
      <c r="N73" s="29"/>
      <c r="O73" s="29"/>
      <c r="P73" s="29"/>
      <c r="Q73" s="29"/>
      <c r="R73" s="29"/>
      <c r="S73" s="29"/>
      <c r="T73" s="29"/>
      <c r="U73" s="29"/>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row>
    <row r="74" spans="1:669" s="51" customFormat="1" ht="31.5" hidden="1" x14ac:dyDescent="0.25">
      <c r="A74" s="54"/>
      <c r="B74" s="50"/>
      <c r="C74" s="50"/>
      <c r="D74" s="50"/>
      <c r="E74" s="50"/>
      <c r="F74" s="50"/>
      <c r="G74" s="149" t="s">
        <v>170</v>
      </c>
      <c r="H74" s="150" t="s">
        <v>162</v>
      </c>
      <c r="I74" s="150" t="s">
        <v>97</v>
      </c>
      <c r="J74" s="150" t="s">
        <v>53</v>
      </c>
      <c r="K74" s="151" t="s">
        <v>41</v>
      </c>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c r="LP74" s="49"/>
      <c r="LQ74" s="49"/>
      <c r="LR74" s="49"/>
      <c r="LS74" s="49"/>
      <c r="LT74" s="49"/>
      <c r="LU74" s="49"/>
      <c r="LV74" s="49"/>
      <c r="LW74" s="49"/>
      <c r="LX74" s="49"/>
      <c r="LY74" s="49"/>
      <c r="LZ74" s="49"/>
      <c r="MA74" s="49"/>
      <c r="MB74" s="49"/>
      <c r="MC74" s="49"/>
      <c r="MD74" s="49"/>
      <c r="ME74" s="49"/>
      <c r="MF74" s="49"/>
      <c r="MG74" s="49"/>
      <c r="MH74" s="49"/>
      <c r="MI74" s="49"/>
      <c r="MJ74" s="49"/>
      <c r="MK74" s="49"/>
      <c r="ML74" s="49"/>
      <c r="MM74" s="49"/>
      <c r="MN74" s="49"/>
      <c r="MO74" s="49"/>
      <c r="MP74" s="49"/>
      <c r="MQ74" s="49"/>
      <c r="MR74" s="49"/>
      <c r="MS74" s="49"/>
      <c r="MT74" s="49"/>
      <c r="MU74" s="49"/>
      <c r="MV74" s="49"/>
      <c r="MW74" s="49"/>
      <c r="MX74" s="49"/>
      <c r="MY74" s="49"/>
      <c r="MZ74" s="49"/>
      <c r="NA74" s="49"/>
      <c r="NB74" s="49"/>
      <c r="NC74" s="49"/>
      <c r="ND74" s="49"/>
      <c r="NE74" s="49"/>
      <c r="NF74" s="49"/>
      <c r="NG74" s="49"/>
      <c r="NH74" s="49"/>
      <c r="NI74" s="49"/>
      <c r="NJ74" s="49"/>
      <c r="NK74" s="49"/>
      <c r="NL74" s="49"/>
      <c r="NM74" s="49"/>
      <c r="NN74" s="49"/>
      <c r="NO74" s="49"/>
      <c r="NP74" s="49"/>
      <c r="NQ74" s="49"/>
      <c r="NR74" s="49"/>
      <c r="NS74" s="49"/>
      <c r="NT74" s="49"/>
      <c r="NU74" s="49"/>
      <c r="NV74" s="49"/>
      <c r="NW74" s="49"/>
      <c r="NX74" s="49"/>
      <c r="NY74" s="49"/>
      <c r="NZ74" s="49"/>
      <c r="OA74" s="49"/>
      <c r="OB74" s="49"/>
      <c r="OC74" s="49"/>
      <c r="OD74" s="49"/>
      <c r="OE74" s="49"/>
      <c r="OF74" s="49"/>
      <c r="OG74" s="49"/>
      <c r="OH74" s="49"/>
      <c r="OI74" s="49"/>
      <c r="OJ74" s="49"/>
      <c r="OK74" s="49"/>
      <c r="OL74" s="49"/>
      <c r="OM74" s="49"/>
      <c r="ON74" s="49"/>
      <c r="OO74" s="49"/>
      <c r="OP74" s="49"/>
      <c r="OQ74" s="49"/>
      <c r="OR74" s="49"/>
      <c r="OS74" s="49"/>
      <c r="OT74" s="49"/>
      <c r="OU74" s="49"/>
      <c r="OV74" s="49"/>
      <c r="OW74" s="49"/>
      <c r="OX74" s="49"/>
      <c r="OY74" s="49"/>
      <c r="OZ74" s="49"/>
      <c r="PA74" s="49"/>
      <c r="PB74" s="49"/>
      <c r="PC74" s="49"/>
      <c r="PD74" s="49"/>
      <c r="PE74" s="49"/>
      <c r="PF74" s="49"/>
      <c r="PG74" s="49"/>
      <c r="PH74" s="49"/>
      <c r="PI74" s="49"/>
      <c r="PJ74" s="49"/>
      <c r="PK74" s="49"/>
      <c r="PL74" s="49"/>
      <c r="PM74" s="49"/>
      <c r="PN74" s="49"/>
      <c r="PO74" s="49"/>
      <c r="PP74" s="49"/>
      <c r="PQ74" s="49"/>
      <c r="PR74" s="49"/>
      <c r="PS74" s="49"/>
      <c r="PT74" s="49"/>
      <c r="PU74" s="49"/>
      <c r="PV74" s="49"/>
      <c r="PW74" s="49"/>
      <c r="PX74" s="49"/>
      <c r="PY74" s="49"/>
      <c r="PZ74" s="49"/>
      <c r="QA74" s="49"/>
      <c r="QB74" s="49"/>
      <c r="QC74" s="49"/>
      <c r="QD74" s="49"/>
      <c r="QE74" s="49"/>
      <c r="QF74" s="49"/>
      <c r="QG74" s="49"/>
      <c r="QH74" s="49"/>
      <c r="QI74" s="49"/>
      <c r="QJ74" s="49"/>
      <c r="QK74" s="49"/>
      <c r="QL74" s="49"/>
      <c r="QM74" s="49"/>
      <c r="QN74" s="49"/>
      <c r="QO74" s="49"/>
      <c r="QP74" s="49"/>
      <c r="QQ74" s="49"/>
      <c r="QR74" s="49"/>
      <c r="QS74" s="49"/>
      <c r="QT74" s="49"/>
      <c r="QU74" s="49"/>
      <c r="QV74" s="49"/>
      <c r="QW74" s="49"/>
      <c r="QX74" s="49"/>
      <c r="QY74" s="49"/>
      <c r="QZ74" s="49"/>
      <c r="RA74" s="49"/>
      <c r="RB74" s="49"/>
      <c r="RC74" s="49"/>
      <c r="RD74" s="49"/>
      <c r="RE74" s="49"/>
      <c r="RF74" s="49"/>
      <c r="RG74" s="49"/>
      <c r="RH74" s="49"/>
      <c r="RI74" s="49"/>
      <c r="RJ74" s="49"/>
      <c r="RK74" s="49"/>
      <c r="RL74" s="49"/>
      <c r="RM74" s="49"/>
      <c r="RN74" s="49"/>
      <c r="RO74" s="49"/>
      <c r="RP74" s="49"/>
      <c r="RQ74" s="49"/>
      <c r="RR74" s="49"/>
      <c r="RS74" s="49"/>
      <c r="RT74" s="49"/>
      <c r="RU74" s="49"/>
      <c r="RV74" s="49"/>
      <c r="RW74" s="49"/>
      <c r="RX74" s="49"/>
      <c r="RY74" s="49"/>
      <c r="RZ74" s="49"/>
      <c r="SA74" s="49"/>
      <c r="SB74" s="49"/>
      <c r="SC74" s="49"/>
      <c r="SD74" s="49"/>
      <c r="SE74" s="49"/>
      <c r="SF74" s="49"/>
      <c r="SG74" s="49"/>
      <c r="SH74" s="49"/>
      <c r="SI74" s="49"/>
      <c r="SJ74" s="49"/>
      <c r="SK74" s="49"/>
      <c r="SL74" s="49"/>
      <c r="SM74" s="49"/>
      <c r="SN74" s="49"/>
      <c r="SO74" s="49"/>
      <c r="SP74" s="49"/>
      <c r="SQ74" s="49"/>
      <c r="SR74" s="49"/>
      <c r="SS74" s="49"/>
      <c r="ST74" s="49"/>
      <c r="SU74" s="49"/>
      <c r="SV74" s="49"/>
      <c r="SW74" s="49"/>
      <c r="SX74" s="49"/>
      <c r="SY74" s="49"/>
      <c r="SZ74" s="49"/>
      <c r="TA74" s="49"/>
      <c r="TB74" s="49"/>
      <c r="TC74" s="49"/>
      <c r="TD74" s="49"/>
      <c r="TE74" s="49"/>
      <c r="TF74" s="49"/>
      <c r="TG74" s="49"/>
      <c r="TH74" s="49"/>
      <c r="TI74" s="49"/>
      <c r="TJ74" s="49"/>
      <c r="TK74" s="49"/>
      <c r="TL74" s="49"/>
      <c r="TM74" s="49"/>
      <c r="TN74" s="49"/>
      <c r="TO74" s="49"/>
      <c r="TP74" s="49"/>
      <c r="TQ74" s="49"/>
      <c r="TR74" s="49"/>
      <c r="TS74" s="49"/>
      <c r="TT74" s="49"/>
      <c r="TU74" s="49"/>
      <c r="TV74" s="49"/>
      <c r="TW74" s="49"/>
      <c r="TX74" s="49"/>
      <c r="TY74" s="49"/>
      <c r="TZ74" s="49"/>
      <c r="UA74" s="49"/>
      <c r="UB74" s="49"/>
      <c r="UC74" s="49"/>
      <c r="UD74" s="49"/>
      <c r="UE74" s="49"/>
      <c r="UF74" s="49"/>
      <c r="UG74" s="49"/>
      <c r="UH74" s="49"/>
      <c r="UI74" s="49"/>
      <c r="UJ74" s="49"/>
      <c r="UK74" s="49"/>
      <c r="UL74" s="49"/>
      <c r="UM74" s="49"/>
      <c r="UN74" s="49"/>
      <c r="UO74" s="49"/>
      <c r="UP74" s="49"/>
      <c r="UQ74" s="49"/>
      <c r="UR74" s="49"/>
      <c r="US74" s="49"/>
      <c r="UT74" s="49"/>
      <c r="UU74" s="49"/>
      <c r="UV74" s="49"/>
      <c r="UW74" s="49"/>
      <c r="UX74" s="49"/>
      <c r="UY74" s="49"/>
      <c r="UZ74" s="49"/>
      <c r="VA74" s="49"/>
      <c r="VB74" s="49"/>
      <c r="VC74" s="49"/>
      <c r="VD74" s="49"/>
      <c r="VE74" s="49"/>
      <c r="VF74" s="49"/>
      <c r="VG74" s="49"/>
      <c r="VH74" s="49"/>
      <c r="VI74" s="49"/>
      <c r="VJ74" s="49"/>
      <c r="VK74" s="49"/>
      <c r="VL74" s="49"/>
      <c r="VM74" s="49"/>
      <c r="VN74" s="49"/>
      <c r="VO74" s="49"/>
      <c r="VP74" s="49"/>
      <c r="VQ74" s="49"/>
      <c r="VR74" s="49"/>
      <c r="VS74" s="49"/>
      <c r="VT74" s="49"/>
      <c r="VU74" s="49"/>
      <c r="VV74" s="49"/>
      <c r="VW74" s="49"/>
      <c r="VX74" s="49"/>
      <c r="VY74" s="49"/>
      <c r="VZ74" s="49"/>
      <c r="WA74" s="49"/>
      <c r="WB74" s="49"/>
      <c r="WC74" s="49"/>
      <c r="WD74" s="49"/>
      <c r="WE74" s="49"/>
      <c r="WF74" s="49"/>
      <c r="WG74" s="49"/>
      <c r="WH74" s="49"/>
      <c r="WI74" s="49"/>
      <c r="WJ74" s="49"/>
      <c r="WK74" s="49"/>
      <c r="WL74" s="49"/>
      <c r="WM74" s="49"/>
      <c r="WN74" s="49"/>
      <c r="WO74" s="49"/>
      <c r="WP74" s="49"/>
      <c r="WQ74" s="49"/>
      <c r="WR74" s="49"/>
      <c r="WS74" s="49"/>
      <c r="WT74" s="49"/>
      <c r="WU74" s="49"/>
      <c r="WV74" s="49"/>
      <c r="WW74" s="49"/>
      <c r="WX74" s="49"/>
      <c r="WY74" s="49"/>
      <c r="WZ74" s="49"/>
      <c r="XA74" s="49"/>
      <c r="XB74" s="49"/>
      <c r="XC74" s="49"/>
      <c r="XD74" s="49"/>
      <c r="XE74" s="49"/>
      <c r="XF74" s="49"/>
      <c r="XG74" s="49"/>
      <c r="XH74" s="49"/>
      <c r="XI74" s="49"/>
      <c r="XJ74" s="49"/>
      <c r="XK74" s="49"/>
      <c r="XL74" s="49"/>
      <c r="XM74" s="49"/>
      <c r="XN74" s="49"/>
      <c r="XO74" s="49"/>
      <c r="XP74" s="49"/>
      <c r="XQ74" s="49"/>
      <c r="XR74" s="49"/>
      <c r="XS74" s="49"/>
      <c r="XT74" s="49"/>
      <c r="XU74" s="49"/>
      <c r="XV74" s="49"/>
      <c r="XW74" s="49"/>
      <c r="XX74" s="49"/>
      <c r="XY74" s="49"/>
      <c r="XZ74" s="49"/>
      <c r="YA74" s="49"/>
      <c r="YB74" s="49"/>
      <c r="YC74" s="49"/>
      <c r="YD74" s="49"/>
      <c r="YE74" s="49"/>
      <c r="YF74" s="49"/>
      <c r="YG74" s="49"/>
      <c r="YH74" s="49"/>
      <c r="YI74" s="49"/>
      <c r="YJ74" s="49"/>
      <c r="YK74" s="49"/>
      <c r="YL74" s="49"/>
      <c r="YM74" s="49"/>
      <c r="YN74" s="49"/>
      <c r="YO74" s="49"/>
      <c r="YP74" s="49"/>
      <c r="YQ74" s="49"/>
      <c r="YR74" s="49"/>
      <c r="YS74" s="49"/>
    </row>
    <row r="75" spans="1:669" s="43" customFormat="1" ht="20.25" hidden="1" customHeight="1" x14ac:dyDescent="0.2">
      <c r="A75" s="333" t="s">
        <v>70</v>
      </c>
      <c r="B75" s="940" t="s">
        <v>40</v>
      </c>
      <c r="C75" s="940"/>
      <c r="D75" s="940"/>
      <c r="E75" s="940"/>
      <c r="F75" s="334"/>
      <c r="G75" s="334" t="e">
        <f>104647.76-#REF!-1250-1250</f>
        <v>#REF!</v>
      </c>
      <c r="H75" s="334">
        <f>90450.47-J75-H78</f>
        <v>68877.52</v>
      </c>
      <c r="I75" s="334">
        <f>H64</f>
        <v>7735.85</v>
      </c>
      <c r="J75" s="334">
        <f>'June''22 AR Aging '!G43</f>
        <v>21572.95</v>
      </c>
      <c r="K75" s="335" t="e">
        <f>+I75+J75+H75-G75</f>
        <v>#REF!</v>
      </c>
      <c r="L75" s="46"/>
      <c r="M75" s="46"/>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row>
    <row r="76" spans="1:669" s="25" customFormat="1" hidden="1" x14ac:dyDescent="0.2">
      <c r="A76" s="336" t="s">
        <v>32</v>
      </c>
      <c r="B76" s="939" t="s">
        <v>29</v>
      </c>
      <c r="C76" s="939"/>
      <c r="D76" s="939"/>
      <c r="E76" s="939"/>
      <c r="F76" s="331"/>
      <c r="G76" s="331"/>
      <c r="H76" s="331">
        <v>0</v>
      </c>
      <c r="I76" s="332"/>
      <c r="J76" s="331">
        <v>0</v>
      </c>
      <c r="K76" s="337"/>
      <c r="L76" s="308"/>
      <c r="M76" s="308">
        <v>0</v>
      </c>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row>
    <row r="77" spans="1:669" s="18" customFormat="1" hidden="1" x14ac:dyDescent="0.2">
      <c r="A77" s="336" t="s">
        <v>20</v>
      </c>
      <c r="B77" s="941" t="s">
        <v>147</v>
      </c>
      <c r="C77" s="942"/>
      <c r="D77" s="942"/>
      <c r="E77" s="943"/>
      <c r="F77" s="331"/>
      <c r="G77" s="331"/>
      <c r="H77" s="331"/>
      <c r="I77" s="332"/>
      <c r="J77" s="331"/>
      <c r="K77" s="337"/>
      <c r="L77" s="308"/>
      <c r="M77" s="308"/>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row>
    <row r="78" spans="1:669" s="18" customFormat="1" ht="15" hidden="1" thickBot="1" x14ac:dyDescent="0.25">
      <c r="A78" s="338" t="s">
        <v>146</v>
      </c>
      <c r="B78" s="938" t="s">
        <v>40</v>
      </c>
      <c r="C78" s="938"/>
      <c r="D78" s="938"/>
      <c r="E78" s="938"/>
      <c r="F78" s="339"/>
      <c r="G78" s="339"/>
      <c r="H78" s="339">
        <v>0</v>
      </c>
      <c r="I78" s="339"/>
      <c r="J78" s="339"/>
      <c r="K78" s="340"/>
      <c r="L78" s="46"/>
      <c r="M78" s="46"/>
      <c r="N78" s="29"/>
      <c r="O78" s="29"/>
      <c r="P78" s="29"/>
      <c r="Q78" s="29"/>
      <c r="R78" s="29"/>
      <c r="S78" s="29"/>
      <c r="T78" s="29"/>
      <c r="U78" s="1"/>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row>
    <row r="79" spans="1:669" hidden="1" x14ac:dyDescent="0.2">
      <c r="F79" s="228"/>
      <c r="G79" s="229"/>
      <c r="H79" s="228"/>
      <c r="I79" s="228"/>
      <c r="J79" s="228">
        <f>J75+I71+H35+J78</f>
        <v>287303.56999999995</v>
      </c>
      <c r="K79" s="228" t="s">
        <v>46</v>
      </c>
      <c r="N79" s="29"/>
    </row>
    <row r="80" spans="1:669" hidden="1" x14ac:dyDescent="0.2">
      <c r="F80" s="228"/>
      <c r="G80" s="229"/>
      <c r="H80" s="228"/>
      <c r="I80" s="228"/>
      <c r="J80" s="696">
        <f>'June''22 AR Aging '!G73</f>
        <v>261303.56999999998</v>
      </c>
      <c r="K80" s="228" t="s">
        <v>470</v>
      </c>
      <c r="N80" s="29"/>
    </row>
    <row r="81" spans="1:14" ht="15" hidden="1" customHeight="1" thickBot="1" x14ac:dyDescent="0.25">
      <c r="F81" s="228"/>
      <c r="G81" s="229"/>
      <c r="H81" s="228"/>
      <c r="I81" s="228"/>
      <c r="J81" s="697">
        <f>J80-J79</f>
        <v>-25999.999999999971</v>
      </c>
      <c r="K81" s="228" t="s">
        <v>391</v>
      </c>
      <c r="N81" s="29"/>
    </row>
    <row r="82" spans="1:14" ht="15" hidden="1" customHeight="1" thickTop="1" x14ac:dyDescent="0.2">
      <c r="C82" s="8"/>
      <c r="E82" s="9"/>
    </row>
    <row r="83" spans="1:14" hidden="1" x14ac:dyDescent="0.2"/>
    <row r="84" spans="1:14" hidden="1" x14ac:dyDescent="0.2"/>
    <row r="91" spans="1:14" x14ac:dyDescent="0.2">
      <c r="A91" s="10"/>
      <c r="B91" s="1"/>
      <c r="C91" s="6"/>
      <c r="D91" s="6"/>
      <c r="E91" s="7"/>
      <c r="F91" s="29"/>
      <c r="G91" s="29"/>
      <c r="I91" s="29"/>
      <c r="J91" s="29"/>
      <c r="K91" s="29"/>
      <c r="L91" s="29"/>
    </row>
  </sheetData>
  <mergeCells count="28">
    <mergeCell ref="B67:E67"/>
    <mergeCell ref="B43:C43"/>
    <mergeCell ref="B45:C45"/>
    <mergeCell ref="B46:C46"/>
    <mergeCell ref="B51:C51"/>
    <mergeCell ref="B53:C53"/>
    <mergeCell ref="B49:C49"/>
    <mergeCell ref="B47:C47"/>
    <mergeCell ref="B48:C48"/>
    <mergeCell ref="B78:E78"/>
    <mergeCell ref="B68:E68"/>
    <mergeCell ref="B76:E76"/>
    <mergeCell ref="B70:E70"/>
    <mergeCell ref="B75:E75"/>
    <mergeCell ref="B77:E77"/>
    <mergeCell ref="B39:C39"/>
    <mergeCell ref="B66:E66"/>
    <mergeCell ref="B58:E58"/>
    <mergeCell ref="B41:C41"/>
    <mergeCell ref="B52:C52"/>
    <mergeCell ref="B54:C54"/>
    <mergeCell ref="B64:E64"/>
    <mergeCell ref="B65:E65"/>
    <mergeCell ref="B40:C40"/>
    <mergeCell ref="B61:E61"/>
    <mergeCell ref="B42:C42"/>
    <mergeCell ref="B50:C50"/>
    <mergeCell ref="B44:C44"/>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5"/>
  <sheetViews>
    <sheetView topLeftCell="A47" zoomScale="70" zoomScaleNormal="70" workbookViewId="0">
      <selection activeCell="D14" sqref="D14"/>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1" customWidth="1"/>
    <col min="8" max="8" width="11.75" style="1" customWidth="1"/>
    <col min="9" max="9" width="17.625" style="73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0"/>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525</v>
      </c>
      <c r="B2" s="16"/>
      <c r="C2" s="13"/>
      <c r="D2" s="13"/>
      <c r="E2" s="26"/>
      <c r="F2" s="26"/>
      <c r="G2" s="630"/>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9"/>
      <c r="F3" s="92"/>
    </row>
    <row r="4" spans="1:2009" s="56" customFormat="1" ht="16.5" thickBot="1" x14ac:dyDescent="0.3">
      <c r="A4" s="55"/>
      <c r="B4" s="55"/>
      <c r="C4" s="92" t="s">
        <v>526</v>
      </c>
      <c r="D4" s="92" t="s">
        <v>528</v>
      </c>
      <c r="E4" s="92" t="s">
        <v>507</v>
      </c>
      <c r="F4" s="92" t="s">
        <v>546</v>
      </c>
      <c r="G4" s="632" t="s">
        <v>410</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44" t="s">
        <v>65</v>
      </c>
      <c r="B5" s="945"/>
      <c r="C5" s="147"/>
      <c r="D5" s="147"/>
      <c r="E5" s="155"/>
      <c r="F5" s="155"/>
      <c r="G5" s="633"/>
      <c r="H5" s="93"/>
      <c r="I5" s="549"/>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488</v>
      </c>
      <c r="C6" s="516"/>
      <c r="D6" s="162"/>
      <c r="E6" s="516"/>
      <c r="F6" s="162"/>
      <c r="G6" s="634"/>
      <c r="H6" s="328"/>
      <c r="I6" s="54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491</v>
      </c>
      <c r="C7" s="162">
        <v>35313.550000000003</v>
      </c>
      <c r="D7" s="162"/>
      <c r="E7" s="162"/>
      <c r="F7" s="163"/>
      <c r="G7" s="634">
        <f>ROUND(SUM(C7:F7),5)</f>
        <v>35313.550000000003</v>
      </c>
      <c r="H7" s="93"/>
      <c r="I7" s="54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34">
        <f>SUM(C5:C7)</f>
        <v>35313.550000000003</v>
      </c>
      <c r="D8" s="834"/>
      <c r="E8" s="834"/>
      <c r="F8" s="834"/>
      <c r="G8" s="835">
        <f>ROUND(SUM(G3:G7),5)</f>
        <v>35313.550000000003</v>
      </c>
      <c r="H8" s="195"/>
      <c r="I8" s="54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5"/>
      <c r="H9" s="98"/>
      <c r="I9" s="73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6"/>
      <c r="H10" s="93"/>
      <c r="I10" s="549"/>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7">
        <f>ROUND(SUM(C11:F11),5)</f>
        <v>0</v>
      </c>
      <c r="H11" s="93"/>
      <c r="I11" s="549"/>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435</v>
      </c>
      <c r="C12" s="167"/>
      <c r="D12" s="167"/>
      <c r="E12" s="168"/>
      <c r="F12" s="168"/>
      <c r="G12" s="637">
        <f>ROUND(SUM(C12:F12),5)</f>
        <v>0</v>
      </c>
      <c r="H12" s="93"/>
      <c r="I12" s="549"/>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468</v>
      </c>
      <c r="C13" s="167">
        <f>62643.6-D13</f>
        <v>33038.479999999996</v>
      </c>
      <c r="D13" s="167">
        <v>29605.119999999999</v>
      </c>
      <c r="E13" s="168"/>
      <c r="F13" s="168"/>
      <c r="G13" s="637">
        <f>ROUND(SUM(C13:F13),5)</f>
        <v>62643.6</v>
      </c>
      <c r="H13" s="93"/>
      <c r="I13" s="549"/>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33038.480000000003</v>
      </c>
      <c r="D14" s="200">
        <f>SUM(D11:D13)</f>
        <v>29605.119999999999</v>
      </c>
      <c r="E14" s="200"/>
      <c r="F14" s="200"/>
      <c r="G14" s="743">
        <f>ROUND(SUM(G10:G13),5)</f>
        <v>62643.6</v>
      </c>
      <c r="H14" s="195"/>
      <c r="I14" s="54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8"/>
      <c r="H15" s="98"/>
      <c r="I15" s="73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9"/>
      <c r="H16" s="93"/>
      <c r="I16" s="549"/>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40">
        <f t="shared" ref="G17:G20" si="0">ROUND(SUM(C17:F17),5)</f>
        <v>0</v>
      </c>
      <c r="H17" s="93"/>
      <c r="I17" s="54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40">
        <f t="shared" si="0"/>
        <v>0</v>
      </c>
      <c r="H18" s="93"/>
      <c r="I18" s="549"/>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309</v>
      </c>
      <c r="C19" s="173"/>
      <c r="D19" s="173"/>
      <c r="E19" s="174"/>
      <c r="F19" s="174"/>
      <c r="G19" s="640"/>
      <c r="H19" s="93"/>
      <c r="I19" s="549"/>
      <c r="J19" s="93"/>
      <c r="K19" s="589"/>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40">
        <f t="shared" si="0"/>
        <v>0</v>
      </c>
      <c r="H20" s="93"/>
      <c r="I20" s="549"/>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310</v>
      </c>
      <c r="C21" s="173"/>
      <c r="D21" s="173"/>
      <c r="E21" s="174"/>
      <c r="F21" s="174"/>
      <c r="G21" s="640"/>
      <c r="H21" s="93"/>
      <c r="I21" s="549"/>
      <c r="J21" s="93"/>
      <c r="K21" s="589"/>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314</v>
      </c>
      <c r="C22" s="173"/>
      <c r="D22" s="173"/>
      <c r="E22" s="174"/>
      <c r="F22" s="174"/>
      <c r="G22" s="640"/>
      <c r="H22" s="98"/>
      <c r="I22" s="73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41"/>
      <c r="H23" s="205"/>
      <c r="I23" s="732"/>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2"/>
      <c r="H24" s="98"/>
      <c r="I24" s="732"/>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43"/>
      <c r="H25" s="93"/>
      <c r="I25" s="549"/>
      <c r="J25" s="93"/>
      <c r="K25" s="418"/>
      <c r="L25" s="418"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4"/>
      <c r="H26" s="93"/>
      <c r="I26" s="549"/>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5">
        <f>ROUND(SUM(C27:F27),5)</f>
        <v>0</v>
      </c>
      <c r="H27" s="195"/>
      <c r="I27" s="549"/>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8"/>
      <c r="H28" s="98"/>
      <c r="I28" s="73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6"/>
      <c r="H29" s="93"/>
      <c r="I29" s="549"/>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436</v>
      </c>
      <c r="C30" s="182"/>
      <c r="D30" s="182"/>
      <c r="E30" s="183"/>
      <c r="F30" s="183"/>
      <c r="G30" s="647">
        <f>SUM(C30:F30)</f>
        <v>0</v>
      </c>
      <c r="H30" s="93"/>
      <c r="I30" s="54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467</v>
      </c>
      <c r="C31" s="182">
        <f>24333.52+0.02+156.51</f>
        <v>24490.05</v>
      </c>
      <c r="D31" s="182">
        <v>24236.04</v>
      </c>
      <c r="E31" s="183"/>
      <c r="F31" s="183"/>
      <c r="G31" s="647">
        <f>SUM(C31:F31)</f>
        <v>48726.09</v>
      </c>
      <c r="H31" s="93"/>
      <c r="I31" s="54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24490.05</v>
      </c>
      <c r="D32" s="215">
        <f>D30+D31</f>
        <v>24236.04</v>
      </c>
      <c r="E32" s="215"/>
      <c r="F32" s="215"/>
      <c r="G32" s="836">
        <f>SUM(G30:G31)</f>
        <v>48726.09</v>
      </c>
      <c r="H32" s="195"/>
      <c r="I32" s="549"/>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2"/>
      <c r="I33" s="549"/>
      <c r="N33" s="195"/>
    </row>
    <row r="34" spans="1:2009" s="112" customFormat="1" ht="24.95" hidden="1" customHeight="1" x14ac:dyDescent="0.25">
      <c r="A34" s="140" t="s">
        <v>37</v>
      </c>
      <c r="B34" s="141"/>
      <c r="C34" s="184"/>
      <c r="D34" s="184"/>
      <c r="E34" s="185"/>
      <c r="F34" s="185"/>
      <c r="G34" s="649"/>
      <c r="H34" s="93"/>
      <c r="I34" s="549"/>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7"/>
      <c r="H35" s="93"/>
      <c r="I35" s="549"/>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8"/>
      <c r="H36" s="195"/>
      <c r="I36" s="54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8"/>
      <c r="H37" s="98"/>
      <c r="I37" s="732"/>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50"/>
      <c r="H38" s="98"/>
      <c r="I38" s="732"/>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3833.33</v>
      </c>
      <c r="D39" s="188">
        <v>3833.33</v>
      </c>
      <c r="E39" s="189"/>
      <c r="F39" s="189"/>
      <c r="G39" s="651">
        <f>ROUND(SUM(C39:F39),5)</f>
        <v>7666.66</v>
      </c>
      <c r="H39" s="98"/>
      <c r="I39" s="732"/>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330</v>
      </c>
      <c r="C40" s="188">
        <v>4500</v>
      </c>
      <c r="D40" s="188"/>
      <c r="E40" s="189"/>
      <c r="F40" s="189"/>
      <c r="G40" s="651">
        <f>ROUND(SUM(C40:F40),5)</f>
        <v>4500</v>
      </c>
      <c r="H40" s="98"/>
      <c r="I40" s="732"/>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463</v>
      </c>
      <c r="C41" s="188"/>
      <c r="D41" s="188"/>
      <c r="E41" s="189"/>
      <c r="F41" s="189"/>
      <c r="G41" s="651"/>
      <c r="H41" s="98"/>
      <c r="I41" s="732"/>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340</v>
      </c>
      <c r="C42" s="188"/>
      <c r="D42" s="188"/>
      <c r="E42" s="189"/>
      <c r="F42" s="189"/>
      <c r="G42" s="651">
        <f>ROUND(SUM(C42:F42),5)</f>
        <v>0</v>
      </c>
      <c r="H42" s="98"/>
      <c r="I42" s="732"/>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6417</v>
      </c>
      <c r="D43" s="188">
        <v>6096.81</v>
      </c>
      <c r="E43" s="189">
        <v>7722.26</v>
      </c>
      <c r="F43" s="189">
        <v>1336.88</v>
      </c>
      <c r="G43" s="651">
        <f>ROUND(SUM(C43:F43),5)</f>
        <v>21572.95</v>
      </c>
      <c r="H43" s="98"/>
      <c r="I43" s="732"/>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14750.33</v>
      </c>
      <c r="D44" s="221">
        <f>SUM(D39:D43)</f>
        <v>9930.14</v>
      </c>
      <c r="E44" s="221">
        <f>SUM(E39:E43)</f>
        <v>7722.26</v>
      </c>
      <c r="F44" s="221">
        <f>SUM(F39:F43)</f>
        <v>1336.88</v>
      </c>
      <c r="G44" s="837">
        <f>SUM(G39:G43)</f>
        <v>33739.61</v>
      </c>
      <c r="H44" s="205"/>
      <c r="I44" s="732"/>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2"/>
      <c r="H45" s="98"/>
      <c r="I45" s="73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2"/>
      <c r="C46" s="424"/>
      <c r="D46" s="424"/>
      <c r="E46" s="423"/>
      <c r="F46" s="424"/>
      <c r="G46" s="653"/>
      <c r="H46" s="98"/>
      <c r="I46" s="732"/>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customHeight="1" x14ac:dyDescent="0.25">
      <c r="A47" s="370"/>
      <c r="B47" s="427" t="s">
        <v>508</v>
      </c>
      <c r="C47" s="517">
        <v>679.01</v>
      </c>
      <c r="D47" s="517">
        <v>618.66999999999996</v>
      </c>
      <c r="E47" s="429"/>
      <c r="F47" s="430"/>
      <c r="G47" s="654">
        <f>ROUND(SUM(C47:F47),5)</f>
        <v>1297.68</v>
      </c>
      <c r="H47" s="98"/>
      <c r="I47" s="732"/>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440</v>
      </c>
      <c r="C48" s="517"/>
      <c r="D48" s="517"/>
      <c r="E48" s="452"/>
      <c r="F48" s="517"/>
      <c r="G48" s="654"/>
      <c r="H48" s="98"/>
      <c r="I48" s="732"/>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446</v>
      </c>
      <c r="C49" s="517"/>
      <c r="D49" s="517"/>
      <c r="E49" s="452"/>
      <c r="F49" s="517"/>
      <c r="G49" s="654">
        <f>ROUND(SUM(C49:F49),5)</f>
        <v>0</v>
      </c>
      <c r="H49" s="98"/>
      <c r="I49" s="732"/>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09" t="s">
        <v>509</v>
      </c>
      <c r="C50" s="610">
        <v>14675.54</v>
      </c>
      <c r="D50" s="610">
        <v>8161.85</v>
      </c>
      <c r="E50" s="453">
        <v>12946.25</v>
      </c>
      <c r="F50" s="453"/>
      <c r="G50" s="655">
        <f>ROUND(SUM(C50:F50),5)</f>
        <v>35783.64</v>
      </c>
      <c r="H50" s="98"/>
      <c r="I50" s="732"/>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461</v>
      </c>
      <c r="C51" s="807">
        <f>SUM(C46:C50)</f>
        <v>15354.550000000001</v>
      </c>
      <c r="D51" s="807">
        <f t="shared" ref="D51:E51" si="1">SUM(D46:D50)</f>
        <v>8780.52</v>
      </c>
      <c r="E51" s="807">
        <f t="shared" si="1"/>
        <v>12946.25</v>
      </c>
      <c r="F51" s="807"/>
      <c r="G51" s="838">
        <f>ROUND(SUM(C51:F51),5)</f>
        <v>37081.32</v>
      </c>
      <c r="H51" s="195"/>
      <c r="I51" s="549"/>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2"/>
      <c r="H52" s="93"/>
      <c r="I52" s="549"/>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6"/>
      <c r="H53" s="93"/>
      <c r="I53" s="549"/>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4"/>
      <c r="D54" s="454"/>
      <c r="E54" s="454"/>
      <c r="F54" s="454"/>
      <c r="G54" s="657">
        <f>SUM(C54:F54)</f>
        <v>0</v>
      </c>
      <c r="H54" s="93"/>
      <c r="I54" s="549"/>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5"/>
      <c r="D55" s="455"/>
      <c r="E55" s="455"/>
      <c r="F55" s="455"/>
      <c r="G55" s="658">
        <f>SUM(C55:F55)</f>
        <v>0</v>
      </c>
      <c r="H55" s="93"/>
      <c r="I55" s="549"/>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46" t="s">
        <v>176</v>
      </c>
      <c r="B56" s="947"/>
      <c r="C56" s="348">
        <f t="shared" ref="C56" si="2">SUM(C53:C55)</f>
        <v>0</v>
      </c>
      <c r="D56" s="348"/>
      <c r="E56" s="348"/>
      <c r="F56" s="348"/>
      <c r="G56" s="659">
        <f t="shared" ref="G56" si="3">SUM(G53:G55)</f>
        <v>0</v>
      </c>
      <c r="H56" s="93"/>
      <c r="I56" s="549"/>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2"/>
      <c r="H57" s="93"/>
      <c r="I57" s="549"/>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317</v>
      </c>
      <c r="B58" s="459"/>
      <c r="C58" s="460"/>
      <c r="D58" s="461"/>
      <c r="E58" s="461"/>
      <c r="F58" s="461"/>
      <c r="G58" s="660">
        <f>SUM(C58:F58)</f>
        <v>0</v>
      </c>
      <c r="H58" s="93"/>
      <c r="I58" s="549"/>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2"/>
      <c r="H59" s="93"/>
      <c r="I59" s="549"/>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308</v>
      </c>
      <c r="B60" s="372"/>
      <c r="C60" s="373">
        <v>812.19</v>
      </c>
      <c r="D60" s="373"/>
      <c r="E60" s="373"/>
      <c r="F60" s="373"/>
      <c r="G60" s="839">
        <f>SUM(C60:F60)</f>
        <v>812.19</v>
      </c>
      <c r="H60" s="93"/>
      <c r="I60" s="549"/>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2"/>
      <c r="H61" s="93"/>
      <c r="I61" s="549"/>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458</v>
      </c>
      <c r="B62" s="457"/>
      <c r="C62" s="432">
        <v>6327.8</v>
      </c>
      <c r="D62" s="433"/>
      <c r="E62" s="433"/>
      <c r="F62" s="433"/>
      <c r="G62" s="661">
        <f>SUM(C62:F62)</f>
        <v>6327.8</v>
      </c>
      <c r="H62" s="93"/>
      <c r="I62" s="549"/>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5"/>
      <c r="B63" s="665"/>
      <c r="C63" s="431"/>
      <c r="D63" s="175"/>
      <c r="E63" s="175"/>
      <c r="F63" s="175"/>
      <c r="G63" s="642"/>
      <c r="H63" s="93"/>
      <c r="I63" s="549"/>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customHeight="1" x14ac:dyDescent="0.25">
      <c r="A64" s="852" t="s">
        <v>510</v>
      </c>
      <c r="B64" s="853"/>
      <c r="C64" s="854">
        <v>1600</v>
      </c>
      <c r="D64" s="855"/>
      <c r="E64" s="855"/>
      <c r="F64" s="855">
        <v>1760</v>
      </c>
      <c r="G64" s="856">
        <f>SUM(C64:F64)</f>
        <v>3360</v>
      </c>
      <c r="H64" s="93"/>
      <c r="I64" s="549"/>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57" t="s">
        <v>341</v>
      </c>
      <c r="B65" s="858"/>
      <c r="C65" s="859">
        <v>1600</v>
      </c>
      <c r="D65" s="860"/>
      <c r="E65" s="860"/>
      <c r="F65" s="860">
        <v>1760</v>
      </c>
      <c r="G65" s="861">
        <f>SUM(C65:F65)</f>
        <v>3360</v>
      </c>
      <c r="H65" s="93"/>
      <c r="I65" s="549"/>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65"/>
      <c r="B66" s="665"/>
      <c r="C66" s="431"/>
      <c r="D66" s="175"/>
      <c r="E66" s="175"/>
      <c r="F66" s="175"/>
      <c r="G66" s="642"/>
      <c r="H66" s="93"/>
      <c r="I66" s="549"/>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14" t="s">
        <v>549</v>
      </c>
      <c r="B67" s="715"/>
      <c r="C67" s="716">
        <v>9750</v>
      </c>
      <c r="D67" s="717"/>
      <c r="E67" s="717"/>
      <c r="F67" s="717"/>
      <c r="G67" s="718">
        <f>SUM(C67:F67)</f>
        <v>9750</v>
      </c>
      <c r="H67" s="93"/>
      <c r="I67" s="549"/>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x14ac:dyDescent="0.25">
      <c r="A68" s="665"/>
      <c r="B68" s="665"/>
      <c r="C68" s="431"/>
      <c r="D68" s="175"/>
      <c r="E68" s="175"/>
      <c r="F68" s="175"/>
      <c r="G68" s="642"/>
      <c r="H68" s="93"/>
      <c r="I68" s="549"/>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814" t="s">
        <v>460</v>
      </c>
      <c r="B69" s="815"/>
      <c r="C69" s="821"/>
      <c r="D69" s="821"/>
      <c r="E69" s="842"/>
      <c r="F69" s="821"/>
      <c r="G69" s="840">
        <f>SUM(C69:F69)</f>
        <v>0</v>
      </c>
      <c r="H69" s="93"/>
      <c r="I69" s="549"/>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x14ac:dyDescent="0.25">
      <c r="A70" s="818" t="s">
        <v>404</v>
      </c>
      <c r="B70" s="819"/>
      <c r="C70" s="822">
        <v>10095</v>
      </c>
      <c r="D70" s="822">
        <v>10094.41</v>
      </c>
      <c r="E70" s="822"/>
      <c r="F70" s="822"/>
      <c r="G70" s="841">
        <f>SUM(C70:F70)</f>
        <v>20189.41</v>
      </c>
      <c r="H70" s="93"/>
      <c r="I70" s="549"/>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customHeight="1" thickBot="1" x14ac:dyDescent="0.3">
      <c r="A71" s="816"/>
      <c r="B71" s="820" t="s">
        <v>459</v>
      </c>
      <c r="C71" s="822">
        <f>C69+C70</f>
        <v>10095</v>
      </c>
      <c r="D71" s="822">
        <f>D69+D70</f>
        <v>10094.41</v>
      </c>
      <c r="E71" s="822"/>
      <c r="F71" s="822"/>
      <c r="G71" s="817">
        <f>SUM(C71:F71)</f>
        <v>20189.41</v>
      </c>
      <c r="H71" s="93"/>
      <c r="I71" s="549"/>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52"/>
      <c r="H72" s="93"/>
      <c r="I72" s="549"/>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6" t="s">
        <v>547</v>
      </c>
      <c r="C73" s="278">
        <f>SUM(C8+C14+C23+C27+C32+C44+C56)+C36+C51+C60+C62+C58+C67+C65+C71</f>
        <v>151531.95000000001</v>
      </c>
      <c r="D73" s="278">
        <f>SUM(D8+D14+D23+D27+D32+D44+D56)+D36+D51+D60+D62+D58+D67+D65+D71+D64</f>
        <v>82646.23000000001</v>
      </c>
      <c r="E73" s="278">
        <f>SUM(E8+E14+E23+E27+E32+E44+E56)+E36+E51+E60+E62+E65+E71</f>
        <v>20668.510000000002</v>
      </c>
      <c r="F73" s="278">
        <f>SUM(F8+F14+F23+F27+F32+F44+F56)+F36+F51+F60+F65+F71+F62</f>
        <v>3096.88</v>
      </c>
      <c r="G73" s="664">
        <f>SUM(G8+G14+G23+G27+G32+G44+G56)+G36+G51+G60+G62+G58+G67+G65+G71+G64</f>
        <v>261303.56999999998</v>
      </c>
      <c r="H73" s="195"/>
      <c r="I73" s="549"/>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83"/>
      <c r="B74" s="684"/>
      <c r="C74" s="685"/>
      <c r="D74" s="685"/>
      <c r="E74" s="685"/>
      <c r="F74" s="685"/>
      <c r="G74" s="686"/>
      <c r="H74" s="195"/>
      <c r="I74" s="549"/>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81" t="s">
        <v>362</v>
      </c>
      <c r="C75" s="682">
        <f>C73/G$73</f>
        <v>0.57990769127264519</v>
      </c>
      <c r="D75" s="682">
        <f>D73/$G73</f>
        <v>0.31628435080316741</v>
      </c>
      <c r="E75" s="682">
        <f t="shared" ref="E75:G75" si="4">E73/$G73</f>
        <v>7.9097694685151085E-2</v>
      </c>
      <c r="F75" s="682">
        <f t="shared" si="4"/>
        <v>1.1851655911168761E-2</v>
      </c>
      <c r="G75" s="682">
        <f t="shared" si="4"/>
        <v>1</v>
      </c>
      <c r="H75" s="93"/>
      <c r="I75" s="549"/>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62"/>
      <c r="H76" s="93"/>
      <c r="I76" s="549"/>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527</v>
      </c>
      <c r="C77" s="191"/>
      <c r="D77" s="191"/>
      <c r="E77" s="191"/>
      <c r="F77" s="191"/>
      <c r="G77" s="663"/>
    </row>
    <row r="78" spans="1:2009" ht="8.25" customHeight="1" x14ac:dyDescent="0.25">
      <c r="A78" s="122"/>
      <c r="B78" s="160"/>
      <c r="C78" s="604"/>
      <c r="D78" s="191"/>
      <c r="E78" s="191"/>
      <c r="F78" s="191"/>
      <c r="G78" s="663"/>
    </row>
    <row r="79" spans="1:2009" ht="14.25" customHeight="1" x14ac:dyDescent="0.25">
      <c r="A79" s="122"/>
      <c r="B79" s="550" t="s">
        <v>44</v>
      </c>
      <c r="C79" s="595">
        <v>7722.26</v>
      </c>
      <c r="D79" s="604"/>
      <c r="E79" s="191"/>
      <c r="F79" s="191"/>
      <c r="G79" s="663"/>
    </row>
    <row r="80" spans="1:2009" ht="14.25" hidden="1" customHeight="1" x14ac:dyDescent="0.25">
      <c r="A80" s="122"/>
      <c r="B80" s="550" t="s">
        <v>541</v>
      </c>
      <c r="C80" s="595"/>
      <c r="D80" s="604"/>
      <c r="E80" s="191"/>
      <c r="F80" s="191"/>
      <c r="G80" s="663"/>
    </row>
    <row r="81" spans="1:7" ht="14.25" hidden="1" customHeight="1" x14ac:dyDescent="0.25">
      <c r="A81" s="122"/>
      <c r="B81" s="550" t="s">
        <v>489</v>
      </c>
      <c r="C81" s="595"/>
      <c r="D81" s="604"/>
      <c r="E81" s="191"/>
      <c r="F81" s="191"/>
      <c r="G81" s="663"/>
    </row>
    <row r="82" spans="1:7" ht="14.25" hidden="1" customHeight="1" x14ac:dyDescent="0.25">
      <c r="A82" s="122"/>
      <c r="B82" s="550" t="s">
        <v>529</v>
      </c>
      <c r="C82" s="595"/>
      <c r="D82" s="604"/>
      <c r="E82" s="191"/>
      <c r="F82" s="191"/>
      <c r="G82" s="663"/>
    </row>
    <row r="83" spans="1:7" ht="14.25" customHeight="1" x14ac:dyDescent="0.25">
      <c r="A83" s="122"/>
      <c r="B83" s="550" t="s">
        <v>530</v>
      </c>
      <c r="C83" s="595">
        <v>618.66999999999996</v>
      </c>
      <c r="D83" s="604"/>
      <c r="E83" s="191"/>
      <c r="F83" s="191"/>
      <c r="G83" s="663"/>
    </row>
    <row r="84" spans="1:7" ht="14.25" hidden="1" customHeight="1" x14ac:dyDescent="0.25">
      <c r="A84" s="122"/>
      <c r="B84" s="550" t="s">
        <v>531</v>
      </c>
      <c r="C84" s="595"/>
      <c r="D84" s="604"/>
      <c r="E84" s="191"/>
      <c r="F84" s="191"/>
      <c r="G84" s="663"/>
    </row>
    <row r="85" spans="1:7" ht="14.25" hidden="1" customHeight="1" x14ac:dyDescent="0.25">
      <c r="A85" s="122"/>
      <c r="B85" s="550" t="s">
        <v>542</v>
      </c>
      <c r="C85" s="595"/>
      <c r="D85" s="604"/>
      <c r="E85" s="191"/>
      <c r="F85" s="191"/>
      <c r="G85" s="663"/>
    </row>
    <row r="86" spans="1:7" ht="14.25" customHeight="1" x14ac:dyDescent="0.25">
      <c r="A86" s="122"/>
      <c r="B86" s="550" t="s">
        <v>532</v>
      </c>
      <c r="C86" s="595">
        <v>3833.33</v>
      </c>
      <c r="D86" s="604"/>
      <c r="E86" s="191"/>
      <c r="F86" s="191"/>
      <c r="G86" s="663"/>
    </row>
    <row r="87" spans="1:7" ht="14.25" hidden="1" customHeight="1" x14ac:dyDescent="0.25">
      <c r="A87" s="122"/>
      <c r="B87" s="550" t="s">
        <v>533</v>
      </c>
      <c r="C87" s="595"/>
      <c r="D87" s="604"/>
      <c r="E87" s="191"/>
      <c r="F87" s="191"/>
      <c r="G87" s="663"/>
    </row>
    <row r="88" spans="1:7" ht="14.25" hidden="1" customHeight="1" x14ac:dyDescent="0.25">
      <c r="A88" s="122"/>
      <c r="B88" s="550" t="s">
        <v>474</v>
      </c>
      <c r="C88" s="595"/>
      <c r="D88" s="604"/>
      <c r="E88" s="191"/>
      <c r="F88" s="191"/>
      <c r="G88" s="663"/>
    </row>
    <row r="89" spans="1:7" ht="14.25" hidden="1" customHeight="1" x14ac:dyDescent="0.25">
      <c r="A89" s="122"/>
      <c r="B89" s="550" t="s">
        <v>543</v>
      </c>
      <c r="C89" s="595"/>
      <c r="D89" s="604"/>
      <c r="E89" s="191"/>
      <c r="F89" s="191"/>
      <c r="G89" s="663"/>
    </row>
    <row r="90" spans="1:7" ht="14.25" customHeight="1" x14ac:dyDescent="0.25">
      <c r="A90" s="122"/>
      <c r="B90" s="550" t="s">
        <v>437</v>
      </c>
      <c r="C90" s="595">
        <v>812.19</v>
      </c>
      <c r="D90" s="604"/>
      <c r="E90" s="191"/>
      <c r="F90" s="191"/>
      <c r="G90" s="663"/>
    </row>
    <row r="91" spans="1:7" ht="14.25" hidden="1" customHeight="1" x14ac:dyDescent="0.25">
      <c r="A91" s="122"/>
      <c r="B91" s="550" t="s">
        <v>534</v>
      </c>
      <c r="C91" s="595"/>
      <c r="D91" s="604"/>
      <c r="E91" s="191"/>
      <c r="F91" s="191"/>
      <c r="G91" s="663"/>
    </row>
    <row r="92" spans="1:7" ht="14.25" hidden="1" customHeight="1" x14ac:dyDescent="0.25">
      <c r="A92" s="122"/>
      <c r="B92" s="550" t="s">
        <v>462</v>
      </c>
      <c r="C92" s="595"/>
      <c r="D92" s="604"/>
      <c r="E92" s="191"/>
      <c r="F92" s="191"/>
      <c r="G92" s="663"/>
    </row>
    <row r="93" spans="1:7" ht="14.25" hidden="1" customHeight="1" x14ac:dyDescent="0.25">
      <c r="A93" s="122"/>
      <c r="B93" s="550" t="s">
        <v>480</v>
      </c>
      <c r="C93" s="595"/>
      <c r="D93" s="604"/>
      <c r="E93" s="191"/>
      <c r="F93" s="191"/>
      <c r="G93" s="663"/>
    </row>
    <row r="94" spans="1:7" ht="14.25" customHeight="1" x14ac:dyDescent="0.25">
      <c r="A94" s="122"/>
      <c r="B94" s="550" t="s">
        <v>535</v>
      </c>
      <c r="C94" s="595">
        <v>10094.41</v>
      </c>
      <c r="D94" s="604"/>
      <c r="E94" s="191"/>
      <c r="F94" s="191"/>
      <c r="G94" s="663"/>
    </row>
    <row r="95" spans="1:7" ht="14.25" hidden="1" customHeight="1" x14ac:dyDescent="0.25">
      <c r="A95" s="122"/>
      <c r="B95" s="550" t="s">
        <v>550</v>
      </c>
      <c r="C95" s="595"/>
      <c r="D95" s="604"/>
      <c r="E95" s="191"/>
      <c r="F95" s="191"/>
      <c r="G95" s="663"/>
    </row>
    <row r="96" spans="1:7" ht="14.25" hidden="1" customHeight="1" x14ac:dyDescent="0.25">
      <c r="A96" s="122"/>
      <c r="B96" s="550" t="s">
        <v>536</v>
      </c>
      <c r="C96" s="595"/>
      <c r="D96" s="604"/>
      <c r="E96" s="191"/>
      <c r="F96" s="191"/>
      <c r="G96" s="663"/>
    </row>
    <row r="97" spans="1:7" ht="14.25" hidden="1" customHeight="1" x14ac:dyDescent="0.25">
      <c r="A97" s="122"/>
      <c r="B97" s="550" t="s">
        <v>537</v>
      </c>
      <c r="C97" s="595"/>
      <c r="D97" s="604"/>
      <c r="E97" s="191"/>
      <c r="F97" s="191"/>
      <c r="G97" s="663"/>
    </row>
    <row r="98" spans="1:7" ht="14.25" hidden="1" customHeight="1" x14ac:dyDescent="0.25">
      <c r="A98" s="122"/>
      <c r="B98" s="550" t="s">
        <v>511</v>
      </c>
      <c r="C98" s="595"/>
      <c r="D98" s="604"/>
      <c r="E98" s="191"/>
      <c r="F98" s="191"/>
      <c r="G98" s="663"/>
    </row>
    <row r="99" spans="1:7" ht="14.25" hidden="1" customHeight="1" x14ac:dyDescent="0.25">
      <c r="A99" s="122"/>
      <c r="B99" s="550"/>
      <c r="C99" s="595"/>
      <c r="D99" s="191"/>
      <c r="E99" s="191"/>
      <c r="F99" s="191"/>
      <c r="G99" s="663"/>
    </row>
    <row r="100" spans="1:7" ht="15" x14ac:dyDescent="0.25">
      <c r="A100" s="398"/>
      <c r="B100" s="161" t="s">
        <v>551</v>
      </c>
      <c r="C100" s="352">
        <f>SUM(C78:C99)</f>
        <v>23080.86</v>
      </c>
      <c r="D100" s="192"/>
      <c r="E100" s="192"/>
      <c r="F100" s="192"/>
    </row>
    <row r="101" spans="1:7" ht="5.25" customHeight="1" x14ac:dyDescent="0.2">
      <c r="C101" s="192"/>
      <c r="D101" s="192"/>
      <c r="E101" s="192"/>
      <c r="F101" s="192"/>
    </row>
    <row r="102" spans="1:7" ht="15.75" thickBot="1" x14ac:dyDescent="0.3">
      <c r="B102" s="161" t="s">
        <v>548</v>
      </c>
      <c r="C102" s="384">
        <f>G73-C100</f>
        <v>238222.70999999996</v>
      </c>
      <c r="D102" s="192"/>
      <c r="E102" s="192"/>
      <c r="F102" s="192"/>
    </row>
    <row r="103" spans="1:7" ht="12" customHeight="1" thickTop="1" x14ac:dyDescent="0.2">
      <c r="C103" s="192"/>
      <c r="D103" s="192"/>
      <c r="E103" s="192"/>
      <c r="F103" s="192"/>
    </row>
    <row r="104" spans="1:7" ht="15.75" x14ac:dyDescent="0.25">
      <c r="B104" s="312" t="s">
        <v>174</v>
      </c>
      <c r="C104" s="192"/>
      <c r="D104" s="192"/>
      <c r="E104" s="192"/>
      <c r="F104" s="192"/>
    </row>
    <row r="105" spans="1:7" ht="16.5" customHeight="1" x14ac:dyDescent="0.2">
      <c r="B105" s="551" t="s">
        <v>552</v>
      </c>
      <c r="C105" s="552">
        <v>2500</v>
      </c>
      <c r="D105" s="192"/>
      <c r="E105" s="192"/>
      <c r="F105" s="192"/>
    </row>
    <row r="106" spans="1:7" ht="16.5" customHeight="1" x14ac:dyDescent="0.2">
      <c r="B106" s="551" t="s">
        <v>553</v>
      </c>
      <c r="C106" s="552">
        <v>2500</v>
      </c>
      <c r="D106" s="192"/>
      <c r="E106" s="192"/>
      <c r="F106" s="192"/>
    </row>
    <row r="107" spans="1:7" ht="16.5" customHeight="1" x14ac:dyDescent="0.2">
      <c r="B107" s="551" t="s">
        <v>556</v>
      </c>
      <c r="C107" s="552">
        <v>100000</v>
      </c>
      <c r="D107" s="192"/>
      <c r="E107" s="192"/>
      <c r="F107" s="192"/>
    </row>
    <row r="108" spans="1:7" ht="16.5" customHeight="1" x14ac:dyDescent="0.2">
      <c r="B108" s="551" t="s">
        <v>557</v>
      </c>
      <c r="C108" s="552">
        <v>750</v>
      </c>
      <c r="D108" s="192"/>
      <c r="E108" s="192"/>
      <c r="F108" s="192"/>
    </row>
    <row r="109" spans="1:7" ht="15" hidden="1" x14ac:dyDescent="0.2">
      <c r="B109" s="526"/>
      <c r="C109" s="192"/>
      <c r="D109" s="192"/>
      <c r="E109" s="192"/>
      <c r="F109" s="192"/>
    </row>
    <row r="110" spans="1:7" hidden="1" x14ac:dyDescent="0.2">
      <c r="B110" s="426"/>
      <c r="C110" s="192"/>
      <c r="D110" s="192"/>
      <c r="E110" s="192"/>
      <c r="F110" s="192"/>
    </row>
    <row r="111" spans="1:7" hidden="1" x14ac:dyDescent="0.2">
      <c r="B111" s="426"/>
      <c r="C111" s="192"/>
      <c r="D111" s="192"/>
      <c r="E111" s="192"/>
      <c r="F111" s="192"/>
    </row>
    <row r="112" spans="1:7" hidden="1" x14ac:dyDescent="0.2">
      <c r="B112" s="426"/>
      <c r="C112" s="192"/>
      <c r="D112" s="192"/>
      <c r="E112" s="192"/>
      <c r="F112" s="192"/>
    </row>
    <row r="113" spans="2:6" hidden="1" x14ac:dyDescent="0.2">
      <c r="B113" s="426"/>
      <c r="C113" s="192"/>
      <c r="D113" s="192"/>
      <c r="E113" s="192"/>
      <c r="F113" s="192"/>
    </row>
    <row r="114" spans="2:6" hidden="1" x14ac:dyDescent="0.2">
      <c r="B114" s="426"/>
      <c r="C114" s="192"/>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hidden="1" x14ac:dyDescent="0.2">
      <c r="B120" s="426"/>
      <c r="C120" s="357"/>
      <c r="D120" s="192"/>
      <c r="E120" s="192"/>
      <c r="F120" s="192"/>
    </row>
    <row r="121" spans="2:6" hidden="1" x14ac:dyDescent="0.2">
      <c r="B121" s="426"/>
      <c r="C121" s="357"/>
      <c r="D121" s="192"/>
      <c r="E121" s="192"/>
      <c r="F121" s="192"/>
    </row>
    <row r="122" spans="2:6" hidden="1" x14ac:dyDescent="0.2">
      <c r="B122" s="426"/>
      <c r="C122" s="357"/>
      <c r="D122" s="192"/>
      <c r="E122" s="192"/>
      <c r="F122" s="192"/>
    </row>
    <row r="123" spans="2:6" hidden="1" x14ac:dyDescent="0.2">
      <c r="B123" s="426"/>
      <c r="C123" s="357"/>
      <c r="D123" s="192"/>
      <c r="E123" s="192"/>
      <c r="F123" s="192"/>
    </row>
    <row r="124" spans="2:6" hidden="1" x14ac:dyDescent="0.2">
      <c r="B124" s="426"/>
      <c r="C124" s="357"/>
      <c r="D124" s="192"/>
      <c r="E124" s="192"/>
      <c r="F124" s="192"/>
    </row>
    <row r="125" spans="2:6" hidden="1" x14ac:dyDescent="0.2">
      <c r="B125" s="426"/>
      <c r="C125" s="357"/>
      <c r="D125" s="192"/>
      <c r="E125" s="192"/>
      <c r="F125" s="192"/>
    </row>
    <row r="126" spans="2:6" x14ac:dyDescent="0.2">
      <c r="B126" s="426"/>
      <c r="C126" s="357"/>
      <c r="D126" s="192"/>
      <c r="E126" s="192"/>
      <c r="F126" s="192"/>
    </row>
    <row r="127" spans="2:6" ht="16.5" customHeight="1" x14ac:dyDescent="0.25">
      <c r="B127" s="434" t="s">
        <v>278</v>
      </c>
      <c r="C127" s="357"/>
      <c r="D127" s="192"/>
      <c r="E127" s="192"/>
      <c r="F127" s="192"/>
    </row>
    <row r="128" spans="2:6" ht="16.5" hidden="1" customHeight="1" x14ac:dyDescent="0.25">
      <c r="B128" s="550" t="s">
        <v>475</v>
      </c>
      <c r="C128" s="552">
        <f>D7</f>
        <v>0</v>
      </c>
      <c r="D128" s="192"/>
      <c r="E128" s="192"/>
      <c r="F128" s="192"/>
    </row>
    <row r="129" spans="2:6" ht="16.5" hidden="1" customHeight="1" x14ac:dyDescent="0.25">
      <c r="B129" s="550" t="s">
        <v>479</v>
      </c>
      <c r="C129" s="552">
        <v>17484.310000000001</v>
      </c>
      <c r="D129" s="192"/>
      <c r="E129" s="192"/>
      <c r="F129" s="192"/>
    </row>
    <row r="130" spans="2:6" ht="16.5" hidden="1" customHeight="1" x14ac:dyDescent="0.25">
      <c r="B130" s="550" t="s">
        <v>544</v>
      </c>
      <c r="C130" s="552">
        <v>19437.580000000002</v>
      </c>
      <c r="D130" s="192"/>
      <c r="E130" s="192"/>
      <c r="F130" s="192"/>
    </row>
    <row r="131" spans="2:6" ht="16.5" hidden="1" customHeight="1" x14ac:dyDescent="0.25">
      <c r="B131" s="550" t="s">
        <v>538</v>
      </c>
      <c r="C131" s="552">
        <v>18494.259999999998</v>
      </c>
      <c r="D131" s="192"/>
      <c r="E131" s="192"/>
      <c r="F131" s="192"/>
    </row>
    <row r="132" spans="2:6" ht="16.5" hidden="1" customHeight="1" x14ac:dyDescent="0.25">
      <c r="B132" s="550" t="s">
        <v>545</v>
      </c>
      <c r="C132" s="192">
        <v>18897.57</v>
      </c>
      <c r="D132" s="192"/>
      <c r="E132" s="192"/>
      <c r="F132" s="192"/>
    </row>
    <row r="133" spans="2:6" ht="16.5" customHeight="1" x14ac:dyDescent="0.25">
      <c r="B133" s="550" t="s">
        <v>539</v>
      </c>
      <c r="C133" s="192">
        <v>29605.119999999999</v>
      </c>
      <c r="D133" s="192"/>
      <c r="E133" s="192"/>
      <c r="F133" s="192"/>
    </row>
    <row r="134" spans="2:6" ht="16.5" hidden="1" customHeight="1" x14ac:dyDescent="0.25">
      <c r="B134" s="550" t="s">
        <v>512</v>
      </c>
      <c r="C134" s="192"/>
      <c r="D134" s="192"/>
      <c r="E134" s="192"/>
      <c r="F134" s="192"/>
    </row>
    <row r="135" spans="2:6" ht="18.75" hidden="1" customHeight="1" x14ac:dyDescent="0.25">
      <c r="B135" s="550" t="s">
        <v>540</v>
      </c>
      <c r="C135" s="192"/>
      <c r="D135" s="192"/>
      <c r="E135" s="192"/>
      <c r="F135" s="192"/>
    </row>
    <row r="136" spans="2:6" ht="17.25" customHeight="1" thickBot="1" x14ac:dyDescent="0.3">
      <c r="B136" s="550" t="s">
        <v>513</v>
      </c>
      <c r="C136" s="616">
        <f>SUM(C133:C135)</f>
        <v>29605.119999999999</v>
      </c>
      <c r="D136" s="192"/>
      <c r="E136" s="192"/>
      <c r="F136" s="192"/>
    </row>
    <row r="137" spans="2:6" ht="12" customHeight="1" thickTop="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6" ht="12" customHeight="1" x14ac:dyDescent="0.2">
      <c r="C193" s="192"/>
      <c r="D193" s="192"/>
      <c r="E193" s="192"/>
      <c r="F193" s="192"/>
    </row>
    <row r="194" spans="2:6" ht="12" customHeight="1" x14ac:dyDescent="0.2">
      <c r="C194" s="192"/>
      <c r="D194" s="192"/>
      <c r="E194" s="192"/>
      <c r="F194" s="192"/>
    </row>
    <row r="195" spans="2:6" ht="12" customHeight="1" x14ac:dyDescent="0.2">
      <c r="C195" s="192"/>
      <c r="D195" s="192"/>
      <c r="E195" s="192"/>
      <c r="F195" s="192"/>
    </row>
    <row r="196" spans="2:6" ht="12" customHeight="1" x14ac:dyDescent="0.2">
      <c r="C196" s="192"/>
      <c r="D196" s="192"/>
      <c r="E196" s="192"/>
      <c r="F196" s="192"/>
    </row>
    <row r="197" spans="2:6" ht="12" customHeight="1" x14ac:dyDescent="0.2">
      <c r="C197" s="192"/>
      <c r="D197" s="192"/>
      <c r="E197" s="192"/>
      <c r="F197" s="192"/>
    </row>
    <row r="198" spans="2:6" ht="12" customHeight="1" x14ac:dyDescent="0.2">
      <c r="C198" s="192"/>
      <c r="D198" s="192"/>
      <c r="E198" s="192"/>
      <c r="F198" s="192"/>
    </row>
    <row r="199" spans="2:6" ht="14.25" customHeight="1" x14ac:dyDescent="0.2"/>
    <row r="200" spans="2:6" ht="15.75" hidden="1" x14ac:dyDescent="0.25">
      <c r="B200" s="351"/>
      <c r="C200" s="227"/>
    </row>
    <row r="201" spans="2:6" ht="15" hidden="1" x14ac:dyDescent="0.25">
      <c r="B201" s="313"/>
      <c r="C201" s="353"/>
    </row>
    <row r="202" spans="2:6" ht="15" hidden="1" x14ac:dyDescent="0.25">
      <c r="B202" s="313"/>
      <c r="C202" s="357"/>
    </row>
    <row r="203" spans="2:6" ht="15" hidden="1" x14ac:dyDescent="0.25">
      <c r="B203" s="313"/>
      <c r="C203" s="192"/>
    </row>
    <row r="204" spans="2:6" hidden="1" x14ac:dyDescent="0.2">
      <c r="B204" s="279"/>
    </row>
    <row r="205" spans="2:6" hidden="1" x14ac:dyDescent="0.2">
      <c r="B205" s="279"/>
    </row>
    <row r="206" spans="2:6" hidden="1" x14ac:dyDescent="0.2">
      <c r="B206" s="279"/>
    </row>
    <row r="207" spans="2:6" hidden="1" x14ac:dyDescent="0.2"/>
    <row r="208" spans="2:6" hidden="1" x14ac:dyDescent="0.2"/>
    <row r="209" spans="2:14" hidden="1" x14ac:dyDescent="0.2">
      <c r="C209" s="310">
        <v>41698</v>
      </c>
      <c r="D209" s="310">
        <v>41609</v>
      </c>
      <c r="E209" s="310">
        <v>41548</v>
      </c>
      <c r="F209" s="310">
        <v>41487</v>
      </c>
      <c r="G209" s="631">
        <v>41426</v>
      </c>
      <c r="H209" s="310">
        <v>41365</v>
      </c>
      <c r="I209" s="733">
        <v>41306</v>
      </c>
      <c r="J209" s="310">
        <v>41274</v>
      </c>
      <c r="K209" s="310">
        <v>41213</v>
      </c>
      <c r="L209" s="310">
        <v>41152</v>
      </c>
      <c r="M209" s="311">
        <v>41090</v>
      </c>
      <c r="N209" s="310">
        <v>41029</v>
      </c>
    </row>
    <row r="210" spans="2:14" hidden="1" x14ac:dyDescent="0.2">
      <c r="B210" s="57" t="s">
        <v>131</v>
      </c>
      <c r="C210" s="227">
        <f>C73</f>
        <v>151531.95000000001</v>
      </c>
      <c r="D210" s="227">
        <f>105452.64+311868.06-305987</f>
        <v>111333.70000000001</v>
      </c>
      <c r="E210" s="227">
        <v>85798.300000000017</v>
      </c>
      <c r="F210" s="192">
        <f>53253.08+18642.89</f>
        <v>71895.97</v>
      </c>
      <c r="G210" s="631">
        <v>126315</v>
      </c>
      <c r="H210" s="192">
        <v>69404</v>
      </c>
      <c r="I210" s="733">
        <v>75744</v>
      </c>
      <c r="J210" s="192">
        <v>119840.47</v>
      </c>
      <c r="K210" s="192">
        <v>120024</v>
      </c>
      <c r="L210" s="192">
        <v>109142</v>
      </c>
      <c r="M210" s="309">
        <v>142216.66</v>
      </c>
      <c r="N210" s="192">
        <v>104785.62</v>
      </c>
    </row>
    <row r="211" spans="2:14" hidden="1" x14ac:dyDescent="0.2">
      <c r="B211" s="57" t="s">
        <v>132</v>
      </c>
      <c r="C211" s="227">
        <f>D73</f>
        <v>82646.23000000001</v>
      </c>
      <c r="D211" s="227">
        <f>74767.18-13600.56</f>
        <v>61166.619999999995</v>
      </c>
      <c r="E211" s="227">
        <v>86248.31</v>
      </c>
      <c r="F211" s="192">
        <v>43187.16</v>
      </c>
      <c r="G211" s="631">
        <v>60049</v>
      </c>
      <c r="H211" s="192">
        <v>101941</v>
      </c>
      <c r="I211" s="733">
        <v>43152</v>
      </c>
      <c r="J211" s="192">
        <v>58938.2</v>
      </c>
      <c r="K211" s="192">
        <v>85767</v>
      </c>
      <c r="L211" s="192">
        <v>119436</v>
      </c>
      <c r="M211" s="309">
        <v>73223.850000000006</v>
      </c>
      <c r="N211" s="192">
        <v>86907.23</v>
      </c>
    </row>
    <row r="212" spans="2:14" hidden="1" x14ac:dyDescent="0.2">
      <c r="B212" s="57" t="s">
        <v>133</v>
      </c>
      <c r="C212" s="227">
        <f>E73</f>
        <v>20668.510000000002</v>
      </c>
      <c r="D212" s="227">
        <f>66720.93-13675.33</f>
        <v>53045.599999999991</v>
      </c>
      <c r="E212" s="227">
        <v>32950.589999999997</v>
      </c>
      <c r="F212" s="192">
        <v>65970.55</v>
      </c>
      <c r="G212" s="631">
        <v>18719</v>
      </c>
      <c r="H212" s="192">
        <v>3668</v>
      </c>
      <c r="I212" s="733">
        <v>50430</v>
      </c>
      <c r="J212" s="192">
        <v>88408.17</v>
      </c>
      <c r="K212" s="192">
        <v>26680</v>
      </c>
      <c r="L212" s="192">
        <v>51922</v>
      </c>
      <c r="M212" s="309">
        <v>77261.37</v>
      </c>
      <c r="N212" s="192">
        <v>11021.67</v>
      </c>
    </row>
    <row r="213" spans="2:14" hidden="1" x14ac:dyDescent="0.2">
      <c r="B213" s="57" t="s">
        <v>134</v>
      </c>
      <c r="C213" s="227">
        <f>F73</f>
        <v>3096.88</v>
      </c>
      <c r="D213" s="227">
        <v>86322.43</v>
      </c>
      <c r="E213" s="227">
        <v>66109.450000000012</v>
      </c>
      <c r="F213" s="192">
        <v>56011.13</v>
      </c>
      <c r="G213" s="631">
        <v>1250</v>
      </c>
      <c r="H213" s="192">
        <v>0</v>
      </c>
      <c r="I213" s="733">
        <v>9959</v>
      </c>
      <c r="J213" s="192">
        <v>18374.45</v>
      </c>
      <c r="K213" s="192">
        <v>22103</v>
      </c>
      <c r="L213" s="192">
        <v>71168</v>
      </c>
      <c r="M213" s="309">
        <v>55167.87</v>
      </c>
      <c r="N213" s="192"/>
    </row>
    <row r="214" spans="2:14" hidden="1" x14ac:dyDescent="0.2">
      <c r="C214" s="227">
        <f>SUM(C210:C213)</f>
        <v>257943.57000000004</v>
      </c>
      <c r="D214" s="227">
        <f>SUM(D210:D213)</f>
        <v>311868.34999999998</v>
      </c>
      <c r="E214" s="227">
        <v>271106.65000000002</v>
      </c>
      <c r="F214" s="192">
        <f>SUM(F210:F213)</f>
        <v>237064.81</v>
      </c>
      <c r="G214" s="631">
        <f t="shared" ref="G214:N214" si="5">SUM(G210:G213)</f>
        <v>206333</v>
      </c>
      <c r="H214" s="192">
        <f t="shared" si="5"/>
        <v>175013</v>
      </c>
      <c r="I214" s="733">
        <f t="shared" si="5"/>
        <v>179285</v>
      </c>
      <c r="J214" s="192">
        <f t="shared" si="5"/>
        <v>285561.28999999998</v>
      </c>
      <c r="K214" s="192">
        <f t="shared" si="5"/>
        <v>254574</v>
      </c>
      <c r="L214" s="192">
        <f t="shared" si="5"/>
        <v>351668</v>
      </c>
      <c r="M214" s="192">
        <f t="shared" si="5"/>
        <v>347869.75</v>
      </c>
      <c r="N214" s="192">
        <f t="shared" si="5"/>
        <v>202714.52</v>
      </c>
    </row>
    <row r="215" spans="2:14" hidden="1" x14ac:dyDescent="0.2">
      <c r="D215" s="192"/>
      <c r="E215" s="192"/>
      <c r="F215" s="192"/>
      <c r="H215" s="192"/>
      <c r="I215" s="733"/>
      <c r="J215" s="192"/>
      <c r="K215" s="192"/>
      <c r="L215" s="309"/>
    </row>
    <row r="216" spans="2:14" hidden="1" x14ac:dyDescent="0.2">
      <c r="C216" s="192"/>
      <c r="D216" s="192"/>
      <c r="E216" s="192"/>
      <c r="F216" s="192"/>
      <c r="H216" s="309"/>
      <c r="J216" s="309"/>
      <c r="K216" s="309"/>
    </row>
    <row r="217" spans="2:14" hidden="1" x14ac:dyDescent="0.2">
      <c r="C217" s="192"/>
      <c r="D217" s="192"/>
      <c r="E217" s="192"/>
      <c r="F217" s="192"/>
      <c r="H217" s="309"/>
      <c r="J217" s="309"/>
      <c r="K217" s="309"/>
    </row>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topLeftCell="A25" zoomScale="70" zoomScaleNormal="70" workbookViewId="0">
      <selection activeCell="A47" sqref="A47:XFD47"/>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890" t="s">
        <v>49</v>
      </c>
      <c r="I6" s="890"/>
      <c r="J6" s="890"/>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44742</v>
      </c>
      <c r="I8" s="281"/>
      <c r="J8" s="281">
        <v>44561</v>
      </c>
      <c r="K8" s="71"/>
      <c r="L8" s="281">
        <f>H8-366+1</f>
        <v>44377</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387826.98</v>
      </c>
      <c r="I13" s="244"/>
      <c r="J13" s="244">
        <v>406500.45</v>
      </c>
      <c r="K13" s="76"/>
      <c r="L13" s="244">
        <v>497388.94</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200.04</v>
      </c>
      <c r="I14" s="234"/>
      <c r="J14" s="234">
        <v>200.04</v>
      </c>
      <c r="K14" s="76"/>
      <c r="L14" s="234">
        <v>199.96</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388227.01999999996</v>
      </c>
      <c r="I16" s="236"/>
      <c r="J16" s="236">
        <f>SUM(J13:J15)</f>
        <v>406900.49</v>
      </c>
      <c r="K16" s="68"/>
      <c r="L16" s="236">
        <f>ROUND(SUM(L10:L15),5)</f>
        <v>497788.9</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'June''22 AR Aging '!G73</f>
        <v>261303.56999999998</v>
      </c>
      <c r="I19" s="280"/>
      <c r="J19" s="280">
        <v>339829.81</v>
      </c>
      <c r="K19" s="247"/>
      <c r="L19" s="280">
        <v>254786.23</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160</v>
      </c>
      <c r="E20" s="79"/>
      <c r="F20" s="79"/>
      <c r="G20" s="280"/>
      <c r="H20" s="232">
        <v>0</v>
      </c>
      <c r="I20" s="232"/>
      <c r="J20" s="232">
        <v>999.33</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212</v>
      </c>
      <c r="E21" s="75"/>
      <c r="F21" s="75"/>
      <c r="G21" s="234"/>
      <c r="H21" s="234">
        <v>378955.05</v>
      </c>
      <c r="I21" s="234"/>
      <c r="J21" s="234">
        <v>334446.53999999998</v>
      </c>
      <c r="K21" s="247"/>
      <c r="L21" s="234">
        <v>222449.07</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79</v>
      </c>
      <c r="E22" s="78"/>
      <c r="F22" s="78"/>
      <c r="G22" s="232"/>
      <c r="H22" s="235">
        <f>4307.72+3000</f>
        <v>7307.72</v>
      </c>
      <c r="I22" s="232"/>
      <c r="J22" s="399">
        <v>4915.8999999999996</v>
      </c>
      <c r="K22" s="247"/>
      <c r="L22" s="235">
        <v>7799.8</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647566.34</v>
      </c>
      <c r="I23" s="237"/>
      <c r="J23" s="237">
        <f>SUM(J19:J22)</f>
        <v>680191.58</v>
      </c>
      <c r="K23" s="262"/>
      <c r="L23" s="237">
        <f>SUM(L19:L22)</f>
        <v>485035.10000000003</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34">
        <f>H16+H23</f>
        <v>1035793.3599999999</v>
      </c>
      <c r="I25" s="237"/>
      <c r="J25" s="734">
        <f>J16+J23</f>
        <v>1087092.0699999998</v>
      </c>
      <c r="K25" s="68"/>
      <c r="L25" s="734">
        <f>L16+L23</f>
        <v>982824</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5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328</v>
      </c>
      <c r="C32" s="80"/>
      <c r="D32" s="80"/>
      <c r="E32" s="80"/>
      <c r="F32" s="80"/>
      <c r="G32" s="237"/>
      <c r="H32" s="239">
        <f>113692.33+722</f>
        <v>114414.33</v>
      </c>
      <c r="I32" s="237"/>
      <c r="J32" s="239">
        <v>130132.16</v>
      </c>
      <c r="K32" s="68"/>
      <c r="L32" s="239">
        <v>147777.31</v>
      </c>
      <c r="M32" s="68"/>
      <c r="N32" s="68"/>
      <c r="O32" s="68"/>
      <c r="P32" s="752"/>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1150207.69</v>
      </c>
      <c r="I35" s="269"/>
      <c r="J35" s="245">
        <f>J25+J32</f>
        <v>1217224.2299999997</v>
      </c>
      <c r="K35" s="82"/>
      <c r="L35" s="245">
        <f>L25+L32</f>
        <v>1130601.31</v>
      </c>
      <c r="M35" s="82"/>
      <c r="N35" s="82"/>
      <c r="O35" s="82"/>
      <c r="P35" s="625"/>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25248.8+0.5</f>
        <v>25249.3</v>
      </c>
      <c r="I42" s="246"/>
      <c r="J42" s="246">
        <v>46360.43</v>
      </c>
      <c r="K42" s="380"/>
      <c r="L42" s="246">
        <v>50839.05</v>
      </c>
      <c r="M42" s="76"/>
      <c r="N42" s="380"/>
      <c r="O42" s="76"/>
      <c r="P42" s="735"/>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2802.96</v>
      </c>
      <c r="I43" s="232"/>
      <c r="J43" s="232">
        <v>655.5</v>
      </c>
      <c r="K43" s="76"/>
      <c r="L43" s="232">
        <v>221.01</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412</v>
      </c>
      <c r="F44" s="421"/>
      <c r="G44" s="232"/>
      <c r="H44" s="232">
        <v>0</v>
      </c>
      <c r="I44" s="232"/>
      <c r="J44" s="232"/>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84</v>
      </c>
      <c r="F45" s="75"/>
      <c r="G45" s="232"/>
      <c r="H45" s="234">
        <v>1226.78</v>
      </c>
      <c r="I45" s="234"/>
      <c r="J45" s="234">
        <v>23785</v>
      </c>
      <c r="K45" s="76"/>
      <c r="L45" s="234">
        <f>2714.25</f>
        <v>2714.25</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156</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95</v>
      </c>
      <c r="E47" s="152"/>
      <c r="F47" s="78"/>
      <c r="G47" s="232"/>
      <c r="H47" s="234">
        <f>'June''22 Revenues &amp; Expenses'!L55</f>
        <v>131867.25</v>
      </c>
      <c r="I47" s="322"/>
      <c r="J47" s="234">
        <v>127942.94</v>
      </c>
      <c r="K47" s="247"/>
      <c r="L47" s="234">
        <v>37906.83</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71</v>
      </c>
      <c r="D48" s="75"/>
      <c r="F48" s="75"/>
      <c r="G48" s="232"/>
      <c r="H48" s="242">
        <f>SUM(H42:H47)</f>
        <v>161146.29</v>
      </c>
      <c r="I48" s="322"/>
      <c r="J48" s="242">
        <f>SUM(J42:J47)</f>
        <v>198743.87</v>
      </c>
      <c r="K48" s="76"/>
      <c r="L48" s="242">
        <f>SUM(L42:L47)</f>
        <v>289081.14</v>
      </c>
      <c r="M48" s="76"/>
      <c r="N48" s="76"/>
      <c r="O48" s="76"/>
      <c r="P48" s="735"/>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73</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87</v>
      </c>
      <c r="E51" s="75"/>
      <c r="F51" s="75"/>
      <c r="G51" s="232"/>
      <c r="H51" s="232">
        <f>38352.98+4336.51-H53-H54</f>
        <v>40249.910000000003</v>
      </c>
      <c r="I51" s="322"/>
      <c r="J51" s="232">
        <f>36749.24+3605.15-J53-J54</f>
        <v>37944.31</v>
      </c>
      <c r="K51" s="76"/>
      <c r="L51" s="232">
        <f>28998.46+3689.67-L53-L54</f>
        <v>31254.789999999997</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88</v>
      </c>
      <c r="E52" s="75"/>
      <c r="F52" s="75"/>
      <c r="G52" s="232"/>
      <c r="H52" s="232">
        <v>39737.18</v>
      </c>
      <c r="I52" s="322"/>
      <c r="J52" s="232">
        <v>22462.79</v>
      </c>
      <c r="K52" s="76"/>
      <c r="L52" s="232">
        <v>35529.82</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89</v>
      </c>
      <c r="E53" s="75"/>
      <c r="F53" s="75"/>
      <c r="G53" s="232"/>
      <c r="H53" s="234">
        <v>2279.98</v>
      </c>
      <c r="I53" s="322"/>
      <c r="J53" s="234">
        <v>2203.98</v>
      </c>
      <c r="K53" s="76"/>
      <c r="L53" s="234">
        <v>1311.64</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90</v>
      </c>
      <c r="E54" s="75"/>
      <c r="F54" s="75"/>
      <c r="G54" s="232"/>
      <c r="H54" s="235">
        <v>159.6</v>
      </c>
      <c r="I54" s="322"/>
      <c r="J54" s="235">
        <v>206.1</v>
      </c>
      <c r="K54" s="76"/>
      <c r="L54" s="235">
        <v>121.7</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72</v>
      </c>
      <c r="D55" s="75"/>
      <c r="F55" s="79"/>
      <c r="G55" s="232"/>
      <c r="H55" s="232">
        <f>ROUND(SUM(H50:H54),5)</f>
        <v>82426.67</v>
      </c>
      <c r="I55" s="322"/>
      <c r="J55" s="232">
        <f>SUM(J51:J54)</f>
        <v>62817.18</v>
      </c>
      <c r="K55" s="76"/>
      <c r="L55" s="232">
        <f>ROUND(SUM(L50:L54),5)</f>
        <v>68217.95</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74</v>
      </c>
      <c r="D57" s="73"/>
      <c r="E57" s="73"/>
      <c r="F57" s="73"/>
      <c r="G57" s="237"/>
      <c r="H57" s="236">
        <f>H48+H55</f>
        <v>243572.96000000002</v>
      </c>
      <c r="I57" s="385"/>
      <c r="J57" s="236">
        <f>J48+J55</f>
        <v>261561.05</v>
      </c>
      <c r="K57" s="262"/>
      <c r="L57" s="236">
        <f>L48+L55</f>
        <v>357299.09</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62</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331</v>
      </c>
      <c r="E60" s="75"/>
      <c r="F60" s="75"/>
      <c r="G60" s="232"/>
      <c r="H60" s="234">
        <f>J60+J62</f>
        <v>942447.58400000026</v>
      </c>
      <c r="I60" s="322"/>
      <c r="J60" s="234">
        <f>688043.29+35972.48+12500</f>
        <v>736515.77</v>
      </c>
      <c r="K60" s="247"/>
      <c r="L60" s="234">
        <v>736515.77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332</v>
      </c>
      <c r="E61" s="75"/>
      <c r="F61" s="75"/>
      <c r="G61" s="232"/>
      <c r="H61" s="234">
        <f>'June''22 Revenues &amp; Expenses'!L73-0.5</f>
        <v>65394.17</v>
      </c>
      <c r="I61" s="322"/>
      <c r="J61" s="234">
        <v>13215.59</v>
      </c>
      <c r="K61" s="247"/>
      <c r="L61" s="234">
        <v>58292.54</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129</v>
      </c>
      <c r="E62" s="73"/>
      <c r="F62" s="87"/>
      <c r="G62" s="322"/>
      <c r="H62" s="241">
        <f>'June''22 State of Activities'!G58</f>
        <v>-101207.15000000002</v>
      </c>
      <c r="I62" s="322"/>
      <c r="J62" s="241">
        <f>'June''22 State of Activities'!H58</f>
        <v>205931.81400000025</v>
      </c>
      <c r="K62" s="68"/>
      <c r="L62" s="241">
        <f>'June''22 State of Activities'!J58</f>
        <v>-21506.090000000317</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63</v>
      </c>
      <c r="C63" s="90"/>
      <c r="D63" s="90"/>
      <c r="E63" s="90"/>
      <c r="F63" s="67"/>
      <c r="G63" s="385"/>
      <c r="H63" s="237">
        <f>ROUND(SUM(H59:H62),5)</f>
        <v>906634.60400000005</v>
      </c>
      <c r="I63" s="385"/>
      <c r="J63" s="237">
        <f>ROUND(SUM(J59:J62),5)</f>
        <v>955663.174</v>
      </c>
      <c r="K63" s="68"/>
      <c r="L63" s="237">
        <f>ROUND(SUM(L59:L62),5)</f>
        <v>773302.22</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64</v>
      </c>
      <c r="B65" s="81"/>
      <c r="C65" s="81"/>
      <c r="D65" s="81"/>
      <c r="E65" s="81"/>
      <c r="F65" s="81"/>
      <c r="G65" s="386"/>
      <c r="H65" s="354">
        <f>SUM(H57+H63)</f>
        <v>1150207.564</v>
      </c>
      <c r="I65" s="386"/>
      <c r="J65" s="354">
        <f>SUM(J57+J63)</f>
        <v>1217224.2239999999</v>
      </c>
      <c r="K65" s="82"/>
      <c r="L65" s="354">
        <f>SUM(L57+L63)</f>
        <v>1130601.31</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48" t="s">
        <v>198</v>
      </c>
      <c r="D68" s="948"/>
      <c r="E68" s="948"/>
      <c r="F68" s="948"/>
      <c r="G68" s="1"/>
      <c r="H68" s="436">
        <f>(H19+H16)/H57</f>
        <v>2.6666777379558058</v>
      </c>
      <c r="J68" s="436">
        <v>3.7805007540674778</v>
      </c>
      <c r="K68" s="262"/>
      <c r="L68" s="436">
        <f>(L19+L16)/L57</f>
        <v>2.1062889636802602</v>
      </c>
    </row>
    <row r="71" spans="1:61" x14ac:dyDescent="0.2">
      <c r="G71" s="272"/>
      <c r="H71" s="249"/>
      <c r="I71" s="272"/>
      <c r="J71" s="249"/>
      <c r="L71" s="249">
        <f>L65-L35</f>
        <v>0</v>
      </c>
    </row>
    <row r="72" spans="1:61" x14ac:dyDescent="0.2">
      <c r="L72" s="605"/>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40" zoomScale="70" zoomScaleNormal="70" workbookViewId="0">
      <selection activeCell="N32" sqref="N32"/>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3.125" style="18" customWidth="1"/>
    <col min="9" max="9" width="1.625" style="18" customWidth="1"/>
    <col min="10" max="10" width="23" style="18" customWidth="1"/>
    <col min="11" max="11" width="1.875" style="367" customWidth="1"/>
    <col min="12" max="12" width="17.25" style="18" customWidth="1"/>
    <col min="13" max="13" width="10.75" style="18" bestFit="1" customWidth="1"/>
    <col min="14" max="14" width="72.625" style="53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9"/>
      <c r="L1" s="59"/>
      <c r="M1" s="59"/>
      <c r="N1" s="527"/>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334</v>
      </c>
      <c r="B2" s="59"/>
      <c r="C2" s="60"/>
      <c r="D2" s="60"/>
      <c r="E2" s="60"/>
      <c r="F2" s="59"/>
      <c r="G2" s="230"/>
      <c r="H2" s="59"/>
      <c r="I2" s="59"/>
      <c r="J2" s="230"/>
      <c r="K2" s="359"/>
      <c r="L2" s="59"/>
      <c r="M2" s="59"/>
      <c r="N2" s="527"/>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565</v>
      </c>
      <c r="B3" s="59"/>
      <c r="C3" s="60"/>
      <c r="D3" s="60"/>
      <c r="E3" s="60"/>
      <c r="F3" s="59"/>
      <c r="G3" s="230"/>
      <c r="H3" s="59"/>
      <c r="I3" s="59"/>
      <c r="J3" s="59"/>
      <c r="K3" s="359"/>
      <c r="L3" s="59"/>
      <c r="M3" s="59"/>
      <c r="N3" s="527"/>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502</v>
      </c>
      <c r="B4" s="59"/>
      <c r="C4" s="60"/>
      <c r="D4" s="60"/>
      <c r="E4" s="60"/>
      <c r="F4" s="59"/>
      <c r="G4" s="230"/>
      <c r="H4" s="59"/>
      <c r="I4" s="59"/>
      <c r="J4" s="59"/>
      <c r="K4" s="359"/>
      <c r="L4" s="59"/>
      <c r="M4" s="59"/>
      <c r="N4" s="527"/>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8"/>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890" t="s">
        <v>49</v>
      </c>
      <c r="H6" s="890"/>
      <c r="I6" s="890"/>
      <c r="J6" s="890"/>
      <c r="K6" s="612"/>
      <c r="L6" s="416" t="s">
        <v>181</v>
      </c>
      <c r="M6" s="413" t="s">
        <v>193</v>
      </c>
      <c r="N6" s="612"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29"/>
    </row>
    <row r="8" spans="1:113" s="72" customFormat="1" ht="21" thickBot="1" x14ac:dyDescent="0.35">
      <c r="A8" s="69"/>
      <c r="B8" s="153" t="s">
        <v>100</v>
      </c>
      <c r="C8" s="153"/>
      <c r="D8" s="153"/>
      <c r="E8" s="153"/>
      <c r="F8" s="153"/>
      <c r="G8" s="281">
        <f>'June''22 Financial Position'!H8</f>
        <v>44742</v>
      </c>
      <c r="H8" s="281">
        <v>44561</v>
      </c>
      <c r="I8" s="323"/>
      <c r="J8" s="281">
        <f>G8-365</f>
        <v>44377</v>
      </c>
      <c r="K8" s="363"/>
      <c r="L8" s="949" t="s">
        <v>567</v>
      </c>
      <c r="M8" s="949"/>
      <c r="N8" s="83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411081.24</v>
      </c>
      <c r="H9" s="263">
        <v>639880.07999999996</v>
      </c>
      <c r="I9" s="326"/>
      <c r="J9" s="263">
        <v>302342.76</v>
      </c>
      <c r="K9" s="362"/>
      <c r="L9" s="379">
        <f>G9-J9</f>
        <v>108738.47999999998</v>
      </c>
      <c r="M9" s="437">
        <f>L9/J9</f>
        <v>0.35965299780950594</v>
      </c>
      <c r="N9" s="530"/>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150</v>
      </c>
      <c r="D10" s="75"/>
      <c r="E10" s="75"/>
      <c r="F10" s="73"/>
      <c r="G10" s="264">
        <v>40166.559999999998</v>
      </c>
      <c r="H10" s="264">
        <v>85610.11</v>
      </c>
      <c r="I10" s="322"/>
      <c r="J10" s="264">
        <v>35824.76</v>
      </c>
      <c r="K10" s="362"/>
      <c r="L10" s="275">
        <f>G10-J10</f>
        <v>4341.7999999999956</v>
      </c>
      <c r="M10" s="437">
        <f>L10/J10</f>
        <v>0.12119550835790653</v>
      </c>
      <c r="N10" s="529"/>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566</v>
      </c>
      <c r="D11" s="421"/>
      <c r="E11" s="421"/>
      <c r="F11" s="73"/>
      <c r="G11" s="264">
        <v>0</v>
      </c>
      <c r="H11" s="264">
        <v>162.47</v>
      </c>
      <c r="I11" s="322"/>
      <c r="J11" s="264">
        <v>0</v>
      </c>
      <c r="K11" s="362"/>
      <c r="L11" s="275">
        <f>G11-J11</f>
        <v>0</v>
      </c>
      <c r="M11" s="437"/>
      <c r="N11" s="529"/>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179</v>
      </c>
      <c r="D12" s="75"/>
      <c r="E12" s="75"/>
      <c r="F12" s="73"/>
      <c r="G12" s="264">
        <v>18873.05</v>
      </c>
      <c r="H12" s="264">
        <v>39312.44</v>
      </c>
      <c r="I12" s="322"/>
      <c r="J12" s="264">
        <v>19804.96</v>
      </c>
      <c r="K12" s="362"/>
      <c r="L12" s="275">
        <f>G12-J12</f>
        <v>-931.90999999999985</v>
      </c>
      <c r="M12" s="437">
        <f>L12/J12</f>
        <v>-4.705437425776169E-2</v>
      </c>
      <c r="N12" s="529"/>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102</v>
      </c>
      <c r="D13" s="75"/>
      <c r="E13" s="75"/>
      <c r="F13" s="73"/>
      <c r="G13" s="264"/>
      <c r="H13" s="264"/>
      <c r="I13" s="322"/>
      <c r="J13" s="264"/>
      <c r="K13" s="362"/>
      <c r="L13" s="275"/>
      <c r="M13" s="437"/>
      <c r="N13" s="529"/>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139</v>
      </c>
      <c r="E14" s="75"/>
      <c r="F14" s="73"/>
      <c r="G14" s="264">
        <v>108762.77</v>
      </c>
      <c r="H14" s="264">
        <v>199860.3</v>
      </c>
      <c r="I14" s="322"/>
      <c r="J14" s="264">
        <v>104567.55</v>
      </c>
      <c r="K14" s="362"/>
      <c r="L14" s="275">
        <f t="shared" ref="L14:L28" si="0">G14-J14</f>
        <v>4195.2200000000012</v>
      </c>
      <c r="M14" s="437">
        <f>L14/J14</f>
        <v>4.0119712090414296E-2</v>
      </c>
      <c r="N14" s="529"/>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159</v>
      </c>
      <c r="E15" s="75"/>
      <c r="F15" s="73"/>
      <c r="G15" s="264">
        <v>9000</v>
      </c>
      <c r="H15" s="264">
        <v>18000</v>
      </c>
      <c r="I15" s="322"/>
      <c r="J15" s="264">
        <f>G15</f>
        <v>9000</v>
      </c>
      <c r="K15" s="362"/>
      <c r="L15" s="275">
        <f t="shared" si="0"/>
        <v>0</v>
      </c>
      <c r="M15" s="437">
        <f>L15/J15</f>
        <v>0</v>
      </c>
      <c r="N15" s="52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409</v>
      </c>
      <c r="E16" s="421"/>
      <c r="F16" s="73"/>
      <c r="G16" s="264">
        <v>206093.18</v>
      </c>
      <c r="H16" s="264">
        <v>195826.92</v>
      </c>
      <c r="I16" s="322"/>
      <c r="J16" s="264">
        <v>71050.460000000006</v>
      </c>
      <c r="K16" s="362"/>
      <c r="L16" s="275">
        <f t="shared" si="0"/>
        <v>135042.71999999997</v>
      </c>
      <c r="M16" s="437">
        <f>L16/J16</f>
        <v>1.9006593342252811</v>
      </c>
      <c r="N16" s="529" t="s">
        <v>503</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103</v>
      </c>
      <c r="D17" s="75"/>
      <c r="E17" s="75"/>
      <c r="F17" s="73"/>
      <c r="G17" s="264">
        <v>7735.85</v>
      </c>
      <c r="H17" s="264">
        <v>17445.740000000002</v>
      </c>
      <c r="I17" s="322"/>
      <c r="J17" s="264">
        <v>8228.7000000000007</v>
      </c>
      <c r="K17" s="362"/>
      <c r="L17" s="275">
        <f t="shared" si="0"/>
        <v>-492.85000000000036</v>
      </c>
      <c r="M17" s="437">
        <f t="shared" ref="M17:M23" si="1">L17/J17</f>
        <v>-5.9894029433567919E-2</v>
      </c>
      <c r="N17" s="530"/>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161</v>
      </c>
      <c r="D18" s="390"/>
      <c r="E18" s="390"/>
      <c r="F18" s="73"/>
      <c r="G18" s="264">
        <v>0</v>
      </c>
      <c r="H18" s="264">
        <v>489.56</v>
      </c>
      <c r="I18" s="322"/>
      <c r="J18" s="264">
        <v>0</v>
      </c>
      <c r="K18" s="362"/>
      <c r="L18" s="275">
        <f t="shared" si="0"/>
        <v>0</v>
      </c>
      <c r="M18" s="437"/>
      <c r="N18" s="530"/>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110</v>
      </c>
      <c r="D19" s="75"/>
      <c r="E19" s="75"/>
      <c r="F19" s="73"/>
      <c r="G19" s="264">
        <v>207.15</v>
      </c>
      <c r="H19" s="264">
        <v>551.77</v>
      </c>
      <c r="I19" s="322"/>
      <c r="J19" s="264">
        <v>331.25</v>
      </c>
      <c r="K19" s="362"/>
      <c r="L19" s="275">
        <f t="shared" si="0"/>
        <v>-124.1</v>
      </c>
      <c r="M19" s="437">
        <f t="shared" si="1"/>
        <v>-0.37464150943396224</v>
      </c>
      <c r="N19" s="529"/>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237</v>
      </c>
      <c r="D20" s="390"/>
      <c r="E20" s="390"/>
      <c r="F20" s="73"/>
      <c r="G20" s="264">
        <v>181.43</v>
      </c>
      <c r="H20" s="264">
        <v>13040.92</v>
      </c>
      <c r="I20" s="322"/>
      <c r="J20" s="264">
        <v>102.07</v>
      </c>
      <c r="K20" s="362"/>
      <c r="L20" s="275">
        <f t="shared" si="0"/>
        <v>79.360000000000014</v>
      </c>
      <c r="M20" s="437">
        <f t="shared" si="1"/>
        <v>0.77750563338885093</v>
      </c>
      <c r="N20" s="529"/>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304</v>
      </c>
      <c r="D21" s="75"/>
      <c r="E21" s="75"/>
      <c r="F21" s="73"/>
      <c r="G21" s="264">
        <v>-55672.92</v>
      </c>
      <c r="H21" s="264">
        <v>14856.56</v>
      </c>
      <c r="I21" s="322"/>
      <c r="J21" s="264">
        <v>15797.94</v>
      </c>
      <c r="K21" s="362"/>
      <c r="L21" s="275">
        <f t="shared" si="0"/>
        <v>-71470.86</v>
      </c>
      <c r="M21" s="437">
        <f t="shared" si="1"/>
        <v>-4.5240619979566956</v>
      </c>
      <c r="N21" s="52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472</v>
      </c>
      <c r="D22" s="75"/>
      <c r="E22" s="75"/>
      <c r="F22" s="73"/>
      <c r="G22" s="264">
        <v>29075.75</v>
      </c>
      <c r="H22" s="264">
        <v>98525.94</v>
      </c>
      <c r="I22" s="322"/>
      <c r="J22" s="264">
        <v>39662.050000000003</v>
      </c>
      <c r="K22" s="362"/>
      <c r="L22" s="275">
        <f t="shared" si="0"/>
        <v>-10586.300000000003</v>
      </c>
      <c r="M22" s="437">
        <f t="shared" si="1"/>
        <v>-0.26691257764033888</v>
      </c>
      <c r="N22" s="529"/>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145</v>
      </c>
      <c r="D23" s="75"/>
      <c r="E23" s="75"/>
      <c r="F23" s="73"/>
      <c r="G23" s="264">
        <v>15336.73</v>
      </c>
      <c r="H23" s="264">
        <f>31219.52-H11</f>
        <v>31057.05</v>
      </c>
      <c r="I23" s="322"/>
      <c r="J23" s="264">
        <v>12072.22</v>
      </c>
      <c r="K23" s="362"/>
      <c r="L23" s="275">
        <f t="shared" si="0"/>
        <v>3264.51</v>
      </c>
      <c r="M23" s="437">
        <f t="shared" si="1"/>
        <v>0.27041505207824246</v>
      </c>
      <c r="N23" s="628"/>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471</v>
      </c>
      <c r="D24" s="421"/>
      <c r="E24" s="421"/>
      <c r="F24" s="73"/>
      <c r="G24" s="264"/>
      <c r="H24" s="264">
        <v>197400</v>
      </c>
      <c r="I24" s="322"/>
      <c r="J24" s="264"/>
      <c r="K24" s="362"/>
      <c r="L24" s="275">
        <f t="shared" si="0"/>
        <v>0</v>
      </c>
      <c r="M24" s="437"/>
      <c r="N24" s="628"/>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324</v>
      </c>
      <c r="D25" s="75"/>
      <c r="E25" s="75"/>
      <c r="F25" s="73"/>
      <c r="G25" s="264"/>
      <c r="H25" s="264">
        <v>3150</v>
      </c>
      <c r="I25" s="322"/>
      <c r="J25" s="264">
        <v>3150</v>
      </c>
      <c r="K25" s="362"/>
      <c r="L25" s="275">
        <f t="shared" si="0"/>
        <v>-3150</v>
      </c>
      <c r="M25" s="437">
        <v>1</v>
      </c>
      <c r="N25" s="529"/>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109</v>
      </c>
      <c r="D26" s="75"/>
      <c r="E26" s="75"/>
      <c r="F26" s="73"/>
      <c r="G26" s="265">
        <v>26370</v>
      </c>
      <c r="H26" s="265">
        <v>52740</v>
      </c>
      <c r="I26" s="322"/>
      <c r="J26" s="265">
        <f>G26</f>
        <v>26370</v>
      </c>
      <c r="K26" s="362"/>
      <c r="L26" s="378">
        <f t="shared" si="0"/>
        <v>0</v>
      </c>
      <c r="M26" s="465">
        <f>L26/J26</f>
        <v>0</v>
      </c>
      <c r="N26" s="52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105</v>
      </c>
      <c r="E27" s="75"/>
      <c r="F27" s="73"/>
      <c r="G27" s="264">
        <f>SUM(G9:G26)</f>
        <v>817210.79</v>
      </c>
      <c r="H27" s="234">
        <f>SUM(H9:H26)</f>
        <v>1607909.8599999999</v>
      </c>
      <c r="I27" s="232"/>
      <c r="J27" s="234">
        <f>SUM(J9:J26)</f>
        <v>648304.71999999986</v>
      </c>
      <c r="K27" s="362"/>
      <c r="L27" s="234">
        <f t="shared" si="0"/>
        <v>168906.07000000018</v>
      </c>
      <c r="M27" s="437">
        <f>L27/J27</f>
        <v>0.26053499965263283</v>
      </c>
      <c r="N27" s="529"/>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106</v>
      </c>
      <c r="D28" s="75"/>
      <c r="E28" s="75"/>
      <c r="F28" s="73"/>
      <c r="G28" s="265">
        <v>50220.94</v>
      </c>
      <c r="H28" s="241">
        <v>96686.19</v>
      </c>
      <c r="I28" s="232"/>
      <c r="J28" s="241">
        <v>45109.24</v>
      </c>
      <c r="K28" s="362"/>
      <c r="L28" s="241">
        <f t="shared" si="0"/>
        <v>5111.7000000000044</v>
      </c>
      <c r="M28" s="465">
        <f>L28/J28</f>
        <v>0.11331824699329904</v>
      </c>
      <c r="N28" s="530"/>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107</v>
      </c>
      <c r="E29" s="75"/>
      <c r="F29" s="73"/>
      <c r="G29" s="234">
        <f>SUM(G27:G28)</f>
        <v>867431.73</v>
      </c>
      <c r="H29" s="234">
        <f>SUM(H27:H28)</f>
        <v>1704596.0499999998</v>
      </c>
      <c r="I29" s="232"/>
      <c r="J29" s="234">
        <f>SUM(J27:J28)</f>
        <v>693413.95999999985</v>
      </c>
      <c r="K29" s="262"/>
      <c r="L29" s="234">
        <f>SUM(L27:L28)</f>
        <v>174017.77000000019</v>
      </c>
      <c r="M29" s="437">
        <f>L29/J29</f>
        <v>0.25095798475127357</v>
      </c>
      <c r="N29" s="530"/>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4"/>
      <c r="N30" s="529"/>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111</v>
      </c>
      <c r="C31" s="87"/>
      <c r="D31" s="87"/>
      <c r="E31" s="87"/>
      <c r="F31" s="87"/>
      <c r="G31" s="241"/>
      <c r="H31" s="241"/>
      <c r="I31" s="68"/>
      <c r="J31" s="241"/>
      <c r="K31" s="362"/>
      <c r="L31" s="403"/>
      <c r="M31" s="514"/>
      <c r="N31" s="53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112</v>
      </c>
      <c r="D32" s="79"/>
      <c r="E32" s="79"/>
      <c r="F32" s="79"/>
      <c r="G32" s="232">
        <v>497094.85</v>
      </c>
      <c r="H32" s="232">
        <v>873066.21</v>
      </c>
      <c r="I32" s="275"/>
      <c r="J32" s="232">
        <v>410457.17</v>
      </c>
      <c r="K32" s="362"/>
      <c r="L32" s="275">
        <f t="shared" ref="L32:L54" si="2">G32-J32</f>
        <v>86637.68</v>
      </c>
      <c r="M32" s="437">
        <f t="shared" ref="M32:M43" si="3">L32/J32</f>
        <v>0.21107605453694472</v>
      </c>
      <c r="N32" s="530" t="s">
        <v>524</v>
      </c>
    </row>
    <row r="33" spans="1:16" s="68" customFormat="1" ht="20.25" x14ac:dyDescent="0.2">
      <c r="A33" s="67"/>
      <c r="B33" s="395"/>
      <c r="C33" s="79" t="s">
        <v>113</v>
      </c>
      <c r="D33" s="79"/>
      <c r="E33" s="79"/>
      <c r="F33" s="79"/>
      <c r="G33" s="232">
        <v>110116.65</v>
      </c>
      <c r="H33" s="232">
        <v>163567.74</v>
      </c>
      <c r="I33" s="275"/>
      <c r="J33" s="232">
        <v>80784.94</v>
      </c>
      <c r="K33" s="362"/>
      <c r="L33" s="275">
        <f t="shared" si="2"/>
        <v>29331.709999999992</v>
      </c>
      <c r="M33" s="437">
        <f t="shared" si="3"/>
        <v>0.36308388667491726</v>
      </c>
      <c r="N33" s="728"/>
    </row>
    <row r="34" spans="1:16" s="68" customFormat="1" ht="20.25" x14ac:dyDescent="0.2">
      <c r="A34" s="67"/>
      <c r="B34" s="395"/>
      <c r="C34" s="79" t="s">
        <v>114</v>
      </c>
      <c r="D34" s="79"/>
      <c r="E34" s="79"/>
      <c r="F34" s="79"/>
      <c r="G34" s="232">
        <f>150*6</f>
        <v>900</v>
      </c>
      <c r="H34" s="232">
        <f>54540-H26</f>
        <v>1800</v>
      </c>
      <c r="I34" s="275"/>
      <c r="J34" s="232">
        <f>G34</f>
        <v>900</v>
      </c>
      <c r="K34" s="362"/>
      <c r="L34" s="275">
        <f t="shared" si="2"/>
        <v>0</v>
      </c>
      <c r="M34" s="437">
        <f t="shared" si="3"/>
        <v>0</v>
      </c>
      <c r="N34" s="678"/>
    </row>
    <row r="35" spans="1:16" s="68" customFormat="1" ht="20.25" x14ac:dyDescent="0.2">
      <c r="A35" s="67"/>
      <c r="B35" s="395"/>
      <c r="C35" s="79" t="s">
        <v>104</v>
      </c>
      <c r="D35" s="79"/>
      <c r="E35" s="79"/>
      <c r="F35" s="79"/>
      <c r="G35" s="232">
        <f>G26</f>
        <v>26370</v>
      </c>
      <c r="H35" s="232">
        <f>H26</f>
        <v>52740</v>
      </c>
      <c r="I35" s="275"/>
      <c r="J35" s="232">
        <f>J26</f>
        <v>26370</v>
      </c>
      <c r="K35" s="362"/>
      <c r="L35" s="275">
        <f t="shared" si="2"/>
        <v>0</v>
      </c>
      <c r="M35" s="437">
        <f t="shared" si="3"/>
        <v>0</v>
      </c>
      <c r="N35" s="678"/>
    </row>
    <row r="36" spans="1:16" s="68" customFormat="1" ht="20.25" x14ac:dyDescent="0.2">
      <c r="A36" s="67"/>
      <c r="B36" s="395"/>
      <c r="C36" s="79" t="s">
        <v>115</v>
      </c>
      <c r="D36" s="79"/>
      <c r="E36" s="79"/>
      <c r="F36" s="79"/>
      <c r="G36" s="232">
        <v>10601.49</v>
      </c>
      <c r="H36" s="232">
        <v>20551.490000000002</v>
      </c>
      <c r="I36" s="275"/>
      <c r="J36" s="232">
        <v>10305.75</v>
      </c>
      <c r="K36" s="362"/>
      <c r="L36" s="275">
        <f t="shared" si="2"/>
        <v>295.73999999999978</v>
      </c>
      <c r="M36" s="437">
        <f t="shared" si="3"/>
        <v>2.8696601411833177E-2</v>
      </c>
      <c r="N36" s="678"/>
    </row>
    <row r="37" spans="1:16" s="68" customFormat="1" ht="20.25" x14ac:dyDescent="0.2">
      <c r="A37" s="67"/>
      <c r="B37" s="395"/>
      <c r="C37" s="79" t="s">
        <v>116</v>
      </c>
      <c r="D37" s="79"/>
      <c r="E37" s="79"/>
      <c r="F37" s="79"/>
      <c r="G37" s="232">
        <v>1483.23</v>
      </c>
      <c r="H37" s="232">
        <v>2608.8200000000002</v>
      </c>
      <c r="I37" s="275"/>
      <c r="J37" s="232">
        <v>1308.01</v>
      </c>
      <c r="K37" s="362"/>
      <c r="L37" s="275">
        <f t="shared" si="2"/>
        <v>175.22000000000003</v>
      </c>
      <c r="M37" s="437">
        <f t="shared" si="3"/>
        <v>0.13395922049525619</v>
      </c>
      <c r="N37" s="678"/>
    </row>
    <row r="38" spans="1:16" s="68" customFormat="1" ht="20.25" x14ac:dyDescent="0.2">
      <c r="A38" s="67"/>
      <c r="B38" s="395"/>
      <c r="C38" s="79" t="s">
        <v>117</v>
      </c>
      <c r="D38" s="79"/>
      <c r="E38" s="79"/>
      <c r="F38" s="79"/>
      <c r="G38" s="232">
        <v>1819.45</v>
      </c>
      <c r="H38" s="232">
        <v>4468.68</v>
      </c>
      <c r="I38" s="275"/>
      <c r="J38" s="232">
        <v>1979.09</v>
      </c>
      <c r="K38" s="362"/>
      <c r="L38" s="275">
        <f t="shared" si="2"/>
        <v>-159.63999999999987</v>
      </c>
      <c r="M38" s="437">
        <f t="shared" si="3"/>
        <v>-8.0663335169193856E-2</v>
      </c>
      <c r="N38" s="678"/>
    </row>
    <row r="39" spans="1:16" s="68" customFormat="1" ht="20.25" x14ac:dyDescent="0.2">
      <c r="A39" s="67"/>
      <c r="B39" s="395"/>
      <c r="C39" s="79" t="s">
        <v>118</v>
      </c>
      <c r="D39" s="79"/>
      <c r="E39" s="79"/>
      <c r="F39" s="79"/>
      <c r="G39" s="232">
        <v>7239.12</v>
      </c>
      <c r="H39" s="232">
        <v>11468.65</v>
      </c>
      <c r="I39" s="275"/>
      <c r="J39" s="232">
        <v>2879.29</v>
      </c>
      <c r="K39" s="362"/>
      <c r="L39" s="275">
        <f t="shared" si="2"/>
        <v>4359.83</v>
      </c>
      <c r="M39" s="437">
        <f t="shared" si="3"/>
        <v>1.5142031542498324</v>
      </c>
      <c r="N39" s="678"/>
    </row>
    <row r="40" spans="1:16" s="68" customFormat="1" ht="20.25" x14ac:dyDescent="0.2">
      <c r="A40" s="67"/>
      <c r="B40" s="395"/>
      <c r="C40" s="79" t="s">
        <v>119</v>
      </c>
      <c r="D40" s="79"/>
      <c r="E40" s="79"/>
      <c r="F40" s="79"/>
      <c r="G40" s="232">
        <f>13938.34+7644.52</f>
        <v>21582.86</v>
      </c>
      <c r="H40" s="232">
        <f>26437.37+17898.29</f>
        <v>44335.66</v>
      </c>
      <c r="I40" s="275"/>
      <c r="J40" s="232">
        <f>12435.4+9758</f>
        <v>22193.4</v>
      </c>
      <c r="K40" s="362"/>
      <c r="L40" s="275">
        <f t="shared" si="2"/>
        <v>-610.54000000000087</v>
      </c>
      <c r="M40" s="437">
        <f t="shared" si="3"/>
        <v>-2.750998044463673E-2</v>
      </c>
      <c r="N40" s="678"/>
    </row>
    <row r="41" spans="1:16" s="68" customFormat="1" ht="20.25" x14ac:dyDescent="0.2">
      <c r="A41" s="67"/>
      <c r="B41" s="395"/>
      <c r="C41" s="79" t="s">
        <v>120</v>
      </c>
      <c r="D41" s="79"/>
      <c r="E41" s="79"/>
      <c r="F41" s="79"/>
      <c r="G41" s="232">
        <v>2198.3000000000002</v>
      </c>
      <c r="H41" s="232">
        <v>3409.16</v>
      </c>
      <c r="I41" s="275"/>
      <c r="J41" s="232">
        <v>2735.67</v>
      </c>
      <c r="K41" s="362"/>
      <c r="L41" s="275">
        <f t="shared" si="2"/>
        <v>-537.36999999999989</v>
      </c>
      <c r="M41" s="437">
        <f t="shared" si="3"/>
        <v>-0.19643085606085525</v>
      </c>
      <c r="N41" s="678"/>
    </row>
    <row r="42" spans="1:16" s="68" customFormat="1" ht="20.25" x14ac:dyDescent="0.2">
      <c r="A42" s="67"/>
      <c r="B42" s="395"/>
      <c r="C42" s="79" t="s">
        <v>121</v>
      </c>
      <c r="D42" s="79"/>
      <c r="E42" s="79"/>
      <c r="F42" s="79"/>
      <c r="G42" s="232">
        <v>388.98</v>
      </c>
      <c r="H42" s="232">
        <v>1279.73</v>
      </c>
      <c r="I42" s="275"/>
      <c r="J42" s="232">
        <v>385.85</v>
      </c>
      <c r="K42" s="362"/>
      <c r="L42" s="275">
        <f t="shared" si="2"/>
        <v>3.1299999999999955</v>
      </c>
      <c r="M42" s="437">
        <f t="shared" si="3"/>
        <v>8.1119606064532727E-3</v>
      </c>
      <c r="N42" s="678"/>
    </row>
    <row r="43" spans="1:16" s="68" customFormat="1" ht="20.25" x14ac:dyDescent="0.2">
      <c r="A43" s="67"/>
      <c r="B43" s="395"/>
      <c r="C43" s="79" t="s">
        <v>166</v>
      </c>
      <c r="D43" s="79"/>
      <c r="E43" s="79"/>
      <c r="F43" s="79"/>
      <c r="G43" s="232">
        <v>10500</v>
      </c>
      <c r="H43" s="232">
        <v>11350</v>
      </c>
      <c r="I43" s="275"/>
      <c r="J43" s="232">
        <v>10350</v>
      </c>
      <c r="K43" s="362"/>
      <c r="L43" s="275">
        <f t="shared" si="2"/>
        <v>150</v>
      </c>
      <c r="M43" s="437">
        <f t="shared" si="3"/>
        <v>1.4492753623188406E-2</v>
      </c>
      <c r="N43" s="678"/>
    </row>
    <row r="44" spans="1:16" s="68" customFormat="1" ht="20.25" hidden="1" x14ac:dyDescent="0.2">
      <c r="A44" s="67"/>
      <c r="B44" s="395"/>
      <c r="C44" s="892" t="s">
        <v>326</v>
      </c>
      <c r="D44" s="892"/>
      <c r="E44" s="892"/>
      <c r="F44" s="892"/>
      <c r="G44" s="232"/>
      <c r="H44" s="232"/>
      <c r="I44" s="275"/>
      <c r="J44" s="232"/>
      <c r="K44" s="362"/>
      <c r="L44" s="275">
        <f t="shared" si="2"/>
        <v>0</v>
      </c>
      <c r="M44" s="437">
        <v>1</v>
      </c>
      <c r="N44" s="678"/>
    </row>
    <row r="45" spans="1:16" s="76" customFormat="1" ht="20.25" x14ac:dyDescent="0.2">
      <c r="A45" s="79"/>
      <c r="B45" s="391"/>
      <c r="C45" s="79" t="s">
        <v>122</v>
      </c>
      <c r="D45" s="79"/>
      <c r="E45" s="79"/>
      <c r="F45" s="79"/>
      <c r="G45" s="322">
        <v>11444.73</v>
      </c>
      <c r="H45" s="322">
        <v>15569.28</v>
      </c>
      <c r="I45" s="401"/>
      <c r="J45" s="322">
        <v>8146.05</v>
      </c>
      <c r="K45" s="364"/>
      <c r="L45" s="275">
        <f t="shared" si="2"/>
        <v>3298.6799999999994</v>
      </c>
      <c r="M45" s="437">
        <f>L45/J45</f>
        <v>0.40494227263520349</v>
      </c>
      <c r="N45" s="678"/>
    </row>
    <row r="46" spans="1:16" s="76" customFormat="1" ht="20.25" x14ac:dyDescent="0.2">
      <c r="A46" s="79"/>
      <c r="B46" s="391"/>
      <c r="C46" s="79" t="s">
        <v>123</v>
      </c>
      <c r="D46" s="79"/>
      <c r="E46" s="79"/>
      <c r="F46" s="79"/>
      <c r="G46" s="322">
        <f>9172.58-3000</f>
        <v>6172.58</v>
      </c>
      <c r="H46" s="322">
        <v>11475.97</v>
      </c>
      <c r="I46" s="232"/>
      <c r="J46" s="232">
        <v>5625.01</v>
      </c>
      <c r="K46" s="364"/>
      <c r="L46" s="275">
        <f t="shared" si="2"/>
        <v>547.56999999999971</v>
      </c>
      <c r="M46" s="437">
        <f>L46/J46</f>
        <v>9.7345604718924894E-2</v>
      </c>
      <c r="N46" s="531"/>
    </row>
    <row r="47" spans="1:16" s="76" customFormat="1" ht="20.25" x14ac:dyDescent="0.2">
      <c r="A47" s="79"/>
      <c r="B47" s="391"/>
      <c r="C47" s="79" t="s">
        <v>130</v>
      </c>
      <c r="D47" s="79"/>
      <c r="E47" s="79"/>
      <c r="F47" s="79"/>
      <c r="G47" s="232">
        <f>514.99</f>
        <v>514.99</v>
      </c>
      <c r="H47" s="232">
        <v>1861.99</v>
      </c>
      <c r="I47" s="232"/>
      <c r="J47" s="232">
        <v>340</v>
      </c>
      <c r="K47" s="364"/>
      <c r="L47" s="275">
        <f t="shared" si="2"/>
        <v>174.99</v>
      </c>
      <c r="M47" s="437">
        <f>L47/J47</f>
        <v>0.51467647058823529</v>
      </c>
      <c r="P47" s="247"/>
    </row>
    <row r="48" spans="1:16" s="76" customFormat="1" ht="20.25" x14ac:dyDescent="0.2">
      <c r="A48" s="79"/>
      <c r="B48" s="391"/>
      <c r="C48" s="79" t="s">
        <v>124</v>
      </c>
      <c r="D48" s="79"/>
      <c r="E48" s="79"/>
      <c r="F48" s="79"/>
      <c r="G48" s="322">
        <f>2738.16</f>
        <v>2738.16</v>
      </c>
      <c r="H48" s="322">
        <v>727.6</v>
      </c>
      <c r="I48" s="232"/>
      <c r="J48" s="322">
        <v>0</v>
      </c>
      <c r="K48" s="364"/>
      <c r="L48" s="275">
        <f t="shared" si="2"/>
        <v>2738.16</v>
      </c>
      <c r="M48" s="437"/>
      <c r="N48" s="678"/>
      <c r="P48" s="247"/>
    </row>
    <row r="49" spans="1:18" s="68" customFormat="1" ht="20.25" x14ac:dyDescent="0.2">
      <c r="A49" s="67"/>
      <c r="B49" s="395"/>
      <c r="C49" s="79" t="s">
        <v>199</v>
      </c>
      <c r="D49" s="79"/>
      <c r="E49" s="79"/>
      <c r="F49" s="79"/>
      <c r="G49" s="232">
        <f>5540.4</f>
        <v>5540.4</v>
      </c>
      <c r="H49" s="232">
        <v>3471.0360000000001</v>
      </c>
      <c r="I49" s="232"/>
      <c r="J49" s="232">
        <v>930.92</v>
      </c>
      <c r="K49" s="362"/>
      <c r="L49" s="275">
        <f t="shared" si="2"/>
        <v>4609.4799999999996</v>
      </c>
      <c r="M49" s="437">
        <f t="shared" ref="M49:M53" si="4">L49/J49</f>
        <v>4.951531817986508</v>
      </c>
      <c r="N49" s="678"/>
    </row>
    <row r="50" spans="1:18" s="76" customFormat="1" ht="20.25" x14ac:dyDescent="0.2">
      <c r="A50" s="79"/>
      <c r="B50" s="391"/>
      <c r="C50" s="79" t="s">
        <v>125</v>
      </c>
      <c r="D50" s="79"/>
      <c r="E50" s="79"/>
      <c r="F50" s="79"/>
      <c r="G50" s="322">
        <f>19230-722</f>
        <v>18508</v>
      </c>
      <c r="H50" s="322">
        <v>38596</v>
      </c>
      <c r="I50" s="232"/>
      <c r="J50" s="322">
        <v>19230</v>
      </c>
      <c r="K50" s="364"/>
      <c r="L50" s="275">
        <f t="shared" si="2"/>
        <v>-722</v>
      </c>
      <c r="M50" s="437">
        <f t="shared" si="4"/>
        <v>-3.7545501820072803E-2</v>
      </c>
      <c r="N50" s="531"/>
    </row>
    <row r="51" spans="1:18" s="76" customFormat="1" ht="20.25" x14ac:dyDescent="0.2">
      <c r="A51" s="79"/>
      <c r="B51" s="391"/>
      <c r="C51" s="79" t="s">
        <v>126</v>
      </c>
      <c r="D51" s="79"/>
      <c r="E51" s="79"/>
      <c r="F51" s="79"/>
      <c r="G51" s="322">
        <f>9750+127761.95+2100+4803.84</f>
        <v>144415.79</v>
      </c>
      <c r="H51" s="322">
        <f>11720+76750.27+6893.12</f>
        <v>95363.39</v>
      </c>
      <c r="I51" s="232"/>
      <c r="J51" s="322">
        <f>6000+14202.84+1677.6</f>
        <v>21880.44</v>
      </c>
      <c r="K51" s="364"/>
      <c r="L51" s="275">
        <f t="shared" si="2"/>
        <v>122535.35</v>
      </c>
      <c r="M51" s="437">
        <f t="shared" si="4"/>
        <v>5.6002233044673693</v>
      </c>
      <c r="N51" s="529" t="s">
        <v>503</v>
      </c>
    </row>
    <row r="52" spans="1:18" s="76" customFormat="1" ht="20.25" x14ac:dyDescent="0.2">
      <c r="A52" s="79"/>
      <c r="B52" s="391"/>
      <c r="C52" s="79" t="s">
        <v>165</v>
      </c>
      <c r="D52" s="79"/>
      <c r="E52" s="79"/>
      <c r="F52" s="79"/>
      <c r="G52" s="232">
        <v>36225</v>
      </c>
      <c r="H52" s="232">
        <v>69143.429999999993</v>
      </c>
      <c r="I52" s="232"/>
      <c r="J52" s="232">
        <v>31607.06</v>
      </c>
      <c r="K52" s="364"/>
      <c r="L52" s="275">
        <f t="shared" si="2"/>
        <v>4617.9399999999987</v>
      </c>
      <c r="M52" s="437">
        <f t="shared" si="4"/>
        <v>0.14610469939311022</v>
      </c>
      <c r="N52" s="678" t="s">
        <v>516</v>
      </c>
    </row>
    <row r="53" spans="1:18" s="76" customFormat="1" ht="20.25" x14ac:dyDescent="0.2">
      <c r="A53" s="79"/>
      <c r="B53" s="391"/>
      <c r="C53" s="79" t="s">
        <v>127</v>
      </c>
      <c r="D53" s="79"/>
      <c r="E53" s="79"/>
      <c r="F53" s="79"/>
      <c r="G53" s="232">
        <f>1027.48+51756.82</f>
        <v>52784.3</v>
      </c>
      <c r="H53" s="232">
        <f>66441.41+3892.74</f>
        <v>70334.150000000009</v>
      </c>
      <c r="I53" s="232"/>
      <c r="J53" s="232">
        <f>51191.41+3892.74</f>
        <v>55084.15</v>
      </c>
      <c r="K53" s="364"/>
      <c r="L53" s="275">
        <f t="shared" si="2"/>
        <v>-2299.8499999999985</v>
      </c>
      <c r="M53" s="437">
        <f t="shared" si="4"/>
        <v>-4.1751574636261037E-2</v>
      </c>
      <c r="N53" s="678"/>
    </row>
    <row r="54" spans="1:18" s="76" customFormat="1" ht="21" thickBot="1" x14ac:dyDescent="0.25">
      <c r="A54" s="79"/>
      <c r="B54" s="391"/>
      <c r="C54" s="79" t="s">
        <v>411</v>
      </c>
      <c r="D54" s="79"/>
      <c r="E54" s="79"/>
      <c r="F54" s="79"/>
      <c r="G54" s="241"/>
      <c r="H54" s="241">
        <f>1427.25+48</f>
        <v>1475.25</v>
      </c>
      <c r="I54" s="232"/>
      <c r="J54" s="241">
        <v>1427.25</v>
      </c>
      <c r="K54" s="669"/>
      <c r="L54" s="378">
        <f t="shared" si="2"/>
        <v>-1427.25</v>
      </c>
      <c r="M54" s="465"/>
      <c r="N54" s="678"/>
    </row>
    <row r="55" spans="1:18" s="76" customFormat="1" ht="21" hidden="1" thickBot="1" x14ac:dyDescent="0.25">
      <c r="A55" s="79"/>
      <c r="B55" s="391"/>
      <c r="C55" s="79"/>
      <c r="D55" s="79"/>
      <c r="E55" s="79"/>
      <c r="F55" s="79"/>
      <c r="G55" s="241"/>
      <c r="H55" s="241"/>
      <c r="I55" s="232"/>
      <c r="J55" s="241"/>
      <c r="K55" s="364"/>
      <c r="L55" s="378"/>
      <c r="M55" s="465"/>
      <c r="N55" s="529"/>
    </row>
    <row r="56" spans="1:18" s="68" customFormat="1" ht="20.25" x14ac:dyDescent="0.2">
      <c r="A56" s="67"/>
      <c r="B56" s="395"/>
      <c r="C56" s="67"/>
      <c r="D56" s="73" t="s">
        <v>128</v>
      </c>
      <c r="E56" s="67"/>
      <c r="F56" s="67"/>
      <c r="G56" s="237">
        <f>SUM(G32:G54)</f>
        <v>968638.88</v>
      </c>
      <c r="H56" s="237">
        <f>SUM(H32:H54)</f>
        <v>1498664.2359999996</v>
      </c>
      <c r="I56" s="232"/>
      <c r="J56" s="237">
        <f>SUM(J32:J54)</f>
        <v>714920.05000000016</v>
      </c>
      <c r="K56" s="362"/>
      <c r="L56" s="234">
        <f>SUM(L32:L54)</f>
        <v>253718.83000000002</v>
      </c>
      <c r="M56" s="437">
        <f>L56/J56</f>
        <v>0.35489119377754191</v>
      </c>
      <c r="N56" s="532"/>
    </row>
    <row r="57" spans="1:18" s="68" customFormat="1" ht="10.5" customHeight="1" thickBot="1" x14ac:dyDescent="0.25">
      <c r="A57" s="67"/>
      <c r="B57" s="395"/>
      <c r="C57" s="67"/>
      <c r="D57" s="73"/>
      <c r="E57" s="67"/>
      <c r="F57" s="67"/>
      <c r="G57" s="241"/>
      <c r="H57" s="241"/>
      <c r="I57" s="232"/>
      <c r="J57" s="241"/>
      <c r="K57" s="362"/>
      <c r="L57" s="405"/>
      <c r="M57" s="515"/>
      <c r="N57" s="532"/>
    </row>
    <row r="58" spans="1:18" s="68" customFormat="1" ht="21" thickBot="1" x14ac:dyDescent="0.25">
      <c r="A58" s="67"/>
      <c r="B58" s="395"/>
      <c r="C58" s="67"/>
      <c r="D58" s="67" t="s">
        <v>129</v>
      </c>
      <c r="E58" s="67"/>
      <c r="F58" s="67"/>
      <c r="G58" s="241">
        <f>G29-G56</f>
        <v>-101207.15000000002</v>
      </c>
      <c r="H58" s="241">
        <f>H29-H56</f>
        <v>205931.81400000025</v>
      </c>
      <c r="I58" s="232"/>
      <c r="J58" s="241">
        <f>J29-J56</f>
        <v>-21506.090000000317</v>
      </c>
      <c r="K58" s="362"/>
      <c r="L58" s="241">
        <f>L29-L56</f>
        <v>-79701.059999999823</v>
      </c>
      <c r="M58" s="509">
        <f>L58/J58</f>
        <v>3.7059763071761838</v>
      </c>
      <c r="N58" s="532"/>
    </row>
    <row r="59" spans="1:18" s="68" customFormat="1" ht="11.25" customHeight="1" x14ac:dyDescent="0.2">
      <c r="A59" s="67"/>
      <c r="B59" s="395"/>
      <c r="C59" s="67"/>
      <c r="D59" s="67"/>
      <c r="E59" s="67"/>
      <c r="F59" s="67"/>
      <c r="G59" s="232"/>
      <c r="H59" s="232"/>
      <c r="I59" s="232"/>
      <c r="J59" s="232"/>
      <c r="K59" s="362"/>
      <c r="L59" s="403"/>
      <c r="M59" s="514"/>
      <c r="N59" s="529"/>
    </row>
    <row r="60" spans="1:18" s="76" customFormat="1" ht="21" thickBot="1" x14ac:dyDescent="0.25">
      <c r="A60" s="79"/>
      <c r="B60" s="394" t="s">
        <v>336</v>
      </c>
      <c r="C60" s="87"/>
      <c r="D60" s="87"/>
      <c r="E60" s="87"/>
      <c r="F60" s="87"/>
      <c r="G60" s="668"/>
      <c r="H60" s="241"/>
      <c r="I60" s="232"/>
      <c r="J60" s="241"/>
      <c r="K60" s="364"/>
      <c r="L60" s="403"/>
      <c r="M60" s="514"/>
      <c r="N60" s="529"/>
    </row>
    <row r="61" spans="1:18" s="76" customFormat="1" ht="20.25" x14ac:dyDescent="0.2">
      <c r="A61" s="79"/>
      <c r="B61" s="395"/>
      <c r="C61" s="67"/>
      <c r="D61" s="67" t="s">
        <v>141</v>
      </c>
      <c r="E61" s="67"/>
      <c r="F61" s="67"/>
      <c r="G61" s="232"/>
      <c r="H61" s="232"/>
      <c r="I61" s="232"/>
      <c r="J61" s="232"/>
      <c r="K61" s="364"/>
      <c r="L61" s="403"/>
      <c r="M61" s="514"/>
      <c r="N61" s="529"/>
    </row>
    <row r="62" spans="1:18" s="76" customFormat="1" ht="20.25" x14ac:dyDescent="0.2">
      <c r="A62" s="79"/>
      <c r="B62" s="395"/>
      <c r="C62" s="67"/>
      <c r="D62" s="67"/>
      <c r="E62" s="79" t="s">
        <v>142</v>
      </c>
      <c r="F62" s="67"/>
      <c r="G62" s="232">
        <f>52000+10400</f>
        <v>62400</v>
      </c>
      <c r="H62" s="232">
        <v>41600</v>
      </c>
      <c r="I62" s="232"/>
      <c r="J62" s="232">
        <v>41600</v>
      </c>
      <c r="K62" s="364"/>
      <c r="L62" s="275">
        <f>G62-J62</f>
        <v>20800</v>
      </c>
      <c r="M62" s="437">
        <f>L62/J62</f>
        <v>0.5</v>
      </c>
      <c r="N62" s="529"/>
      <c r="R62" s="247"/>
    </row>
    <row r="63" spans="1:18" s="76" customFormat="1" ht="20.25" x14ac:dyDescent="0.2">
      <c r="A63" s="79"/>
      <c r="B63" s="395"/>
      <c r="C63" s="67"/>
      <c r="D63" s="67"/>
      <c r="E63" s="79" t="s">
        <v>169</v>
      </c>
      <c r="F63" s="67"/>
      <c r="G63" s="232">
        <f>20000</f>
        <v>20000</v>
      </c>
      <c r="H63" s="232">
        <v>18500</v>
      </c>
      <c r="I63" s="232"/>
      <c r="J63" s="232">
        <v>18500</v>
      </c>
      <c r="K63" s="364"/>
      <c r="L63" s="275">
        <f>G63-J63</f>
        <v>1500</v>
      </c>
      <c r="M63" s="437">
        <f>L63/J63</f>
        <v>8.1081081081081086E-2</v>
      </c>
      <c r="N63" s="529"/>
    </row>
    <row r="64" spans="1:18" s="76" customFormat="1" ht="20.25" x14ac:dyDescent="0.2">
      <c r="A64" s="79"/>
      <c r="B64" s="395"/>
      <c r="C64" s="67"/>
      <c r="D64" s="67"/>
      <c r="E64" s="79" t="s">
        <v>448</v>
      </c>
      <c r="F64" s="67"/>
      <c r="G64" s="232"/>
      <c r="H64" s="232">
        <v>15000</v>
      </c>
      <c r="I64" s="232"/>
      <c r="J64" s="232">
        <v>15000</v>
      </c>
      <c r="K64" s="364"/>
      <c r="L64" s="275">
        <f>G64-J64</f>
        <v>-15000</v>
      </c>
      <c r="M64" s="437"/>
      <c r="N64" s="529"/>
    </row>
    <row r="65" spans="1:14" s="76" customFormat="1" ht="20.25" x14ac:dyDescent="0.2">
      <c r="A65" s="79"/>
      <c r="B65" s="395"/>
      <c r="C65" s="67"/>
      <c r="D65" s="67"/>
      <c r="E65" s="79" t="s">
        <v>140</v>
      </c>
      <c r="F65" s="67"/>
      <c r="G65" s="235">
        <v>20000</v>
      </c>
      <c r="H65" s="235">
        <v>6600</v>
      </c>
      <c r="I65" s="235"/>
      <c r="J65" s="235">
        <v>100</v>
      </c>
      <c r="K65" s="621"/>
      <c r="L65" s="622">
        <f>G65-J65</f>
        <v>19900</v>
      </c>
      <c r="M65" s="512"/>
      <c r="N65" s="529"/>
    </row>
    <row r="66" spans="1:14" s="76" customFormat="1" ht="21" thickBot="1" x14ac:dyDescent="0.25">
      <c r="A66" s="79"/>
      <c r="B66" s="395"/>
      <c r="C66" s="67"/>
      <c r="D66" s="67" t="s">
        <v>106</v>
      </c>
      <c r="E66" s="67"/>
      <c r="F66" s="67"/>
      <c r="G66" s="241">
        <f>-G28</f>
        <v>-50220.94</v>
      </c>
      <c r="H66" s="241">
        <f>-H28</f>
        <v>-96686.19</v>
      </c>
      <c r="I66" s="232"/>
      <c r="J66" s="241">
        <f>-J28</f>
        <v>-45109.24</v>
      </c>
      <c r="K66" s="364"/>
      <c r="L66" s="378">
        <f>G66-J66</f>
        <v>-5111.7000000000044</v>
      </c>
      <c r="M66" s="465">
        <f>L66/J66</f>
        <v>0.11331824699329904</v>
      </c>
      <c r="N66" s="529"/>
    </row>
    <row r="67" spans="1:14" s="76" customFormat="1" ht="21" thickBot="1" x14ac:dyDescent="0.25">
      <c r="A67" s="79"/>
      <c r="B67" s="395"/>
      <c r="C67" s="67"/>
      <c r="D67" s="67"/>
      <c r="E67" s="67" t="s">
        <v>335</v>
      </c>
      <c r="F67" s="67"/>
      <c r="G67" s="241">
        <f>SUM(G61:G66)</f>
        <v>52179.06</v>
      </c>
      <c r="H67" s="241">
        <f>SUM(H61:H66)</f>
        <v>-14986.190000000002</v>
      </c>
      <c r="I67" s="232"/>
      <c r="J67" s="241">
        <f>SUM(J61:J66)</f>
        <v>30090.760000000002</v>
      </c>
      <c r="K67" s="364"/>
      <c r="L67" s="241">
        <f>SUM(L62:L66)</f>
        <v>22088.299999999996</v>
      </c>
      <c r="M67" s="465">
        <f>L67/J67</f>
        <v>0.73405590287516809</v>
      </c>
      <c r="N67" s="529"/>
    </row>
    <row r="68" spans="1:14" s="68" customFormat="1" ht="7.5" customHeight="1" x14ac:dyDescent="0.2">
      <c r="A68" s="67"/>
      <c r="B68" s="395"/>
      <c r="C68" s="67"/>
      <c r="D68" s="67"/>
      <c r="E68" s="67"/>
      <c r="F68" s="67"/>
      <c r="G68" s="273"/>
      <c r="H68" s="273"/>
      <c r="I68" s="273"/>
      <c r="J68" s="273"/>
      <c r="K68" s="362"/>
      <c r="L68" s="403"/>
      <c r="M68" s="403"/>
      <c r="N68" s="529"/>
    </row>
    <row r="69" spans="1:14" s="68" customFormat="1" ht="20.25" x14ac:dyDescent="0.2">
      <c r="A69" s="67"/>
      <c r="B69" s="395"/>
      <c r="C69" s="67"/>
      <c r="D69" s="67"/>
      <c r="E69" s="67" t="s">
        <v>86</v>
      </c>
      <c r="F69" s="67"/>
      <c r="G69" s="237">
        <f>G58+G67</f>
        <v>-49028.090000000026</v>
      </c>
      <c r="H69" s="237">
        <f>H58+H67</f>
        <v>190945.62400000024</v>
      </c>
      <c r="I69" s="237"/>
      <c r="J69" s="237">
        <f>J58+J67</f>
        <v>8584.6699999996854</v>
      </c>
      <c r="K69" s="362"/>
      <c r="L69" s="237">
        <f>L58+L67</f>
        <v>-57612.759999999827</v>
      </c>
      <c r="M69" s="237"/>
      <c r="N69" s="529"/>
    </row>
    <row r="70" spans="1:14" s="68" customFormat="1" ht="8.25" customHeight="1" x14ac:dyDescent="0.2">
      <c r="A70" s="67"/>
      <c r="B70" s="395"/>
      <c r="C70" s="67"/>
      <c r="D70" s="67"/>
      <c r="E70" s="67"/>
      <c r="F70" s="67"/>
      <c r="G70" s="232"/>
      <c r="H70" s="232"/>
      <c r="I70" s="232"/>
      <c r="J70" s="232"/>
      <c r="K70" s="362"/>
      <c r="L70" s="403"/>
      <c r="M70" s="403"/>
      <c r="N70" s="529"/>
    </row>
    <row r="71" spans="1:14" s="82" customFormat="1" ht="26.25" x14ac:dyDescent="0.2">
      <c r="A71" s="268"/>
      <c r="B71" s="396"/>
      <c r="C71" s="67"/>
      <c r="D71" s="67" t="s">
        <v>144</v>
      </c>
      <c r="E71" s="67"/>
      <c r="F71" s="67"/>
      <c r="G71" s="237">
        <f>H72</f>
        <v>955663.17400000035</v>
      </c>
      <c r="H71" s="237">
        <f>764817.55-100</f>
        <v>764717.55</v>
      </c>
      <c r="I71" s="237"/>
      <c r="J71" s="237">
        <f>H71</f>
        <v>764717.55</v>
      </c>
      <c r="K71" s="365"/>
      <c r="L71" s="404"/>
      <c r="M71" s="404"/>
      <c r="N71" s="533"/>
    </row>
    <row r="72" spans="1:14" s="84" customFormat="1" ht="21" thickBot="1" x14ac:dyDescent="0.25">
      <c r="A72" s="67"/>
      <c r="B72" s="395"/>
      <c r="C72" s="67"/>
      <c r="E72" s="67" t="s">
        <v>143</v>
      </c>
      <c r="F72" s="67"/>
      <c r="G72" s="321">
        <f>G69+G71</f>
        <v>906635.08400000026</v>
      </c>
      <c r="H72" s="321">
        <f>H69+H71</f>
        <v>955663.17400000035</v>
      </c>
      <c r="I72" s="273"/>
      <c r="J72" s="321">
        <f>J69+J71</f>
        <v>773302.21999999974</v>
      </c>
      <c r="K72" s="366"/>
      <c r="L72" s="273"/>
      <c r="M72" s="404"/>
      <c r="N72" s="533"/>
    </row>
    <row r="73" spans="1:14" s="65" customFormat="1" ht="6.75" customHeight="1" thickTop="1" x14ac:dyDescent="0.2">
      <c r="A73" s="268"/>
      <c r="B73" s="396"/>
      <c r="C73" s="67"/>
      <c r="D73" s="268"/>
      <c r="E73" s="268"/>
      <c r="F73" s="268"/>
      <c r="G73" s="270"/>
      <c r="H73" s="232"/>
      <c r="I73" s="232"/>
      <c r="J73" s="232"/>
      <c r="K73" s="361"/>
      <c r="L73" s="403"/>
      <c r="M73" s="403"/>
      <c r="N73" s="529"/>
    </row>
    <row r="74" spans="1:14" s="68" customFormat="1" ht="16.5" customHeight="1" x14ac:dyDescent="0.2">
      <c r="A74" s="67"/>
      <c r="B74" s="395"/>
      <c r="D74" s="342"/>
      <c r="E74" s="67"/>
      <c r="G74" s="232"/>
      <c r="H74" s="232"/>
      <c r="I74" s="232"/>
      <c r="J74" s="232"/>
      <c r="K74" s="362"/>
      <c r="L74" s="403"/>
      <c r="M74" s="403"/>
      <c r="N74" s="529"/>
    </row>
    <row r="75" spans="1:14" s="68" customFormat="1" ht="23.25" x14ac:dyDescent="0.2">
      <c r="A75" s="67"/>
      <c r="B75" s="397"/>
      <c r="C75" s="67"/>
      <c r="D75" s="67"/>
      <c r="E75" s="67"/>
      <c r="F75" s="67"/>
      <c r="G75" s="232"/>
      <c r="H75" s="232"/>
      <c r="I75" s="232"/>
      <c r="J75" s="232">
        <f>J72-'June''22 Financial Position'!L63</f>
        <v>0</v>
      </c>
      <c r="K75" s="362"/>
      <c r="L75" s="403"/>
      <c r="M75" s="403"/>
      <c r="N75" s="529"/>
    </row>
    <row r="76" spans="1:14" s="68" customFormat="1" ht="20.25" x14ac:dyDescent="0.2">
      <c r="A76" s="67"/>
      <c r="B76" s="395"/>
      <c r="C76" s="67"/>
      <c r="D76" s="67"/>
      <c r="E76" s="67"/>
      <c r="F76" s="67"/>
      <c r="G76" s="232"/>
      <c r="H76" s="232"/>
      <c r="I76" s="232"/>
      <c r="J76" s="232"/>
      <c r="K76" s="362"/>
      <c r="L76" s="403"/>
      <c r="M76" s="403"/>
      <c r="N76" s="529"/>
    </row>
    <row r="77" spans="1:14" s="76" customFormat="1" ht="20.25" x14ac:dyDescent="0.2">
      <c r="A77" s="79"/>
      <c r="B77" s="391"/>
      <c r="C77" s="79"/>
      <c r="D77" s="79"/>
      <c r="F77" s="79"/>
      <c r="G77" s="246"/>
      <c r="H77" s="232"/>
      <c r="I77" s="232"/>
      <c r="J77" s="232"/>
      <c r="K77" s="364"/>
      <c r="L77" s="403"/>
      <c r="M77" s="403"/>
      <c r="N77" s="529"/>
    </row>
    <row r="78" spans="1:14" s="76" customFormat="1" ht="20.25" x14ac:dyDescent="0.2">
      <c r="A78" s="79"/>
      <c r="B78" s="391"/>
      <c r="C78" s="79"/>
      <c r="D78" s="79"/>
      <c r="F78" s="79"/>
      <c r="G78" s="232"/>
      <c r="H78" s="232"/>
      <c r="I78" s="232"/>
      <c r="J78" s="232"/>
      <c r="K78" s="364"/>
      <c r="L78" s="403"/>
      <c r="M78" s="403"/>
      <c r="N78" s="529"/>
    </row>
    <row r="79" spans="1:14" s="76" customFormat="1" ht="20.25" x14ac:dyDescent="0.2">
      <c r="A79" s="79"/>
      <c r="B79" s="391"/>
      <c r="C79" s="79"/>
      <c r="D79" s="79"/>
      <c r="F79" s="79"/>
      <c r="G79" s="232"/>
      <c r="H79" s="232"/>
      <c r="I79" s="232"/>
      <c r="J79" s="232"/>
      <c r="K79" s="364"/>
      <c r="L79" s="403"/>
      <c r="M79" s="403"/>
      <c r="N79" s="529"/>
    </row>
    <row r="80" spans="1:14" s="76" customFormat="1" ht="20.25" x14ac:dyDescent="0.2">
      <c r="A80" s="79"/>
      <c r="B80" s="79"/>
      <c r="C80" s="79"/>
      <c r="D80" s="79"/>
      <c r="F80" s="79"/>
      <c r="G80" s="232"/>
      <c r="H80" s="232"/>
      <c r="I80" s="232"/>
      <c r="J80" s="232"/>
      <c r="K80" s="364"/>
      <c r="L80" s="403"/>
      <c r="M80" s="403"/>
      <c r="N80" s="529"/>
    </row>
    <row r="81" spans="1:14" s="76" customFormat="1" ht="20.25" x14ac:dyDescent="0.2">
      <c r="A81" s="79"/>
      <c r="B81" s="79"/>
      <c r="C81" s="79"/>
      <c r="D81" s="79"/>
      <c r="F81" s="79"/>
      <c r="G81" s="232"/>
      <c r="H81" s="232"/>
      <c r="I81" s="232"/>
      <c r="J81" s="232"/>
      <c r="K81" s="364"/>
      <c r="L81" s="403"/>
      <c r="M81" s="403"/>
      <c r="N81" s="529"/>
    </row>
    <row r="82" spans="1:14" s="76" customFormat="1" ht="20.25" x14ac:dyDescent="0.2">
      <c r="A82" s="79"/>
      <c r="B82" s="79"/>
      <c r="C82" s="79"/>
      <c r="D82" s="79"/>
      <c r="F82" s="79"/>
      <c r="G82" s="232"/>
      <c r="H82" s="232"/>
      <c r="I82" s="232"/>
      <c r="J82" s="232"/>
      <c r="K82" s="364"/>
      <c r="L82" s="403"/>
      <c r="M82" s="403"/>
      <c r="N82" s="529"/>
    </row>
    <row r="83" spans="1:14" s="76" customFormat="1" ht="20.25" x14ac:dyDescent="0.2">
      <c r="A83" s="79"/>
      <c r="B83" s="79"/>
      <c r="C83" s="67"/>
      <c r="D83" s="79"/>
      <c r="F83" s="79"/>
      <c r="G83" s="232"/>
      <c r="H83" s="232"/>
      <c r="I83" s="232"/>
      <c r="J83" s="232"/>
      <c r="K83" s="364"/>
      <c r="L83" s="403"/>
      <c r="M83" s="403"/>
      <c r="N83" s="529"/>
    </row>
    <row r="84" spans="1:14" s="76" customFormat="1" ht="20.25" x14ac:dyDescent="0.2">
      <c r="A84" s="79"/>
      <c r="B84" s="79"/>
      <c r="C84" s="79"/>
      <c r="D84" s="79"/>
      <c r="E84" s="79"/>
      <c r="F84" s="79"/>
      <c r="G84" s="232"/>
      <c r="H84" s="232"/>
      <c r="I84" s="232"/>
      <c r="J84" s="232"/>
      <c r="K84" s="364"/>
      <c r="L84" s="403"/>
      <c r="M84" s="403"/>
      <c r="N84" s="529"/>
    </row>
    <row r="85" spans="1:14" s="76" customFormat="1" ht="20.25" x14ac:dyDescent="0.2">
      <c r="A85" s="79"/>
      <c r="B85" s="79"/>
      <c r="C85" s="67"/>
      <c r="D85" s="67"/>
      <c r="G85" s="232"/>
      <c r="H85" s="232"/>
      <c r="I85" s="232"/>
      <c r="J85" s="232"/>
      <c r="K85" s="364"/>
      <c r="L85" s="403"/>
      <c r="M85" s="403"/>
      <c r="N85" s="529"/>
    </row>
    <row r="86" spans="1:14" s="76" customFormat="1" ht="20.25" x14ac:dyDescent="0.2">
      <c r="A86" s="79"/>
      <c r="B86" s="79"/>
      <c r="C86" s="79"/>
      <c r="D86" s="79"/>
      <c r="E86" s="79"/>
      <c r="F86" s="79"/>
      <c r="G86" s="232"/>
      <c r="H86" s="232"/>
      <c r="I86" s="232"/>
      <c r="J86" s="232"/>
      <c r="K86" s="364"/>
      <c r="L86" s="403"/>
      <c r="M86" s="403"/>
      <c r="N86" s="529"/>
    </row>
    <row r="87" spans="1:14" s="76" customFormat="1" ht="20.25" x14ac:dyDescent="0.2">
      <c r="A87" s="79"/>
      <c r="B87" s="79"/>
      <c r="C87" s="79"/>
      <c r="D87" s="79"/>
      <c r="E87" s="79"/>
      <c r="F87" s="79"/>
      <c r="G87" s="232"/>
      <c r="H87" s="232"/>
      <c r="I87" s="232"/>
      <c r="J87" s="232"/>
      <c r="K87" s="364"/>
      <c r="L87" s="403"/>
      <c r="M87" s="403"/>
      <c r="N87" s="529"/>
    </row>
    <row r="88" spans="1:14" s="76" customFormat="1" ht="20.25" x14ac:dyDescent="0.2">
      <c r="A88" s="79"/>
      <c r="B88" s="79"/>
      <c r="C88" s="79"/>
      <c r="D88" s="79"/>
      <c r="E88" s="79"/>
      <c r="F88" s="79"/>
      <c r="G88" s="232"/>
      <c r="H88" s="232"/>
      <c r="I88" s="232"/>
      <c r="J88" s="232"/>
      <c r="K88" s="364"/>
      <c r="L88" s="403"/>
      <c r="M88" s="403"/>
      <c r="N88" s="529"/>
    </row>
    <row r="89" spans="1:14" s="76" customFormat="1" ht="20.25" x14ac:dyDescent="0.2">
      <c r="A89" s="79"/>
      <c r="B89" s="79"/>
      <c r="C89" s="79"/>
      <c r="D89" s="79"/>
      <c r="E89" s="79"/>
      <c r="F89" s="79"/>
      <c r="G89" s="232"/>
      <c r="H89" s="232"/>
      <c r="I89" s="232"/>
      <c r="J89" s="232"/>
      <c r="K89" s="364"/>
      <c r="L89" s="403"/>
      <c r="M89" s="403"/>
      <c r="N89" s="529"/>
    </row>
    <row r="90" spans="1:14" s="76" customFormat="1" ht="20.25" x14ac:dyDescent="0.2">
      <c r="A90" s="79"/>
      <c r="B90" s="79"/>
      <c r="C90" s="67"/>
      <c r="D90" s="79"/>
      <c r="F90" s="79"/>
      <c r="G90" s="232"/>
      <c r="H90" s="232"/>
      <c r="I90" s="232"/>
      <c r="J90" s="232"/>
      <c r="K90" s="364"/>
      <c r="L90" s="403"/>
      <c r="M90" s="403"/>
      <c r="N90" s="529"/>
    </row>
    <row r="91" spans="1:14" s="76" customFormat="1" ht="20.25" x14ac:dyDescent="0.2">
      <c r="A91" s="79"/>
      <c r="B91" s="79"/>
      <c r="C91" s="79"/>
      <c r="D91" s="79"/>
      <c r="E91" s="79"/>
      <c r="F91" s="79"/>
      <c r="G91" s="232"/>
      <c r="H91" s="232"/>
      <c r="I91" s="232"/>
      <c r="J91" s="232"/>
      <c r="K91" s="364"/>
      <c r="L91" s="403"/>
      <c r="M91" s="403"/>
      <c r="N91" s="529"/>
    </row>
    <row r="92" spans="1:14" s="68" customFormat="1" ht="20.25" x14ac:dyDescent="0.2">
      <c r="A92" s="67"/>
      <c r="B92" s="67"/>
      <c r="C92" s="67"/>
      <c r="D92" s="67"/>
      <c r="E92" s="67"/>
      <c r="F92" s="67"/>
      <c r="G92" s="237"/>
      <c r="H92" s="237"/>
      <c r="I92" s="237"/>
      <c r="J92" s="237"/>
      <c r="K92" s="362"/>
      <c r="N92" s="529"/>
    </row>
    <row r="93" spans="1:14" s="68" customFormat="1" ht="20.25" x14ac:dyDescent="0.2">
      <c r="A93" s="67"/>
      <c r="B93" s="67"/>
      <c r="C93" s="67"/>
      <c r="D93" s="67"/>
      <c r="E93" s="67"/>
      <c r="F93" s="67"/>
      <c r="G93" s="237"/>
      <c r="H93" s="237"/>
      <c r="I93" s="237"/>
      <c r="J93" s="237"/>
      <c r="K93" s="362"/>
      <c r="N93" s="529"/>
    </row>
    <row r="94" spans="1:14" s="68" customFormat="1" ht="23.25" x14ac:dyDescent="0.2">
      <c r="A94" s="67"/>
      <c r="B94" s="271"/>
      <c r="C94" s="67"/>
      <c r="D94" s="67"/>
      <c r="E94" s="67"/>
      <c r="F94" s="67"/>
      <c r="G94" s="232"/>
      <c r="H94" s="232"/>
      <c r="I94" s="232"/>
      <c r="J94" s="232"/>
      <c r="K94" s="362"/>
      <c r="N94" s="529"/>
    </row>
    <row r="95" spans="1:14" s="76" customFormat="1" ht="20.25" x14ac:dyDescent="0.2">
      <c r="A95" s="79"/>
      <c r="B95" s="79"/>
      <c r="D95" s="79"/>
      <c r="E95" s="79"/>
      <c r="F95" s="79"/>
      <c r="G95" s="232"/>
      <c r="H95" s="232"/>
      <c r="I95" s="232"/>
      <c r="J95" s="232"/>
      <c r="K95" s="364"/>
      <c r="N95" s="529"/>
    </row>
    <row r="96" spans="1:14" s="76" customFormat="1" ht="20.25" x14ac:dyDescent="0.2">
      <c r="A96" s="79"/>
      <c r="B96" s="79"/>
      <c r="D96" s="79"/>
      <c r="E96" s="79"/>
      <c r="F96" s="79"/>
      <c r="G96" s="232"/>
      <c r="H96" s="232"/>
      <c r="I96" s="232"/>
      <c r="J96" s="232"/>
      <c r="K96" s="364"/>
      <c r="N96" s="529"/>
    </row>
    <row r="97" spans="1:14" s="68" customFormat="1" ht="20.25" x14ac:dyDescent="0.2">
      <c r="A97" s="67"/>
      <c r="B97" s="67"/>
      <c r="D97" s="79"/>
      <c r="E97" s="67"/>
      <c r="F97" s="67"/>
      <c r="G97" s="232"/>
      <c r="H97" s="232"/>
      <c r="I97" s="232"/>
      <c r="J97" s="232"/>
      <c r="K97" s="362"/>
      <c r="N97" s="529"/>
    </row>
    <row r="98" spans="1:14" s="68" customFormat="1" ht="23.25" x14ac:dyDescent="0.2">
      <c r="A98" s="67"/>
      <c r="B98" s="271"/>
      <c r="C98" s="67"/>
      <c r="D98" s="67"/>
      <c r="E98" s="67"/>
      <c r="F98" s="67"/>
      <c r="G98" s="237"/>
      <c r="H98" s="237"/>
      <c r="I98" s="237"/>
      <c r="J98" s="237"/>
      <c r="K98" s="362"/>
      <c r="N98" s="529"/>
    </row>
    <row r="99" spans="1:14" s="68" customFormat="1" ht="20.25" x14ac:dyDescent="0.2">
      <c r="A99" s="67"/>
      <c r="B99" s="67"/>
      <c r="C99" s="67"/>
      <c r="D99" s="67"/>
      <c r="E99" s="67"/>
      <c r="F99" s="67"/>
      <c r="G99" s="232"/>
      <c r="H99" s="232"/>
      <c r="I99" s="232"/>
      <c r="J99" s="232"/>
      <c r="K99" s="362"/>
      <c r="N99" s="529"/>
    </row>
    <row r="100" spans="1:14" s="82" customFormat="1" ht="26.25" x14ac:dyDescent="0.2">
      <c r="A100" s="268"/>
      <c r="B100" s="268"/>
      <c r="C100" s="268"/>
      <c r="D100" s="268"/>
      <c r="E100" s="268"/>
      <c r="F100" s="268"/>
      <c r="G100" s="269"/>
      <c r="H100" s="237"/>
      <c r="I100" s="237"/>
      <c r="J100" s="237"/>
      <c r="K100" s="365"/>
      <c r="N100" s="533"/>
    </row>
    <row r="101" spans="1:14" s="18" customFormat="1" ht="20.25" x14ac:dyDescent="0.3">
      <c r="A101" s="122"/>
      <c r="B101" s="122"/>
      <c r="C101" s="122"/>
      <c r="D101" s="122"/>
      <c r="E101" s="122"/>
      <c r="F101" s="122"/>
      <c r="G101" s="272"/>
      <c r="H101" s="277"/>
      <c r="I101" s="277"/>
      <c r="J101" s="277"/>
      <c r="K101" s="367"/>
      <c r="N101" s="534"/>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topLeftCell="A10" zoomScale="70" zoomScaleNormal="70" workbookViewId="0">
      <selection activeCell="A11" sqref="A11:XFD11"/>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'June''22 State of Activities'!A3</f>
        <v>Six Months Ended June 30,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'June''22 State of Activities'!A4</f>
        <v>For the Years Ended December 31, 2021</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73"/>
      <c r="H6" s="240" t="s">
        <v>49</v>
      </c>
      <c r="I6" s="240"/>
      <c r="J6" s="890" t="s">
        <v>49</v>
      </c>
      <c r="K6" s="890"/>
      <c r="L6" s="890"/>
      <c r="M6" s="890"/>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4">
        <f>'June''22 State of Activities'!G8</f>
        <v>44742</v>
      </c>
      <c r="K8" s="675">
        <v>44561</v>
      </c>
      <c r="L8" s="676"/>
      <c r="M8" s="675">
        <f>'June''22 State of Activities'!J8</f>
        <v>44377</v>
      </c>
      <c r="N8" s="71"/>
      <c r="O8" s="949" t="s">
        <v>567</v>
      </c>
      <c r="P8" s="949"/>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f>'June''22 State of Activities'!G10</f>
        <v>40166.559999999998</v>
      </c>
      <c r="K9" s="326">
        <v>85646.89</v>
      </c>
      <c r="L9" s="326"/>
      <c r="M9" s="326">
        <f>'June''22 State of Activities'!J10</f>
        <v>35824.76</v>
      </c>
      <c r="N9" s="68"/>
      <c r="O9" s="379">
        <f>J9-M9</f>
        <v>4341.7999999999956</v>
      </c>
      <c r="P9" s="414">
        <f>O9/M9</f>
        <v>0.12119550835790653</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f>4000+(2960.81*0.14)</f>
        <v>4414.5133999999998</v>
      </c>
      <c r="K10" s="322">
        <v>34505.879999999997</v>
      </c>
      <c r="L10" s="326"/>
      <c r="M10" s="322">
        <v>13370</v>
      </c>
      <c r="N10" s="68"/>
      <c r="O10" s="510">
        <f>J10-M10</f>
        <v>-8955.4866000000002</v>
      </c>
      <c r="P10" s="414">
        <f>O10/M10</f>
        <v>-0.66981949139865371</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393</v>
      </c>
      <c r="D11" s="421"/>
      <c r="E11" s="421"/>
      <c r="F11" s="73"/>
      <c r="G11" s="263"/>
      <c r="H11" s="263"/>
      <c r="I11" s="326"/>
      <c r="J11" s="322">
        <v>29668</v>
      </c>
      <c r="K11" s="322">
        <v>0</v>
      </c>
      <c r="L11" s="326"/>
      <c r="M11" s="322"/>
      <c r="N11" s="68"/>
      <c r="O11" s="510">
        <f>J11-M11</f>
        <v>29668</v>
      </c>
      <c r="P11" s="437"/>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102</v>
      </c>
      <c r="D12" s="421"/>
      <c r="E12" s="421"/>
      <c r="F12" s="73"/>
      <c r="G12" s="264"/>
      <c r="H12" s="264"/>
      <c r="I12" s="322"/>
      <c r="J12" s="322"/>
      <c r="K12" s="322"/>
      <c r="L12" s="322"/>
      <c r="M12" s="322"/>
      <c r="N12" s="68"/>
      <c r="O12" s="510"/>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215</v>
      </c>
      <c r="E13" s="421"/>
      <c r="F13" s="73"/>
      <c r="G13" s="264">
        <v>94235.25</v>
      </c>
      <c r="H13" s="264">
        <v>37190.379999999997</v>
      </c>
      <c r="I13" s="322"/>
      <c r="J13" s="322">
        <f>'June''22 Revenues &amp; Expenses'!I22</f>
        <v>23000</v>
      </c>
      <c r="K13" s="322">
        <v>45500</v>
      </c>
      <c r="L13" s="322"/>
      <c r="M13" s="322">
        <v>22750</v>
      </c>
      <c r="N13" s="68"/>
      <c r="O13" s="510">
        <f t="shared" ref="O13:O29" si="0">J13-M13</f>
        <v>250</v>
      </c>
      <c r="P13" s="437">
        <f t="shared" ref="P13:P18" si="1">O13/M13</f>
        <v>1.098901098901099E-2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159</v>
      </c>
      <c r="E14" s="421"/>
      <c r="F14" s="73"/>
      <c r="G14" s="264"/>
      <c r="H14" s="264"/>
      <c r="I14" s="322"/>
      <c r="J14" s="322">
        <f>'June''22 Revenues &amp; Expenses'!I30</f>
        <v>9000</v>
      </c>
      <c r="K14" s="322">
        <v>18000</v>
      </c>
      <c r="L14" s="322"/>
      <c r="M14" s="322">
        <v>9000</v>
      </c>
      <c r="N14" s="68"/>
      <c r="O14" s="510">
        <f t="shared" si="0"/>
        <v>0</v>
      </c>
      <c r="P14" s="437">
        <f t="shared" si="1"/>
        <v>0</v>
      </c>
      <c r="Q14" s="68"/>
      <c r="R14" s="68"/>
      <c r="S14" s="388"/>
      <c r="T14" s="472"/>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103</v>
      </c>
      <c r="D15" s="421"/>
      <c r="E15" s="421"/>
      <c r="F15" s="73"/>
      <c r="G15" s="264">
        <v>0</v>
      </c>
      <c r="H15" s="264">
        <v>3517</v>
      </c>
      <c r="I15" s="322"/>
      <c r="J15" s="322">
        <f>'June''22 State of Activities'!G17</f>
        <v>7735.85</v>
      </c>
      <c r="K15" s="322">
        <v>17445.740000000002</v>
      </c>
      <c r="L15" s="322"/>
      <c r="M15" s="322">
        <v>8229</v>
      </c>
      <c r="N15" s="68"/>
      <c r="O15" s="510">
        <f t="shared" si="0"/>
        <v>-493.14999999999964</v>
      </c>
      <c r="P15" s="437">
        <f t="shared" si="1"/>
        <v>-5.9928302345363914E-2</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216</v>
      </c>
      <c r="D16" s="421"/>
      <c r="E16" s="421"/>
      <c r="F16" s="73"/>
      <c r="G16" s="264">
        <v>31459</v>
      </c>
      <c r="H16" s="264">
        <v>13920.35</v>
      </c>
      <c r="I16" s="322"/>
      <c r="J16" s="322">
        <f>'June''22 Revenues &amp; Expenses'!H46</f>
        <v>12327.26</v>
      </c>
      <c r="K16" s="322">
        <v>25000</v>
      </c>
      <c r="L16" s="322"/>
      <c r="M16" s="322">
        <v>12561</v>
      </c>
      <c r="N16" s="68"/>
      <c r="O16" s="510">
        <f t="shared" si="0"/>
        <v>-233.73999999999978</v>
      </c>
      <c r="P16" s="437">
        <f t="shared" si="1"/>
        <v>-1.8608391051667842E-2</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486</v>
      </c>
      <c r="D17" s="421"/>
      <c r="E17" s="421"/>
      <c r="F17" s="73"/>
      <c r="G17" s="264"/>
      <c r="H17" s="264"/>
      <c r="I17" s="322"/>
      <c r="J17" s="322">
        <v>0</v>
      </c>
      <c r="K17" s="322">
        <v>5350</v>
      </c>
      <c r="L17" s="322"/>
      <c r="M17" s="322"/>
      <c r="N17" s="68"/>
      <c r="O17" s="510">
        <f t="shared" si="0"/>
        <v>0</v>
      </c>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383</v>
      </c>
      <c r="D18" s="421"/>
      <c r="E18" s="421"/>
      <c r="F18" s="73"/>
      <c r="G18" s="264"/>
      <c r="H18" s="264"/>
      <c r="I18" s="322"/>
      <c r="J18" s="322">
        <v>3401.68</v>
      </c>
      <c r="K18" s="322">
        <v>30028.48</v>
      </c>
      <c r="L18" s="322"/>
      <c r="M18" s="322">
        <v>15245</v>
      </c>
      <c r="N18" s="68"/>
      <c r="O18" s="510">
        <f t="shared" si="0"/>
        <v>-11843.32</v>
      </c>
      <c r="P18" s="414">
        <f t="shared" si="1"/>
        <v>-0.77686585765824856</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395</v>
      </c>
      <c r="D19" s="421"/>
      <c r="E19" s="421"/>
      <c r="F19" s="73"/>
      <c r="G19" s="264"/>
      <c r="H19" s="264"/>
      <c r="I19" s="322"/>
      <c r="J19" s="322">
        <v>0</v>
      </c>
      <c r="K19" s="322">
        <v>20000</v>
      </c>
      <c r="L19" s="322"/>
      <c r="M19" s="322"/>
      <c r="N19" s="68"/>
      <c r="O19" s="510">
        <f t="shared" si="0"/>
        <v>0</v>
      </c>
      <c r="P19" s="414"/>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1" t="s">
        <v>415</v>
      </c>
      <c r="D20" s="421"/>
      <c r="E20" s="421"/>
      <c r="F20" s="73"/>
      <c r="G20" s="264"/>
      <c r="H20" s="264"/>
      <c r="I20" s="322"/>
      <c r="J20" s="322">
        <v>0</v>
      </c>
      <c r="K20" s="322">
        <v>0</v>
      </c>
      <c r="L20" s="322"/>
      <c r="M20" s="322"/>
      <c r="N20" s="68"/>
      <c r="O20" s="510">
        <f t="shared" si="0"/>
        <v>0</v>
      </c>
      <c r="P20" s="437"/>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1" t="s">
        <v>416</v>
      </c>
      <c r="D21" s="421"/>
      <c r="E21" s="421"/>
      <c r="F21" s="73"/>
      <c r="G21" s="264"/>
      <c r="H21" s="264"/>
      <c r="I21" s="322"/>
      <c r="J21" s="322">
        <v>0</v>
      </c>
      <c r="K21" s="322">
        <v>0</v>
      </c>
      <c r="L21" s="322"/>
      <c r="M21" s="322"/>
      <c r="N21" s="68"/>
      <c r="O21" s="510">
        <f t="shared" si="0"/>
        <v>0</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337</v>
      </c>
      <c r="D22" s="421"/>
      <c r="E22" s="421"/>
      <c r="F22" s="73"/>
      <c r="G22" s="264"/>
      <c r="H22" s="264"/>
      <c r="I22" s="322"/>
      <c r="J22" s="322">
        <f>'June''22 State of Activities'!G11</f>
        <v>0</v>
      </c>
      <c r="K22" s="322">
        <v>162.47</v>
      </c>
      <c r="L22" s="322"/>
      <c r="M22" s="322"/>
      <c r="N22" s="68"/>
      <c r="O22" s="510">
        <f t="shared" si="0"/>
        <v>0</v>
      </c>
      <c r="P22" s="437"/>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951" t="s">
        <v>340</v>
      </c>
      <c r="D23" s="951"/>
      <c r="E23" s="951"/>
      <c r="F23" s="951"/>
      <c r="G23" s="264"/>
      <c r="H23" s="264"/>
      <c r="I23" s="322"/>
      <c r="J23" s="322">
        <v>0</v>
      </c>
      <c r="K23" s="322">
        <v>0</v>
      </c>
      <c r="L23" s="322"/>
      <c r="M23" s="322">
        <f>K23</f>
        <v>0</v>
      </c>
      <c r="N23" s="68"/>
      <c r="O23" s="510">
        <f t="shared" si="0"/>
        <v>0</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346</v>
      </c>
      <c r="D24" s="421"/>
      <c r="E24" s="421"/>
      <c r="F24" s="73"/>
      <c r="G24" s="264">
        <v>1125</v>
      </c>
      <c r="H24" s="264">
        <v>6050</v>
      </c>
      <c r="I24" s="322"/>
      <c r="J24" s="322">
        <v>0</v>
      </c>
      <c r="K24" s="322">
        <v>3150</v>
      </c>
      <c r="L24" s="322"/>
      <c r="M24" s="322">
        <f>'June''22 State of Activities'!J25</f>
        <v>3150</v>
      </c>
      <c r="N24" s="68"/>
      <c r="O24" s="510">
        <f t="shared" si="0"/>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217</v>
      </c>
      <c r="D25" s="421"/>
      <c r="E25" s="421"/>
      <c r="F25" s="73"/>
      <c r="G25" s="265">
        <v>31250</v>
      </c>
      <c r="H25" s="265">
        <v>15624.98</v>
      </c>
      <c r="I25" s="322"/>
      <c r="J25" s="265">
        <f>'June''22 State of Activities'!G26*0.2</f>
        <v>5274</v>
      </c>
      <c r="K25" s="265">
        <f>'[3]December''21 State of Activities'!H26*0.2</f>
        <v>10548</v>
      </c>
      <c r="L25" s="322"/>
      <c r="M25" s="265">
        <f>'June''22 State of Activities'!J26*0.2</f>
        <v>5274</v>
      </c>
      <c r="N25" s="68"/>
      <c r="O25" s="378">
        <f t="shared" si="0"/>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105</v>
      </c>
      <c r="E26" s="421"/>
      <c r="F26" s="73"/>
      <c r="G26" s="234">
        <v>1161224.25</v>
      </c>
      <c r="H26" s="234">
        <v>516293.30999999994</v>
      </c>
      <c r="I26" s="232"/>
      <c r="J26" s="264">
        <f>SUM(J9:J25)</f>
        <v>134987.86339999997</v>
      </c>
      <c r="K26" s="264">
        <f>SUM(K9:K25)</f>
        <v>295337.45999999996</v>
      </c>
      <c r="L26" s="322"/>
      <c r="M26" s="264">
        <f>SUM(M9:M25)</f>
        <v>125403.76000000001</v>
      </c>
      <c r="N26" s="68"/>
      <c r="O26" s="275">
        <f t="shared" si="0"/>
        <v>9584.1033999999636</v>
      </c>
      <c r="P26" s="437">
        <f>O26/M26</f>
        <v>7.6425965218267486E-2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218</v>
      </c>
      <c r="D27" s="421"/>
      <c r="E27" s="421"/>
      <c r="F27" s="73"/>
      <c r="G27" s="241">
        <v>150176</v>
      </c>
      <c r="H27" s="241">
        <v>47700.27</v>
      </c>
      <c r="I27" s="232"/>
      <c r="J27" s="322">
        <f>20000/12*6</f>
        <v>10000</v>
      </c>
      <c r="K27" s="322">
        <v>18500</v>
      </c>
      <c r="L27" s="322"/>
      <c r="M27" s="322">
        <v>9250</v>
      </c>
      <c r="N27" s="68"/>
      <c r="O27" s="510">
        <f t="shared" si="0"/>
        <v>750</v>
      </c>
      <c r="P27" s="414">
        <f>O27/M27</f>
        <v>8.1081081081081086E-2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219</v>
      </c>
      <c r="D28" s="421"/>
      <c r="E28" s="421"/>
      <c r="F28" s="73"/>
      <c r="G28" s="232"/>
      <c r="H28" s="232"/>
      <c r="I28" s="232"/>
      <c r="J28" s="265">
        <v>22865.3</v>
      </c>
      <c r="K28" s="265">
        <v>26400.720000000001</v>
      </c>
      <c r="L28" s="322"/>
      <c r="M28" s="265">
        <v>13199</v>
      </c>
      <c r="N28" s="68"/>
      <c r="O28" s="378">
        <f t="shared" si="0"/>
        <v>9666.2999999999993</v>
      </c>
      <c r="P28" s="465">
        <f>O28/M28</f>
        <v>0.7323509356769452</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107</v>
      </c>
      <c r="E29" s="421"/>
      <c r="F29" s="73"/>
      <c r="G29" s="234">
        <v>1311400.25</v>
      </c>
      <c r="H29" s="234">
        <v>563993.57999999996</v>
      </c>
      <c r="I29" s="232"/>
      <c r="J29" s="264">
        <f>SUM(J26:J28)</f>
        <v>167853.16339999996</v>
      </c>
      <c r="K29" s="264">
        <f>SUM(K26:K28)</f>
        <v>340238.17999999993</v>
      </c>
      <c r="L29" s="322"/>
      <c r="M29" s="264">
        <f>SUM(M26:M28)</f>
        <v>147852.76</v>
      </c>
      <c r="N29" s="68"/>
      <c r="O29" s="275">
        <f t="shared" si="0"/>
        <v>20000.403399999952</v>
      </c>
      <c r="P29" s="437">
        <f>O29/M29</f>
        <v>0.13527243860716534</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6"/>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220</v>
      </c>
      <c r="D32" s="79"/>
      <c r="E32" s="79"/>
      <c r="F32" s="79"/>
      <c r="G32" s="232">
        <v>733747.79999999993</v>
      </c>
      <c r="H32" s="275">
        <v>361976</v>
      </c>
      <c r="I32" s="275"/>
      <c r="J32" s="322"/>
      <c r="K32" s="400"/>
      <c r="L32" s="400"/>
      <c r="M32" s="400"/>
    </row>
    <row r="33" spans="1:18" s="68" customFormat="1" ht="20.25" x14ac:dyDescent="0.2">
      <c r="A33" s="67"/>
      <c r="B33" s="67"/>
      <c r="C33" s="79"/>
      <c r="D33" s="892" t="s">
        <v>221</v>
      </c>
      <c r="E33" s="892"/>
      <c r="F33" s="892"/>
      <c r="G33" s="232"/>
      <c r="H33" s="275"/>
      <c r="I33" s="275"/>
      <c r="J33" s="322">
        <v>98590.58</v>
      </c>
      <c r="K33" s="322">
        <v>155035.70000000001</v>
      </c>
      <c r="L33" s="400"/>
      <c r="M33" s="322">
        <v>71768</v>
      </c>
      <c r="N33" s="369"/>
      <c r="O33" s="400">
        <f>J33-M33</f>
        <v>26822.58</v>
      </c>
      <c r="P33" s="437">
        <f>O33/M33</f>
        <v>0.37374010701148147</v>
      </c>
    </row>
    <row r="34" spans="1:18" s="68" customFormat="1" ht="20.25" x14ac:dyDescent="0.2">
      <c r="A34" s="67"/>
      <c r="B34" s="67"/>
      <c r="C34" s="79"/>
      <c r="D34" s="892" t="s">
        <v>222</v>
      </c>
      <c r="E34" s="892"/>
      <c r="F34" s="892"/>
      <c r="G34" s="232"/>
      <c r="H34" s="275"/>
      <c r="I34" s="275"/>
      <c r="J34" s="322">
        <f>24713.55+13854.83</f>
        <v>38568.379999999997</v>
      </c>
      <c r="K34" s="322">
        <f>43631.85+27917.65</f>
        <v>71549.5</v>
      </c>
      <c r="L34" s="400"/>
      <c r="M34" s="322">
        <v>34686</v>
      </c>
      <c r="N34" s="369"/>
      <c r="O34" s="400">
        <f>J34-M34</f>
        <v>3882.3799999999974</v>
      </c>
      <c r="P34" s="437">
        <f>O34/M34</f>
        <v>0.1119293086547886</v>
      </c>
      <c r="R34" s="262"/>
    </row>
    <row r="35" spans="1:18" s="68" customFormat="1" ht="20.25" x14ac:dyDescent="0.2">
      <c r="A35" s="67"/>
      <c r="B35" s="67"/>
      <c r="C35" s="79"/>
      <c r="D35" s="892" t="s">
        <v>113</v>
      </c>
      <c r="E35" s="892"/>
      <c r="F35" s="892"/>
      <c r="G35" s="232"/>
      <c r="H35" s="275"/>
      <c r="I35" s="275"/>
      <c r="J35" s="322">
        <f>J33*0.213+J34*0.14</f>
        <v>26399.366739999998</v>
      </c>
      <c r="K35" s="322">
        <f>K33*0.213+K34*0.14</f>
        <v>43039.534100000004</v>
      </c>
      <c r="L35" s="400"/>
      <c r="M35" s="322">
        <v>19425</v>
      </c>
      <c r="N35" s="369"/>
      <c r="O35" s="400">
        <f>J35-M35</f>
        <v>6974.3667399999977</v>
      </c>
      <c r="P35" s="437">
        <f>O35/M35</f>
        <v>0.3590407588159587</v>
      </c>
    </row>
    <row r="36" spans="1:18" s="68" customFormat="1" ht="20.25" x14ac:dyDescent="0.2">
      <c r="A36" s="67"/>
      <c r="B36" s="67"/>
      <c r="C36" s="79" t="s">
        <v>280</v>
      </c>
      <c r="D36" s="79"/>
      <c r="E36" s="79"/>
      <c r="F36" s="79"/>
      <c r="G36" s="232">
        <v>44745.18</v>
      </c>
      <c r="H36" s="232">
        <v>20974.21</v>
      </c>
      <c r="I36" s="232"/>
      <c r="J36" s="777"/>
      <c r="K36" s="777"/>
      <c r="L36" s="777"/>
      <c r="M36" s="777"/>
      <c r="N36" s="369"/>
      <c r="O36" s="847"/>
      <c r="P36" s="437"/>
    </row>
    <row r="37" spans="1:18" s="68" customFormat="1" ht="20.25" x14ac:dyDescent="0.2">
      <c r="A37" s="67"/>
      <c r="B37" s="67"/>
      <c r="C37" s="79"/>
      <c r="D37" s="892" t="s">
        <v>223</v>
      </c>
      <c r="E37" s="892"/>
      <c r="F37" s="892"/>
      <c r="G37" s="232"/>
      <c r="H37" s="232"/>
      <c r="I37" s="232"/>
      <c r="J37" s="322">
        <v>18873.53</v>
      </c>
      <c r="K37" s="322">
        <v>25112.19</v>
      </c>
      <c r="L37" s="322"/>
      <c r="M37" s="322">
        <v>10843</v>
      </c>
      <c r="N37" s="369"/>
      <c r="O37" s="400">
        <f t="shared" ref="O37:O53" si="2">J37-M37</f>
        <v>8030.5299999999988</v>
      </c>
      <c r="P37" s="437">
        <f t="shared" ref="P37:P44" si="3">O37/M37</f>
        <v>0.7406188324264501</v>
      </c>
    </row>
    <row r="38" spans="1:18" s="68" customFormat="1" ht="20.25" x14ac:dyDescent="0.2">
      <c r="A38" s="67"/>
      <c r="B38" s="67"/>
      <c r="C38" s="79"/>
      <c r="D38" s="892" t="s">
        <v>224</v>
      </c>
      <c r="E38" s="892"/>
      <c r="F38" s="892"/>
      <c r="G38" s="232"/>
      <c r="H38" s="232"/>
      <c r="I38" s="232"/>
      <c r="J38" s="322">
        <v>12097.71</v>
      </c>
      <c r="K38" s="322">
        <v>23957.25</v>
      </c>
      <c r="L38" s="322"/>
      <c r="M38" s="322">
        <v>11927</v>
      </c>
      <c r="N38" s="369"/>
      <c r="O38" s="400">
        <f t="shared" si="2"/>
        <v>170.70999999999913</v>
      </c>
      <c r="P38" s="437">
        <f t="shared" si="3"/>
        <v>1.4312903496268896E-2</v>
      </c>
    </row>
    <row r="39" spans="1:18" s="68" customFormat="1" ht="20.25" x14ac:dyDescent="0.2">
      <c r="A39" s="67"/>
      <c r="B39" s="67"/>
      <c r="C39" s="79"/>
      <c r="D39" s="892" t="s">
        <v>306</v>
      </c>
      <c r="E39" s="892"/>
      <c r="F39" s="892"/>
      <c r="G39" s="232"/>
      <c r="H39" s="232"/>
      <c r="I39" s="232"/>
      <c r="J39" s="322">
        <v>5049.76</v>
      </c>
      <c r="K39" s="322">
        <v>19504.66</v>
      </c>
      <c r="L39" s="322"/>
      <c r="M39" s="322">
        <v>8429</v>
      </c>
      <c r="N39" s="369"/>
      <c r="O39" s="400">
        <f>J39-M39</f>
        <v>-3379.24</v>
      </c>
      <c r="P39" s="437">
        <f t="shared" si="3"/>
        <v>-0.40090639459010557</v>
      </c>
    </row>
    <row r="40" spans="1:18" s="68" customFormat="1" ht="20.25" x14ac:dyDescent="0.2">
      <c r="A40" s="67"/>
      <c r="B40" s="67"/>
      <c r="C40" s="79"/>
      <c r="D40" s="892" t="s">
        <v>225</v>
      </c>
      <c r="E40" s="892"/>
      <c r="F40" s="892"/>
      <c r="G40" s="232"/>
      <c r="H40" s="232"/>
      <c r="I40" s="232"/>
      <c r="J40" s="322">
        <v>204</v>
      </c>
      <c r="K40" s="322">
        <v>663</v>
      </c>
      <c r="L40" s="322"/>
      <c r="M40" s="322">
        <v>409</v>
      </c>
      <c r="N40" s="369"/>
      <c r="O40" s="400">
        <f t="shared" si="2"/>
        <v>-205</v>
      </c>
      <c r="P40" s="437">
        <f t="shared" si="3"/>
        <v>-0.5012224938875306</v>
      </c>
    </row>
    <row r="41" spans="1:18" s="68" customFormat="1" ht="20.25" x14ac:dyDescent="0.2">
      <c r="A41" s="67"/>
      <c r="B41" s="67"/>
      <c r="C41" s="79" t="s">
        <v>226</v>
      </c>
      <c r="D41" s="79"/>
      <c r="E41" s="79"/>
      <c r="F41" s="79"/>
      <c r="G41" s="232">
        <v>27200</v>
      </c>
      <c r="H41" s="232">
        <v>11327</v>
      </c>
      <c r="I41" s="232"/>
      <c r="J41" s="322">
        <v>14817</v>
      </c>
      <c r="K41" s="322">
        <f>1903+28481</f>
        <v>30384</v>
      </c>
      <c r="L41" s="322"/>
      <c r="M41" s="322">
        <v>15192</v>
      </c>
      <c r="N41" s="369"/>
      <c r="O41" s="400">
        <f t="shared" si="2"/>
        <v>-375</v>
      </c>
      <c r="P41" s="437">
        <f t="shared" si="3"/>
        <v>-2.4684044233807267E-2</v>
      </c>
    </row>
    <row r="42" spans="1:18" s="68" customFormat="1" ht="20.25" x14ac:dyDescent="0.2">
      <c r="A42" s="67"/>
      <c r="B42" s="67"/>
      <c r="C42" s="79" t="s">
        <v>104</v>
      </c>
      <c r="D42" s="79"/>
      <c r="E42" s="79"/>
      <c r="F42" s="79"/>
      <c r="G42" s="232">
        <v>150176</v>
      </c>
      <c r="H42" s="275">
        <v>47700.27</v>
      </c>
      <c r="I42" s="275"/>
      <c r="J42" s="322">
        <f>J25</f>
        <v>5274</v>
      </c>
      <c r="K42" s="322">
        <f>K25</f>
        <v>10548</v>
      </c>
      <c r="L42" s="400"/>
      <c r="M42" s="322">
        <v>5274</v>
      </c>
      <c r="N42" s="369"/>
      <c r="O42" s="400">
        <f t="shared" si="2"/>
        <v>0</v>
      </c>
      <c r="P42" s="437">
        <f t="shared" si="3"/>
        <v>0</v>
      </c>
    </row>
    <row r="43" spans="1:18" s="68" customFormat="1" ht="20.25" x14ac:dyDescent="0.2">
      <c r="A43" s="67"/>
      <c r="B43" s="67"/>
      <c r="C43" s="79" t="s">
        <v>315</v>
      </c>
      <c r="D43" s="79"/>
      <c r="E43" s="79"/>
      <c r="F43" s="79"/>
      <c r="G43" s="232"/>
      <c r="H43" s="275"/>
      <c r="I43" s="275"/>
      <c r="J43" s="322">
        <v>2324.94</v>
      </c>
      <c r="K43" s="322">
        <v>4231.88</v>
      </c>
      <c r="L43" s="400"/>
      <c r="M43" s="322">
        <v>2033</v>
      </c>
      <c r="N43" s="369"/>
      <c r="O43" s="400">
        <f t="shared" si="2"/>
        <v>291.94000000000005</v>
      </c>
      <c r="P43" s="437">
        <f t="shared" si="3"/>
        <v>0.14360059026069849</v>
      </c>
    </row>
    <row r="44" spans="1:18" s="68" customFormat="1" ht="20.25" x14ac:dyDescent="0.2">
      <c r="A44" s="67"/>
      <c r="B44" s="67"/>
      <c r="C44" s="79" t="s">
        <v>227</v>
      </c>
      <c r="D44" s="79"/>
      <c r="E44" s="79"/>
      <c r="F44" s="79"/>
      <c r="G44" s="232"/>
      <c r="H44" s="275"/>
      <c r="I44" s="275"/>
      <c r="J44" s="322">
        <f>137+811</f>
        <v>948</v>
      </c>
      <c r="K44" s="322">
        <f>99+937</f>
        <v>1036</v>
      </c>
      <c r="L44" s="400"/>
      <c r="M44" s="322">
        <v>1036</v>
      </c>
      <c r="N44" s="369"/>
      <c r="O44" s="400">
        <f t="shared" si="2"/>
        <v>-88</v>
      </c>
      <c r="P44" s="437">
        <f t="shared" si="3"/>
        <v>-8.4942084942084939E-2</v>
      </c>
    </row>
    <row r="45" spans="1:18" s="68" customFormat="1" ht="20.25" x14ac:dyDescent="0.2">
      <c r="A45" s="67"/>
      <c r="B45" s="67"/>
      <c r="C45" s="79" t="s">
        <v>386</v>
      </c>
      <c r="D45" s="79"/>
      <c r="E45" s="79"/>
      <c r="F45" s="79"/>
      <c r="G45" s="232">
        <v>10993.12</v>
      </c>
      <c r="H45" s="275">
        <v>4904.57</v>
      </c>
      <c r="I45" s="275"/>
      <c r="J45" s="322">
        <v>4292.1499999999996</v>
      </c>
      <c r="K45" s="322">
        <f>7884.62+184.74</f>
        <v>8069.36</v>
      </c>
      <c r="L45" s="400"/>
      <c r="M45" s="322">
        <v>3987</v>
      </c>
      <c r="N45" s="369"/>
      <c r="O45" s="400">
        <f t="shared" si="2"/>
        <v>305.14999999999964</v>
      </c>
      <c r="P45" s="437">
        <f>O45/M45</f>
        <v>7.6536242789064374E-2</v>
      </c>
    </row>
    <row r="46" spans="1:18" s="68" customFormat="1" ht="20.25" x14ac:dyDescent="0.2">
      <c r="A46" s="67"/>
      <c r="B46" s="67"/>
      <c r="C46" s="79" t="s">
        <v>228</v>
      </c>
      <c r="D46" s="79"/>
      <c r="E46" s="79"/>
      <c r="F46" s="79"/>
      <c r="G46" s="232">
        <v>10250.949999999999</v>
      </c>
      <c r="H46" s="275">
        <v>3982.99</v>
      </c>
      <c r="I46" s="275"/>
      <c r="J46" s="322">
        <f>59.8+263.27</f>
        <v>323.07</v>
      </c>
      <c r="K46" s="322">
        <f>958.23+28.31+10.3+36.4+4907.37</f>
        <v>5940.61</v>
      </c>
      <c r="L46" s="400"/>
      <c r="M46" s="322">
        <v>450</v>
      </c>
      <c r="N46" s="369"/>
      <c r="O46" s="400">
        <f t="shared" si="2"/>
        <v>-126.93</v>
      </c>
      <c r="P46" s="437">
        <f>O46/M46</f>
        <v>-0.28206666666666669</v>
      </c>
    </row>
    <row r="47" spans="1:18" s="68" customFormat="1" ht="20.25" x14ac:dyDescent="0.2">
      <c r="A47" s="67"/>
      <c r="B47" s="67"/>
      <c r="C47" s="79" t="s">
        <v>122</v>
      </c>
      <c r="D47" s="79"/>
      <c r="E47" s="79"/>
      <c r="F47" s="79"/>
      <c r="G47" s="232">
        <v>4412.53</v>
      </c>
      <c r="H47" s="276">
        <v>5667</v>
      </c>
      <c r="I47" s="276"/>
      <c r="J47" s="322">
        <f>2596.52</f>
        <v>2596.52</v>
      </c>
      <c r="K47" s="322">
        <v>3426.72</v>
      </c>
      <c r="L47" s="401"/>
      <c r="M47" s="322">
        <v>1736</v>
      </c>
      <c r="N47" s="369"/>
      <c r="O47" s="400">
        <f t="shared" si="2"/>
        <v>860.52</v>
      </c>
      <c r="P47" s="437">
        <f>O47/M47</f>
        <v>0.49569124423963135</v>
      </c>
    </row>
    <row r="48" spans="1:18" s="68" customFormat="1" ht="20.25" x14ac:dyDescent="0.2">
      <c r="A48" s="67"/>
      <c r="B48" s="67"/>
      <c r="C48" s="79" t="s">
        <v>120</v>
      </c>
      <c r="D48" s="79"/>
      <c r="E48" s="79"/>
      <c r="F48" s="79"/>
      <c r="G48" s="232">
        <v>7901</v>
      </c>
      <c r="H48" s="275">
        <v>4149.6000000000004</v>
      </c>
      <c r="I48" s="275"/>
      <c r="J48" s="322">
        <v>250.97</v>
      </c>
      <c r="K48" s="322">
        <v>420.52</v>
      </c>
      <c r="L48" s="400"/>
      <c r="M48" s="322">
        <v>160</v>
      </c>
      <c r="N48" s="369"/>
      <c r="O48" s="400">
        <f t="shared" si="2"/>
        <v>90.97</v>
      </c>
      <c r="P48" s="437">
        <f>O48/M48</f>
        <v>0.56856249999999997</v>
      </c>
    </row>
    <row r="49" spans="1:18" s="68" customFormat="1" ht="20.25" hidden="1" x14ac:dyDescent="0.2">
      <c r="A49" s="67"/>
      <c r="B49" s="67"/>
      <c r="C49" s="79" t="s">
        <v>229</v>
      </c>
      <c r="D49" s="79"/>
      <c r="E49" s="79"/>
      <c r="F49" s="79"/>
      <c r="G49" s="232"/>
      <c r="H49" s="275"/>
      <c r="I49" s="275"/>
      <c r="J49" s="322"/>
      <c r="K49" s="322"/>
      <c r="L49" s="400"/>
      <c r="M49" s="322"/>
      <c r="N49" s="369"/>
      <c r="O49" s="400">
        <f t="shared" si="2"/>
        <v>0</v>
      </c>
      <c r="P49" s="437"/>
    </row>
    <row r="50" spans="1:18" s="76" customFormat="1" ht="20.25" x14ac:dyDescent="0.2">
      <c r="A50" s="79"/>
      <c r="B50" s="79"/>
      <c r="C50" s="79" t="s">
        <v>116</v>
      </c>
      <c r="D50" s="79"/>
      <c r="E50" s="79"/>
      <c r="F50" s="79"/>
      <c r="G50" s="232">
        <v>5428.37</v>
      </c>
      <c r="H50" s="275">
        <v>2024.52</v>
      </c>
      <c r="I50" s="275"/>
      <c r="J50" s="322">
        <v>208.18</v>
      </c>
      <c r="K50" s="322">
        <v>225.92</v>
      </c>
      <c r="L50" s="400"/>
      <c r="M50" s="322">
        <v>177</v>
      </c>
      <c r="N50" s="368"/>
      <c r="O50" s="400">
        <f t="shared" si="2"/>
        <v>31.180000000000007</v>
      </c>
      <c r="P50" s="437">
        <f>O50/M50</f>
        <v>0.17615819209039552</v>
      </c>
    </row>
    <row r="51" spans="1:18" s="76" customFormat="1" ht="20.25" x14ac:dyDescent="0.2">
      <c r="A51" s="79"/>
      <c r="B51" s="79"/>
      <c r="C51" s="79" t="s">
        <v>230</v>
      </c>
      <c r="D51" s="79"/>
      <c r="E51" s="79"/>
      <c r="F51" s="79"/>
      <c r="G51" s="232">
        <v>83462.91</v>
      </c>
      <c r="H51" s="232">
        <v>18995.71</v>
      </c>
      <c r="I51" s="232"/>
      <c r="J51" s="399">
        <f>23.86+111.05</f>
        <v>134.91</v>
      </c>
      <c r="K51" s="399">
        <f>292.24+4514.12-K43+84.23</f>
        <v>658.70999999999958</v>
      </c>
      <c r="L51" s="322"/>
      <c r="M51" s="399">
        <v>254</v>
      </c>
      <c r="N51" s="368"/>
      <c r="O51" s="710">
        <f t="shared" si="2"/>
        <v>-119.09</v>
      </c>
      <c r="P51" s="512"/>
    </row>
    <row r="52" spans="1:18" s="68" customFormat="1" ht="21" thickBot="1" x14ac:dyDescent="0.25">
      <c r="A52" s="67"/>
      <c r="B52" s="67"/>
      <c r="C52" s="67"/>
      <c r="D52" s="73" t="s">
        <v>128</v>
      </c>
      <c r="E52" s="67"/>
      <c r="F52" s="67"/>
      <c r="G52" s="241">
        <v>1078317.8599999999</v>
      </c>
      <c r="H52" s="241">
        <v>481701.87000000005</v>
      </c>
      <c r="I52" s="232"/>
      <c r="J52" s="467">
        <f>SUM(J33:J51)</f>
        <v>230953.06673999998</v>
      </c>
      <c r="K52" s="467">
        <f>SUM(K33:K51)</f>
        <v>403803.55409999995</v>
      </c>
      <c r="L52" s="322"/>
      <c r="M52" s="467">
        <f>SUM(M33:M51)</f>
        <v>187786</v>
      </c>
      <c r="O52" s="467">
        <f t="shared" si="2"/>
        <v>43167.06673999998</v>
      </c>
      <c r="P52" s="465">
        <f>O52/M52</f>
        <v>0.22987372189620089</v>
      </c>
      <c r="R52" s="341"/>
    </row>
    <row r="53" spans="1:18" s="68" customFormat="1" ht="21" thickBot="1" x14ac:dyDescent="0.25">
      <c r="A53" s="67"/>
      <c r="B53" s="67"/>
      <c r="C53" s="67"/>
      <c r="D53" s="67" t="s">
        <v>129</v>
      </c>
      <c r="E53" s="67"/>
      <c r="F53" s="67"/>
      <c r="G53" s="241">
        <v>233082.39000000013</v>
      </c>
      <c r="H53" s="241">
        <v>82291.709999999905</v>
      </c>
      <c r="I53" s="232"/>
      <c r="J53" s="468">
        <f>J29-J52</f>
        <v>-63099.903340000019</v>
      </c>
      <c r="K53" s="468">
        <f>K29-K52</f>
        <v>-63565.374100000015</v>
      </c>
      <c r="L53" s="322"/>
      <c r="M53" s="468">
        <f>M29-M52</f>
        <v>-39933.239999999991</v>
      </c>
      <c r="O53" s="378">
        <f t="shared" si="2"/>
        <v>-23166.663340000028</v>
      </c>
      <c r="P53" s="465">
        <f>O53/M53</f>
        <v>0.58013482852881548</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265</v>
      </c>
      <c r="E55" s="79"/>
      <c r="F55" s="79"/>
      <c r="G55" s="270"/>
      <c r="H55" s="232"/>
      <c r="I55" s="232"/>
      <c r="J55" s="322"/>
      <c r="K55" s="322"/>
      <c r="L55" s="322"/>
      <c r="M55" s="322"/>
      <c r="O55" s="275">
        <f>J55-M55</f>
        <v>0</v>
      </c>
      <c r="P55" s="414"/>
    </row>
    <row r="56" spans="1:18" s="68" customFormat="1" ht="20.25" x14ac:dyDescent="0.2">
      <c r="A56" s="67"/>
      <c r="B56" s="67"/>
      <c r="C56" s="79" t="s">
        <v>487</v>
      </c>
      <c r="E56" s="67"/>
      <c r="G56" s="232"/>
      <c r="H56" s="232"/>
      <c r="I56" s="232"/>
      <c r="J56" s="322">
        <f>J41</f>
        <v>14817</v>
      </c>
      <c r="K56" s="322">
        <f>K41</f>
        <v>30384</v>
      </c>
      <c r="L56" s="322"/>
      <c r="M56" s="322">
        <f>M41</f>
        <v>15192</v>
      </c>
      <c r="O56" s="275">
        <f>J56-M56</f>
        <v>-375</v>
      </c>
      <c r="P56" s="414">
        <v>3.5414486921529216E-2</v>
      </c>
    </row>
    <row r="57" spans="1:18" s="68" customFormat="1" ht="24" thickBot="1" x14ac:dyDescent="0.25">
      <c r="A57" s="67"/>
      <c r="B57" s="397"/>
      <c r="C57" s="67"/>
      <c r="D57" s="950" t="s">
        <v>232</v>
      </c>
      <c r="E57" s="950"/>
      <c r="F57" s="950"/>
      <c r="G57" s="232"/>
      <c r="H57" s="232"/>
      <c r="I57" s="232"/>
      <c r="J57" s="469">
        <f>J53+J55+J56</f>
        <v>-48282.903340000019</v>
      </c>
      <c r="K57" s="469">
        <f>K53+K55+K56</f>
        <v>-33181.374100000015</v>
      </c>
      <c r="L57" s="326"/>
      <c r="M57" s="469">
        <f>M53+M55+M56</f>
        <v>-24741.239999999991</v>
      </c>
      <c r="N57" s="388"/>
      <c r="O57" s="466">
        <f>J57-M57</f>
        <v>-23541.663340000028</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311</v>
      </c>
      <c r="G59" s="246"/>
      <c r="H59" s="232"/>
      <c r="I59" s="232"/>
      <c r="J59" s="322">
        <v>109237</v>
      </c>
      <c r="K59" s="322">
        <v>206080</v>
      </c>
      <c r="L59" s="322"/>
      <c r="M59" s="322">
        <v>100662</v>
      </c>
      <c r="O59" s="247"/>
    </row>
    <row r="60" spans="1:18" s="76" customFormat="1" ht="21" thickBot="1" x14ac:dyDescent="0.25">
      <c r="A60" s="79"/>
      <c r="B60" s="79"/>
      <c r="C60" s="79"/>
      <c r="D60" s="79"/>
      <c r="F60" s="79" t="s">
        <v>316</v>
      </c>
      <c r="G60" s="232"/>
      <c r="H60" s="232"/>
      <c r="I60" s="232"/>
      <c r="J60" s="613">
        <f>(J52-J41-J42)/J59</f>
        <v>1.9303172619167497</v>
      </c>
      <c r="K60" s="613">
        <f>(K52-K41-K42)/K59</f>
        <v>1.7608285816187885</v>
      </c>
      <c r="L60" s="614"/>
      <c r="M60" s="613">
        <f>(M52-M41-M42)/M59</f>
        <v>1.6621962607538099</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312</v>
      </c>
      <c r="G62" s="232"/>
      <c r="H62" s="232"/>
      <c r="I62" s="232"/>
      <c r="J62" s="322">
        <v>5510</v>
      </c>
      <c r="K62" s="322">
        <v>10428</v>
      </c>
      <c r="L62" s="322"/>
      <c r="M62" s="322">
        <v>4835</v>
      </c>
      <c r="P62" s="247"/>
    </row>
    <row r="63" spans="1:18" s="76" customFormat="1" ht="21" thickBot="1" x14ac:dyDescent="0.25">
      <c r="A63" s="79"/>
      <c r="B63" s="79"/>
      <c r="C63" s="79"/>
      <c r="D63" s="79"/>
      <c r="F63" s="79" t="s">
        <v>375</v>
      </c>
      <c r="G63" s="232"/>
      <c r="H63" s="232"/>
      <c r="I63" s="232"/>
      <c r="J63" s="613">
        <f>(J52-J41-J42)/J62</f>
        <v>38.268977629764059</v>
      </c>
      <c r="K63" s="613">
        <f>(K52-K41-K42)/K62</f>
        <v>34.797809177215186</v>
      </c>
      <c r="L63" s="322"/>
      <c r="M63" s="613">
        <f>(M52-M41-M42)/M62</f>
        <v>34.605997931747673</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313</v>
      </c>
      <c r="G65" s="232"/>
      <c r="H65" s="232"/>
      <c r="I65" s="232"/>
      <c r="J65" s="322">
        <v>1302</v>
      </c>
      <c r="K65" s="322">
        <v>2714</v>
      </c>
      <c r="L65" s="322"/>
      <c r="M65" s="322">
        <v>1056</v>
      </c>
    </row>
    <row r="66" spans="1:13" s="76" customFormat="1" ht="21" thickBot="1" x14ac:dyDescent="0.25">
      <c r="A66" s="79"/>
      <c r="B66" s="79"/>
      <c r="C66" s="79"/>
      <c r="D66" s="79"/>
      <c r="E66" s="79"/>
      <c r="F66" s="79" t="s">
        <v>376</v>
      </c>
      <c r="G66" s="232"/>
      <c r="H66" s="232"/>
      <c r="I66" s="232"/>
      <c r="J66" s="613">
        <f>J9/J65</f>
        <v>30.849892473118278</v>
      </c>
      <c r="K66" s="613">
        <f>K9/K65</f>
        <v>31.557439204126752</v>
      </c>
      <c r="L66" s="322"/>
      <c r="M66" s="613">
        <f>M9/M65</f>
        <v>33.924962121212126</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J6:M6"/>
    <mergeCell ref="C23:F23"/>
    <mergeCell ref="D33:F33"/>
    <mergeCell ref="O8:P8"/>
    <mergeCell ref="D37:F37"/>
    <mergeCell ref="D57:F57"/>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41"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736"/>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736"/>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'June''22 State of Activities'!A3</f>
        <v>Six Months Ended June 30, 2022 and 2021</v>
      </c>
      <c r="B3" s="59"/>
      <c r="C3" s="60"/>
      <c r="D3" s="60"/>
      <c r="E3" s="60"/>
      <c r="F3" s="59"/>
      <c r="G3" s="230"/>
      <c r="H3" s="59"/>
      <c r="I3" s="59"/>
      <c r="J3" s="59"/>
      <c r="K3" s="59"/>
      <c r="L3" s="464"/>
      <c r="M3" s="59"/>
      <c r="N3" s="59"/>
      <c r="O3" s="59"/>
      <c r="P3" s="59"/>
      <c r="Q3" s="59"/>
      <c r="R3" s="736"/>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'June''22 State of Activities'!A4</f>
        <v>For the Years Ended December 31, 2021</v>
      </c>
      <c r="B4" s="59"/>
      <c r="C4" s="60"/>
      <c r="D4" s="60"/>
      <c r="E4" s="60"/>
      <c r="F4" s="59"/>
      <c r="G4" s="230"/>
      <c r="H4" s="59"/>
      <c r="I4" s="59"/>
      <c r="J4" s="59"/>
      <c r="K4" s="59"/>
      <c r="L4" s="464"/>
      <c r="M4" s="59"/>
      <c r="N4" s="59"/>
      <c r="O4" s="59"/>
      <c r="P4" s="59"/>
      <c r="Q4" s="59"/>
      <c r="R4" s="736"/>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37"/>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8"/>
      <c r="H6" s="240" t="s">
        <v>49</v>
      </c>
      <c r="I6" s="240"/>
      <c r="J6" s="890" t="s">
        <v>49</v>
      </c>
      <c r="K6" s="890"/>
      <c r="L6" s="890"/>
      <c r="M6" s="890"/>
      <c r="N6" s="65"/>
      <c r="O6" s="416" t="s">
        <v>181</v>
      </c>
      <c r="P6" s="413" t="s">
        <v>193</v>
      </c>
      <c r="Q6" s="65"/>
      <c r="R6" s="738"/>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38"/>
    </row>
    <row r="8" spans="1:128" s="72" customFormat="1" ht="21" thickBot="1" x14ac:dyDescent="0.35">
      <c r="A8" s="69"/>
      <c r="B8" s="153" t="s">
        <v>100</v>
      </c>
      <c r="C8" s="153"/>
      <c r="D8" s="153"/>
      <c r="E8" s="153"/>
      <c r="F8" s="153"/>
      <c r="G8" s="281">
        <v>41090</v>
      </c>
      <c r="H8" s="281">
        <v>41274</v>
      </c>
      <c r="I8" s="323"/>
      <c r="J8" s="674">
        <f>'June''22 State of Activities'!G8</f>
        <v>44742</v>
      </c>
      <c r="K8" s="675">
        <f>'June''22 State of Activities'!H8</f>
        <v>44561</v>
      </c>
      <c r="L8" s="676"/>
      <c r="M8" s="675">
        <f>'June''22 State of Activities'!J8</f>
        <v>44377</v>
      </c>
      <c r="N8" s="71"/>
      <c r="O8" s="949" t="s">
        <v>394</v>
      </c>
      <c r="P8" s="949"/>
      <c r="Q8" s="71"/>
      <c r="R8" s="739"/>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150</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3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214</v>
      </c>
      <c r="D10" s="421"/>
      <c r="E10" s="421"/>
      <c r="F10" s="73"/>
      <c r="G10" s="263">
        <v>875436</v>
      </c>
      <c r="H10" s="263">
        <v>372424.1</v>
      </c>
      <c r="I10" s="326"/>
      <c r="J10" s="322"/>
      <c r="K10" s="322">
        <v>12278.42</v>
      </c>
      <c r="L10" s="326"/>
      <c r="M10" s="322"/>
      <c r="N10" s="68"/>
      <c r="O10" s="510">
        <f>J10-M10</f>
        <v>0</v>
      </c>
      <c r="P10" s="437" t="e">
        <f>O10/M10</f>
        <v>#DIV/0!</v>
      </c>
      <c r="Q10" s="68"/>
      <c r="R10" s="73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393</v>
      </c>
      <c r="D11" s="421"/>
      <c r="E11" s="421"/>
      <c r="F11" s="73"/>
      <c r="G11" s="263"/>
      <c r="H11" s="263"/>
      <c r="I11" s="326"/>
      <c r="J11" s="322">
        <f>'June''22 Revenues &amp; Expenses'!I8-K11-5010</f>
        <v>14042</v>
      </c>
      <c r="K11" s="322">
        <v>10616</v>
      </c>
      <c r="L11" s="326"/>
      <c r="M11" s="322"/>
      <c r="N11" s="68"/>
      <c r="O11" s="510">
        <f>J11-M11</f>
        <v>14042</v>
      </c>
      <c r="P11" s="437"/>
      <c r="Q11" s="68"/>
      <c r="R11" s="73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102</v>
      </c>
      <c r="D12" s="421"/>
      <c r="E12" s="421"/>
      <c r="F12" s="73"/>
      <c r="G12" s="264"/>
      <c r="H12" s="264"/>
      <c r="I12" s="322"/>
      <c r="J12" s="322"/>
      <c r="K12" s="322"/>
      <c r="L12" s="322"/>
      <c r="M12" s="322"/>
      <c r="N12" s="68"/>
      <c r="O12" s="510"/>
      <c r="P12" s="425"/>
      <c r="Q12" s="68"/>
      <c r="R12" s="73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215</v>
      </c>
      <c r="E13" s="421"/>
      <c r="F13" s="73"/>
      <c r="G13" s="264">
        <v>94235.25</v>
      </c>
      <c r="H13" s="264">
        <v>37190.379999999997</v>
      </c>
      <c r="I13" s="322"/>
      <c r="J13" s="322">
        <f>3750*6</f>
        <v>22500</v>
      </c>
      <c r="K13" s="322">
        <f>3708.33*12</f>
        <v>44499.96</v>
      </c>
      <c r="L13" s="322"/>
      <c r="M13" s="322">
        <f>3708.33*4</f>
        <v>14833.32</v>
      </c>
      <c r="N13" s="68"/>
      <c r="O13" s="510">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159</v>
      </c>
      <c r="E14" s="421"/>
      <c r="F14" s="73"/>
      <c r="G14" s="264"/>
      <c r="H14" s="264"/>
      <c r="I14" s="322"/>
      <c r="J14" s="322">
        <f>'June''22 State of Activities'!G15</f>
        <v>9000</v>
      </c>
      <c r="K14" s="322">
        <v>13000</v>
      </c>
      <c r="L14" s="322"/>
      <c r="M14" s="322">
        <v>4333.33</v>
      </c>
      <c r="N14" s="68"/>
      <c r="O14" s="510">
        <f t="shared" si="0"/>
        <v>4666.67</v>
      </c>
      <c r="P14" s="437">
        <f>O14/M14</f>
        <v>1.0769246745574419</v>
      </c>
      <c r="Q14" s="68"/>
      <c r="R14" s="738">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103</v>
      </c>
      <c r="D15" s="421"/>
      <c r="E15" s="421"/>
      <c r="F15" s="73"/>
      <c r="G15" s="264">
        <v>0</v>
      </c>
      <c r="H15" s="264">
        <v>3517</v>
      </c>
      <c r="I15" s="322"/>
      <c r="J15" s="322">
        <f>'June''22 State of Activities'!G17</f>
        <v>7735.85</v>
      </c>
      <c r="K15" s="322">
        <f>'June''22 State of Activities'!H17</f>
        <v>17445.740000000002</v>
      </c>
      <c r="L15" s="322"/>
      <c r="M15" s="322">
        <f>'June''22 State of Activities'!J17</f>
        <v>8228.7000000000007</v>
      </c>
      <c r="N15" s="68"/>
      <c r="O15" s="510">
        <f t="shared" si="0"/>
        <v>-492.85000000000036</v>
      </c>
      <c r="P15" s="437">
        <f>O15/M15</f>
        <v>-5.9894029433567919E-2</v>
      </c>
      <c r="Q15" s="68"/>
      <c r="R15" s="73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216</v>
      </c>
      <c r="D16" s="421"/>
      <c r="E16" s="421"/>
      <c r="F16" s="73"/>
      <c r="G16" s="264">
        <v>31459</v>
      </c>
      <c r="H16" s="264">
        <v>13920.35</v>
      </c>
      <c r="I16" s="322"/>
      <c r="J16" s="322">
        <f>'June''22 Revenues &amp; Expenses'!H43</f>
        <v>0</v>
      </c>
      <c r="K16" s="322">
        <v>25000</v>
      </c>
      <c r="L16" s="322"/>
      <c r="M16" s="322">
        <v>8153.81</v>
      </c>
      <c r="N16" s="68"/>
      <c r="O16" s="510">
        <f t="shared" si="0"/>
        <v>-8153.81</v>
      </c>
      <c r="P16" s="437">
        <f>O16/M16</f>
        <v>-1</v>
      </c>
      <c r="Q16" s="68"/>
      <c r="R16" s="738">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383</v>
      </c>
      <c r="D17" s="421"/>
      <c r="E17" s="421"/>
      <c r="F17" s="73"/>
      <c r="G17" s="264"/>
      <c r="H17" s="264"/>
      <c r="I17" s="322"/>
      <c r="J17" s="322"/>
      <c r="K17" s="322">
        <v>22918.98</v>
      </c>
      <c r="L17" s="322"/>
      <c r="M17" s="322"/>
      <c r="N17" s="68"/>
      <c r="O17" s="510">
        <f t="shared" si="0"/>
        <v>0</v>
      </c>
      <c r="P17" s="437"/>
      <c r="Q17" s="68"/>
      <c r="R17" s="73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395</v>
      </c>
      <c r="D18" s="421"/>
      <c r="E18" s="421"/>
      <c r="F18" s="73"/>
      <c r="G18" s="264"/>
      <c r="H18" s="264"/>
      <c r="I18" s="322"/>
      <c r="J18" s="322">
        <f>'June''22 Revenues &amp; Expenses'!H54</f>
        <v>0</v>
      </c>
      <c r="K18" s="322">
        <v>23967.15</v>
      </c>
      <c r="L18" s="322"/>
      <c r="M18" s="322"/>
      <c r="N18" s="68"/>
      <c r="O18" s="510">
        <f t="shared" si="0"/>
        <v>0</v>
      </c>
      <c r="P18" s="437"/>
      <c r="Q18" s="68"/>
      <c r="R18" s="73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337</v>
      </c>
      <c r="D19" s="421"/>
      <c r="E19" s="421"/>
      <c r="F19" s="73"/>
      <c r="G19" s="264"/>
      <c r="H19" s="264"/>
      <c r="I19" s="322"/>
      <c r="J19" s="322">
        <f>'June''22 State of Activities'!G11</f>
        <v>0</v>
      </c>
      <c r="K19" s="322">
        <v>1968.5</v>
      </c>
      <c r="L19" s="322"/>
      <c r="M19" s="322">
        <f>2100.03-1250</f>
        <v>850.0300000000002</v>
      </c>
      <c r="N19" s="68"/>
      <c r="O19" s="510">
        <f t="shared" ref="O19:O20" si="1">J19-M19</f>
        <v>-850.0300000000002</v>
      </c>
      <c r="P19" s="437"/>
      <c r="Q19" s="68"/>
      <c r="R19" s="738">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51" t="s">
        <v>340</v>
      </c>
      <c r="D20" s="951"/>
      <c r="E20" s="951"/>
      <c r="F20" s="951"/>
      <c r="G20" s="264"/>
      <c r="H20" s="264"/>
      <c r="I20" s="322"/>
      <c r="J20" s="322">
        <v>0</v>
      </c>
      <c r="K20" s="322">
        <v>1127.23</v>
      </c>
      <c r="L20" s="322"/>
      <c r="M20" s="322">
        <v>177.19</v>
      </c>
      <c r="N20" s="68"/>
      <c r="O20" s="510">
        <f t="shared" si="1"/>
        <v>-177.19</v>
      </c>
      <c r="P20" s="437"/>
      <c r="Q20" s="68"/>
      <c r="R20" s="738">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346</v>
      </c>
      <c r="D21" s="421"/>
      <c r="E21" s="421"/>
      <c r="F21" s="73"/>
      <c r="G21" s="264">
        <v>1125</v>
      </c>
      <c r="H21" s="264">
        <v>6050</v>
      </c>
      <c r="I21" s="322"/>
      <c r="J21" s="322">
        <f>'June''22 State of Activities'!G25</f>
        <v>0</v>
      </c>
      <c r="K21" s="322">
        <f>'June''22 State of Activities'!H25</f>
        <v>3150</v>
      </c>
      <c r="L21" s="322"/>
      <c r="M21" s="322">
        <f>'June''22 State of Activities'!J25</f>
        <v>3150</v>
      </c>
      <c r="N21" s="68"/>
      <c r="O21" s="510">
        <f>J21-M21</f>
        <v>-3150</v>
      </c>
      <c r="P21" s="437"/>
      <c r="Q21" s="68"/>
      <c r="R21" s="73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217</v>
      </c>
      <c r="D22" s="421"/>
      <c r="E22" s="421"/>
      <c r="F22" s="73"/>
      <c r="G22" s="265">
        <v>31250</v>
      </c>
      <c r="H22" s="265">
        <v>15624.98</v>
      </c>
      <c r="I22" s="322"/>
      <c r="J22" s="265">
        <f>'June''22 State of Activities'!G26*0.2</f>
        <v>5274</v>
      </c>
      <c r="K22" s="265">
        <f>'June''22 State of Activities'!H26*0.2</f>
        <v>10548</v>
      </c>
      <c r="L22" s="322"/>
      <c r="M22" s="265">
        <f>'June''22 State of Activities'!J26*0.2</f>
        <v>5274</v>
      </c>
      <c r="N22" s="68"/>
      <c r="O22" s="511">
        <f>J22-M22</f>
        <v>0</v>
      </c>
      <c r="P22" s="415">
        <v>0</v>
      </c>
      <c r="Q22" s="68"/>
      <c r="R22" s="73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105</v>
      </c>
      <c r="E23" s="421"/>
      <c r="F23" s="73"/>
      <c r="G23" s="234">
        <v>1161224.25</v>
      </c>
      <c r="H23" s="234">
        <v>516293.30999999994</v>
      </c>
      <c r="I23" s="232"/>
      <c r="J23" s="264">
        <f>SUM(J9:J22)</f>
        <v>100056.19</v>
      </c>
      <c r="K23" s="264">
        <f>SUM(K9:K22)</f>
        <v>345240.98</v>
      </c>
      <c r="L23" s="322"/>
      <c r="M23" s="264">
        <f>SUM(M9:M22)</f>
        <v>123675.84</v>
      </c>
      <c r="N23" s="68"/>
      <c r="O23" s="275">
        <f>SUM(O9:O22)</f>
        <v>-23619.650000000009</v>
      </c>
      <c r="P23" s="437">
        <f>O23/M23</f>
        <v>-0.1909803078758148</v>
      </c>
      <c r="Q23" s="68"/>
      <c r="R23" s="73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1"/>
      <c r="E24" s="421"/>
      <c r="F24" s="73"/>
      <c r="G24" s="241">
        <v>150176</v>
      </c>
      <c r="H24" s="241">
        <v>47700.27</v>
      </c>
      <c r="I24" s="232"/>
      <c r="J24" s="322">
        <f>19000/12*6</f>
        <v>9500</v>
      </c>
      <c r="K24" s="322">
        <v>19000</v>
      </c>
      <c r="L24" s="322"/>
      <c r="M24" s="322">
        <v>6333</v>
      </c>
      <c r="N24" s="68"/>
      <c r="O24" s="510">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3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107</v>
      </c>
      <c r="E26" s="421"/>
      <c r="F26" s="73"/>
      <c r="G26" s="234">
        <v>1311400.25</v>
      </c>
      <c r="H26" s="234">
        <v>563993.57999999996</v>
      </c>
      <c r="I26" s="232"/>
      <c r="J26" s="264">
        <f>SUM(J23:J25)</f>
        <v>123138.21</v>
      </c>
      <c r="K26" s="264">
        <f>SUM(K23:K25)</f>
        <v>402075.38</v>
      </c>
      <c r="L26" s="322"/>
      <c r="M26" s="264">
        <f>SUM(M23:M25)</f>
        <v>144492.84</v>
      </c>
      <c r="N26" s="68"/>
      <c r="O26" s="275">
        <f>J26-M26</f>
        <v>-21354.62999999999</v>
      </c>
      <c r="P26" s="437">
        <f>O26/M26</f>
        <v>-0.14779022960584062</v>
      </c>
      <c r="Q26" s="68"/>
      <c r="R26" s="73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6"/>
      <c r="L27" s="322"/>
      <c r="M27" s="322"/>
      <c r="N27" s="68"/>
      <c r="O27" s="68"/>
      <c r="P27" s="68"/>
      <c r="Q27" s="68"/>
      <c r="R27" s="73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9"/>
      <c r="L28" s="369"/>
      <c r="M28" s="369"/>
      <c r="N28" s="68"/>
      <c r="O28" s="68"/>
      <c r="P28" s="68"/>
      <c r="Q28" s="68"/>
      <c r="R28" s="73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400"/>
      <c r="L29" s="400"/>
      <c r="M29" s="400"/>
      <c r="R29" s="738"/>
    </row>
    <row r="30" spans="1:61" s="68" customFormat="1" x14ac:dyDescent="0.2">
      <c r="A30" s="67"/>
      <c r="B30" s="67"/>
      <c r="C30" s="79"/>
      <c r="D30" s="892" t="s">
        <v>221</v>
      </c>
      <c r="E30" s="892"/>
      <c r="F30" s="892"/>
      <c r="G30" s="232"/>
      <c r="H30" s="275"/>
      <c r="I30" s="275"/>
      <c r="J30" s="322">
        <v>64964.65</v>
      </c>
      <c r="K30" s="322">
        <v>162253.75</v>
      </c>
      <c r="L30" s="400"/>
      <c r="M30" s="322">
        <v>82702.42</v>
      </c>
      <c r="O30" s="275">
        <f t="shared" ref="O30:O50" si="2">J30-M30</f>
        <v>-17737.769999999997</v>
      </c>
      <c r="P30" s="437">
        <f>O30/M30</f>
        <v>-0.21447703706856458</v>
      </c>
      <c r="R30" s="738">
        <f>J30</f>
        <v>64964.65</v>
      </c>
    </row>
    <row r="31" spans="1:61" s="68" customFormat="1" x14ac:dyDescent="0.2">
      <c r="A31" s="67"/>
      <c r="B31" s="67"/>
      <c r="C31" s="79"/>
      <c r="D31" s="892" t="s">
        <v>222</v>
      </c>
      <c r="E31" s="892"/>
      <c r="F31" s="892"/>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38">
        <f>J31</f>
        <v>30626.059999999998</v>
      </c>
    </row>
    <row r="32" spans="1:61" s="68" customFormat="1" x14ac:dyDescent="0.2">
      <c r="A32" s="67"/>
      <c r="B32" s="67"/>
      <c r="C32" s="79"/>
      <c r="D32" s="892" t="s">
        <v>113</v>
      </c>
      <c r="E32" s="892"/>
      <c r="F32" s="892"/>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280</v>
      </c>
      <c r="D33" s="79"/>
      <c r="E33" s="79"/>
      <c r="F33" s="79"/>
      <c r="G33" s="232">
        <v>44745.18</v>
      </c>
      <c r="H33" s="232">
        <v>20974.21</v>
      </c>
      <c r="I33" s="232"/>
      <c r="J33" s="322"/>
      <c r="K33" s="596"/>
      <c r="L33" s="322"/>
      <c r="M33" s="596"/>
      <c r="O33" s="275">
        <f t="shared" si="2"/>
        <v>0</v>
      </c>
      <c r="P33" s="437"/>
      <c r="R33" s="738"/>
      <c r="S33" s="68">
        <f>R32/(R30+R31)</f>
        <v>0.16155272829336662</v>
      </c>
    </row>
    <row r="34" spans="1:19" s="68" customFormat="1" x14ac:dyDescent="0.2">
      <c r="A34" s="67"/>
      <c r="B34" s="67"/>
      <c r="C34" s="79"/>
      <c r="D34" s="892" t="s">
        <v>223</v>
      </c>
      <c r="E34" s="892"/>
      <c r="F34" s="892"/>
      <c r="G34" s="232"/>
      <c r="H34" s="232"/>
      <c r="I34" s="232"/>
      <c r="J34" s="322">
        <v>7876.42</v>
      </c>
      <c r="K34" s="322">
        <v>25472.83</v>
      </c>
      <c r="L34" s="322"/>
      <c r="M34" s="322">
        <v>8106.06</v>
      </c>
      <c r="O34" s="275">
        <f t="shared" si="2"/>
        <v>-229.64000000000033</v>
      </c>
      <c r="P34" s="437">
        <f t="shared" ref="P34:P41" si="3">O34/M34</f>
        <v>-2.832942267883538E-2</v>
      </c>
      <c r="R34" s="738">
        <v>7876.42</v>
      </c>
    </row>
    <row r="35" spans="1:19" s="68" customFormat="1" x14ac:dyDescent="0.2">
      <c r="A35" s="67"/>
      <c r="B35" s="67"/>
      <c r="C35" s="79"/>
      <c r="D35" s="892" t="s">
        <v>224</v>
      </c>
      <c r="E35" s="892"/>
      <c r="F35" s="892"/>
      <c r="G35" s="232"/>
      <c r="H35" s="232"/>
      <c r="I35" s="232"/>
      <c r="J35" s="322">
        <v>11303.34</v>
      </c>
      <c r="K35" s="322">
        <v>17989.87</v>
      </c>
      <c r="L35" s="322"/>
      <c r="M35" s="322">
        <v>5932.49</v>
      </c>
      <c r="O35" s="275">
        <f t="shared" si="2"/>
        <v>5370.85</v>
      </c>
      <c r="P35" s="437">
        <f t="shared" si="3"/>
        <v>0.90532811686155401</v>
      </c>
      <c r="R35" s="738">
        <v>11303.34</v>
      </c>
    </row>
    <row r="36" spans="1:19" s="68" customFormat="1" x14ac:dyDescent="0.2">
      <c r="A36" s="67"/>
      <c r="B36" s="67"/>
      <c r="C36" s="79"/>
      <c r="D36" s="892" t="s">
        <v>306</v>
      </c>
      <c r="E36" s="892"/>
      <c r="F36" s="892"/>
      <c r="G36" s="232"/>
      <c r="H36" s="232"/>
      <c r="I36" s="232"/>
      <c r="J36" s="322">
        <v>11898.19</v>
      </c>
      <c r="K36" s="322">
        <v>16090.9</v>
      </c>
      <c r="L36" s="322"/>
      <c r="M36" s="322">
        <v>7105.84</v>
      </c>
      <c r="O36" s="275">
        <f t="shared" si="2"/>
        <v>4792.3500000000004</v>
      </c>
      <c r="P36" s="437">
        <f t="shared" si="3"/>
        <v>0.6744241356405436</v>
      </c>
      <c r="R36" s="738">
        <v>11898.19</v>
      </c>
    </row>
    <row r="37" spans="1:19" s="68" customFormat="1" x14ac:dyDescent="0.2">
      <c r="A37" s="67"/>
      <c r="B37" s="67"/>
      <c r="C37" s="79"/>
      <c r="D37" s="892" t="s">
        <v>225</v>
      </c>
      <c r="E37" s="892"/>
      <c r="F37" s="892"/>
      <c r="G37" s="232"/>
      <c r="H37" s="232"/>
      <c r="I37" s="232"/>
      <c r="J37" s="322">
        <v>307</v>
      </c>
      <c r="K37" s="322">
        <v>1427.75</v>
      </c>
      <c r="L37" s="322"/>
      <c r="M37" s="322">
        <v>79</v>
      </c>
      <c r="O37" s="275">
        <f t="shared" si="2"/>
        <v>228</v>
      </c>
      <c r="P37" s="437">
        <f t="shared" si="3"/>
        <v>2.8860759493670884</v>
      </c>
      <c r="R37" s="738">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38">
        <f>930+14250</f>
        <v>15180</v>
      </c>
    </row>
    <row r="39" spans="1:19" s="68" customFormat="1" x14ac:dyDescent="0.2">
      <c r="A39" s="67"/>
      <c r="B39" s="67"/>
      <c r="C39" s="79" t="s">
        <v>104</v>
      </c>
      <c r="D39" s="79"/>
      <c r="E39" s="79"/>
      <c r="F39" s="79"/>
      <c r="G39" s="232">
        <v>150176</v>
      </c>
      <c r="H39" s="275">
        <v>47700.27</v>
      </c>
      <c r="I39" s="275"/>
      <c r="J39" s="322">
        <f>J22</f>
        <v>5274</v>
      </c>
      <c r="K39" s="322">
        <f>K22</f>
        <v>10548</v>
      </c>
      <c r="L39" s="400"/>
      <c r="M39" s="322">
        <f>M22</f>
        <v>5274</v>
      </c>
      <c r="O39" s="275">
        <f t="shared" si="2"/>
        <v>0</v>
      </c>
      <c r="P39" s="437">
        <f t="shared" si="3"/>
        <v>0</v>
      </c>
      <c r="R39" s="738"/>
    </row>
    <row r="40" spans="1:19" s="68" customFormat="1" x14ac:dyDescent="0.2">
      <c r="A40" s="67"/>
      <c r="B40" s="67"/>
      <c r="C40" s="79" t="s">
        <v>315</v>
      </c>
      <c r="D40" s="79"/>
      <c r="E40" s="79"/>
      <c r="F40" s="79"/>
      <c r="G40" s="232"/>
      <c r="H40" s="275"/>
      <c r="I40" s="275"/>
      <c r="J40" s="322">
        <f>1268+392</f>
        <v>1660</v>
      </c>
      <c r="K40" s="322">
        <v>4497</v>
      </c>
      <c r="L40" s="400"/>
      <c r="M40" s="322">
        <v>1388</v>
      </c>
      <c r="O40" s="275">
        <f t="shared" si="2"/>
        <v>272</v>
      </c>
      <c r="P40" s="437">
        <f t="shared" si="3"/>
        <v>0.19596541786743515</v>
      </c>
      <c r="R40" s="738">
        <v>2437</v>
      </c>
    </row>
    <row r="41" spans="1:19" s="68" customFormat="1" x14ac:dyDescent="0.2">
      <c r="A41" s="67"/>
      <c r="B41" s="67"/>
      <c r="C41" s="79" t="s">
        <v>227</v>
      </c>
      <c r="D41" s="79"/>
      <c r="E41" s="79"/>
      <c r="F41" s="79"/>
      <c r="G41" s="232"/>
      <c r="H41" s="275"/>
      <c r="I41" s="275"/>
      <c r="J41" s="322">
        <v>954</v>
      </c>
      <c r="K41" s="322">
        <f>75+874</f>
        <v>949</v>
      </c>
      <c r="L41" s="400"/>
      <c r="M41" s="322">
        <f>393+75</f>
        <v>468</v>
      </c>
      <c r="O41" s="275">
        <f t="shared" si="2"/>
        <v>486</v>
      </c>
      <c r="P41" s="437">
        <f t="shared" si="3"/>
        <v>1.0384615384615385</v>
      </c>
      <c r="R41" s="738">
        <f>105+877</f>
        <v>982</v>
      </c>
      <c r="S41" s="742">
        <f>R41</f>
        <v>982</v>
      </c>
    </row>
    <row r="42" spans="1:19" s="68" customFormat="1" x14ac:dyDescent="0.2">
      <c r="A42" s="67"/>
      <c r="B42" s="67"/>
      <c r="C42" s="79" t="s">
        <v>386</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38">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38">
        <f>9.2+72.5+8.53+225.13</f>
        <v>315.36</v>
      </c>
      <c r="S43" s="742">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38">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38">
        <f>0.1+152.24</f>
        <v>152.34</v>
      </c>
      <c r="S45" s="742">
        <f>R45</f>
        <v>152.34</v>
      </c>
    </row>
    <row r="46" spans="1:19" s="68" customFormat="1" hidden="1" x14ac:dyDescent="0.2">
      <c r="A46" s="67"/>
      <c r="B46" s="67"/>
      <c r="C46" s="79" t="s">
        <v>229</v>
      </c>
      <c r="D46" s="79"/>
      <c r="E46" s="79"/>
      <c r="F46" s="79"/>
      <c r="G46" s="232"/>
      <c r="H46" s="275"/>
      <c r="I46" s="275"/>
      <c r="J46" s="322"/>
      <c r="K46" s="322"/>
      <c r="L46" s="400"/>
      <c r="M46" s="322"/>
      <c r="O46" s="275">
        <f t="shared" si="2"/>
        <v>0</v>
      </c>
      <c r="P46" s="437"/>
      <c r="R46" s="738"/>
    </row>
    <row r="47" spans="1:19" s="76" customFormat="1" x14ac:dyDescent="0.2">
      <c r="A47" s="79"/>
      <c r="B47" s="79"/>
      <c r="C47" s="79" t="s">
        <v>116</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38">
        <v>207.91</v>
      </c>
    </row>
    <row r="48" spans="1:19" s="76" customFormat="1" x14ac:dyDescent="0.2">
      <c r="A48" s="79"/>
      <c r="B48" s="79"/>
      <c r="C48" s="79" t="s">
        <v>230</v>
      </c>
      <c r="D48" s="79"/>
      <c r="E48" s="79"/>
      <c r="F48" s="79"/>
      <c r="G48" s="232">
        <v>83462.91</v>
      </c>
      <c r="H48" s="232">
        <v>18995.71</v>
      </c>
      <c r="I48" s="232"/>
      <c r="J48" s="399">
        <f>43.18+110</f>
        <v>153.18</v>
      </c>
      <c r="K48" s="399">
        <f>248.22+18.56+28.25+5</f>
        <v>300.02999999999997</v>
      </c>
      <c r="L48" s="322"/>
      <c r="M48" s="399">
        <v>58.6</v>
      </c>
      <c r="O48" s="513">
        <f t="shared" si="2"/>
        <v>94.580000000000013</v>
      </c>
      <c r="P48" s="512">
        <f>O48/M48</f>
        <v>1.6139931740614337</v>
      </c>
      <c r="R48" s="738">
        <f>25+228.45+110</f>
        <v>363.45</v>
      </c>
    </row>
    <row r="49" spans="1:21" s="68" customFormat="1" ht="21" thickBot="1" x14ac:dyDescent="0.25">
      <c r="A49" s="67"/>
      <c r="B49" s="67"/>
      <c r="C49" s="67"/>
      <c r="D49" s="73" t="s">
        <v>128</v>
      </c>
      <c r="E49" s="67"/>
      <c r="F49" s="67"/>
      <c r="G49" s="241">
        <v>1078317.8599999999</v>
      </c>
      <c r="H49" s="241">
        <v>481701.87000000005</v>
      </c>
      <c r="I49" s="232"/>
      <c r="J49" s="467">
        <f>SUM(J30:J48)</f>
        <v>169059.45999999996</v>
      </c>
      <c r="K49" s="467">
        <f>SUM(K30:K48)</f>
        <v>376252.4200000001</v>
      </c>
      <c r="L49" s="322"/>
      <c r="M49" s="467">
        <f>SUM(M30:M48)</f>
        <v>171885.27439999997</v>
      </c>
      <c r="O49" s="467">
        <f t="shared" si="2"/>
        <v>-2825.8144000000029</v>
      </c>
      <c r="P49" s="465">
        <f>O49/M49</f>
        <v>-1.6440119200810396E-2</v>
      </c>
      <c r="R49" s="738"/>
      <c r="U49" s="341"/>
    </row>
    <row r="50" spans="1:21" s="68" customFormat="1" ht="21" thickBot="1" x14ac:dyDescent="0.25">
      <c r="A50" s="67"/>
      <c r="B50" s="67"/>
      <c r="C50" s="67"/>
      <c r="D50" s="67" t="s">
        <v>129</v>
      </c>
      <c r="E50" s="67"/>
      <c r="F50" s="67"/>
      <c r="G50" s="241">
        <v>233082.39000000013</v>
      </c>
      <c r="H50" s="241">
        <v>82291.709999999905</v>
      </c>
      <c r="I50" s="232"/>
      <c r="J50" s="468">
        <f>J26-J49</f>
        <v>-45921.249999999956</v>
      </c>
      <c r="K50" s="468">
        <f>K26-K49</f>
        <v>25822.959999999905</v>
      </c>
      <c r="L50" s="322"/>
      <c r="M50" s="468">
        <f>M26-M49</f>
        <v>-27392.434399999969</v>
      </c>
      <c r="O50" s="378">
        <f t="shared" si="2"/>
        <v>-18528.815599999987</v>
      </c>
      <c r="P50" s="465">
        <f>O50/M50</f>
        <v>0.67642091715660024</v>
      </c>
      <c r="R50" s="738">
        <f>SUM(R29:R49)</f>
        <v>167381.94999999998</v>
      </c>
    </row>
    <row r="51" spans="1:21" s="68" customFormat="1" x14ac:dyDescent="0.2">
      <c r="A51" s="67"/>
      <c r="B51" s="67"/>
      <c r="C51" s="67"/>
      <c r="D51" s="67"/>
      <c r="E51" s="67"/>
      <c r="F51" s="67"/>
      <c r="G51" s="232"/>
      <c r="H51" s="232"/>
      <c r="I51" s="232"/>
      <c r="J51" s="322"/>
      <c r="K51" s="322"/>
      <c r="L51" s="322"/>
      <c r="M51" s="322"/>
      <c r="R51" s="738"/>
    </row>
    <row r="52" spans="1:21" s="65" customFormat="1" ht="26.25" x14ac:dyDescent="0.2">
      <c r="A52" s="268"/>
      <c r="B52" s="268"/>
      <c r="C52" s="79" t="s">
        <v>265</v>
      </c>
      <c r="E52" s="79"/>
      <c r="F52" s="79"/>
      <c r="G52" s="270"/>
      <c r="H52" s="232"/>
      <c r="I52" s="232"/>
      <c r="J52" s="322"/>
      <c r="K52" s="322">
        <v>-69500</v>
      </c>
      <c r="L52" s="322"/>
      <c r="M52" s="322"/>
      <c r="O52" s="275">
        <f>J52-M52</f>
        <v>0</v>
      </c>
      <c r="P52" s="414"/>
      <c r="R52" s="738"/>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4">
        <v>3.5414486921529216E-2</v>
      </c>
      <c r="R53" s="738"/>
    </row>
    <row r="54" spans="1:21" s="68" customFormat="1" ht="24" thickBot="1" x14ac:dyDescent="0.25">
      <c r="A54" s="67"/>
      <c r="B54" s="397"/>
      <c r="C54" s="67"/>
      <c r="D54" s="950" t="s">
        <v>232</v>
      </c>
      <c r="E54" s="950"/>
      <c r="F54" s="950"/>
      <c r="G54" s="232"/>
      <c r="H54" s="232"/>
      <c r="I54" s="232"/>
      <c r="J54" s="469">
        <f>J50+J52+J53</f>
        <v>-30741.249999999956</v>
      </c>
      <c r="K54" s="469">
        <f>K50+K52+K53</f>
        <v>-19647.360000000095</v>
      </c>
      <c r="L54" s="326"/>
      <c r="M54" s="469">
        <f>M50+M52+M53</f>
        <v>-19801.874399999972</v>
      </c>
      <c r="N54" s="388"/>
      <c r="O54" s="466">
        <f>J54-M54</f>
        <v>-10939.375599999985</v>
      </c>
      <c r="P54" s="503">
        <v>2.1062768618503362E-2</v>
      </c>
      <c r="R54" s="738"/>
    </row>
    <row r="55" spans="1:21" s="68" customFormat="1" ht="42" customHeight="1" thickTop="1" x14ac:dyDescent="0.2">
      <c r="A55" s="67"/>
      <c r="B55" s="67"/>
      <c r="C55" s="67"/>
      <c r="D55" s="67"/>
      <c r="E55" s="67"/>
      <c r="F55" s="67"/>
      <c r="G55" s="232"/>
      <c r="H55" s="232"/>
      <c r="I55" s="232"/>
      <c r="J55" s="322"/>
      <c r="K55" s="322"/>
      <c r="L55" s="322"/>
      <c r="M55" s="322"/>
      <c r="R55" s="738"/>
    </row>
    <row r="56" spans="1:21" s="76" customFormat="1" x14ac:dyDescent="0.2">
      <c r="A56" s="79"/>
      <c r="B56" s="79"/>
      <c r="C56" s="79"/>
      <c r="D56" s="79"/>
      <c r="F56" s="79" t="s">
        <v>311</v>
      </c>
      <c r="G56" s="246"/>
      <c r="H56" s="232"/>
      <c r="I56" s="232"/>
      <c r="J56" s="322">
        <v>62742</v>
      </c>
      <c r="K56" s="322">
        <v>227723</v>
      </c>
      <c r="L56" s="322"/>
      <c r="M56" s="322">
        <v>74506</v>
      </c>
      <c r="O56" s="247"/>
      <c r="R56" s="738"/>
    </row>
    <row r="57" spans="1:21" s="76" customFormat="1" ht="21" thickBot="1" x14ac:dyDescent="0.25">
      <c r="A57" s="79"/>
      <c r="B57" s="79"/>
      <c r="C57" s="79"/>
      <c r="D57" s="79"/>
      <c r="F57" s="79" t="s">
        <v>316</v>
      </c>
      <c r="G57" s="232"/>
      <c r="H57" s="232"/>
      <c r="I57" s="232"/>
      <c r="J57" s="613">
        <f>(J49-J38-J39)/J56</f>
        <v>2.3685164642504217</v>
      </c>
      <c r="K57" s="613">
        <f>(K49-K38-K39)/K56</f>
        <v>1.5003962709080774</v>
      </c>
      <c r="L57" s="614"/>
      <c r="M57" s="613">
        <f>(M49-M38-M39)/M56</f>
        <v>2.1343343408584539</v>
      </c>
      <c r="R57" s="738"/>
    </row>
    <row r="58" spans="1:21" s="76" customFormat="1" x14ac:dyDescent="0.2">
      <c r="A58" s="79"/>
      <c r="B58" s="79"/>
      <c r="C58" s="79"/>
      <c r="D58" s="79"/>
      <c r="F58" s="79"/>
      <c r="G58" s="232"/>
      <c r="H58" s="232"/>
      <c r="I58" s="232"/>
      <c r="J58" s="322"/>
      <c r="K58" s="322"/>
      <c r="L58" s="322"/>
      <c r="M58" s="322"/>
      <c r="R58" s="738"/>
    </row>
    <row r="59" spans="1:21" s="76" customFormat="1" x14ac:dyDescent="0.2">
      <c r="A59" s="79"/>
      <c r="B59" s="79"/>
      <c r="C59" s="79"/>
      <c r="D59" s="79"/>
      <c r="F59" s="79" t="s">
        <v>312</v>
      </c>
      <c r="G59" s="232"/>
      <c r="H59" s="232"/>
      <c r="I59" s="232"/>
      <c r="J59" s="322">
        <v>4125</v>
      </c>
      <c r="K59" s="322">
        <v>16457</v>
      </c>
      <c r="L59" s="322"/>
      <c r="M59" s="322">
        <v>5516</v>
      </c>
      <c r="P59" s="247"/>
      <c r="R59" s="738"/>
    </row>
    <row r="60" spans="1:21" s="76" customFormat="1" ht="21" thickBot="1" x14ac:dyDescent="0.25">
      <c r="A60" s="79"/>
      <c r="B60" s="79"/>
      <c r="C60" s="79"/>
      <c r="D60" s="79"/>
      <c r="F60" s="79" t="s">
        <v>375</v>
      </c>
      <c r="G60" s="232"/>
      <c r="H60" s="232"/>
      <c r="I60" s="232"/>
      <c r="J60" s="613">
        <f>(J49-J38-J39)/J59</f>
        <v>36.025566060606053</v>
      </c>
      <c r="K60" s="613">
        <f>(K49-K38-K39)/K59</f>
        <v>20.761666160296535</v>
      </c>
      <c r="L60" s="322"/>
      <c r="M60" s="613">
        <f>(M49-M38-M39)/M59</f>
        <v>28.828991007976789</v>
      </c>
      <c r="R60" s="738"/>
    </row>
    <row r="61" spans="1:21" s="76" customFormat="1" x14ac:dyDescent="0.2">
      <c r="A61" s="79"/>
      <c r="B61" s="79"/>
      <c r="C61" s="79"/>
      <c r="D61" s="79"/>
      <c r="F61" s="79"/>
      <c r="G61" s="232"/>
      <c r="H61" s="232"/>
      <c r="I61" s="232"/>
      <c r="J61" s="322"/>
      <c r="K61" s="322"/>
      <c r="L61" s="322"/>
      <c r="M61" s="322"/>
      <c r="R61" s="738"/>
    </row>
    <row r="62" spans="1:21" s="76" customFormat="1" x14ac:dyDescent="0.2">
      <c r="A62" s="79"/>
      <c r="B62" s="79"/>
      <c r="C62" s="67"/>
      <c r="D62" s="79"/>
      <c r="F62" s="79" t="s">
        <v>313</v>
      </c>
      <c r="G62" s="232"/>
      <c r="H62" s="232"/>
      <c r="I62" s="232"/>
      <c r="J62" s="322">
        <v>1517</v>
      </c>
      <c r="K62" s="322">
        <v>7208</v>
      </c>
      <c r="L62" s="322"/>
      <c r="M62" s="322">
        <v>2389</v>
      </c>
      <c r="R62" s="738"/>
    </row>
    <row r="63" spans="1:21" s="76" customFormat="1" ht="21" thickBot="1" x14ac:dyDescent="0.25">
      <c r="A63" s="79"/>
      <c r="B63" s="79"/>
      <c r="C63" s="79"/>
      <c r="D63" s="79"/>
      <c r="E63" s="79"/>
      <c r="F63" s="79" t="s">
        <v>376</v>
      </c>
      <c r="G63" s="232"/>
      <c r="H63" s="232"/>
      <c r="I63" s="232"/>
      <c r="J63" s="613">
        <f>J9/J62</f>
        <v>27.359485827290705</v>
      </c>
      <c r="K63" s="613">
        <f>K9/K62</f>
        <v>22.020116537180911</v>
      </c>
      <c r="L63" s="322"/>
      <c r="M63" s="613">
        <f>M9/M62</f>
        <v>32.932381749686066</v>
      </c>
      <c r="R63" s="738"/>
    </row>
    <row r="64" spans="1:21" s="76" customFormat="1" x14ac:dyDescent="0.2">
      <c r="A64" s="79"/>
      <c r="B64" s="79"/>
      <c r="C64" s="67"/>
      <c r="D64" s="67"/>
      <c r="G64" s="232"/>
      <c r="H64" s="232"/>
      <c r="I64" s="232"/>
      <c r="J64" s="322"/>
      <c r="K64" s="322"/>
      <c r="L64" s="322"/>
      <c r="M64" s="322"/>
      <c r="R64" s="738"/>
    </row>
    <row r="65" spans="1:18" s="76" customFormat="1" x14ac:dyDescent="0.2">
      <c r="A65" s="79"/>
      <c r="B65" s="79"/>
      <c r="C65" s="79"/>
      <c r="D65" s="79"/>
      <c r="E65" s="79"/>
      <c r="F65" s="79"/>
      <c r="G65" s="232"/>
      <c r="H65" s="232"/>
      <c r="I65" s="232"/>
      <c r="J65" s="232"/>
      <c r="K65" s="232"/>
      <c r="L65" s="232"/>
      <c r="M65" s="232"/>
      <c r="R65" s="738"/>
    </row>
    <row r="66" spans="1:18" s="76" customFormat="1" x14ac:dyDescent="0.2">
      <c r="A66" s="79"/>
      <c r="B66" s="79"/>
      <c r="C66" s="79"/>
      <c r="D66" s="79"/>
      <c r="E66" s="79"/>
      <c r="F66" s="79"/>
      <c r="G66" s="232"/>
      <c r="H66" s="232"/>
      <c r="I66" s="232"/>
      <c r="J66" s="232"/>
      <c r="K66" s="232"/>
      <c r="L66" s="232"/>
      <c r="M66" s="232"/>
      <c r="R66" s="738"/>
    </row>
    <row r="67" spans="1:18" s="76" customFormat="1" x14ac:dyDescent="0.2">
      <c r="A67" s="79"/>
      <c r="B67" s="79"/>
      <c r="C67" s="67"/>
      <c r="D67" s="79"/>
      <c r="F67" s="79"/>
      <c r="G67" s="232"/>
      <c r="H67" s="232"/>
      <c r="I67" s="232"/>
      <c r="J67" s="232"/>
      <c r="K67" s="232"/>
      <c r="L67" s="232"/>
      <c r="M67" s="232"/>
      <c r="R67" s="738"/>
    </row>
    <row r="68" spans="1:18" s="76" customFormat="1" x14ac:dyDescent="0.2">
      <c r="A68" s="79"/>
      <c r="B68" s="79"/>
      <c r="C68" s="79"/>
      <c r="D68" s="79"/>
      <c r="E68" s="79"/>
      <c r="F68" s="79"/>
      <c r="G68" s="232"/>
      <c r="H68" s="232"/>
      <c r="I68" s="232"/>
      <c r="J68" s="232"/>
      <c r="K68" s="232"/>
      <c r="L68" s="232"/>
      <c r="M68" s="232"/>
      <c r="R68" s="738"/>
    </row>
    <row r="69" spans="1:18" s="68" customFormat="1" x14ac:dyDescent="0.2">
      <c r="A69" s="67"/>
      <c r="B69" s="67"/>
      <c r="C69" s="67"/>
      <c r="D69" s="67"/>
      <c r="E69" s="67"/>
      <c r="F69" s="67"/>
      <c r="G69" s="237"/>
      <c r="H69" s="237"/>
      <c r="I69" s="237"/>
      <c r="J69" s="237"/>
      <c r="K69" s="237"/>
      <c r="L69" s="237"/>
      <c r="M69" s="237"/>
      <c r="R69" s="738"/>
    </row>
    <row r="70" spans="1:18" s="68" customFormat="1" x14ac:dyDescent="0.2">
      <c r="A70" s="67"/>
      <c r="B70" s="67"/>
      <c r="C70" s="67"/>
      <c r="D70" s="67"/>
      <c r="E70" s="67"/>
      <c r="F70" s="67"/>
      <c r="G70" s="237"/>
      <c r="H70" s="237"/>
      <c r="I70" s="237"/>
      <c r="J70" s="237"/>
      <c r="K70" s="237"/>
      <c r="L70" s="237"/>
      <c r="M70" s="237"/>
      <c r="R70" s="738"/>
    </row>
    <row r="71" spans="1:18" s="68" customFormat="1" ht="23.25" x14ac:dyDescent="0.2">
      <c r="A71" s="67"/>
      <c r="B71" s="271"/>
      <c r="C71" s="67"/>
      <c r="D71" s="67"/>
      <c r="E71" s="67"/>
      <c r="F71" s="67"/>
      <c r="G71" s="232"/>
      <c r="H71" s="232"/>
      <c r="I71" s="232"/>
      <c r="J71" s="232"/>
      <c r="K71" s="232"/>
      <c r="L71" s="232"/>
      <c r="M71" s="232"/>
      <c r="R71" s="738"/>
    </row>
    <row r="72" spans="1:18" s="76" customFormat="1" x14ac:dyDescent="0.2">
      <c r="A72" s="79"/>
      <c r="B72" s="79"/>
      <c r="D72" s="79"/>
      <c r="E72" s="79"/>
      <c r="F72" s="79"/>
      <c r="G72" s="232"/>
      <c r="H72" s="232"/>
      <c r="I72" s="232"/>
      <c r="J72" s="232"/>
      <c r="K72" s="232"/>
      <c r="L72" s="232"/>
      <c r="M72" s="232"/>
      <c r="R72" s="738"/>
    </row>
    <row r="73" spans="1:18" s="76" customFormat="1" x14ac:dyDescent="0.2">
      <c r="A73" s="79"/>
      <c r="B73" s="79"/>
      <c r="D73" s="79"/>
      <c r="E73" s="79"/>
      <c r="F73" s="79"/>
      <c r="G73" s="232"/>
      <c r="H73" s="232"/>
      <c r="I73" s="232"/>
      <c r="J73" s="232"/>
      <c r="K73" s="232"/>
      <c r="L73" s="232"/>
      <c r="M73" s="232"/>
      <c r="R73" s="738"/>
    </row>
    <row r="74" spans="1:18" s="68" customFormat="1" x14ac:dyDescent="0.2">
      <c r="A74" s="67"/>
      <c r="B74" s="67"/>
      <c r="D74" s="79"/>
      <c r="E74" s="67"/>
      <c r="F74" s="67"/>
      <c r="G74" s="232"/>
      <c r="H74" s="232"/>
      <c r="I74" s="232"/>
      <c r="J74" s="232"/>
      <c r="K74" s="232"/>
      <c r="L74" s="232"/>
      <c r="M74" s="232"/>
      <c r="R74" s="738"/>
    </row>
    <row r="75" spans="1:18" s="68" customFormat="1" ht="23.25" x14ac:dyDescent="0.2">
      <c r="A75" s="67"/>
      <c r="B75" s="271"/>
      <c r="C75" s="67"/>
      <c r="D75" s="67"/>
      <c r="E75" s="67"/>
      <c r="F75" s="67"/>
      <c r="G75" s="237"/>
      <c r="H75" s="237"/>
      <c r="I75" s="237"/>
      <c r="J75" s="237"/>
      <c r="K75" s="237"/>
      <c r="L75" s="237"/>
      <c r="M75" s="237"/>
      <c r="R75" s="738"/>
    </row>
    <row r="76" spans="1:18" s="68" customFormat="1" x14ac:dyDescent="0.2">
      <c r="A76" s="67"/>
      <c r="B76" s="67"/>
      <c r="C76" s="67"/>
      <c r="D76" s="67"/>
      <c r="E76" s="67"/>
      <c r="F76" s="67"/>
      <c r="G76" s="232"/>
      <c r="H76" s="232"/>
      <c r="I76" s="232"/>
      <c r="J76" s="232"/>
      <c r="K76" s="232"/>
      <c r="L76" s="232"/>
      <c r="M76" s="232"/>
      <c r="R76" s="738"/>
    </row>
    <row r="77" spans="1:18" s="82" customFormat="1" ht="26.25" x14ac:dyDescent="0.2">
      <c r="A77" s="268"/>
      <c r="B77" s="268"/>
      <c r="C77" s="268"/>
      <c r="D77" s="268"/>
      <c r="E77" s="268"/>
      <c r="F77" s="268"/>
      <c r="G77" s="269"/>
      <c r="H77" s="237"/>
      <c r="I77" s="237"/>
      <c r="J77" s="237"/>
      <c r="K77" s="237"/>
      <c r="L77" s="237"/>
      <c r="M77" s="237"/>
      <c r="R77" s="740"/>
    </row>
    <row r="78" spans="1:18" s="18" customFormat="1" x14ac:dyDescent="0.3">
      <c r="A78" s="122"/>
      <c r="B78" s="122"/>
      <c r="C78" s="122"/>
      <c r="D78" s="122"/>
      <c r="E78" s="122"/>
      <c r="F78" s="122"/>
      <c r="G78" s="272"/>
      <c r="H78" s="277"/>
      <c r="I78" s="277"/>
      <c r="J78" s="277"/>
      <c r="K78" s="277"/>
      <c r="L78" s="277"/>
      <c r="M78" s="277"/>
      <c r="R78" s="741"/>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02"/>
      <c r="H6" s="240" t="s">
        <v>49</v>
      </c>
      <c r="I6" s="240"/>
      <c r="J6" s="890" t="s">
        <v>49</v>
      </c>
      <c r="K6" s="890"/>
      <c r="L6" s="890"/>
      <c r="M6" s="890"/>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4">
        <v>43830</v>
      </c>
      <c r="K8" s="675">
        <f>'June''22 State of Activities'!H8</f>
        <v>44561</v>
      </c>
      <c r="L8" s="676"/>
      <c r="M8" s="674">
        <v>44196</v>
      </c>
      <c r="N8" s="71"/>
      <c r="O8" s="949" t="s">
        <v>384</v>
      </c>
      <c r="P8" s="949"/>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v>160000</v>
      </c>
      <c r="K9" s="326">
        <f>'June''22 State of Activities'!H10</f>
        <v>85610.11</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v>5000</v>
      </c>
      <c r="K10" s="322">
        <f>10471.96+(5268.48+3381.01)*1.14</f>
        <v>20332.378599999996</v>
      </c>
      <c r="L10" s="326"/>
      <c r="M10" s="322">
        <v>10000</v>
      </c>
      <c r="N10" s="68"/>
      <c r="O10" s="510">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102</v>
      </c>
      <c r="D11" s="421"/>
      <c r="E11" s="421"/>
      <c r="F11" s="73"/>
      <c r="G11" s="264"/>
      <c r="H11" s="264"/>
      <c r="I11" s="322"/>
      <c r="J11" s="322"/>
      <c r="K11" s="322"/>
      <c r="L11" s="322"/>
      <c r="M11" s="322"/>
      <c r="N11" s="68"/>
      <c r="O11" s="510"/>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215</v>
      </c>
      <c r="E12" s="421"/>
      <c r="F12" s="73"/>
      <c r="G12" s="264">
        <v>94235.25</v>
      </c>
      <c r="H12" s="264">
        <v>37190.379999999997</v>
      </c>
      <c r="I12" s="322"/>
      <c r="J12" s="322">
        <f>3708.33*12</f>
        <v>44499.96</v>
      </c>
      <c r="K12" s="322">
        <f>3541.67*12</f>
        <v>42500.04</v>
      </c>
      <c r="L12" s="322"/>
      <c r="M12" s="322">
        <v>44500</v>
      </c>
      <c r="N12" s="68"/>
      <c r="O12" s="510">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159</v>
      </c>
      <c r="E13" s="421"/>
      <c r="F13" s="73"/>
      <c r="G13" s="264"/>
      <c r="H13" s="264"/>
      <c r="I13" s="322"/>
      <c r="J13" s="322">
        <v>13000</v>
      </c>
      <c r="K13" s="322">
        <f>750*12</f>
        <v>9000</v>
      </c>
      <c r="L13" s="322"/>
      <c r="M13" s="322">
        <v>18000</v>
      </c>
      <c r="N13" s="68"/>
      <c r="O13" s="510">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103</v>
      </c>
      <c r="D14" s="421"/>
      <c r="E14" s="421"/>
      <c r="F14" s="73"/>
      <c r="G14" s="264">
        <v>0</v>
      </c>
      <c r="H14" s="264">
        <v>3517</v>
      </c>
      <c r="I14" s="322"/>
      <c r="J14" s="322">
        <v>15000</v>
      </c>
      <c r="K14" s="322">
        <f>'June''22 State of Activities'!H17</f>
        <v>17445.740000000002</v>
      </c>
      <c r="L14" s="322"/>
      <c r="M14" s="322">
        <v>20000</v>
      </c>
      <c r="N14" s="68"/>
      <c r="O14" s="510">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382</v>
      </c>
      <c r="D15" s="421"/>
      <c r="E15" s="421"/>
      <c r="F15" s="73"/>
      <c r="G15" s="264">
        <v>31459</v>
      </c>
      <c r="H15" s="264">
        <v>13920.35</v>
      </c>
      <c r="I15" s="322"/>
      <c r="J15" s="322">
        <v>25000</v>
      </c>
      <c r="K15" s="322">
        <v>25000</v>
      </c>
      <c r="L15" s="322"/>
      <c r="M15" s="322">
        <v>25000</v>
      </c>
      <c r="N15" s="68"/>
      <c r="O15" s="510">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383</v>
      </c>
      <c r="D16" s="421"/>
      <c r="E16" s="421"/>
      <c r="F16" s="73"/>
      <c r="G16" s="264"/>
      <c r="H16" s="264"/>
      <c r="I16" s="322"/>
      <c r="J16" s="322">
        <v>20000</v>
      </c>
      <c r="K16" s="322"/>
      <c r="L16" s="322"/>
      <c r="M16" s="322">
        <v>15000</v>
      </c>
      <c r="N16" s="68"/>
      <c r="O16" s="510">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337</v>
      </c>
      <c r="D17" s="421"/>
      <c r="E17" s="421"/>
      <c r="F17" s="73"/>
      <c r="G17" s="264"/>
      <c r="H17" s="264"/>
      <c r="I17" s="322"/>
      <c r="J17" s="322">
        <v>2000</v>
      </c>
      <c r="K17" s="322"/>
      <c r="L17" s="322"/>
      <c r="M17" s="322">
        <v>1000</v>
      </c>
      <c r="N17" s="68"/>
      <c r="O17" s="510">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51" t="s">
        <v>340</v>
      </c>
      <c r="D18" s="951"/>
      <c r="E18" s="951"/>
      <c r="F18" s="951"/>
      <c r="G18" s="264"/>
      <c r="H18" s="264"/>
      <c r="I18" s="322"/>
      <c r="J18" s="322">
        <v>2000</v>
      </c>
      <c r="K18" s="322"/>
      <c r="L18" s="322"/>
      <c r="M18" s="322">
        <v>3000</v>
      </c>
      <c r="N18" s="68"/>
      <c r="O18" s="510">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385</v>
      </c>
      <c r="D19" s="421"/>
      <c r="E19" s="421"/>
      <c r="F19" s="73"/>
      <c r="G19" s="264">
        <v>1125</v>
      </c>
      <c r="H19" s="264">
        <v>6050</v>
      </c>
      <c r="I19" s="322"/>
      <c r="J19" s="322">
        <v>2000</v>
      </c>
      <c r="K19" s="322">
        <f>'June''22 State of Activities'!H25</f>
        <v>3150</v>
      </c>
      <c r="L19" s="322"/>
      <c r="M19" s="322">
        <f>'June''22 State of Activities'!J25</f>
        <v>3150</v>
      </c>
      <c r="N19" s="68"/>
      <c r="O19" s="510">
        <f t="shared" si="0"/>
        <v>1150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51" t="s">
        <v>338</v>
      </c>
      <c r="D20" s="951"/>
      <c r="E20" s="951"/>
      <c r="F20" s="951"/>
      <c r="G20" s="264"/>
      <c r="H20" s="264"/>
      <c r="I20" s="322"/>
      <c r="J20" s="322"/>
      <c r="K20" s="322">
        <v>659.25</v>
      </c>
      <c r="L20" s="322"/>
      <c r="M20" s="322"/>
      <c r="N20" s="68"/>
      <c r="O20" s="510">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217</v>
      </c>
      <c r="D21" s="421"/>
      <c r="E21" s="421"/>
      <c r="F21" s="73"/>
      <c r="G21" s="265">
        <v>31250</v>
      </c>
      <c r="H21" s="265">
        <v>15624.98</v>
      </c>
      <c r="I21" s="322"/>
      <c r="J21" s="265">
        <v>9315</v>
      </c>
      <c r="K21" s="265">
        <f>'June''22 State of Activities'!H26*0.2</f>
        <v>10548</v>
      </c>
      <c r="L21" s="322"/>
      <c r="M21" s="265">
        <v>9315</v>
      </c>
      <c r="N21" s="68"/>
      <c r="O21" s="511">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105</v>
      </c>
      <c r="E22" s="421"/>
      <c r="F22" s="73"/>
      <c r="G22" s="234">
        <v>1161224.25</v>
      </c>
      <c r="H22" s="234">
        <v>516293.30999999994</v>
      </c>
      <c r="I22" s="232"/>
      <c r="J22" s="264">
        <f>SUM(J9:J21)</f>
        <v>297814.95999999996</v>
      </c>
      <c r="K22" s="264">
        <f>SUM(K9:K21)</f>
        <v>214245.51859999998</v>
      </c>
      <c r="L22" s="322"/>
      <c r="M22" s="264">
        <f>SUM(M9:M21)</f>
        <v>308965</v>
      </c>
      <c r="N22" s="68"/>
      <c r="O22" s="275">
        <f>SUM(O9:O21)</f>
        <v>11150.04</v>
      </c>
      <c r="P22" s="437">
        <f>O22/M22</f>
        <v>3.6088359522923309E-2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1"/>
      <c r="E23" s="421"/>
      <c r="F23" s="73"/>
      <c r="G23" s="241">
        <v>150176</v>
      </c>
      <c r="H23" s="241">
        <v>47700.27</v>
      </c>
      <c r="I23" s="232"/>
      <c r="J23" s="322">
        <v>19000</v>
      </c>
      <c r="K23" s="322">
        <v>19000</v>
      </c>
      <c r="L23" s="322"/>
      <c r="M23" s="322">
        <v>19000</v>
      </c>
      <c r="N23" s="68"/>
      <c r="O23" s="510">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107</v>
      </c>
      <c r="E25" s="421"/>
      <c r="F25" s="73"/>
      <c r="G25" s="234">
        <v>1311400.25</v>
      </c>
      <c r="H25" s="234">
        <v>563993.57999999996</v>
      </c>
      <c r="I25" s="232"/>
      <c r="J25" s="264">
        <f>SUM(J22:J24)</f>
        <v>356814.95999999996</v>
      </c>
      <c r="K25" s="264">
        <f>SUM(K22:K24)</f>
        <v>270886.70860000001</v>
      </c>
      <c r="L25" s="322"/>
      <c r="M25" s="264">
        <f>SUM(M22:M24)</f>
        <v>365965</v>
      </c>
      <c r="N25" s="68"/>
      <c r="O25" s="275">
        <f>M25-J25</f>
        <v>9150.0400000000373</v>
      </c>
      <c r="P25" s="437">
        <f>O25/M25</f>
        <v>2.5002500239094005E-2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400"/>
      <c r="L28" s="400"/>
      <c r="M28" s="400"/>
    </row>
    <row r="29" spans="1:61" s="68" customFormat="1" ht="20.25" x14ac:dyDescent="0.2">
      <c r="A29" s="67"/>
      <c r="B29" s="67"/>
      <c r="C29" s="79"/>
      <c r="D29" s="892" t="s">
        <v>221</v>
      </c>
      <c r="E29" s="892"/>
      <c r="F29" s="892"/>
      <c r="G29" s="232"/>
      <c r="H29" s="275"/>
      <c r="I29" s="275"/>
      <c r="J29" s="707">
        <f>110984.34+54648</f>
        <v>165632.34</v>
      </c>
      <c r="K29" s="707">
        <v>146508.01999999999</v>
      </c>
      <c r="L29" s="707"/>
      <c r="M29" s="707">
        <v>170000</v>
      </c>
      <c r="O29" s="510">
        <f t="shared" ref="O29:O47" si="2">M29-J29</f>
        <v>4367.6600000000035</v>
      </c>
      <c r="P29" s="437">
        <f>O29/M29</f>
        <v>2.5692117647058844E-2</v>
      </c>
    </row>
    <row r="30" spans="1:61" s="68" customFormat="1" ht="20.25" x14ac:dyDescent="0.2">
      <c r="A30" s="67"/>
      <c r="B30" s="67"/>
      <c r="C30" s="79"/>
      <c r="D30" s="892" t="s">
        <v>222</v>
      </c>
      <c r="E30" s="892"/>
      <c r="F30" s="892"/>
      <c r="G30" s="232"/>
      <c r="H30" s="275"/>
      <c r="I30" s="275"/>
      <c r="J30" s="707">
        <v>63684</v>
      </c>
      <c r="K30" s="707">
        <f>35778.69+23251.49+605.09+292.95</f>
        <v>59928.22</v>
      </c>
      <c r="L30" s="707"/>
      <c r="M30" s="707">
        <f>(22.5*(64*26+100))+(19.06*(50*26+100))</f>
        <v>66374</v>
      </c>
      <c r="O30" s="510">
        <f t="shared" si="2"/>
        <v>2690</v>
      </c>
      <c r="P30" s="437">
        <f>O30/M30</f>
        <v>4.0527917558079968E-2</v>
      </c>
      <c r="R30" s="262"/>
    </row>
    <row r="31" spans="1:61" s="68" customFormat="1" ht="20.25" x14ac:dyDescent="0.2">
      <c r="A31" s="67"/>
      <c r="B31" s="67"/>
      <c r="C31" s="79"/>
      <c r="D31" s="892" t="s">
        <v>113</v>
      </c>
      <c r="E31" s="892"/>
      <c r="F31" s="892"/>
      <c r="G31" s="232"/>
      <c r="H31" s="275"/>
      <c r="I31" s="275"/>
      <c r="J31" s="707">
        <f>(J29+J30)*0.185</f>
        <v>42423.522899999996</v>
      </c>
      <c r="K31" s="707">
        <f>(K29+K30)*0.192</f>
        <v>39635.75808</v>
      </c>
      <c r="L31" s="707"/>
      <c r="M31" s="707">
        <f>(M29+M30)*0.185</f>
        <v>43729.19</v>
      </c>
      <c r="O31" s="510">
        <f t="shared" si="2"/>
        <v>1305.667100000006</v>
      </c>
      <c r="P31" s="437">
        <f>O31/M31</f>
        <v>2.9858021609821858E-2</v>
      </c>
    </row>
    <row r="32" spans="1:61" s="68" customFormat="1" ht="20.25" x14ac:dyDescent="0.2">
      <c r="A32" s="67"/>
      <c r="B32" s="67"/>
      <c r="C32" s="79" t="s">
        <v>280</v>
      </c>
      <c r="D32" s="79"/>
      <c r="E32" s="79"/>
      <c r="F32" s="79"/>
      <c r="G32" s="232">
        <v>44745.18</v>
      </c>
      <c r="H32" s="232">
        <v>20974.21</v>
      </c>
      <c r="I32" s="232"/>
      <c r="J32" s="707"/>
      <c r="K32" s="708"/>
      <c r="L32" s="707"/>
      <c r="M32" s="707"/>
      <c r="O32" s="510">
        <f t="shared" si="2"/>
        <v>0</v>
      </c>
      <c r="P32" s="437"/>
    </row>
    <row r="33" spans="1:16" s="68" customFormat="1" ht="20.25" x14ac:dyDescent="0.2">
      <c r="A33" s="67"/>
      <c r="B33" s="67"/>
      <c r="C33" s="79"/>
      <c r="D33" s="892" t="s">
        <v>223</v>
      </c>
      <c r="E33" s="892"/>
      <c r="F33" s="892"/>
      <c r="G33" s="232"/>
      <c r="H33" s="232"/>
      <c r="I33" s="232"/>
      <c r="J33" s="707">
        <f>17368.36/8*12</f>
        <v>26052.54</v>
      </c>
      <c r="K33" s="707">
        <v>27183.82</v>
      </c>
      <c r="L33" s="707"/>
      <c r="M33" s="707">
        <v>27500</v>
      </c>
      <c r="O33" s="510">
        <f t="shared" si="2"/>
        <v>1447.4599999999991</v>
      </c>
      <c r="P33" s="437">
        <f t="shared" ref="P33:P40" si="3">O33/M33</f>
        <v>5.2634909090909059E-2</v>
      </c>
    </row>
    <row r="34" spans="1:16" s="68" customFormat="1" ht="20.25" x14ac:dyDescent="0.2">
      <c r="A34" s="67"/>
      <c r="B34" s="67"/>
      <c r="C34" s="79"/>
      <c r="D34" s="892" t="s">
        <v>224</v>
      </c>
      <c r="E34" s="892"/>
      <c r="F34" s="892"/>
      <c r="G34" s="232"/>
      <c r="H34" s="232"/>
      <c r="I34" s="232"/>
      <c r="J34" s="707">
        <f>12089.81/8*12+800-400</f>
        <v>18534.715</v>
      </c>
      <c r="K34" s="707">
        <v>15510.83</v>
      </c>
      <c r="L34" s="707"/>
      <c r="M34" s="707">
        <v>19374</v>
      </c>
      <c r="O34" s="510">
        <f t="shared" si="2"/>
        <v>839.28499999999985</v>
      </c>
      <c r="P34" s="437">
        <f t="shared" si="3"/>
        <v>4.3320171363683282E-2</v>
      </c>
    </row>
    <row r="35" spans="1:16" s="68" customFormat="1" ht="20.25" x14ac:dyDescent="0.2">
      <c r="A35" s="67"/>
      <c r="B35" s="67"/>
      <c r="C35" s="79"/>
      <c r="D35" s="892" t="s">
        <v>306</v>
      </c>
      <c r="E35" s="892"/>
      <c r="F35" s="892"/>
      <c r="G35" s="232"/>
      <c r="H35" s="232"/>
      <c r="I35" s="232"/>
      <c r="J35" s="707">
        <f>10143.6/8*12</f>
        <v>15215.400000000001</v>
      </c>
      <c r="K35" s="707">
        <v>12450.36</v>
      </c>
      <c r="L35" s="707"/>
      <c r="M35" s="707">
        <v>15000</v>
      </c>
      <c r="O35" s="510">
        <f t="shared" si="2"/>
        <v>-215.40000000000146</v>
      </c>
      <c r="P35" s="437">
        <f t="shared" si="3"/>
        <v>-1.4360000000000097E-2</v>
      </c>
    </row>
    <row r="36" spans="1:16" s="68" customFormat="1" ht="20.25" x14ac:dyDescent="0.2">
      <c r="A36" s="67"/>
      <c r="B36" s="67"/>
      <c r="C36" s="79"/>
      <c r="D36" s="892" t="s">
        <v>225</v>
      </c>
      <c r="E36" s="892"/>
      <c r="F36" s="892"/>
      <c r="G36" s="232"/>
      <c r="H36" s="232"/>
      <c r="I36" s="232"/>
      <c r="J36" s="707">
        <v>513.5</v>
      </c>
      <c r="K36" s="707">
        <v>377</v>
      </c>
      <c r="L36" s="707"/>
      <c r="M36" s="707">
        <v>250</v>
      </c>
      <c r="O36" s="510">
        <f t="shared" si="2"/>
        <v>-263.5</v>
      </c>
      <c r="P36" s="437">
        <f t="shared" si="3"/>
        <v>-1.054</v>
      </c>
    </row>
    <row r="37" spans="1:16" s="68" customFormat="1" ht="20.25" x14ac:dyDescent="0.2">
      <c r="A37" s="67"/>
      <c r="B37" s="67"/>
      <c r="C37" s="79" t="s">
        <v>226</v>
      </c>
      <c r="D37" s="79"/>
      <c r="E37" s="79"/>
      <c r="F37" s="79"/>
      <c r="G37" s="232">
        <v>27200</v>
      </c>
      <c r="H37" s="232">
        <v>11327</v>
      </c>
      <c r="I37" s="232"/>
      <c r="J37" s="707">
        <f>22772+1411</f>
        <v>24183</v>
      </c>
      <c r="K37" s="707">
        <v>25080</v>
      </c>
      <c r="L37" s="707"/>
      <c r="M37" s="707">
        <f>20430+6774</f>
        <v>27204</v>
      </c>
      <c r="O37" s="510">
        <f t="shared" si="2"/>
        <v>3021</v>
      </c>
      <c r="P37" s="437">
        <f t="shared" si="3"/>
        <v>0.11104984561093957</v>
      </c>
    </row>
    <row r="38" spans="1:16" s="68" customFormat="1" ht="20.25" x14ac:dyDescent="0.2">
      <c r="A38" s="67"/>
      <c r="B38" s="67"/>
      <c r="C38" s="79" t="s">
        <v>104</v>
      </c>
      <c r="D38" s="79"/>
      <c r="E38" s="79"/>
      <c r="F38" s="79"/>
      <c r="G38" s="232">
        <v>150176</v>
      </c>
      <c r="H38" s="275">
        <v>47700.27</v>
      </c>
      <c r="I38" s="275"/>
      <c r="J38" s="707">
        <f>J21</f>
        <v>9315</v>
      </c>
      <c r="K38" s="707">
        <f>K21</f>
        <v>10548</v>
      </c>
      <c r="L38" s="707"/>
      <c r="M38" s="707">
        <f>M21</f>
        <v>9315</v>
      </c>
      <c r="O38" s="510">
        <f t="shared" si="2"/>
        <v>0</v>
      </c>
      <c r="P38" s="437">
        <f t="shared" si="3"/>
        <v>0</v>
      </c>
    </row>
    <row r="39" spans="1:16" s="68" customFormat="1" ht="20.25" x14ac:dyDescent="0.2">
      <c r="A39" s="67"/>
      <c r="B39" s="67"/>
      <c r="C39" s="79" t="s">
        <v>315</v>
      </c>
      <c r="D39" s="79"/>
      <c r="E39" s="79"/>
      <c r="F39" s="79"/>
      <c r="G39" s="232"/>
      <c r="H39" s="275"/>
      <c r="I39" s="275"/>
      <c r="J39" s="707">
        <f>2845+(332.08+24.92)*4</f>
        <v>4273</v>
      </c>
      <c r="K39" s="707">
        <v>4075</v>
      </c>
      <c r="L39" s="707"/>
      <c r="M39" s="707">
        <f>360*12</f>
        <v>4320</v>
      </c>
      <c r="O39" s="510">
        <f t="shared" si="2"/>
        <v>47</v>
      </c>
      <c r="P39" s="437">
        <f t="shared" si="3"/>
        <v>1.087962962962963E-2</v>
      </c>
    </row>
    <row r="40" spans="1:16" s="68" customFormat="1" ht="20.25" x14ac:dyDescent="0.2">
      <c r="A40" s="67"/>
      <c r="B40" s="67"/>
      <c r="C40" s="79" t="s">
        <v>227</v>
      </c>
      <c r="D40" s="79"/>
      <c r="E40" s="79"/>
      <c r="F40" s="79"/>
      <c r="G40" s="232"/>
      <c r="H40" s="275"/>
      <c r="I40" s="275"/>
      <c r="J40" s="707">
        <f>393+75</f>
        <v>468</v>
      </c>
      <c r="K40" s="707">
        <v>1496.32</v>
      </c>
      <c r="L40" s="707"/>
      <c r="M40" s="707">
        <v>500</v>
      </c>
      <c r="O40" s="510">
        <f t="shared" si="2"/>
        <v>32</v>
      </c>
      <c r="P40" s="437">
        <f t="shared" si="3"/>
        <v>6.4000000000000001E-2</v>
      </c>
    </row>
    <row r="41" spans="1:16" s="68" customFormat="1" ht="20.25" x14ac:dyDescent="0.2">
      <c r="A41" s="67"/>
      <c r="B41" s="67"/>
      <c r="C41" s="79" t="s">
        <v>386</v>
      </c>
      <c r="D41" s="79"/>
      <c r="E41" s="79"/>
      <c r="F41" s="79"/>
      <c r="G41" s="232">
        <v>10993.12</v>
      </c>
      <c r="H41" s="275">
        <v>4904.57</v>
      </c>
      <c r="I41" s="275"/>
      <c r="J41" s="707">
        <f>2414+307*4</f>
        <v>3642</v>
      </c>
      <c r="K41" s="707">
        <v>3429.9</v>
      </c>
      <c r="L41" s="707"/>
      <c r="M41" s="707">
        <f>307*12</f>
        <v>3684</v>
      </c>
      <c r="O41" s="510">
        <f t="shared" si="2"/>
        <v>42</v>
      </c>
      <c r="P41" s="437">
        <f>O41/M41</f>
        <v>1.1400651465798045E-2</v>
      </c>
    </row>
    <row r="42" spans="1:16" s="68" customFormat="1" ht="20.25" x14ac:dyDescent="0.2">
      <c r="A42" s="67"/>
      <c r="B42" s="67"/>
      <c r="C42" s="79" t="s">
        <v>228</v>
      </c>
      <c r="D42" s="79"/>
      <c r="E42" s="79"/>
      <c r="F42" s="79"/>
      <c r="G42" s="232">
        <v>10250.949999999999</v>
      </c>
      <c r="H42" s="275">
        <v>3982.99</v>
      </c>
      <c r="I42" s="275"/>
      <c r="J42" s="707">
        <v>600</v>
      </c>
      <c r="K42" s="707">
        <f>56.6+402.81</f>
        <v>459.41</v>
      </c>
      <c r="L42" s="707"/>
      <c r="M42" s="707">
        <v>600</v>
      </c>
      <c r="O42" s="510">
        <f t="shared" si="2"/>
        <v>0</v>
      </c>
      <c r="P42" s="437">
        <f>O42/M42</f>
        <v>0</v>
      </c>
    </row>
    <row r="43" spans="1:16" s="68" customFormat="1" ht="20.25" x14ac:dyDescent="0.2">
      <c r="A43" s="67"/>
      <c r="B43" s="67"/>
      <c r="C43" s="79" t="s">
        <v>122</v>
      </c>
      <c r="D43" s="79"/>
      <c r="E43" s="79"/>
      <c r="F43" s="79"/>
      <c r="G43" s="232">
        <v>4412.53</v>
      </c>
      <c r="H43" s="276">
        <v>5667</v>
      </c>
      <c r="I43" s="276"/>
      <c r="J43" s="707">
        <f>122.96+1237.38+391.65</f>
        <v>1751.9900000000002</v>
      </c>
      <c r="K43" s="707">
        <v>1040.8800000000001</v>
      </c>
      <c r="L43" s="709"/>
      <c r="M43" s="709">
        <f>394*4</f>
        <v>1576</v>
      </c>
      <c r="O43" s="510">
        <f t="shared" si="2"/>
        <v>-175.99000000000024</v>
      </c>
      <c r="P43" s="437">
        <f>O43/M43</f>
        <v>-0.11166878172588847</v>
      </c>
    </row>
    <row r="44" spans="1:16" s="68" customFormat="1" ht="20.25" x14ac:dyDescent="0.2">
      <c r="A44" s="67"/>
      <c r="B44" s="67"/>
      <c r="C44" s="79" t="s">
        <v>120</v>
      </c>
      <c r="D44" s="79"/>
      <c r="E44" s="79"/>
      <c r="F44" s="79"/>
      <c r="G44" s="232">
        <v>7901</v>
      </c>
      <c r="H44" s="275">
        <v>4149.6000000000004</v>
      </c>
      <c r="I44" s="275"/>
      <c r="J44" s="707">
        <f>367.55/8*12</f>
        <v>551.32500000000005</v>
      </c>
      <c r="K44" s="707">
        <v>436.35</v>
      </c>
      <c r="L44" s="707"/>
      <c r="M44" s="707">
        <v>600</v>
      </c>
      <c r="O44" s="510">
        <f t="shared" si="2"/>
        <v>48.674999999999955</v>
      </c>
      <c r="P44" s="437">
        <f>O44/M44</f>
        <v>8.1124999999999919E-2</v>
      </c>
    </row>
    <row r="45" spans="1:16" s="68" customFormat="1" ht="20.25" hidden="1" x14ac:dyDescent="0.2">
      <c r="A45" s="67"/>
      <c r="B45" s="67"/>
      <c r="C45" s="79" t="s">
        <v>229</v>
      </c>
      <c r="D45" s="79"/>
      <c r="E45" s="79"/>
      <c r="F45" s="79"/>
      <c r="G45" s="232"/>
      <c r="H45" s="275"/>
      <c r="I45" s="275"/>
      <c r="J45" s="707"/>
      <c r="K45" s="707"/>
      <c r="L45" s="707"/>
      <c r="M45" s="707">
        <v>0</v>
      </c>
      <c r="O45" s="510">
        <f t="shared" si="2"/>
        <v>0</v>
      </c>
      <c r="P45" s="437"/>
    </row>
    <row r="46" spans="1:16" s="76" customFormat="1" ht="20.25" x14ac:dyDescent="0.2">
      <c r="A46" s="79"/>
      <c r="B46" s="79"/>
      <c r="C46" s="79" t="s">
        <v>116</v>
      </c>
      <c r="D46" s="79"/>
      <c r="E46" s="79"/>
      <c r="F46" s="79"/>
      <c r="G46" s="232">
        <v>5428.37</v>
      </c>
      <c r="H46" s="275">
        <v>2024.52</v>
      </c>
      <c r="I46" s="275"/>
      <c r="J46" s="707">
        <f>208.6/8*12</f>
        <v>312.89999999999998</v>
      </c>
      <c r="K46" s="707">
        <v>205.44</v>
      </c>
      <c r="L46" s="707"/>
      <c r="M46" s="707">
        <v>320</v>
      </c>
      <c r="O46" s="510">
        <f t="shared" si="2"/>
        <v>7.1000000000000227</v>
      </c>
      <c r="P46" s="437">
        <f>O46/M46</f>
        <v>2.2187500000000072E-2</v>
      </c>
    </row>
    <row r="47" spans="1:16" s="76" customFormat="1" ht="20.25" x14ac:dyDescent="0.2">
      <c r="A47" s="79"/>
      <c r="B47" s="79"/>
      <c r="C47" s="79" t="s">
        <v>230</v>
      </c>
      <c r="D47" s="79"/>
      <c r="E47" s="79"/>
      <c r="F47" s="79"/>
      <c r="G47" s="232">
        <v>83462.91</v>
      </c>
      <c r="H47" s="232">
        <v>18995.71</v>
      </c>
      <c r="I47" s="232"/>
      <c r="J47" s="710">
        <v>200</v>
      </c>
      <c r="K47" s="710">
        <f>201.52+30+216.21+94.56</f>
        <v>542.29</v>
      </c>
      <c r="L47" s="707"/>
      <c r="M47" s="707">
        <v>225</v>
      </c>
      <c r="O47" s="510">
        <f t="shared" si="2"/>
        <v>25</v>
      </c>
      <c r="P47" s="512">
        <f>O47/M47</f>
        <v>0.1111111111111111</v>
      </c>
    </row>
    <row r="48" spans="1:16" s="68" customFormat="1" ht="21" thickBot="1" x14ac:dyDescent="0.25">
      <c r="A48" s="67"/>
      <c r="B48" s="67"/>
      <c r="C48" s="67"/>
      <c r="D48" s="73" t="s">
        <v>128</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129</v>
      </c>
      <c r="E49" s="67"/>
      <c r="F49" s="67"/>
      <c r="G49" s="241">
        <v>233082.39000000013</v>
      </c>
      <c r="H49" s="241">
        <v>82291.709999999905</v>
      </c>
      <c r="I49" s="232"/>
      <c r="J49" s="468">
        <f>J25-J48</f>
        <v>-20538.272900000098</v>
      </c>
      <c r="K49" s="468">
        <f>K25-K48</f>
        <v>-78020.889479999954</v>
      </c>
      <c r="L49" s="322"/>
      <c r="M49" s="468">
        <f>M25-M48</f>
        <v>-24606.190000000002</v>
      </c>
      <c r="O49" s="378">
        <f>M49-J49</f>
        <v>-4067.9170999999042</v>
      </c>
      <c r="P49" s="465">
        <f>O49/M49</f>
        <v>0.16532088470421077</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4"/>
      <c r="S51" s="706"/>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50" t="s">
        <v>232</v>
      </c>
      <c r="E53" s="950"/>
      <c r="F53" s="950"/>
      <c r="G53" s="232"/>
      <c r="H53" s="232"/>
      <c r="I53" s="232"/>
      <c r="J53" s="469">
        <f>J49+J51+J52</f>
        <v>-43770.492900000099</v>
      </c>
      <c r="K53" s="469">
        <f>K49+K51+K52</f>
        <v>-97826.889479999954</v>
      </c>
      <c r="L53" s="326"/>
      <c r="M53" s="469">
        <f>M49+M51+M52</f>
        <v>2597.8099999999977</v>
      </c>
      <c r="N53" s="388"/>
      <c r="O53" s="466">
        <f>M53-J53</f>
        <v>46368.302900000097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319</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5"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1" t="s">
        <v>101</v>
      </c>
      <c r="D8" s="421"/>
      <c r="E8" s="421"/>
      <c r="F8" s="73"/>
      <c r="G8" s="263">
        <v>791718</v>
      </c>
    </row>
    <row r="9" spans="1:9" ht="20.25" x14ac:dyDescent="0.2">
      <c r="A9" s="73"/>
      <c r="B9" s="73"/>
      <c r="C9" s="421" t="s">
        <v>320</v>
      </c>
      <c r="D9" s="421"/>
      <c r="E9" s="421"/>
      <c r="F9" s="73"/>
      <c r="G9" s="264">
        <v>25000</v>
      </c>
    </row>
    <row r="10" spans="1:9" ht="20.25" x14ac:dyDescent="0.2">
      <c r="A10" s="73"/>
      <c r="B10" s="393"/>
      <c r="C10" s="421" t="s">
        <v>150</v>
      </c>
      <c r="D10" s="421"/>
      <c r="E10" s="421"/>
      <c r="F10" s="73"/>
      <c r="G10" s="264">
        <v>147000</v>
      </c>
    </row>
    <row r="11" spans="1:9" ht="20.25" x14ac:dyDescent="0.2">
      <c r="A11" s="73"/>
      <c r="B11" s="393"/>
      <c r="C11" s="421" t="s">
        <v>179</v>
      </c>
      <c r="D11" s="421"/>
      <c r="E11" s="421"/>
      <c r="F11" s="73"/>
      <c r="G11" s="264">
        <v>43322</v>
      </c>
      <c r="I11" s="243"/>
    </row>
    <row r="12" spans="1:9" ht="20.25" x14ac:dyDescent="0.2">
      <c r="A12" s="73"/>
      <c r="B12" s="393"/>
      <c r="C12" s="421" t="s">
        <v>102</v>
      </c>
      <c r="D12" s="421"/>
      <c r="E12" s="421"/>
      <c r="F12" s="73"/>
      <c r="G12" s="264"/>
    </row>
    <row r="13" spans="1:9" ht="20.25" x14ac:dyDescent="0.2">
      <c r="A13" s="73"/>
      <c r="B13" s="393"/>
      <c r="C13" s="77"/>
      <c r="D13" s="421" t="s">
        <v>139</v>
      </c>
      <c r="E13" s="421"/>
      <c r="F13" s="73"/>
      <c r="G13" s="264">
        <f>43500+158022</f>
        <v>201522</v>
      </c>
    </row>
    <row r="14" spans="1:9" ht="20.25" x14ac:dyDescent="0.2">
      <c r="A14" s="73"/>
      <c r="B14" s="393"/>
      <c r="C14" s="77"/>
      <c r="D14" s="421" t="s">
        <v>159</v>
      </c>
      <c r="E14" s="421"/>
      <c r="F14" s="73"/>
      <c r="G14" s="264">
        <v>13000</v>
      </c>
    </row>
    <row r="15" spans="1:9" ht="20.25" x14ac:dyDescent="0.2">
      <c r="A15" s="73"/>
      <c r="B15" s="393"/>
      <c r="C15" s="421" t="s">
        <v>103</v>
      </c>
      <c r="D15" s="421"/>
      <c r="E15" s="421"/>
      <c r="F15" s="73"/>
      <c r="G15" s="264">
        <v>12500</v>
      </c>
    </row>
    <row r="16" spans="1:9" ht="20.25" x14ac:dyDescent="0.2">
      <c r="A16" s="73"/>
      <c r="B16" s="393"/>
      <c r="C16" s="421" t="s">
        <v>110</v>
      </c>
      <c r="D16" s="421"/>
      <c r="E16" s="421"/>
      <c r="F16" s="73"/>
      <c r="G16" s="264">
        <v>1200</v>
      </c>
    </row>
    <row r="17" spans="1:9" ht="20.25" x14ac:dyDescent="0.2">
      <c r="A17" s="73"/>
      <c r="B17" s="393"/>
      <c r="C17" s="421" t="s">
        <v>237</v>
      </c>
      <c r="D17" s="421"/>
      <c r="E17" s="421"/>
      <c r="F17" s="73"/>
      <c r="G17" s="264">
        <v>4200</v>
      </c>
    </row>
    <row r="18" spans="1:9" ht="20.25" x14ac:dyDescent="0.2">
      <c r="A18" s="73"/>
      <c r="B18" s="393"/>
      <c r="C18" s="421" t="s">
        <v>322</v>
      </c>
      <c r="D18" s="421"/>
      <c r="E18" s="421"/>
      <c r="F18" s="73"/>
      <c r="G18" s="264">
        <v>1500</v>
      </c>
    </row>
    <row r="19" spans="1:9" ht="20.25" x14ac:dyDescent="0.2">
      <c r="A19" s="73"/>
      <c r="B19" s="393"/>
      <c r="C19" s="421" t="s">
        <v>238</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324</v>
      </c>
      <c r="D22" s="421"/>
      <c r="E22" s="421"/>
      <c r="F22" s="73"/>
      <c r="G22" s="264">
        <v>2500</v>
      </c>
    </row>
    <row r="23" spans="1:9" ht="20.25" x14ac:dyDescent="0.2">
      <c r="A23" s="73"/>
      <c r="B23" s="393"/>
      <c r="C23" s="421" t="s">
        <v>109</v>
      </c>
      <c r="D23" s="421"/>
      <c r="E23" s="421"/>
      <c r="F23" s="73"/>
      <c r="G23" s="322">
        <v>46575</v>
      </c>
    </row>
    <row r="24" spans="1:9" ht="20.25" x14ac:dyDescent="0.2">
      <c r="A24" s="73"/>
      <c r="B24" s="393"/>
      <c r="C24" s="421" t="s">
        <v>325</v>
      </c>
      <c r="D24" s="421"/>
      <c r="E24" s="421"/>
      <c r="F24" s="73"/>
      <c r="G24" s="322">
        <v>1531</v>
      </c>
    </row>
    <row r="25" spans="1:9" ht="20.25" x14ac:dyDescent="0.2">
      <c r="A25" s="73"/>
      <c r="B25" s="393"/>
      <c r="C25" s="421" t="s">
        <v>102</v>
      </c>
      <c r="D25" s="421"/>
      <c r="E25" s="421"/>
      <c r="F25" s="73"/>
      <c r="G25" s="322">
        <v>19000</v>
      </c>
    </row>
    <row r="26" spans="1:9" ht="20.25" x14ac:dyDescent="0.2">
      <c r="A26" s="73"/>
      <c r="B26" s="393"/>
      <c r="C26" s="421" t="s">
        <v>321</v>
      </c>
      <c r="D26" s="421"/>
      <c r="E26" s="421"/>
      <c r="F26" s="73"/>
      <c r="G26" s="322">
        <v>51000</v>
      </c>
    </row>
    <row r="27" spans="1:9" ht="20.25" x14ac:dyDescent="0.2">
      <c r="A27" s="73"/>
      <c r="B27" s="393"/>
      <c r="C27" s="421" t="s">
        <v>323</v>
      </c>
      <c r="D27" s="421"/>
      <c r="E27" s="421"/>
      <c r="F27" s="73"/>
      <c r="G27" s="322">
        <v>20655</v>
      </c>
    </row>
    <row r="28" spans="1:9" ht="20.25" x14ac:dyDescent="0.2">
      <c r="A28" s="73"/>
      <c r="B28" s="393"/>
      <c r="C28" s="421"/>
      <c r="D28" s="73" t="s">
        <v>105</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111</v>
      </c>
      <c r="C30" s="87"/>
      <c r="D30" s="87"/>
      <c r="E30" s="87"/>
      <c r="F30" s="87"/>
      <c r="G30" s="241"/>
    </row>
    <row r="31" spans="1:9" ht="20.25" x14ac:dyDescent="0.2">
      <c r="A31" s="67"/>
      <c r="B31" s="395"/>
      <c r="C31" s="79" t="s">
        <v>112</v>
      </c>
      <c r="D31" s="79"/>
      <c r="E31" s="79"/>
      <c r="F31" s="79"/>
      <c r="G31" s="232">
        <v>889720</v>
      </c>
    </row>
    <row r="32" spans="1:9" ht="20.25" x14ac:dyDescent="0.2">
      <c r="A32" s="67"/>
      <c r="B32" s="395"/>
      <c r="C32" s="79" t="s">
        <v>113</v>
      </c>
      <c r="D32" s="79"/>
      <c r="E32" s="79"/>
      <c r="F32" s="79"/>
      <c r="G32" s="232">
        <v>192602</v>
      </c>
    </row>
    <row r="33" spans="1:7" ht="20.25" x14ac:dyDescent="0.2">
      <c r="A33" s="67"/>
      <c r="B33" s="395"/>
      <c r="C33" s="79" t="s">
        <v>114</v>
      </c>
      <c r="D33" s="79"/>
      <c r="E33" s="79"/>
      <c r="F33" s="79"/>
      <c r="G33" s="232">
        <v>3600</v>
      </c>
    </row>
    <row r="34" spans="1:7" ht="20.25" x14ac:dyDescent="0.2">
      <c r="A34" s="67"/>
      <c r="B34" s="395"/>
      <c r="C34" s="79" t="s">
        <v>104</v>
      </c>
      <c r="D34" s="79"/>
      <c r="E34" s="79"/>
      <c r="F34" s="79"/>
      <c r="G34" s="232">
        <f>G23</f>
        <v>46575</v>
      </c>
    </row>
    <row r="35" spans="1:7" ht="20.25" x14ac:dyDescent="0.2">
      <c r="A35" s="67"/>
      <c r="B35" s="395"/>
      <c r="C35" s="79" t="s">
        <v>115</v>
      </c>
      <c r="D35" s="79"/>
      <c r="E35" s="79"/>
      <c r="F35" s="79"/>
      <c r="G35" s="232">
        <v>17595</v>
      </c>
    </row>
    <row r="36" spans="1:7" ht="20.25" x14ac:dyDescent="0.2">
      <c r="A36" s="67"/>
      <c r="B36" s="395"/>
      <c r="C36" s="79" t="s">
        <v>116</v>
      </c>
      <c r="D36" s="79"/>
      <c r="E36" s="79"/>
      <c r="F36" s="79"/>
      <c r="G36" s="232">
        <v>2821</v>
      </c>
    </row>
    <row r="37" spans="1:7" ht="20.25" x14ac:dyDescent="0.2">
      <c r="A37" s="67"/>
      <c r="B37" s="395"/>
      <c r="C37" s="79" t="s">
        <v>117</v>
      </c>
      <c r="D37" s="79"/>
      <c r="E37" s="79"/>
      <c r="F37" s="79"/>
      <c r="G37" s="232">
        <v>5032</v>
      </c>
    </row>
    <row r="38" spans="1:7" ht="20.25" x14ac:dyDescent="0.2">
      <c r="A38" s="67"/>
      <c r="B38" s="395"/>
      <c r="C38" s="79" t="s">
        <v>118</v>
      </c>
      <c r="D38" s="79"/>
      <c r="E38" s="79"/>
      <c r="F38" s="79"/>
      <c r="G38" s="232">
        <v>12216</v>
      </c>
    </row>
    <row r="39" spans="1:7" ht="20.25" x14ac:dyDescent="0.2">
      <c r="A39" s="67"/>
      <c r="B39" s="395"/>
      <c r="C39" s="79" t="s">
        <v>119</v>
      </c>
      <c r="D39" s="79"/>
      <c r="E39" s="79"/>
      <c r="F39" s="79"/>
      <c r="G39" s="232">
        <v>39500</v>
      </c>
    </row>
    <row r="40" spans="1:7" ht="20.25" x14ac:dyDescent="0.2">
      <c r="A40" s="67"/>
      <c r="B40" s="395"/>
      <c r="C40" s="79" t="s">
        <v>120</v>
      </c>
      <c r="D40" s="79"/>
      <c r="E40" s="79"/>
      <c r="F40" s="79"/>
      <c r="G40" s="232">
        <v>4840</v>
      </c>
    </row>
    <row r="41" spans="1:7" ht="20.25" x14ac:dyDescent="0.2">
      <c r="A41" s="67"/>
      <c r="B41" s="395"/>
      <c r="C41" s="79" t="s">
        <v>121</v>
      </c>
      <c r="D41" s="79"/>
      <c r="E41" s="79"/>
      <c r="F41" s="79"/>
      <c r="G41" s="232">
        <v>1735</v>
      </c>
    </row>
    <row r="42" spans="1:7" ht="20.25" x14ac:dyDescent="0.2">
      <c r="A42" s="67"/>
      <c r="B42" s="395"/>
      <c r="C42" s="79" t="s">
        <v>166</v>
      </c>
      <c r="D42" s="79"/>
      <c r="E42" s="79"/>
      <c r="F42" s="79"/>
      <c r="G42" s="232">
        <v>12125</v>
      </c>
    </row>
    <row r="43" spans="1:7" ht="20.25" x14ac:dyDescent="0.2">
      <c r="A43" s="79"/>
      <c r="B43" s="391"/>
      <c r="C43" s="79" t="s">
        <v>122</v>
      </c>
      <c r="D43" s="79"/>
      <c r="E43" s="79"/>
      <c r="F43" s="79"/>
      <c r="G43" s="322">
        <v>12252</v>
      </c>
    </row>
    <row r="44" spans="1:7" ht="20.25" x14ac:dyDescent="0.2">
      <c r="A44" s="79"/>
      <c r="B44" s="391"/>
      <c r="C44" s="79" t="s">
        <v>123</v>
      </c>
      <c r="D44" s="79"/>
      <c r="E44" s="79"/>
      <c r="F44" s="79"/>
      <c r="G44" s="232">
        <v>13564</v>
      </c>
    </row>
    <row r="45" spans="1:7" ht="20.25" x14ac:dyDescent="0.2">
      <c r="A45" s="79"/>
      <c r="B45" s="391"/>
      <c r="C45" s="79" t="s">
        <v>130</v>
      </c>
      <c r="D45" s="79"/>
      <c r="E45" s="79"/>
      <c r="F45" s="79"/>
      <c r="G45" s="232">
        <v>875</v>
      </c>
    </row>
    <row r="46" spans="1:7" ht="20.25" x14ac:dyDescent="0.2">
      <c r="A46" s="79"/>
      <c r="B46" s="391"/>
      <c r="C46" s="79" t="s">
        <v>124</v>
      </c>
      <c r="D46" s="79"/>
      <c r="E46" s="79"/>
      <c r="F46" s="79"/>
      <c r="G46" s="322">
        <f>10039+1500</f>
        <v>11539</v>
      </c>
    </row>
    <row r="47" spans="1:7" ht="20.25" x14ac:dyDescent="0.2">
      <c r="A47" s="67"/>
      <c r="B47" s="395"/>
      <c r="C47" s="79" t="s">
        <v>199</v>
      </c>
      <c r="D47" s="79"/>
      <c r="E47" s="79"/>
      <c r="F47" s="79"/>
      <c r="G47" s="232">
        <f>12623+2660</f>
        <v>15283</v>
      </c>
    </row>
    <row r="48" spans="1:7" ht="20.25" x14ac:dyDescent="0.2">
      <c r="A48" s="79"/>
      <c r="B48" s="391"/>
      <c r="C48" s="79" t="s">
        <v>125</v>
      </c>
      <c r="D48" s="79"/>
      <c r="E48" s="79"/>
      <c r="F48" s="79"/>
      <c r="G48" s="322">
        <v>39977</v>
      </c>
    </row>
    <row r="49" spans="1:7" ht="20.25" x14ac:dyDescent="0.2">
      <c r="A49" s="79"/>
      <c r="B49" s="391"/>
      <c r="C49" s="79" t="s">
        <v>126</v>
      </c>
      <c r="D49" s="79"/>
      <c r="E49" s="79"/>
      <c r="F49" s="79"/>
      <c r="G49" s="322">
        <v>19556</v>
      </c>
    </row>
    <row r="50" spans="1:7" ht="20.25" x14ac:dyDescent="0.2">
      <c r="A50" s="79"/>
      <c r="B50" s="391"/>
      <c r="C50" s="79" t="s">
        <v>165</v>
      </c>
      <c r="D50" s="79"/>
      <c r="E50" s="79"/>
      <c r="F50" s="79"/>
      <c r="G50" s="232">
        <v>56100</v>
      </c>
    </row>
    <row r="51" spans="1:7" ht="20.25" x14ac:dyDescent="0.2">
      <c r="A51" s="79"/>
      <c r="B51" s="391"/>
      <c r="C51" s="79" t="s">
        <v>127</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128</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129</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5" hidden="1" customWidth="1"/>
    <col min="4" max="7" width="15" customWidth="1"/>
    <col min="8" max="8" width="14.625" customWidth="1"/>
  </cols>
  <sheetData>
    <row r="1" spans="1:130" ht="21" x14ac:dyDescent="0.35">
      <c r="A1" s="590"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0" t="s">
        <v>301</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0" t="str">
        <f>'June''22 State of Activities'!A3</f>
        <v>Six Months Ended June 30,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52" t="s">
        <v>281</v>
      </c>
      <c r="B5" s="953"/>
      <c r="C5" s="953"/>
      <c r="D5" s="953"/>
      <c r="E5" s="953"/>
      <c r="F5" s="953"/>
      <c r="G5" s="953"/>
      <c r="H5" s="954"/>
    </row>
    <row r="6" spans="1:130" ht="7.5" customHeight="1" thickBot="1" x14ac:dyDescent="0.25">
      <c r="E6" s="556"/>
      <c r="F6" s="556"/>
      <c r="G6" s="556"/>
    </row>
    <row r="7" spans="1:130" ht="15.75" x14ac:dyDescent="0.25">
      <c r="A7" s="557" t="s">
        <v>282</v>
      </c>
      <c r="B7" s="558" t="s">
        <v>283</v>
      </c>
      <c r="C7" s="558" t="s">
        <v>284</v>
      </c>
      <c r="D7" s="558" t="s">
        <v>285</v>
      </c>
      <c r="E7" s="558" t="s">
        <v>286</v>
      </c>
      <c r="F7" s="558" t="s">
        <v>287</v>
      </c>
      <c r="G7" s="558" t="s">
        <v>288</v>
      </c>
      <c r="H7" s="557" t="s">
        <v>289</v>
      </c>
    </row>
    <row r="8" spans="1:130" ht="16.5" thickBot="1" x14ac:dyDescent="0.3">
      <c r="A8" s="559"/>
      <c r="B8" s="560" t="s">
        <v>290</v>
      </c>
      <c r="C8" s="560" t="s">
        <v>290</v>
      </c>
      <c r="D8" s="560" t="s">
        <v>290</v>
      </c>
      <c r="E8" s="560" t="s">
        <v>290</v>
      </c>
      <c r="F8" s="560" t="s">
        <v>290</v>
      </c>
      <c r="G8" s="560" t="s">
        <v>290</v>
      </c>
      <c r="H8" s="561" t="s">
        <v>291</v>
      </c>
    </row>
    <row r="9" spans="1:130" x14ac:dyDescent="0.2">
      <c r="A9" s="562">
        <v>42741</v>
      </c>
      <c r="B9" s="563">
        <v>1059.72</v>
      </c>
      <c r="C9" s="564">
        <f>6123.86-3246.88</f>
        <v>2876.9799999999996</v>
      </c>
      <c r="D9" s="563">
        <f>160.4+1401.46</f>
        <v>1561.8600000000001</v>
      </c>
      <c r="E9" s="563">
        <f>2007.36+883.16</f>
        <v>2890.52</v>
      </c>
      <c r="F9" s="563">
        <v>4174.08</v>
      </c>
      <c r="G9" s="563">
        <v>3187.95</v>
      </c>
      <c r="H9" s="563">
        <f>G9-F9</f>
        <v>-986.13000000000011</v>
      </c>
    </row>
    <row r="10" spans="1:130" x14ac:dyDescent="0.2">
      <c r="A10" s="565">
        <v>42748</v>
      </c>
      <c r="B10" s="566">
        <v>1351.72</v>
      </c>
      <c r="C10" s="567">
        <f>7232.22-3246.88</f>
        <v>3985.34</v>
      </c>
      <c r="D10" s="566">
        <v>3927.82</v>
      </c>
      <c r="E10" s="566">
        <v>3364.16</v>
      </c>
      <c r="F10" s="563">
        <v>4643.2299999999996</v>
      </c>
      <c r="G10" s="563">
        <v>3858.57</v>
      </c>
      <c r="H10" s="563">
        <f t="shared" ref="H10:H21" si="0">G10-F10</f>
        <v>-784.6599999999994</v>
      </c>
    </row>
    <row r="11" spans="1:130" x14ac:dyDescent="0.2">
      <c r="A11" s="565">
        <v>42755</v>
      </c>
      <c r="B11" s="566">
        <v>1237.58</v>
      </c>
      <c r="C11" s="568">
        <f>5493.18-2496.78</f>
        <v>2996.4</v>
      </c>
      <c r="D11" s="566">
        <v>3463.28</v>
      </c>
      <c r="E11" s="566">
        <v>3723.22</v>
      </c>
      <c r="F11" s="563">
        <v>3257.98</v>
      </c>
      <c r="G11" s="563">
        <v>2816.13</v>
      </c>
      <c r="H11" s="563">
        <f t="shared" si="0"/>
        <v>-441.84999999999991</v>
      </c>
    </row>
    <row r="12" spans="1:130" x14ac:dyDescent="0.2">
      <c r="A12" s="565">
        <v>42762</v>
      </c>
      <c r="B12" s="566">
        <v>1829.66</v>
      </c>
      <c r="C12" s="568">
        <f>6125.18-2535</f>
        <v>3590.1800000000003</v>
      </c>
      <c r="D12" s="566">
        <v>2947.54</v>
      </c>
      <c r="E12" s="566">
        <v>3026.63</v>
      </c>
      <c r="F12" s="563">
        <v>3503.82</v>
      </c>
      <c r="G12" s="563">
        <v>2957.14</v>
      </c>
      <c r="H12" s="563">
        <f t="shared" si="0"/>
        <v>-546.68000000000029</v>
      </c>
    </row>
    <row r="13" spans="1:130" x14ac:dyDescent="0.2">
      <c r="A13" s="565">
        <v>42769</v>
      </c>
      <c r="B13" s="566">
        <v>2363.12</v>
      </c>
      <c r="C13" s="568">
        <f>-3488.68+8424.94</f>
        <v>4936.26</v>
      </c>
      <c r="D13" s="566">
        <v>3434.46</v>
      </c>
      <c r="E13" s="566">
        <v>2986.58</v>
      </c>
      <c r="F13" s="563">
        <v>4063.43</v>
      </c>
      <c r="G13" s="563">
        <v>3878.62</v>
      </c>
      <c r="H13" s="563">
        <f t="shared" si="0"/>
        <v>-184.80999999999995</v>
      </c>
    </row>
    <row r="14" spans="1:130" x14ac:dyDescent="0.2">
      <c r="A14" s="565">
        <v>42776</v>
      </c>
      <c r="B14" s="566">
        <v>1902.16</v>
      </c>
      <c r="C14" s="568">
        <f>-2931.5+7254.06</f>
        <v>4322.5600000000004</v>
      </c>
      <c r="D14" s="566">
        <v>2818.82</v>
      </c>
      <c r="E14" s="566">
        <f>2800.67</f>
        <v>2800.67</v>
      </c>
      <c r="F14" s="563">
        <v>4002.46</v>
      </c>
      <c r="G14" s="563">
        <v>2987.96</v>
      </c>
      <c r="H14" s="563">
        <f t="shared" si="0"/>
        <v>-1014.5</v>
      </c>
    </row>
    <row r="15" spans="1:130" x14ac:dyDescent="0.2">
      <c r="A15" s="565">
        <v>42783</v>
      </c>
      <c r="B15" s="566">
        <v>2134.56</v>
      </c>
      <c r="C15" s="568">
        <f>-3653.28+8329.5-700</f>
        <v>3976.2199999999993</v>
      </c>
      <c r="D15" s="566">
        <v>2157.96</v>
      </c>
      <c r="E15" s="566">
        <v>2584.04</v>
      </c>
      <c r="F15" s="563">
        <v>2886.61</v>
      </c>
      <c r="G15" s="563">
        <v>3373.08</v>
      </c>
      <c r="H15" s="563">
        <f t="shared" si="0"/>
        <v>486.4699999999998</v>
      </c>
    </row>
    <row r="16" spans="1:130" x14ac:dyDescent="0.2">
      <c r="A16" s="565">
        <v>42790</v>
      </c>
      <c r="B16" s="566">
        <v>1676.08</v>
      </c>
      <c r="C16" s="568">
        <f>-2869.88+6693.6</f>
        <v>3823.7200000000003</v>
      </c>
      <c r="D16" s="566">
        <v>3063.52</v>
      </c>
      <c r="E16" s="566">
        <v>3161.19</v>
      </c>
      <c r="F16" s="563">
        <v>3994.7</v>
      </c>
      <c r="G16" s="563">
        <v>3335.8</v>
      </c>
      <c r="H16" s="563">
        <f t="shared" si="0"/>
        <v>-658.89999999999964</v>
      </c>
    </row>
    <row r="17" spans="1:8" x14ac:dyDescent="0.2">
      <c r="A17" s="565">
        <v>42797</v>
      </c>
      <c r="B17" s="566">
        <v>1418.9</v>
      </c>
      <c r="C17" s="568">
        <f>-3427.32+8141.08</f>
        <v>4713.76</v>
      </c>
      <c r="D17" s="566">
        <v>4534.3</v>
      </c>
      <c r="E17" s="566">
        <v>3860.23</v>
      </c>
      <c r="F17" s="563">
        <v>4172.5600000000004</v>
      </c>
      <c r="G17" s="563">
        <v>2335.96</v>
      </c>
      <c r="H17" s="563">
        <f t="shared" si="0"/>
        <v>-1836.6000000000004</v>
      </c>
    </row>
    <row r="18" spans="1:8" x14ac:dyDescent="0.2">
      <c r="A18" s="565">
        <v>42804</v>
      </c>
      <c r="B18" s="566">
        <v>1013.74</v>
      </c>
      <c r="C18" s="568">
        <f>-2919.8+6449.26</f>
        <v>3529.46</v>
      </c>
      <c r="D18" s="566">
        <v>3673.88</v>
      </c>
      <c r="E18" s="566">
        <v>4004</v>
      </c>
      <c r="F18" s="563">
        <v>3762.8</v>
      </c>
      <c r="G18" s="563">
        <v>1711.94</v>
      </c>
      <c r="H18" s="563">
        <f t="shared" si="0"/>
        <v>-2050.86</v>
      </c>
    </row>
    <row r="19" spans="1:8" x14ac:dyDescent="0.2">
      <c r="A19" s="565">
        <v>42811</v>
      </c>
      <c r="B19" s="569">
        <v>3629.96</v>
      </c>
      <c r="C19" s="568">
        <f>-3708.38+7621.78</f>
        <v>3913.3999999999996</v>
      </c>
      <c r="D19" s="566">
        <v>4030.4</v>
      </c>
      <c r="E19" s="566">
        <v>3222.03</v>
      </c>
      <c r="F19" s="563">
        <v>4340.3</v>
      </c>
      <c r="G19" s="563">
        <v>942.16</v>
      </c>
      <c r="H19" s="563">
        <f t="shared" si="0"/>
        <v>-3398.1400000000003</v>
      </c>
    </row>
    <row r="20" spans="1:8" x14ac:dyDescent="0.2">
      <c r="A20" s="565">
        <v>42818</v>
      </c>
      <c r="B20" s="569">
        <v>3364</v>
      </c>
      <c r="C20" s="568">
        <f>-3726.84+7846.28</f>
        <v>4119.4399999999996</v>
      </c>
      <c r="D20" s="566">
        <v>3975.2</v>
      </c>
      <c r="E20" s="566">
        <v>3684.17</v>
      </c>
      <c r="F20" s="563">
        <v>3849.95</v>
      </c>
      <c r="G20" s="563">
        <v>1706.08</v>
      </c>
      <c r="H20" s="563">
        <f t="shared" si="0"/>
        <v>-2143.87</v>
      </c>
    </row>
    <row r="21" spans="1:8" ht="15" thickBot="1" x14ac:dyDescent="0.25">
      <c r="A21" s="565">
        <v>42825</v>
      </c>
      <c r="B21" s="569">
        <v>3587</v>
      </c>
      <c r="C21" s="568">
        <f>-3329.82+7562.9</f>
        <v>4233.08</v>
      </c>
      <c r="D21" s="566">
        <v>4280.8</v>
      </c>
      <c r="E21" s="569">
        <v>4118.96</v>
      </c>
      <c r="F21" s="570">
        <v>4082.74</v>
      </c>
      <c r="G21" s="570">
        <v>2002.52</v>
      </c>
      <c r="H21" s="563">
        <f t="shared" si="0"/>
        <v>-2080.2199999999998</v>
      </c>
    </row>
    <row r="22" spans="1:8" ht="16.5" thickBot="1" x14ac:dyDescent="0.25">
      <c r="A22" s="571" t="s">
        <v>292</v>
      </c>
      <c r="B22" s="572">
        <f t="shared" ref="B22:H22" si="1">SUM(B9:B21)</f>
        <v>26568.2</v>
      </c>
      <c r="C22" s="572">
        <f t="shared" si="1"/>
        <v>51016.80000000001</v>
      </c>
      <c r="D22" s="572">
        <f t="shared" si="1"/>
        <v>43869.84</v>
      </c>
      <c r="E22" s="572">
        <f t="shared" si="1"/>
        <v>43426.399999999994</v>
      </c>
      <c r="F22" s="572">
        <f t="shared" si="1"/>
        <v>50734.659999999996</v>
      </c>
      <c r="G22" s="572">
        <f t="shared" si="1"/>
        <v>35093.909999999989</v>
      </c>
      <c r="H22" s="572">
        <f t="shared" si="1"/>
        <v>-15640.749999999998</v>
      </c>
    </row>
    <row r="23" spans="1:8" x14ac:dyDescent="0.2">
      <c r="A23" s="573">
        <v>42832</v>
      </c>
      <c r="B23" s="566">
        <v>3525.02</v>
      </c>
      <c r="C23" s="563">
        <v>4517.8999999999996</v>
      </c>
      <c r="D23" s="563">
        <v>4162.12</v>
      </c>
      <c r="E23" s="563">
        <v>4043.7</v>
      </c>
      <c r="F23" s="563">
        <v>3768.69</v>
      </c>
      <c r="G23" s="563">
        <v>2018.44</v>
      </c>
      <c r="H23" s="563">
        <f>G23-F23</f>
        <v>-1750.25</v>
      </c>
    </row>
    <row r="24" spans="1:8" x14ac:dyDescent="0.2">
      <c r="A24" s="573">
        <v>42839</v>
      </c>
      <c r="B24" s="566">
        <v>3842.84</v>
      </c>
      <c r="C24" s="563">
        <v>4554.42</v>
      </c>
      <c r="D24" s="566">
        <v>4616</v>
      </c>
      <c r="E24" s="566">
        <v>4136.18</v>
      </c>
      <c r="F24" s="563">
        <v>4345.16</v>
      </c>
      <c r="G24" s="563">
        <v>5284.52</v>
      </c>
      <c r="H24" s="563">
        <f t="shared" ref="H24:H63" si="2">G24-F24</f>
        <v>939.36000000000058</v>
      </c>
    </row>
    <row r="25" spans="1:8" x14ac:dyDescent="0.2">
      <c r="A25" s="573">
        <v>42846</v>
      </c>
      <c r="B25" s="566">
        <v>5337.82</v>
      </c>
      <c r="C25" s="566">
        <v>4041.14</v>
      </c>
      <c r="D25" s="566">
        <v>3729.1</v>
      </c>
      <c r="E25" s="566">
        <v>4132.83</v>
      </c>
      <c r="F25" s="563">
        <v>4267.46</v>
      </c>
      <c r="G25" s="563">
        <v>4715.9799999999996</v>
      </c>
      <c r="H25" s="563">
        <f t="shared" si="2"/>
        <v>448.51999999999953</v>
      </c>
    </row>
    <row r="26" spans="1:8" x14ac:dyDescent="0.2">
      <c r="A26" s="573">
        <v>42853</v>
      </c>
      <c r="B26" s="566">
        <v>4973.68</v>
      </c>
      <c r="C26" s="566">
        <v>4321.8599999999997</v>
      </c>
      <c r="D26" s="566">
        <v>3706.08</v>
      </c>
      <c r="E26" s="566">
        <v>4536.74</v>
      </c>
      <c r="F26" s="563">
        <v>3953.61</v>
      </c>
      <c r="G26" s="563">
        <v>4499.7</v>
      </c>
      <c r="H26" s="563">
        <f t="shared" si="2"/>
        <v>546.08999999999969</v>
      </c>
    </row>
    <row r="27" spans="1:8" x14ac:dyDescent="0.2">
      <c r="A27" s="573">
        <v>42860</v>
      </c>
      <c r="B27" s="566">
        <v>3187.22</v>
      </c>
      <c r="C27" s="566">
        <v>4732.8999999999996</v>
      </c>
      <c r="D27" s="566">
        <v>3421.72</v>
      </c>
      <c r="E27" s="566">
        <f>3478.64+72+758.56</f>
        <v>4309.2</v>
      </c>
      <c r="F27" s="563">
        <v>4192.32</v>
      </c>
      <c r="G27" s="563">
        <v>4204.16</v>
      </c>
      <c r="H27" s="563">
        <f t="shared" si="2"/>
        <v>11.840000000000146</v>
      </c>
    </row>
    <row r="28" spans="1:8" x14ac:dyDescent="0.2">
      <c r="A28" s="573">
        <v>42867</v>
      </c>
      <c r="B28" s="566">
        <v>2237.2399999999998</v>
      </c>
      <c r="C28" s="566">
        <v>4138.8999999999996</v>
      </c>
      <c r="D28" s="566">
        <v>3907.94</v>
      </c>
      <c r="E28" s="566">
        <f>4050.94+212.76</f>
        <v>4263.7</v>
      </c>
      <c r="F28" s="563">
        <v>4361.47</v>
      </c>
      <c r="G28" s="563">
        <v>4571.82</v>
      </c>
      <c r="H28" s="563">
        <f t="shared" si="2"/>
        <v>210.34999999999945</v>
      </c>
    </row>
    <row r="29" spans="1:8" x14ac:dyDescent="0.2">
      <c r="A29" s="573">
        <v>42874</v>
      </c>
      <c r="B29" s="566">
        <v>3446.22</v>
      </c>
      <c r="C29" s="566">
        <v>5447.82</v>
      </c>
      <c r="D29" s="566">
        <f>3359.74+70.28</f>
        <v>3430.02</v>
      </c>
      <c r="E29" s="566">
        <v>3958.56</v>
      </c>
      <c r="F29" s="563">
        <v>3957.78</v>
      </c>
      <c r="G29" s="563">
        <v>4089.18</v>
      </c>
      <c r="H29" s="563">
        <f t="shared" si="2"/>
        <v>131.39999999999964</v>
      </c>
    </row>
    <row r="30" spans="1:8" x14ac:dyDescent="0.2">
      <c r="A30" s="573">
        <v>42881</v>
      </c>
      <c r="B30" s="566">
        <v>3507.94</v>
      </c>
      <c r="C30" s="566">
        <v>4315.03</v>
      </c>
      <c r="D30" s="566">
        <v>3880.8</v>
      </c>
      <c r="E30" s="566">
        <v>4314.9799999999996</v>
      </c>
      <c r="F30" s="563">
        <v>3634.01</v>
      </c>
      <c r="G30" s="563">
        <v>3993.63</v>
      </c>
      <c r="H30" s="563">
        <f t="shared" si="2"/>
        <v>359.61999999999989</v>
      </c>
    </row>
    <row r="31" spans="1:8" x14ac:dyDescent="0.2">
      <c r="A31" s="573">
        <v>42888</v>
      </c>
      <c r="B31" s="566">
        <v>3609.72</v>
      </c>
      <c r="C31" s="566">
        <v>3053.8</v>
      </c>
      <c r="D31" s="566">
        <v>2686.82</v>
      </c>
      <c r="E31" s="566">
        <v>2987.04</v>
      </c>
      <c r="F31" s="563">
        <v>2684.24</v>
      </c>
      <c r="G31" s="563">
        <v>2384.3200000000002</v>
      </c>
      <c r="H31" s="563">
        <f t="shared" si="2"/>
        <v>-299.91999999999962</v>
      </c>
    </row>
    <row r="32" spans="1:8" x14ac:dyDescent="0.2">
      <c r="A32" s="573">
        <v>42895</v>
      </c>
      <c r="B32" s="566">
        <v>2033.76</v>
      </c>
      <c r="C32" s="566">
        <v>4194.8599999999997</v>
      </c>
      <c r="D32" s="566">
        <v>3006.14</v>
      </c>
      <c r="E32" s="566">
        <v>3675.8</v>
      </c>
      <c r="F32" s="563">
        <v>3674.42</v>
      </c>
      <c r="G32" s="563">
        <v>3297.66</v>
      </c>
      <c r="H32" s="563">
        <f t="shared" si="2"/>
        <v>-376.76000000000022</v>
      </c>
    </row>
    <row r="33" spans="1:8" x14ac:dyDescent="0.2">
      <c r="A33" s="573">
        <v>42902</v>
      </c>
      <c r="B33" s="566">
        <v>2786.98</v>
      </c>
      <c r="C33" s="566">
        <v>3980.08</v>
      </c>
      <c r="D33" s="566">
        <v>3579.53</v>
      </c>
      <c r="E33" s="566">
        <v>4147.8999999999996</v>
      </c>
      <c r="F33" s="563">
        <v>4182.5200000000004</v>
      </c>
      <c r="G33" s="563">
        <v>3252.16</v>
      </c>
      <c r="H33" s="563">
        <f t="shared" si="2"/>
        <v>-930.36000000000058</v>
      </c>
    </row>
    <row r="34" spans="1:8" x14ac:dyDescent="0.2">
      <c r="A34" s="573">
        <v>42909</v>
      </c>
      <c r="B34" s="569">
        <v>2436.9</v>
      </c>
      <c r="C34" s="566">
        <v>4001.26</v>
      </c>
      <c r="D34" s="566">
        <v>3401.21</v>
      </c>
      <c r="E34" s="566">
        <v>3774.82</v>
      </c>
      <c r="F34" s="563">
        <v>3596.56</v>
      </c>
      <c r="G34" s="563">
        <v>3139.68</v>
      </c>
      <c r="H34" s="563">
        <f t="shared" si="2"/>
        <v>-456.88000000000011</v>
      </c>
    </row>
    <row r="35" spans="1:8" ht="15" thickBot="1" x14ac:dyDescent="0.25">
      <c r="A35" s="573">
        <v>42916</v>
      </c>
      <c r="B35" s="569">
        <v>2410.56</v>
      </c>
      <c r="C35" s="566">
        <v>3928.74</v>
      </c>
      <c r="D35" s="569">
        <v>3288.01</v>
      </c>
      <c r="E35" s="569">
        <v>3466.07</v>
      </c>
      <c r="F35" s="570">
        <v>3867.92</v>
      </c>
      <c r="G35" s="570">
        <v>3368.72</v>
      </c>
      <c r="H35" s="563">
        <f t="shared" si="2"/>
        <v>-499.20000000000027</v>
      </c>
    </row>
    <row r="36" spans="1:8" ht="16.5" thickBot="1" x14ac:dyDescent="0.25">
      <c r="A36" s="571" t="s">
        <v>293</v>
      </c>
      <c r="B36" s="572">
        <f t="shared" ref="B36:H36" si="3">SUM(B23:B35)</f>
        <v>43335.9</v>
      </c>
      <c r="C36" s="572">
        <f t="shared" si="3"/>
        <v>55228.710000000006</v>
      </c>
      <c r="D36" s="572">
        <f t="shared" si="3"/>
        <v>46815.49</v>
      </c>
      <c r="E36" s="572">
        <f t="shared" si="3"/>
        <v>51747.520000000004</v>
      </c>
      <c r="F36" s="572">
        <f t="shared" si="3"/>
        <v>50486.159999999989</v>
      </c>
      <c r="G36" s="572">
        <f t="shared" si="3"/>
        <v>48819.970000000008</v>
      </c>
      <c r="H36" s="572">
        <f t="shared" si="3"/>
        <v>-1666.1900000000019</v>
      </c>
    </row>
    <row r="37" spans="1:8" x14ac:dyDescent="0.2">
      <c r="A37" s="573">
        <v>42923</v>
      </c>
      <c r="B37" s="563">
        <f>899.92+2410.56</f>
        <v>3310.48</v>
      </c>
      <c r="C37" s="563">
        <v>3059.59</v>
      </c>
      <c r="D37" s="563">
        <f>952.56+2445.69</f>
        <v>3398.25</v>
      </c>
      <c r="E37" s="563">
        <f>1313.52+1315.48</f>
        <v>2629</v>
      </c>
      <c r="F37" s="563">
        <v>3092.18</v>
      </c>
      <c r="G37" s="563">
        <v>2501.6799999999998</v>
      </c>
      <c r="H37" s="563">
        <f t="shared" si="2"/>
        <v>-590.5</v>
      </c>
    </row>
    <row r="38" spans="1:8" x14ac:dyDescent="0.2">
      <c r="A38" s="565">
        <v>42930</v>
      </c>
      <c r="B38" s="563">
        <v>2613.8200000000002</v>
      </c>
      <c r="C38" s="563">
        <v>4164.28</v>
      </c>
      <c r="D38" s="566">
        <v>3621.49</v>
      </c>
      <c r="E38" s="566">
        <v>3328.78</v>
      </c>
      <c r="F38" s="563">
        <v>4363</v>
      </c>
      <c r="G38" s="563">
        <v>3463.97</v>
      </c>
      <c r="H38" s="563">
        <f t="shared" si="2"/>
        <v>-899.0300000000002</v>
      </c>
    </row>
    <row r="39" spans="1:8" x14ac:dyDescent="0.2">
      <c r="A39" s="565">
        <v>42937</v>
      </c>
      <c r="B39" s="566">
        <v>2285.09</v>
      </c>
      <c r="C39" s="566">
        <v>3698.36</v>
      </c>
      <c r="D39" s="566">
        <v>3478.53</v>
      </c>
      <c r="E39" s="566">
        <v>4114.08</v>
      </c>
      <c r="F39" s="563">
        <v>3936.33</v>
      </c>
      <c r="G39" s="563">
        <v>3416.66</v>
      </c>
      <c r="H39" s="563">
        <f t="shared" si="2"/>
        <v>-519.67000000000007</v>
      </c>
    </row>
    <row r="40" spans="1:8" x14ac:dyDescent="0.2">
      <c r="A40" s="565">
        <v>42944</v>
      </c>
      <c r="B40" s="566">
        <v>1982.06</v>
      </c>
      <c r="C40" s="566">
        <v>3907.78</v>
      </c>
      <c r="D40" s="566">
        <v>3713.11</v>
      </c>
      <c r="E40" s="566">
        <v>4010.57</v>
      </c>
      <c r="F40" s="563">
        <v>3962.85</v>
      </c>
      <c r="G40" s="563">
        <v>3139.68</v>
      </c>
      <c r="H40" s="563">
        <f t="shared" si="2"/>
        <v>-823.17000000000007</v>
      </c>
    </row>
    <row r="41" spans="1:8" x14ac:dyDescent="0.2">
      <c r="A41" s="565">
        <v>42951</v>
      </c>
      <c r="B41" s="566">
        <v>2442</v>
      </c>
      <c r="C41" s="566">
        <v>3807.12</v>
      </c>
      <c r="D41" s="566">
        <v>3318.21</v>
      </c>
      <c r="E41" s="566">
        <v>3520.16</v>
      </c>
      <c r="F41" s="563">
        <v>3810.8</v>
      </c>
      <c r="G41" s="563">
        <v>3171.9</v>
      </c>
      <c r="H41" s="563">
        <f t="shared" si="2"/>
        <v>-638.90000000000009</v>
      </c>
    </row>
    <row r="42" spans="1:8" x14ac:dyDescent="0.2">
      <c r="A42" s="565">
        <v>42958</v>
      </c>
      <c r="B42" s="566">
        <v>2003.68</v>
      </c>
      <c r="C42" s="566">
        <v>3636.64</v>
      </c>
      <c r="D42" s="566">
        <v>2999.63</v>
      </c>
      <c r="E42" s="566">
        <v>3150.64</v>
      </c>
      <c r="F42" s="563">
        <v>3905.08</v>
      </c>
      <c r="G42" s="563">
        <v>3339.76</v>
      </c>
      <c r="H42" s="563">
        <f t="shared" si="2"/>
        <v>-565.31999999999971</v>
      </c>
    </row>
    <row r="43" spans="1:8" x14ac:dyDescent="0.2">
      <c r="A43" s="565">
        <v>42965</v>
      </c>
      <c r="B43" s="566">
        <v>1971.38</v>
      </c>
      <c r="C43" s="566">
        <v>3658.28</v>
      </c>
      <c r="D43" s="566">
        <v>4080.16</v>
      </c>
      <c r="E43" s="566">
        <v>3780.2</v>
      </c>
      <c r="F43" s="563">
        <v>3747.05</v>
      </c>
      <c r="G43" s="563">
        <v>3333.42</v>
      </c>
      <c r="H43" s="563">
        <f t="shared" si="2"/>
        <v>-413.63000000000011</v>
      </c>
    </row>
    <row r="44" spans="1:8" x14ac:dyDescent="0.2">
      <c r="A44" s="565">
        <v>42972</v>
      </c>
      <c r="B44" s="566">
        <v>2725.14</v>
      </c>
      <c r="C44" s="566">
        <v>4096.0200000000004</v>
      </c>
      <c r="D44" s="566">
        <v>4309.82</v>
      </c>
      <c r="E44" s="566">
        <v>3361.86</v>
      </c>
      <c r="F44" s="563">
        <v>3788.4</v>
      </c>
      <c r="G44" s="563">
        <v>3772.14</v>
      </c>
      <c r="H44" s="563">
        <f t="shared" si="2"/>
        <v>-16.260000000000218</v>
      </c>
    </row>
    <row r="45" spans="1:8" x14ac:dyDescent="0.2">
      <c r="A45" s="565">
        <v>42979</v>
      </c>
      <c r="B45" s="566">
        <v>2749.96</v>
      </c>
      <c r="C45" s="566">
        <v>3825.18</v>
      </c>
      <c r="D45" s="566">
        <v>3712.48</v>
      </c>
      <c r="E45" s="566">
        <v>3605.07</v>
      </c>
      <c r="F45" s="563">
        <v>3858.34</v>
      </c>
      <c r="G45" s="563">
        <v>3206</v>
      </c>
      <c r="H45" s="563">
        <f t="shared" si="2"/>
        <v>-652.34000000000015</v>
      </c>
    </row>
    <row r="46" spans="1:8" x14ac:dyDescent="0.2">
      <c r="A46" s="565">
        <v>42986</v>
      </c>
      <c r="B46" s="566">
        <v>2323.9</v>
      </c>
      <c r="C46" s="566">
        <v>2717.46</v>
      </c>
      <c r="D46" s="566">
        <v>3072.96</v>
      </c>
      <c r="E46" s="566">
        <f>753.86+2730.15</f>
        <v>3484.01</v>
      </c>
      <c r="F46" s="563">
        <v>3265.99</v>
      </c>
      <c r="G46" s="563">
        <v>2271.2199999999998</v>
      </c>
      <c r="H46" s="563">
        <f t="shared" si="2"/>
        <v>-994.77</v>
      </c>
    </row>
    <row r="47" spans="1:8" x14ac:dyDescent="0.2">
      <c r="A47" s="565">
        <v>42993</v>
      </c>
      <c r="B47" s="566">
        <v>2621.61</v>
      </c>
      <c r="C47" s="566">
        <v>3748.38</v>
      </c>
      <c r="D47" s="566">
        <v>3926.25</v>
      </c>
      <c r="E47" s="566">
        <v>3212.96</v>
      </c>
      <c r="F47" s="563">
        <v>3712.16</v>
      </c>
      <c r="G47" s="563">
        <v>2688.36</v>
      </c>
      <c r="H47" s="563">
        <f t="shared" si="2"/>
        <v>-1023.7999999999997</v>
      </c>
    </row>
    <row r="48" spans="1:8" x14ac:dyDescent="0.2">
      <c r="A48" s="565">
        <v>43000</v>
      </c>
      <c r="B48" s="566">
        <v>2394.14</v>
      </c>
      <c r="C48" s="566">
        <v>3766.8</v>
      </c>
      <c r="D48" s="566">
        <v>4164.1899999999996</v>
      </c>
      <c r="E48" s="566">
        <v>4004.92</v>
      </c>
      <c r="F48" s="563">
        <v>3509.17</v>
      </c>
      <c r="G48" s="563">
        <v>3180.04</v>
      </c>
      <c r="H48" s="563">
        <f t="shared" si="2"/>
        <v>-329.13000000000011</v>
      </c>
    </row>
    <row r="49" spans="1:8" ht="15" thickBot="1" x14ac:dyDescent="0.25">
      <c r="A49" s="565">
        <v>43007</v>
      </c>
      <c r="B49" s="569">
        <v>2669.64</v>
      </c>
      <c r="C49" s="569">
        <v>4136.58</v>
      </c>
      <c r="D49" s="569">
        <v>3566.31</v>
      </c>
      <c r="E49" s="569">
        <v>3837.41</v>
      </c>
      <c r="F49" s="570">
        <v>3803.3</v>
      </c>
      <c r="G49" s="570">
        <v>2437.88</v>
      </c>
      <c r="H49" s="563">
        <f t="shared" si="2"/>
        <v>-1365.42</v>
      </c>
    </row>
    <row r="50" spans="1:8" ht="16.5" thickBot="1" x14ac:dyDescent="0.25">
      <c r="A50" s="571" t="s">
        <v>294</v>
      </c>
      <c r="B50" s="572">
        <f>SUM(B37:B49)</f>
        <v>32092.899999999998</v>
      </c>
      <c r="C50" s="572">
        <f>SUM(C37:C49)</f>
        <v>48222.47</v>
      </c>
      <c r="D50" s="572">
        <f>SUM(D37:D49)</f>
        <v>47361.39</v>
      </c>
      <c r="E50" s="572">
        <f>SUM(E37:E49)</f>
        <v>46039.66</v>
      </c>
      <c r="F50" s="572">
        <f t="shared" ref="F50:H50" si="4">SUM(F37:F49)</f>
        <v>48754.649999999994</v>
      </c>
      <c r="G50" s="572">
        <f t="shared" si="4"/>
        <v>39922.71</v>
      </c>
      <c r="H50" s="572">
        <f t="shared" si="4"/>
        <v>-8831.9399999999987</v>
      </c>
    </row>
    <row r="51" spans="1:8" x14ac:dyDescent="0.2">
      <c r="A51" s="573">
        <v>43014</v>
      </c>
      <c r="B51" s="563">
        <v>3051.16</v>
      </c>
      <c r="C51" s="563">
        <v>4721</v>
      </c>
      <c r="D51" s="563">
        <f>1531.24+2227.04</f>
        <v>3758.2799999999997</v>
      </c>
      <c r="E51" s="563">
        <v>3921.83</v>
      </c>
      <c r="F51" s="563">
        <v>3911.96</v>
      </c>
      <c r="G51" s="563">
        <v>3047.82</v>
      </c>
      <c r="H51" s="563">
        <f t="shared" si="2"/>
        <v>-864.13999999999987</v>
      </c>
    </row>
    <row r="52" spans="1:8" x14ac:dyDescent="0.2">
      <c r="A52" s="565">
        <v>43021</v>
      </c>
      <c r="B52" s="566">
        <v>2579.96</v>
      </c>
      <c r="C52" s="566">
        <v>4035.24</v>
      </c>
      <c r="D52" s="566">
        <v>4232.92</v>
      </c>
      <c r="E52" s="566">
        <v>3403.46</v>
      </c>
      <c r="F52" s="563">
        <v>3093.5</v>
      </c>
      <c r="G52" s="563">
        <v>2010.94</v>
      </c>
      <c r="H52" s="563">
        <f t="shared" si="2"/>
        <v>-1082.56</v>
      </c>
    </row>
    <row r="53" spans="1:8" x14ac:dyDescent="0.2">
      <c r="A53" s="565">
        <v>43028</v>
      </c>
      <c r="B53" s="566">
        <v>3119.16</v>
      </c>
      <c r="C53" s="566">
        <v>2972.08</v>
      </c>
      <c r="D53" s="566">
        <v>3057.22</v>
      </c>
      <c r="E53" s="566">
        <v>3116.16</v>
      </c>
      <c r="F53" s="563">
        <v>4261.32</v>
      </c>
      <c r="G53" s="563">
        <v>3314.5</v>
      </c>
      <c r="H53" s="563">
        <f t="shared" si="2"/>
        <v>-946.81999999999971</v>
      </c>
    </row>
    <row r="54" spans="1:8" x14ac:dyDescent="0.2">
      <c r="A54" s="565">
        <v>43035</v>
      </c>
      <c r="B54" s="566">
        <v>2378.1999999999998</v>
      </c>
      <c r="C54" s="566">
        <v>3341.66</v>
      </c>
      <c r="D54" s="566">
        <v>3745.65</v>
      </c>
      <c r="E54" s="566">
        <v>3664.58</v>
      </c>
      <c r="F54" s="563">
        <v>3860.55</v>
      </c>
      <c r="G54" s="563">
        <v>2905</v>
      </c>
      <c r="H54" s="563">
        <f t="shared" si="2"/>
        <v>-955.55000000000018</v>
      </c>
    </row>
    <row r="55" spans="1:8" x14ac:dyDescent="0.2">
      <c r="A55" s="565">
        <v>43042</v>
      </c>
      <c r="B55" s="566">
        <v>2153.36</v>
      </c>
      <c r="C55" s="566">
        <v>3165.08</v>
      </c>
      <c r="D55" s="566">
        <f>3171.04+47.44+30.24</f>
        <v>3248.72</v>
      </c>
      <c r="E55" s="566">
        <v>3792.71</v>
      </c>
      <c r="F55" s="563">
        <v>3942.48</v>
      </c>
      <c r="G55" s="563">
        <v>3169.18</v>
      </c>
      <c r="H55" s="563">
        <f t="shared" si="2"/>
        <v>-773.30000000000018</v>
      </c>
    </row>
    <row r="56" spans="1:8" x14ac:dyDescent="0.2">
      <c r="A56" s="565">
        <v>43049</v>
      </c>
      <c r="B56" s="566">
        <v>1549.7</v>
      </c>
      <c r="C56" s="566">
        <v>3024.18</v>
      </c>
      <c r="D56" s="566">
        <v>3967.37</v>
      </c>
      <c r="E56" s="566">
        <v>3804.52</v>
      </c>
      <c r="F56" s="563">
        <v>3933.48</v>
      </c>
      <c r="G56" s="563">
        <v>2670.04</v>
      </c>
      <c r="H56" s="563">
        <f t="shared" si="2"/>
        <v>-1263.44</v>
      </c>
    </row>
    <row r="57" spans="1:8" x14ac:dyDescent="0.2">
      <c r="A57" s="565">
        <v>43056</v>
      </c>
      <c r="B57" s="566">
        <f>(5311.2-178.1)*0.5</f>
        <v>2566.5499999999997</v>
      </c>
      <c r="C57" s="566">
        <v>3500.86</v>
      </c>
      <c r="D57" s="566">
        <v>4007.55</v>
      </c>
      <c r="E57" s="566">
        <v>3693.64</v>
      </c>
      <c r="F57" s="563">
        <v>3860.4</v>
      </c>
      <c r="G57" s="563">
        <v>2400.7199999999998</v>
      </c>
      <c r="H57" s="563">
        <f t="shared" si="2"/>
        <v>-1459.6800000000003</v>
      </c>
    </row>
    <row r="58" spans="1:8" x14ac:dyDescent="0.2">
      <c r="A58" s="565">
        <v>43063</v>
      </c>
      <c r="B58" s="566">
        <f>(5311.2-178.1)*0.5</f>
        <v>2566.5499999999997</v>
      </c>
      <c r="C58" s="566">
        <v>4015.8</v>
      </c>
      <c r="D58" s="566">
        <v>4445.62</v>
      </c>
      <c r="E58" s="566">
        <v>3499.88</v>
      </c>
      <c r="F58" s="563">
        <v>1675.8</v>
      </c>
      <c r="G58" s="563">
        <v>1268.44</v>
      </c>
      <c r="H58" s="563">
        <f t="shared" si="2"/>
        <v>-407.3599999999999</v>
      </c>
    </row>
    <row r="59" spans="1:8" x14ac:dyDescent="0.2">
      <c r="A59" s="565">
        <v>43070</v>
      </c>
      <c r="B59" s="566">
        <v>3577.34</v>
      </c>
      <c r="C59" s="566">
        <v>2434.3200000000002</v>
      </c>
      <c r="D59" s="566">
        <v>1953.09</v>
      </c>
      <c r="E59" s="566">
        <v>2000.54</v>
      </c>
      <c r="F59" s="563">
        <v>3669.06</v>
      </c>
      <c r="G59" s="563">
        <v>2816.72</v>
      </c>
      <c r="H59" s="563">
        <f t="shared" si="2"/>
        <v>-852.34000000000015</v>
      </c>
    </row>
    <row r="60" spans="1:8" x14ac:dyDescent="0.2">
      <c r="A60" s="565">
        <v>43077</v>
      </c>
      <c r="B60" s="566">
        <v>3486.12</v>
      </c>
      <c r="C60" s="566">
        <v>3291.9</v>
      </c>
      <c r="D60" s="566">
        <v>3710.06</v>
      </c>
      <c r="E60" s="566">
        <f>2372.46+627.88</f>
        <v>3000.34</v>
      </c>
      <c r="F60" s="563">
        <v>3225.52</v>
      </c>
      <c r="G60" s="563">
        <v>2427</v>
      </c>
      <c r="H60" s="563">
        <f t="shared" si="2"/>
        <v>-798.52</v>
      </c>
    </row>
    <row r="61" spans="1:8" x14ac:dyDescent="0.2">
      <c r="A61" s="565">
        <v>43084</v>
      </c>
      <c r="B61" s="566">
        <v>3539.16</v>
      </c>
      <c r="C61" s="566">
        <v>4047.94</v>
      </c>
      <c r="D61" s="566">
        <v>3873.59</v>
      </c>
      <c r="E61" s="566">
        <v>4104.09</v>
      </c>
      <c r="F61" s="563">
        <v>2933.78</v>
      </c>
      <c r="G61" s="563">
        <v>2427</v>
      </c>
      <c r="H61" s="563">
        <f t="shared" si="2"/>
        <v>-506.7800000000002</v>
      </c>
    </row>
    <row r="62" spans="1:8" x14ac:dyDescent="0.2">
      <c r="A62" s="565">
        <v>43091</v>
      </c>
      <c r="B62" s="566">
        <v>1609.64</v>
      </c>
      <c r="C62" s="566">
        <v>3903.54</v>
      </c>
      <c r="D62" s="566">
        <v>3580.24</v>
      </c>
      <c r="E62" s="566">
        <v>3625.1</v>
      </c>
      <c r="F62" s="563">
        <v>3555.5</v>
      </c>
      <c r="G62" s="563">
        <v>2649.12</v>
      </c>
      <c r="H62" s="563">
        <f t="shared" si="2"/>
        <v>-906.38000000000011</v>
      </c>
    </row>
    <row r="63" spans="1:8" ht="15" thickBot="1" x14ac:dyDescent="0.25">
      <c r="A63" s="574">
        <v>43098</v>
      </c>
      <c r="B63" s="575">
        <v>5154.84</v>
      </c>
      <c r="C63" s="575">
        <v>2331.48</v>
      </c>
      <c r="D63" s="575">
        <v>2383.63</v>
      </c>
      <c r="E63" s="575">
        <v>2256.69</v>
      </c>
      <c r="F63" s="576">
        <v>2486.06</v>
      </c>
      <c r="G63" s="576">
        <v>2088.3000000000002</v>
      </c>
      <c r="H63" s="563">
        <f t="shared" si="2"/>
        <v>-397.75999999999976</v>
      </c>
    </row>
    <row r="64" spans="1:8" ht="16.5" thickBot="1" x14ac:dyDescent="0.25">
      <c r="A64" s="571" t="s">
        <v>295</v>
      </c>
      <c r="B64" s="572">
        <f>SUM(B51:B63)</f>
        <v>37331.74</v>
      </c>
      <c r="C64" s="572">
        <f>SUM(C51:C63)</f>
        <v>44785.08</v>
      </c>
      <c r="D64" s="572">
        <f>SUM(D51:D63)</f>
        <v>45963.939999999988</v>
      </c>
      <c r="E64" s="572">
        <f>SUM(E51:E63)</f>
        <v>43883.54</v>
      </c>
      <c r="F64" s="572">
        <f>SUM(F51:F63)</f>
        <v>44409.409999999996</v>
      </c>
      <c r="G64" s="572">
        <f t="shared" ref="G64" si="5">SUM(G51:G63)</f>
        <v>33194.78</v>
      </c>
      <c r="H64" s="572">
        <f>SUM(H51:H63)</f>
        <v>-11214.63</v>
      </c>
    </row>
    <row r="65" spans="1:8" ht="15.75" x14ac:dyDescent="0.25">
      <c r="A65" s="577" t="s">
        <v>296</v>
      </c>
      <c r="B65" s="578">
        <f t="shared" ref="B65:H65" si="6">SUM(B9:B63)-B22-B36-B50</f>
        <v>139328.74</v>
      </c>
      <c r="C65" s="578">
        <f t="shared" si="6"/>
        <v>199253.05999999985</v>
      </c>
      <c r="D65" s="578">
        <f t="shared" si="6"/>
        <v>184010.66000000003</v>
      </c>
      <c r="E65" s="578">
        <f t="shared" si="6"/>
        <v>185097.12000000014</v>
      </c>
      <c r="F65" s="578">
        <f t="shared" si="6"/>
        <v>194384.88000000003</v>
      </c>
      <c r="G65" s="578">
        <f t="shared" si="6"/>
        <v>157031.36999999994</v>
      </c>
      <c r="H65" s="578">
        <f t="shared" si="6"/>
        <v>-37353.509999999995</v>
      </c>
    </row>
    <row r="66" spans="1:8" x14ac:dyDescent="0.2">
      <c r="A66" s="56" t="s">
        <v>297</v>
      </c>
      <c r="B66" s="579">
        <f t="shared" ref="B66:G66" si="7">AVERAGE(B9:B21)</f>
        <v>2043.7076923076925</v>
      </c>
      <c r="C66" s="580">
        <f t="shared" si="7"/>
        <v>3924.3692307692318</v>
      </c>
      <c r="D66" s="580">
        <f t="shared" si="7"/>
        <v>3374.6030769230765</v>
      </c>
      <c r="E66" s="580">
        <f t="shared" si="7"/>
        <v>3340.4923076923073</v>
      </c>
      <c r="F66" s="580">
        <f t="shared" si="7"/>
        <v>3902.6661538461535</v>
      </c>
      <c r="G66" s="579">
        <f t="shared" si="7"/>
        <v>2699.5315384615378</v>
      </c>
      <c r="H66" s="581">
        <f>G66-F66</f>
        <v>-1203.1346153846157</v>
      </c>
    </row>
    <row r="67" spans="1:8" x14ac:dyDescent="0.2">
      <c r="A67" s="56" t="s">
        <v>298</v>
      </c>
      <c r="B67" s="582">
        <f t="shared" ref="B67:G67" si="8">AVERAGE(B23:B35)</f>
        <v>3333.5307692307692</v>
      </c>
      <c r="C67" s="583">
        <f t="shared" si="8"/>
        <v>4248.3623076923086</v>
      </c>
      <c r="D67" s="583">
        <f t="shared" si="8"/>
        <v>3601.1915384615381</v>
      </c>
      <c r="E67" s="583">
        <f t="shared" si="8"/>
        <v>3980.5784615384619</v>
      </c>
      <c r="F67" s="583">
        <f t="shared" si="8"/>
        <v>3883.5507692307683</v>
      </c>
      <c r="G67" s="582">
        <f t="shared" si="8"/>
        <v>3755.3823076923081</v>
      </c>
      <c r="H67" s="584">
        <f>G67-F67</f>
        <v>-128.16846153846018</v>
      </c>
    </row>
    <row r="68" spans="1:8" x14ac:dyDescent="0.2">
      <c r="A68" s="56" t="s">
        <v>299</v>
      </c>
      <c r="B68" s="582">
        <f t="shared" ref="B68:F68" si="9">AVERAGE(B37:B49)</f>
        <v>2468.6846153846154</v>
      </c>
      <c r="C68" s="583">
        <f t="shared" si="9"/>
        <v>3709.4207692307691</v>
      </c>
      <c r="D68" s="583">
        <f t="shared" si="9"/>
        <v>3643.1838461538459</v>
      </c>
      <c r="E68" s="583">
        <f t="shared" si="9"/>
        <v>3541.5123076923078</v>
      </c>
      <c r="F68" s="583">
        <f t="shared" si="9"/>
        <v>3750.3576923076917</v>
      </c>
      <c r="G68" s="583">
        <f>AVERAGE(G37:G49)</f>
        <v>3070.9776923076925</v>
      </c>
      <c r="H68" s="584">
        <f>G68-F68</f>
        <v>-679.3799999999992</v>
      </c>
    </row>
    <row r="69" spans="1:8" x14ac:dyDescent="0.2">
      <c r="A69" s="56" t="s">
        <v>300</v>
      </c>
      <c r="B69" s="585">
        <f t="shared" ref="B69:G69" si="10">AVERAGE(B51:B63)</f>
        <v>2871.6723076923076</v>
      </c>
      <c r="C69" s="586">
        <f t="shared" si="10"/>
        <v>3445.0061538461541</v>
      </c>
      <c r="D69" s="586">
        <f t="shared" si="10"/>
        <v>3535.6876923076916</v>
      </c>
      <c r="E69" s="587">
        <f t="shared" si="10"/>
        <v>3375.6569230769232</v>
      </c>
      <c r="F69" s="587">
        <f t="shared" si="10"/>
        <v>3416.1084615384611</v>
      </c>
      <c r="G69" s="587">
        <f t="shared" si="10"/>
        <v>2553.4446153846152</v>
      </c>
      <c r="H69" s="588">
        <f>G69-F69</f>
        <v>-862.66384615384595</v>
      </c>
    </row>
    <row r="71" spans="1:8" x14ac:dyDescent="0.2">
      <c r="H71" s="555"/>
    </row>
    <row r="74" spans="1:8" x14ac:dyDescent="0.2">
      <c r="C74" s="556"/>
    </row>
    <row r="75" spans="1:8" x14ac:dyDescent="0.2">
      <c r="C75" s="556"/>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49</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100</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101</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173</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150</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179</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102</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139</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159</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103</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110</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237</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238</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145</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164</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109</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105</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106</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107</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111</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112</v>
      </c>
      <c r="D28" s="79"/>
      <c r="E28" s="79"/>
      <c r="F28" s="79"/>
      <c r="G28" s="232">
        <f>ROUND((898643.55+40000)*1.02,-2)</f>
        <v>957400</v>
      </c>
      <c r="H28" s="369"/>
    </row>
    <row r="29" spans="1:143" s="68" customFormat="1" ht="20.25" x14ac:dyDescent="0.2">
      <c r="A29" s="67"/>
      <c r="B29" s="395"/>
      <c r="C29" s="79" t="s">
        <v>113</v>
      </c>
      <c r="D29" s="79"/>
      <c r="E29" s="79"/>
      <c r="F29" s="79"/>
      <c r="G29" s="232">
        <f>ROUNDUP(G28*0.195,-2)</f>
        <v>186700</v>
      </c>
      <c r="H29" s="369"/>
    </row>
    <row r="30" spans="1:143" s="68" customFormat="1" ht="20.25" x14ac:dyDescent="0.2">
      <c r="A30" s="67"/>
      <c r="B30" s="395"/>
      <c r="C30" s="79" t="s">
        <v>114</v>
      </c>
      <c r="D30" s="79"/>
      <c r="E30" s="79"/>
      <c r="F30" s="79"/>
      <c r="G30" s="232">
        <f>48831-G22</f>
        <v>2256</v>
      </c>
      <c r="H30" s="369"/>
    </row>
    <row r="31" spans="1:143" s="68" customFormat="1" ht="20.25" x14ac:dyDescent="0.2">
      <c r="A31" s="67"/>
      <c r="B31" s="395"/>
      <c r="C31" s="79" t="s">
        <v>104</v>
      </c>
      <c r="D31" s="79"/>
      <c r="E31" s="79"/>
      <c r="F31" s="79"/>
      <c r="G31" s="232">
        <f>G22</f>
        <v>46575</v>
      </c>
      <c r="H31" s="369"/>
    </row>
    <row r="32" spans="1:143" s="68" customFormat="1" ht="20.25" x14ac:dyDescent="0.2">
      <c r="A32" s="67"/>
      <c r="B32" s="395"/>
      <c r="C32" s="79" t="s">
        <v>115</v>
      </c>
      <c r="D32" s="79"/>
      <c r="E32" s="79"/>
      <c r="F32" s="79"/>
      <c r="G32" s="232">
        <v>14000</v>
      </c>
      <c r="H32" s="369"/>
    </row>
    <row r="33" spans="1:8" s="68" customFormat="1" ht="20.25" x14ac:dyDescent="0.2">
      <c r="A33" s="67"/>
      <c r="B33" s="395"/>
      <c r="C33" s="79" t="s">
        <v>116</v>
      </c>
      <c r="D33" s="79"/>
      <c r="E33" s="79"/>
      <c r="F33" s="79"/>
      <c r="G33" s="232">
        <v>3500</v>
      </c>
      <c r="H33" s="369"/>
    </row>
    <row r="34" spans="1:8" s="68" customFormat="1" ht="20.25" x14ac:dyDescent="0.2">
      <c r="A34" s="67"/>
      <c r="B34" s="395"/>
      <c r="C34" s="79" t="s">
        <v>117</v>
      </c>
      <c r="D34" s="79"/>
      <c r="E34" s="79"/>
      <c r="F34" s="79"/>
      <c r="G34" s="232">
        <v>7000</v>
      </c>
      <c r="H34" s="369"/>
    </row>
    <row r="35" spans="1:8" s="68" customFormat="1" ht="20.25" x14ac:dyDescent="0.2">
      <c r="A35" s="67"/>
      <c r="B35" s="395"/>
      <c r="C35" s="79" t="s">
        <v>118</v>
      </c>
      <c r="D35" s="79"/>
      <c r="E35" s="79"/>
      <c r="F35" s="79"/>
      <c r="G35" s="232">
        <v>13500</v>
      </c>
      <c r="H35" s="369"/>
    </row>
    <row r="36" spans="1:8" s="68" customFormat="1" ht="20.25" x14ac:dyDescent="0.2">
      <c r="A36" s="67"/>
      <c r="B36" s="395"/>
      <c r="C36" s="79" t="s">
        <v>119</v>
      </c>
      <c r="D36" s="79"/>
      <c r="E36" s="79"/>
      <c r="F36" s="79"/>
      <c r="G36" s="232">
        <v>40000</v>
      </c>
      <c r="H36" s="369"/>
    </row>
    <row r="37" spans="1:8" s="68" customFormat="1" ht="20.25" x14ac:dyDescent="0.2">
      <c r="A37" s="67"/>
      <c r="B37" s="395"/>
      <c r="C37" s="79" t="s">
        <v>120</v>
      </c>
      <c r="D37" s="79"/>
      <c r="E37" s="79"/>
      <c r="F37" s="79"/>
      <c r="G37" s="232">
        <v>6600</v>
      </c>
      <c r="H37" s="369"/>
    </row>
    <row r="38" spans="1:8" s="68" customFormat="1" ht="20.25" x14ac:dyDescent="0.2">
      <c r="A38" s="67"/>
      <c r="B38" s="395"/>
      <c r="C38" s="79" t="s">
        <v>121</v>
      </c>
      <c r="D38" s="79"/>
      <c r="E38" s="79"/>
      <c r="F38" s="79"/>
      <c r="G38" s="232">
        <v>1500</v>
      </c>
      <c r="H38" s="369"/>
    </row>
    <row r="39" spans="1:8" s="68" customFormat="1" ht="20.25" x14ac:dyDescent="0.2">
      <c r="A39" s="67"/>
      <c r="B39" s="395"/>
      <c r="C39" s="79" t="s">
        <v>166</v>
      </c>
      <c r="D39" s="79"/>
      <c r="E39" s="79"/>
      <c r="F39" s="79"/>
      <c r="G39" s="232">
        <v>13700</v>
      </c>
      <c r="H39" s="369"/>
    </row>
    <row r="40" spans="1:8" s="76" customFormat="1" ht="20.25" x14ac:dyDescent="0.2">
      <c r="A40" s="79"/>
      <c r="B40" s="391"/>
      <c r="C40" s="79" t="s">
        <v>122</v>
      </c>
      <c r="D40" s="79"/>
      <c r="E40" s="79"/>
      <c r="F40" s="79"/>
      <c r="G40" s="322">
        <f>ROUNDUP(13248.87*1.05,-2)</f>
        <v>14000</v>
      </c>
      <c r="H40" s="368"/>
    </row>
    <row r="41" spans="1:8" s="76" customFormat="1" ht="20.25" x14ac:dyDescent="0.2">
      <c r="A41" s="79"/>
      <c r="B41" s="391"/>
      <c r="C41" s="79" t="s">
        <v>123</v>
      </c>
      <c r="D41" s="79"/>
      <c r="E41" s="79"/>
      <c r="F41" s="79"/>
      <c r="G41" s="232">
        <f>ROUNDUP(12343.85*1.03,-2)</f>
        <v>12800</v>
      </c>
      <c r="H41" s="368"/>
    </row>
    <row r="42" spans="1:8" s="76" customFormat="1" ht="20.25" x14ac:dyDescent="0.2">
      <c r="A42" s="79"/>
      <c r="B42" s="391"/>
      <c r="C42" s="79" t="s">
        <v>130</v>
      </c>
      <c r="D42" s="79"/>
      <c r="E42" s="79"/>
      <c r="F42" s="79"/>
      <c r="G42" s="232">
        <v>3000</v>
      </c>
      <c r="H42" s="368"/>
    </row>
    <row r="43" spans="1:8" s="76" customFormat="1" ht="20.25" x14ac:dyDescent="0.2">
      <c r="A43" s="79"/>
      <c r="B43" s="391"/>
      <c r="C43" s="79" t="s">
        <v>124</v>
      </c>
      <c r="D43" s="79"/>
      <c r="E43" s="79"/>
      <c r="F43" s="79"/>
      <c r="G43" s="322">
        <f>ROUNDUP((3067.88+8008.83)*1.05,-2)</f>
        <v>11700</v>
      </c>
      <c r="H43" s="368"/>
    </row>
    <row r="44" spans="1:8" s="68" customFormat="1" ht="20.25" x14ac:dyDescent="0.2">
      <c r="A44" s="67"/>
      <c r="B44" s="395"/>
      <c r="C44" s="79" t="s">
        <v>199</v>
      </c>
      <c r="D44" s="79"/>
      <c r="E44" s="79"/>
      <c r="F44" s="79"/>
      <c r="G44" s="232">
        <v>17000</v>
      </c>
      <c r="H44" s="369"/>
    </row>
    <row r="45" spans="1:8" s="76" customFormat="1" ht="20.25" x14ac:dyDescent="0.2">
      <c r="A45" s="79"/>
      <c r="B45" s="391"/>
      <c r="C45" s="79" t="s">
        <v>125</v>
      </c>
      <c r="D45" s="79"/>
      <c r="E45" s="79"/>
      <c r="F45" s="79"/>
      <c r="G45" s="322">
        <v>41000</v>
      </c>
      <c r="H45" s="368"/>
    </row>
    <row r="46" spans="1:8" s="76" customFormat="1" ht="20.25" x14ac:dyDescent="0.2">
      <c r="A46" s="79"/>
      <c r="B46" s="391"/>
      <c r="C46" s="79" t="s">
        <v>126</v>
      </c>
      <c r="D46" s="79"/>
      <c r="E46" s="79"/>
      <c r="F46" s="79"/>
      <c r="G46" s="322">
        <f>ROUNDUP((1800+4675.64+34905.29+1033.01-10000-2673-17150-1033+14000)*1.01,-2)</f>
        <v>25900</v>
      </c>
      <c r="H46" s="368"/>
    </row>
    <row r="47" spans="1:8" s="76" customFormat="1" ht="20.25" x14ac:dyDescent="0.2">
      <c r="A47" s="79"/>
      <c r="B47" s="391"/>
      <c r="C47" s="79" t="s">
        <v>167</v>
      </c>
      <c r="D47" s="79"/>
      <c r="E47" s="79"/>
      <c r="F47" s="79"/>
      <c r="G47" s="232">
        <v>36000</v>
      </c>
      <c r="H47" s="368"/>
    </row>
    <row r="48" spans="1:8" s="76" customFormat="1" ht="20.25" x14ac:dyDescent="0.2">
      <c r="A48" s="79"/>
      <c r="B48" s="391"/>
      <c r="C48" s="79" t="s">
        <v>165</v>
      </c>
      <c r="D48" s="79"/>
      <c r="E48" s="79"/>
      <c r="F48" s="79"/>
      <c r="G48" s="232">
        <f>ROUNDUP(46266.27*1.02,-2)</f>
        <v>47200</v>
      </c>
      <c r="H48" s="368"/>
    </row>
    <row r="49" spans="1:8" s="76" customFormat="1" ht="20.25" x14ac:dyDescent="0.2">
      <c r="A49" s="79"/>
      <c r="B49" s="391"/>
      <c r="C49" s="79" t="s">
        <v>127</v>
      </c>
      <c r="D49" s="79"/>
      <c r="E49" s="79"/>
      <c r="F49" s="79"/>
      <c r="G49" s="232">
        <f>ROUND((2604.31+166143.24-12000)*1.01,-2)</f>
        <v>158300</v>
      </c>
      <c r="H49" s="368"/>
    </row>
    <row r="50" spans="1:8" s="76" customFormat="1" ht="20.25" hidden="1" x14ac:dyDescent="0.2">
      <c r="A50" s="79"/>
      <c r="B50" s="391"/>
      <c r="C50" s="79" t="s">
        <v>259</v>
      </c>
      <c r="D50" s="79"/>
      <c r="E50" s="79"/>
      <c r="F50" s="79"/>
      <c r="G50" s="232"/>
      <c r="H50" s="368"/>
    </row>
    <row r="51" spans="1:8" s="68" customFormat="1" ht="20.25" x14ac:dyDescent="0.2">
      <c r="A51" s="67"/>
      <c r="B51" s="395"/>
      <c r="C51" s="67"/>
      <c r="D51" s="73" t="s">
        <v>128</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129</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6" t="s">
        <v>49</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55" t="s">
        <v>183</v>
      </c>
      <c r="C6" s="955"/>
      <c r="D6" s="955"/>
      <c r="E6" s="955"/>
      <c r="F6" s="955"/>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56" t="s">
        <v>160</v>
      </c>
      <c r="D10" s="956"/>
      <c r="E10" s="956"/>
      <c r="F10" s="956"/>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186</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149</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189</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88</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190</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95</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71</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85</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June'22 Revenues &amp; Expenses</vt:lpstr>
      <vt:lpstr>June'22 AR Aging </vt:lpstr>
      <vt:lpstr>June'22 Financial Position</vt:lpstr>
      <vt:lpstr>June'22 State of Activities</vt:lpstr>
      <vt:lpstr>June'22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'June''22 AR Aging '!Print_Area</vt:lpstr>
      <vt:lpstr>'June''22 Financial Position'!Print_Area</vt:lpstr>
      <vt:lpstr>'June''22 Revenues &amp; Expenses'!Print_Area</vt:lpstr>
      <vt:lpstr>'June''22 State of Activities'!Print_Area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cp:lastModifiedBy>
  <cp:lastPrinted>2021-05-21T15:32:53Z</cp:lastPrinted>
  <dcterms:created xsi:type="dcterms:W3CDTF">2011-11-03T17:20:29Z</dcterms:created>
  <dcterms:modified xsi:type="dcterms:W3CDTF">2022-07-26T20:12:37Z</dcterms:modified>
</cp:coreProperties>
</file>