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Kelly\Desktop\"/>
    </mc:Choice>
  </mc:AlternateContent>
  <bookViews>
    <workbookView xWindow="90" yWindow="32820" windowWidth="14955" windowHeight="9060" tabRatio="787" activeTab="2"/>
  </bookViews>
  <sheets>
    <sheet name="Notes" sheetId="15" r:id="rId1"/>
    <sheet name="Data" sheetId="19" state="hidden" r:id="rId2"/>
    <sheet name="December'17 Revenues &amp; Expenses" sheetId="3" r:id="rId3"/>
    <sheet name="December'17 AR Aging " sheetId="6" r:id="rId4"/>
    <sheet name="December'17 Financial Position" sheetId="5" r:id="rId5"/>
    <sheet name="December'17 State of Activities" sheetId="12" r:id="rId6"/>
    <sheet name="December'17 Transportation" sheetId="18" r:id="rId7"/>
    <sheet name="2017 Medicaid Revenue" sheetId="21" r:id="rId8"/>
    <sheet name="Budget" sheetId="20" state="hidden" r:id="rId9"/>
    <sheet name="YE Historic Data" sheetId="17" state="hidden" r:id="rId10"/>
  </sheets>
  <definedNames>
    <definedName name="_xlnm.Print_Area" localSheetId="7">'2017 Medicaid Revenue'!$A$1:$H$69</definedName>
    <definedName name="_xlnm.Print_Area" localSheetId="8">Budget!$A$1:$G$54</definedName>
    <definedName name="_xlnm.Print_Area" localSheetId="3">'December''17 AR Aging '!$A$1:$G$98</definedName>
    <definedName name="_xlnm.Print_Area" localSheetId="4">'December''17 Financial Position'!$A$1:$N$67</definedName>
    <definedName name="_xlnm.Print_Area" localSheetId="2">'December''17 Revenues &amp; Expenses'!$A$1:$L$65</definedName>
    <definedName name="_xlnm.Print_Area" localSheetId="5">'December''17 State of Activities'!$A$1:$S$71</definedName>
    <definedName name="_xlnm.Print_Area" localSheetId="6">'December''17 Transportation'!$A$1:$R$50</definedName>
    <definedName name="_xlnm.Print_Area" localSheetId="0">Notes!$A$4:$H$89</definedName>
    <definedName name="_xlnm.Print_Area" localSheetId="9">'YE Historic Data'!$A$1:$W$41</definedName>
    <definedName name="_xlnm.Print_Titles" localSheetId="0">Notes!$1:$3</definedName>
  </definedNames>
  <calcPr calcId="152511"/>
</workbook>
</file>

<file path=xl/calcChain.xml><?xml version="1.0" encoding="utf-8"?>
<calcChain xmlns="http://schemas.openxmlformats.org/spreadsheetml/2006/main">
  <c r="H44" i="5" l="1"/>
  <c r="G43" i="12"/>
  <c r="A3" i="21"/>
  <c r="C98" i="6"/>
  <c r="J31" i="18"/>
  <c r="G52" i="12"/>
  <c r="H42" i="5"/>
  <c r="C19" i="6"/>
  <c r="D19" i="6"/>
  <c r="E70" i="15" l="1"/>
  <c r="H36" i="15"/>
  <c r="E31" i="15"/>
  <c r="B568" i="19" l="1"/>
  <c r="B567" i="19"/>
  <c r="M51" i="12" l="1"/>
  <c r="M22" i="12"/>
  <c r="M17" i="12"/>
  <c r="M16" i="12"/>
  <c r="M15" i="12"/>
  <c r="M14" i="12"/>
  <c r="M10" i="12"/>
  <c r="M66" i="12"/>
  <c r="M65" i="12"/>
  <c r="M64" i="12"/>
  <c r="M63" i="12"/>
  <c r="M62" i="12"/>
  <c r="M53" i="12"/>
  <c r="M50" i="12"/>
  <c r="M49" i="12"/>
  <c r="M48" i="12"/>
  <c r="M47" i="12"/>
  <c r="M46" i="12"/>
  <c r="M45" i="12"/>
  <c r="M44" i="12"/>
  <c r="M42" i="12"/>
  <c r="M41" i="12"/>
  <c r="M40" i="12"/>
  <c r="M39" i="12"/>
  <c r="M38" i="12"/>
  <c r="M37" i="12"/>
  <c r="M36" i="12"/>
  <c r="M35" i="12"/>
  <c r="M34" i="12"/>
  <c r="M33" i="12"/>
  <c r="M32" i="12"/>
  <c r="M29" i="12"/>
  <c r="M28" i="12"/>
  <c r="M27" i="12"/>
  <c r="M26" i="12"/>
  <c r="M24" i="12"/>
  <c r="M23" i="12"/>
  <c r="M21" i="12"/>
  <c r="M20" i="12"/>
  <c r="M19" i="12"/>
  <c r="M18" i="12"/>
  <c r="M12" i="12"/>
  <c r="M11" i="12"/>
  <c r="M9" i="12"/>
  <c r="R9" i="18"/>
  <c r="R25" i="18"/>
  <c r="J10" i="18"/>
  <c r="Q10" i="18" s="1"/>
  <c r="Q49" i="18"/>
  <c r="Q48" i="18"/>
  <c r="Q44" i="18"/>
  <c r="Q43" i="18"/>
  <c r="Q42" i="18"/>
  <c r="Q41" i="18"/>
  <c r="Q40" i="18"/>
  <c r="Q39" i="18"/>
  <c r="Q38" i="18"/>
  <c r="Q37" i="18"/>
  <c r="Q36" i="18"/>
  <c r="Q35" i="18"/>
  <c r="Q34" i="18"/>
  <c r="Q33" i="18"/>
  <c r="Q32" i="18"/>
  <c r="Q31" i="18"/>
  <c r="Q30" i="18"/>
  <c r="Q29" i="18"/>
  <c r="Q28" i="18"/>
  <c r="Q27" i="18"/>
  <c r="Q26" i="18"/>
  <c r="Q25" i="18"/>
  <c r="Q20" i="18"/>
  <c r="Q19" i="18"/>
  <c r="Q17" i="18"/>
  <c r="Q16" i="18"/>
  <c r="Q15" i="18"/>
  <c r="Q14" i="18"/>
  <c r="Q13" i="18"/>
  <c r="Q12" i="18"/>
  <c r="Q9" i="18"/>
  <c r="J44" i="18"/>
  <c r="J39" i="18"/>
  <c r="J27" i="18"/>
  <c r="J26" i="18"/>
  <c r="J41" i="18"/>
  <c r="J40" i="18"/>
  <c r="J38" i="18"/>
  <c r="L43" i="12"/>
  <c r="M43" i="12" s="1"/>
  <c r="J36" i="18"/>
  <c r="J34" i="18"/>
  <c r="J29" i="18"/>
  <c r="J12" i="18"/>
  <c r="J15" i="18"/>
  <c r="J19" i="18"/>
  <c r="J13" i="18"/>
  <c r="G64" i="12"/>
  <c r="L64" i="12" s="1"/>
  <c r="G46" i="12"/>
  <c r="G53" i="12"/>
  <c r="G50" i="12"/>
  <c r="L50" i="12" s="1"/>
  <c r="G47" i="12"/>
  <c r="G40" i="12"/>
  <c r="L40" i="12" s="1"/>
  <c r="G34" i="12"/>
  <c r="G24" i="12"/>
  <c r="L63" i="12"/>
  <c r="L62" i="12"/>
  <c r="L53" i="12"/>
  <c r="L52" i="12"/>
  <c r="M52" i="12" s="1"/>
  <c r="L51" i="12"/>
  <c r="L49" i="12"/>
  <c r="L48" i="12"/>
  <c r="L47" i="12"/>
  <c r="L46" i="12"/>
  <c r="L45" i="12"/>
  <c r="L44" i="12"/>
  <c r="L42" i="12"/>
  <c r="L41" i="12"/>
  <c r="L39" i="12"/>
  <c r="L38" i="12"/>
  <c r="L37" i="12"/>
  <c r="L36" i="12"/>
  <c r="L33" i="12"/>
  <c r="L32" i="12"/>
  <c r="L28" i="12"/>
  <c r="L26" i="12"/>
  <c r="L25" i="12"/>
  <c r="L24" i="12"/>
  <c r="L23" i="12"/>
  <c r="L22" i="12"/>
  <c r="L21" i="12"/>
  <c r="L20" i="12"/>
  <c r="L19" i="12"/>
  <c r="L18" i="12"/>
  <c r="L17" i="12"/>
  <c r="L16" i="12"/>
  <c r="L15" i="12"/>
  <c r="L14" i="12"/>
  <c r="L13" i="12"/>
  <c r="L12" i="12"/>
  <c r="L11" i="12"/>
  <c r="L10" i="12"/>
  <c r="L9" i="12"/>
  <c r="H50" i="5"/>
  <c r="H22" i="5"/>
  <c r="I29" i="3"/>
  <c r="J25" i="3" l="1"/>
  <c r="F26" i="3"/>
  <c r="I20" i="3"/>
  <c r="I13" i="3"/>
  <c r="J23" i="3"/>
  <c r="K55" i="3"/>
  <c r="L55" i="3" s="1"/>
  <c r="F55" i="3"/>
  <c r="I36" i="3"/>
  <c r="K36" i="3" s="1"/>
  <c r="J27" i="3"/>
  <c r="F14" i="3" l="1"/>
  <c r="J7" i="3"/>
  <c r="F8" i="3"/>
  <c r="G69" i="2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C58" i="6"/>
  <c r="C53" i="6"/>
  <c r="C52" i="6"/>
  <c r="E46" i="6"/>
  <c r="E49" i="6" s="1"/>
  <c r="G45" i="6"/>
  <c r="E32" i="6"/>
  <c r="C17" i="6"/>
  <c r="E14" i="6"/>
  <c r="G75" i="15" l="1"/>
  <c r="E61" i="15"/>
  <c r="M26" i="18" l="1"/>
  <c r="M10" i="18"/>
  <c r="M41" i="18"/>
  <c r="M40" i="18"/>
  <c r="M39" i="18"/>
  <c r="M38" i="18"/>
  <c r="M34" i="18"/>
  <c r="M13" i="18"/>
  <c r="M12" i="18"/>
  <c r="J64" i="12"/>
  <c r="J40" i="12"/>
  <c r="J53" i="12"/>
  <c r="J50" i="12"/>
  <c r="J47" i="12"/>
  <c r="J46" i="12"/>
  <c r="J24" i="12"/>
  <c r="J17" i="12"/>
  <c r="L34" i="12"/>
  <c r="L50" i="5"/>
  <c r="L42" i="5"/>
  <c r="L31" i="5"/>
  <c r="L22" i="5"/>
  <c r="J56" i="3"/>
  <c r="F24" i="3" l="1"/>
  <c r="J17" i="3"/>
  <c r="K30" i="3" l="1"/>
  <c r="D32" i="6"/>
  <c r="E34" i="15" l="1"/>
  <c r="E33" i="15"/>
  <c r="E32" i="15"/>
  <c r="E30" i="15"/>
  <c r="E29" i="15"/>
  <c r="J16" i="18" l="1"/>
  <c r="K58" i="3" l="1"/>
  <c r="C79" i="6" l="1"/>
  <c r="E42" i="6"/>
  <c r="G55" i="15" l="1"/>
  <c r="G50" i="15"/>
  <c r="M37" i="18"/>
  <c r="J26" i="12"/>
  <c r="H59" i="5"/>
  <c r="G8" i="12"/>
  <c r="C36" i="15" l="1"/>
  <c r="F83" i="15"/>
  <c r="E62" i="15"/>
  <c r="E27" i="15"/>
  <c r="G34" i="15"/>
  <c r="G33" i="15"/>
  <c r="G32" i="15"/>
  <c r="G30" i="15"/>
  <c r="G29" i="15"/>
  <c r="D27" i="15" l="1"/>
  <c r="G31" i="15"/>
  <c r="B323" i="19" l="1"/>
  <c r="M27" i="18" l="1"/>
  <c r="M49" i="18"/>
  <c r="K18" i="18"/>
  <c r="K21" i="18" s="1"/>
  <c r="K46" i="18" s="1"/>
  <c r="M19" i="18"/>
  <c r="M14" i="18"/>
  <c r="M17" i="18"/>
  <c r="M35" i="18" s="1"/>
  <c r="J17" i="18"/>
  <c r="J35" i="18" s="1"/>
  <c r="B598" i="19" l="1"/>
  <c r="B599" i="19"/>
  <c r="M45" i="18"/>
  <c r="M9" i="18"/>
  <c r="M18" i="18" s="1"/>
  <c r="M21" i="18" s="1"/>
  <c r="J9" i="18"/>
  <c r="J8" i="18"/>
  <c r="A4" i="18"/>
  <c r="A3" i="18"/>
  <c r="J49" i="18"/>
  <c r="M46" i="18" l="1"/>
  <c r="M50" i="18" s="1"/>
  <c r="J45" i="18"/>
  <c r="Q45" i="18" s="1"/>
  <c r="J8" i="12" l="1"/>
  <c r="M8" i="18" s="1"/>
  <c r="R26" i="18"/>
  <c r="R39" i="18"/>
  <c r="R19" i="18"/>
  <c r="R44" i="18"/>
  <c r="R43" i="18"/>
  <c r="R42" i="18"/>
  <c r="R41" i="18"/>
  <c r="R40" i="18"/>
  <c r="R38" i="18"/>
  <c r="R37" i="18"/>
  <c r="R36" i="18"/>
  <c r="R35" i="18"/>
  <c r="R34" i="18"/>
  <c r="R33" i="18"/>
  <c r="R32" i="18"/>
  <c r="R31" i="18"/>
  <c r="R30" i="18"/>
  <c r="R29" i="18"/>
  <c r="R20" i="18"/>
  <c r="R15" i="18"/>
  <c r="R13" i="18"/>
  <c r="R12" i="18"/>
  <c r="R10" i="18"/>
  <c r="R27" i="18" l="1"/>
  <c r="R45" i="18" l="1"/>
  <c r="J63" i="12" l="1"/>
  <c r="J62" i="12"/>
  <c r="G35" i="12"/>
  <c r="G18" i="12"/>
  <c r="H64" i="12"/>
  <c r="H50" i="12"/>
  <c r="H40" i="12"/>
  <c r="H34" i="12"/>
  <c r="H11" i="12"/>
  <c r="H24" i="12"/>
  <c r="H53" i="12"/>
  <c r="H47" i="12"/>
  <c r="H46" i="12"/>
  <c r="H35" i="12"/>
  <c r="H21" i="12"/>
  <c r="H17" i="12"/>
  <c r="J61" i="5"/>
  <c r="J59" i="5" s="1"/>
  <c r="J19" i="5"/>
  <c r="G56" i="12" l="1"/>
  <c r="L35" i="12"/>
  <c r="J14" i="18"/>
  <c r="L59" i="5"/>
  <c r="H27" i="12"/>
  <c r="H29" i="12" s="1"/>
  <c r="J50" i="5"/>
  <c r="J46" i="5"/>
  <c r="J42" i="5"/>
  <c r="K59" i="3"/>
  <c r="K54" i="3"/>
  <c r="I41" i="3"/>
  <c r="K41" i="3" s="1"/>
  <c r="G73" i="15" s="1"/>
  <c r="G38" i="3"/>
  <c r="I42" i="3"/>
  <c r="J18" i="18" l="1"/>
  <c r="J21" i="18" s="1"/>
  <c r="Q21" i="18" s="1"/>
  <c r="J22" i="3"/>
  <c r="R21" i="18" l="1"/>
  <c r="J46" i="18"/>
  <c r="Q46" i="18" s="1"/>
  <c r="R14" i="18"/>
  <c r="Q18" i="18"/>
  <c r="R18" i="18" s="1"/>
  <c r="C74" i="6"/>
  <c r="G22" i="3"/>
  <c r="J50" i="18" l="1"/>
  <c r="Q50" i="18" s="1"/>
  <c r="R46" i="18"/>
  <c r="G14" i="20"/>
  <c r="G46" i="20"/>
  <c r="G49" i="20"/>
  <c r="G48" i="20"/>
  <c r="G43" i="20"/>
  <c r="G41" i="20"/>
  <c r="G40" i="20"/>
  <c r="G28" i="20"/>
  <c r="G29" i="20" s="1"/>
  <c r="G24" i="20"/>
  <c r="G19" i="20"/>
  <c r="G31" i="20"/>
  <c r="G30" i="20"/>
  <c r="F87" i="15"/>
  <c r="G23" i="20" l="1"/>
  <c r="G25" i="20" s="1"/>
  <c r="G51" i="20"/>
  <c r="G53" i="20" l="1"/>
  <c r="L54" i="12" l="1"/>
  <c r="J31" i="5"/>
  <c r="J22" i="5"/>
  <c r="L54" i="3"/>
  <c r="F54" i="3"/>
  <c r="H52" i="3"/>
  <c r="F82" i="15" l="1"/>
  <c r="G27" i="15"/>
  <c r="G36" i="15" s="1"/>
  <c r="A132" i="19"/>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K52" i="3" l="1"/>
  <c r="L52" i="3" s="1"/>
  <c r="A129" i="19"/>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N50" i="5" l="1"/>
  <c r="N42" i="5"/>
  <c r="N31" i="5"/>
  <c r="N22" i="5"/>
  <c r="F20" i="3"/>
  <c r="J20" i="3" l="1"/>
  <c r="G47" i="6"/>
  <c r="H23" i="3" s="1"/>
  <c r="G23" i="3" s="1"/>
  <c r="D49" i="6"/>
  <c r="F75" i="15" l="1"/>
  <c r="J10" i="3" l="1"/>
  <c r="D78" i="15" l="1"/>
  <c r="E78" i="15"/>
  <c r="G76" i="15"/>
  <c r="F76" i="15" s="1"/>
  <c r="G71" i="15"/>
  <c r="F69" i="15"/>
  <c r="I38" i="3"/>
  <c r="F86" i="15"/>
  <c r="G77" i="15" l="1"/>
  <c r="G56" i="6" l="1"/>
  <c r="C49" i="6"/>
  <c r="C42" i="6"/>
  <c r="D23" i="6"/>
  <c r="C23" i="6"/>
  <c r="G17" i="6"/>
  <c r="H11" i="3" s="1"/>
  <c r="I11" i="3" s="1"/>
  <c r="J11" i="3" s="1"/>
  <c r="G18" i="6" l="1"/>
  <c r="F85" i="15"/>
  <c r="F84" i="15"/>
  <c r="D89" i="15"/>
  <c r="G88" i="15"/>
  <c r="G87" i="15"/>
  <c r="G86" i="15"/>
  <c r="H56" i="12" l="1"/>
  <c r="N8" i="5"/>
  <c r="G83" i="15"/>
  <c r="F73" i="15"/>
  <c r="K39" i="3"/>
  <c r="E84" i="15" l="1"/>
  <c r="F89" i="15"/>
  <c r="G82" i="15"/>
  <c r="G84" i="15" l="1"/>
  <c r="N59" i="5"/>
  <c r="G60" i="6" l="1"/>
  <c r="I52" i="3" s="1"/>
  <c r="K38" i="3" l="1"/>
  <c r="G69" i="15" s="1"/>
  <c r="G13" i="6" l="1"/>
  <c r="H10" i="3" l="1"/>
  <c r="G10" i="3" s="1"/>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G21" i="6" l="1"/>
  <c r="H15" i="3" s="1"/>
  <c r="J15" i="3" l="1"/>
  <c r="G15" i="3"/>
  <c r="G65" i="12"/>
  <c r="L65" i="12" s="1"/>
  <c r="L54" i="5" l="1"/>
  <c r="L47" i="5"/>
  <c r="L30" i="5"/>
  <c r="L16" i="5"/>
  <c r="K63" i="3"/>
  <c r="G70" i="15"/>
  <c r="F70" i="15" l="1"/>
  <c r="F78" i="15" s="1"/>
  <c r="G78" i="15"/>
  <c r="G41" i="6"/>
  <c r="E15" i="15" l="1"/>
  <c r="J67" i="3"/>
  <c r="G46" i="6" l="1"/>
  <c r="H25" i="3" s="1"/>
  <c r="G25" i="3" s="1"/>
  <c r="G67" i="3" l="1"/>
  <c r="G26" i="3" l="1"/>
  <c r="N54" i="5"/>
  <c r="N47" i="5"/>
  <c r="N32" i="5"/>
  <c r="N23" i="5"/>
  <c r="N16" i="5"/>
  <c r="L56" i="5"/>
  <c r="L32" i="5"/>
  <c r="L23" i="5"/>
  <c r="L25" i="5" s="1"/>
  <c r="J54" i="5"/>
  <c r="H54" i="5"/>
  <c r="J32" i="5"/>
  <c r="H32" i="5"/>
  <c r="J16" i="5"/>
  <c r="H16" i="5"/>
  <c r="L67" i="5" l="1"/>
  <c r="N25" i="5"/>
  <c r="N35" i="5" s="1"/>
  <c r="N56" i="5"/>
  <c r="N67" i="5" s="1"/>
  <c r="L35" i="5"/>
  <c r="G27" i="12" l="1"/>
  <c r="L27" i="12" s="1"/>
  <c r="D173" i="6" l="1"/>
  <c r="D174" i="6"/>
  <c r="D175" i="6"/>
  <c r="J65" i="12" l="1"/>
  <c r="F173" i="6" l="1"/>
  <c r="G31" i="6" l="1"/>
  <c r="H19" i="3" s="1"/>
  <c r="G58" i="6"/>
  <c r="E17" i="15" s="1"/>
  <c r="G49" i="6"/>
  <c r="G48" i="6"/>
  <c r="H24" i="3" s="1"/>
  <c r="I24" i="3" s="1"/>
  <c r="J24" i="3" l="1"/>
  <c r="G24" i="3"/>
  <c r="I19" i="3"/>
  <c r="G19" i="3" s="1"/>
  <c r="H29" i="3"/>
  <c r="J29" i="3" l="1"/>
  <c r="F42" i="3"/>
  <c r="G29" i="3" l="1"/>
  <c r="N177" i="6"/>
  <c r="M177" i="6"/>
  <c r="L177" i="6"/>
  <c r="K177" i="6"/>
  <c r="J177" i="6"/>
  <c r="I177" i="6"/>
  <c r="H177" i="6"/>
  <c r="G177" i="6"/>
  <c r="C54" i="6" l="1"/>
  <c r="F27" i="6"/>
  <c r="F62" i="6" s="1"/>
  <c r="G30" i="6"/>
  <c r="C32" i="6"/>
  <c r="C176" i="6" l="1"/>
  <c r="D42" i="6" l="1"/>
  <c r="G52" i="6"/>
  <c r="G53" i="6"/>
  <c r="G54" i="6" l="1"/>
  <c r="H27" i="3" s="1"/>
  <c r="G27" i="3" s="1"/>
  <c r="G20" i="6" l="1"/>
  <c r="G19" i="6"/>
  <c r="H13" i="3" s="1"/>
  <c r="G40" i="6"/>
  <c r="J70" i="3" s="1"/>
  <c r="D14" i="6"/>
  <c r="D62" i="6" s="1"/>
  <c r="C14" i="6"/>
  <c r="G12" i="6"/>
  <c r="G6" i="6"/>
  <c r="G13" i="3" l="1"/>
  <c r="J13" i="3"/>
  <c r="J35" i="12"/>
  <c r="J34" i="12" s="1"/>
  <c r="J27" i="12"/>
  <c r="L29" i="12" l="1"/>
  <c r="J56" i="12"/>
  <c r="J29" i="12"/>
  <c r="J66" i="12"/>
  <c r="L56" i="12" l="1"/>
  <c r="M56" i="12" s="1"/>
  <c r="J58" i="12"/>
  <c r="L61" i="5" s="1"/>
  <c r="J68" i="12" l="1"/>
  <c r="N61" i="5"/>
  <c r="J19" i="3"/>
  <c r="I35" i="3" l="1"/>
  <c r="K35" i="3" s="1"/>
  <c r="K44" i="3" s="1"/>
  <c r="L44" i="3" s="1"/>
  <c r="I67" i="3" l="1"/>
  <c r="H65" i="12"/>
  <c r="H46" i="5"/>
  <c r="H47" i="5" s="1"/>
  <c r="H56" i="5" s="1"/>
  <c r="H66" i="12" l="1"/>
  <c r="G29" i="12"/>
  <c r="C8" i="6"/>
  <c r="C62" i="6" s="1"/>
  <c r="G58" i="12" l="1"/>
  <c r="H61" i="5" s="1"/>
  <c r="H58" i="12"/>
  <c r="H68" i="12" s="1"/>
  <c r="J42" i="3"/>
  <c r="J70" i="12" l="1"/>
  <c r="N62" i="5"/>
  <c r="N64" i="5" s="1"/>
  <c r="L62" i="5"/>
  <c r="L58" i="12"/>
  <c r="M58" i="12" s="1"/>
  <c r="G70" i="12" l="1"/>
  <c r="L64" i="5"/>
  <c r="J71" i="12"/>
  <c r="E62" i="6"/>
  <c r="C175" i="6" s="1"/>
  <c r="G7" i="6"/>
  <c r="G22" i="6"/>
  <c r="H17" i="3" s="1"/>
  <c r="G8" i="3" l="1"/>
  <c r="G17" i="3"/>
  <c r="G23" i="6"/>
  <c r="E14" i="15" s="1"/>
  <c r="C174" i="6"/>
  <c r="G8" i="6"/>
  <c r="H7" i="3" s="1"/>
  <c r="G7" i="3" s="1"/>
  <c r="G39" i="6"/>
  <c r="G32" i="6"/>
  <c r="E12" i="15" s="1"/>
  <c r="G11" i="6"/>
  <c r="H9" i="3" s="1"/>
  <c r="I9" i="3" s="1"/>
  <c r="I30" i="3" s="1"/>
  <c r="G9" i="3" l="1"/>
  <c r="J9" i="3"/>
  <c r="J30" i="3" s="1"/>
  <c r="H20" i="3"/>
  <c r="G20" i="3" s="1"/>
  <c r="E16" i="15"/>
  <c r="E11" i="15"/>
  <c r="H67" i="3"/>
  <c r="K67" i="3" s="1"/>
  <c r="C173" i="6"/>
  <c r="C177" i="6" s="1"/>
  <c r="D177" i="6"/>
  <c r="G14" i="6"/>
  <c r="E13" i="15" s="1"/>
  <c r="G27" i="6"/>
  <c r="G42" i="6"/>
  <c r="G30" i="3" l="1"/>
  <c r="H30" i="3"/>
  <c r="E18" i="15"/>
  <c r="G62" i="6"/>
  <c r="F177" i="6"/>
  <c r="H44" i="3"/>
  <c r="H19" i="5" l="1"/>
  <c r="E196" i="19"/>
  <c r="C76" i="6"/>
  <c r="J72" i="3"/>
  <c r="H67" i="5" l="1"/>
  <c r="H23" i="5"/>
  <c r="H25" i="5" s="1"/>
  <c r="H35" i="5" s="1"/>
  <c r="J23" i="5"/>
  <c r="J25" i="5" s="1"/>
  <c r="J35" i="5" s="1"/>
  <c r="M63" i="3"/>
  <c r="I63" i="3"/>
  <c r="J63" i="3"/>
  <c r="G63" i="3"/>
  <c r="F63" i="3"/>
  <c r="L60" i="3"/>
  <c r="L58" i="3"/>
  <c r="L57" i="3"/>
  <c r="F44" i="3"/>
  <c r="G44" i="3"/>
  <c r="J44" i="3"/>
  <c r="J71" i="3" l="1"/>
  <c r="J73" i="3" s="1"/>
  <c r="J47" i="5"/>
  <c r="J56" i="5" s="1"/>
  <c r="J67" i="5" s="1"/>
  <c r="I44" i="3"/>
  <c r="L59" i="3" l="1"/>
  <c r="L63" i="3" l="1"/>
  <c r="L65" i="3" s="1"/>
  <c r="H63" i="3"/>
  <c r="G66" i="12"/>
  <c r="E85" i="15"/>
  <c r="J62" i="5" l="1"/>
  <c r="J64" i="5" s="1"/>
  <c r="J70" i="5" s="1"/>
  <c r="H60" i="5"/>
  <c r="H62" i="5" s="1"/>
  <c r="H64" i="5" s="1"/>
  <c r="H70" i="5" s="1"/>
  <c r="G68" i="12"/>
  <c r="G71" i="12" s="1"/>
  <c r="L66" i="12"/>
  <c r="E89" i="15"/>
  <c r="G85" i="15"/>
  <c r="G89" i="15" s="1"/>
  <c r="L68" i="12" l="1"/>
  <c r="F36" i="15"/>
</calcChain>
</file>

<file path=xl/comments1.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<sst xmlns="http://schemas.openxmlformats.org/spreadsheetml/2006/main" count="649" uniqueCount="468">
  <si>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</si>
  <si>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</si>
  <si>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</si>
  <si>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</si>
  <si>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</si>
  <si>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</si>
  <si>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</si>
  <si>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</si>
  <si>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</si>
  <si>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</si>
  <si>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</si>
  <si>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</si>
  <si>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</si>
  <si>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</si>
  <si>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</si>
  <si>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</si>
  <si>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</si>
  <si>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</si>
  <si>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</si>
  <si>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</si>
  <si>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</si>
  <si>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</si>
  <si>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</si>
  <si>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</si>
  <si>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</si>
  <si>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</si>
  <si>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</si>
  <si>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</si>
  <si>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</si>
  <si>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</si>
  <si>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</si>
  <si>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</si>
  <si>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</si>
  <si>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</si>
  <si>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</si>
  <si>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</si>
  <si>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</si>
  <si>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</si>
  <si>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</si>
  <si>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</si>
  <si>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</si>
  <si>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</si>
  <si>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</si>
  <si>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</si>
  <si>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</si>
  <si>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</si>
  <si>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</si>
  <si>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</si>
  <si>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</si>
  <si>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</si>
  <si>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</si>
  <si>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</si>
  <si>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</si>
  <si>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</si>
  <si>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</si>
  <si>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</si>
  <si>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</si>
  <si>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</si>
  <si>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</si>
  <si>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</si>
  <si>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</si>
  <si>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</si>
  <si>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</si>
  <si>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</si>
  <si>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</si>
  <si>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</si>
  <si>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</si>
  <si>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</si>
  <si>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</si>
  <si>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</si>
  <si>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</si>
  <si>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</si>
  <si>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</si>
  <si>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</si>
  <si>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</si>
  <si>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</si>
  <si>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</si>
  <si>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</si>
  <si>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</si>
  <si>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</si>
  <si>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</si>
  <si>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</si>
  <si>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</si>
  <si>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</si>
  <si>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</si>
  <si>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</si>
  <si>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</si>
  <si>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</si>
  <si>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</si>
  <si>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</si>
  <si>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</si>
  <si>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</si>
  <si>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</si>
  <si>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</si>
  <si>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</si>
  <si>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</si>
  <si>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</si>
  <si>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</si>
  <si>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</si>
  <si>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</si>
  <si>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</si>
  <si>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</si>
  <si>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</si>
  <si>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</si>
  <si>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</si>
  <si>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</si>
  <si>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</si>
  <si>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</si>
  <si>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</si>
  <si>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</si>
  <si>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</si>
  <si>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</si>
  <si>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</si>
  <si>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</si>
  <si>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</si>
  <si>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</si>
  <si>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</si>
  <si>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</si>
  <si>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</si>
  <si>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</si>
  <si>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</si>
  <si>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</si>
  <si>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</si>
  <si>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</si>
  <si>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</si>
  <si>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</si>
  <si>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</si>
  <si>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</si>
  <si>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</si>
  <si>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</si>
  <si>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</si>
  <si>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</si>
  <si>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</si>
  <si>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</si>
  <si>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</si>
  <si>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</si>
  <si>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</si>
  <si>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</si>
  <si>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</si>
  <si>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</si>
  <si>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</si>
  <si>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</si>
  <si>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</si>
  <si>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</si>
  <si>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</si>
  <si>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</si>
  <si>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</si>
  <si>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</si>
  <si>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</si>
  <si>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</si>
  <si>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</si>
  <si>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</si>
  <si>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</si>
  <si>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</si>
  <si>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</si>
  <si>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</si>
  <si>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</si>
  <si>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</si>
  <si>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</si>
  <si>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</si>
  <si>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</si>
  <si>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</si>
  <si>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</si>
  <si>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</si>
  <si>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</si>
  <si>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</si>
  <si>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</si>
  <si>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</si>
  <si>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</si>
  <si>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</si>
  <si>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</si>
  <si>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</si>
  <si>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</si>
  <si>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</si>
  <si>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</si>
  <si>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</si>
  <si>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</si>
  <si>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</si>
  <si>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</si>
  <si>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</si>
  <si>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</si>
  <si>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</si>
  <si>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</si>
  <si>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</si>
  <si>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</si>
  <si>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</si>
  <si>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</si>
  <si>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</si>
  <si>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</si>
  <si>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</si>
  <si>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</si>
  <si>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CoCo Dept of Human Services</t>
  </si>
  <si>
    <t>Expenses from 01/2014 to 8/2014</t>
  </si>
  <si>
    <t>Finance &amp; Budget Committee Meeting</t>
  </si>
  <si>
    <t xml:space="preserve">   Fiscal Highlights</t>
  </si>
  <si>
    <t>Grants - Federal (HRI)</t>
  </si>
  <si>
    <t>Other Receipts of Interest:</t>
  </si>
  <si>
    <t>Prescription Access (21-Months)</t>
  </si>
  <si>
    <t>Prescription Access (24-Months)</t>
  </si>
  <si>
    <t>Columbia County Dept. of Human Services</t>
  </si>
  <si>
    <t>Total Columbia County Dept. Human Services</t>
  </si>
  <si>
    <t>Rural Health Network Program</t>
  </si>
  <si>
    <t xml:space="preserve">CSP - Patient Services Grant </t>
  </si>
  <si>
    <t>CSP - Patient Services Grant</t>
  </si>
  <si>
    <t>Ancram/Copake Prescription Access (2015)</t>
  </si>
  <si>
    <t>Operating - Bank of Greene Co.</t>
  </si>
  <si>
    <t>Payroll - Bank of Greene Co.</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</si>
  <si>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</si>
  <si>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</si>
  <si>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</si>
  <si>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</si>
  <si>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</si>
  <si>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</si>
  <si>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</si>
  <si>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</si>
  <si>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</si>
  <si>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</si>
  <si>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</si>
  <si>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</si>
  <si>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</si>
  <si>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</si>
  <si>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</si>
  <si>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</si>
  <si>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</si>
  <si>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</si>
  <si>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</si>
  <si>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</si>
  <si>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</si>
  <si>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</si>
  <si>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</si>
  <si>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</si>
  <si>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Columbia County (2nd Half of $49,000)</t>
  </si>
  <si>
    <t>Ancram/Copake Prescription Access (2016)</t>
  </si>
  <si>
    <t>Navigator Health Exchange Program</t>
  </si>
  <si>
    <t>Tobacco-Free Program</t>
  </si>
  <si>
    <t>Cancer Services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</si>
  <si>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</si>
  <si>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</si>
  <si>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</si>
  <si>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</si>
  <si>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</si>
  <si>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</si>
  <si>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</si>
  <si>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</si>
  <si>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</si>
  <si>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</si>
  <si>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Complementary Therapies</t>
  </si>
  <si>
    <t>Jan Koweek Fund</t>
  </si>
  <si>
    <t>Totals of Temporary Restricted Funds</t>
  </si>
  <si>
    <t>Total AP from Above</t>
  </si>
  <si>
    <t>NYSDOH 04/16 to 03/17 (Quarterly Voucher)</t>
  </si>
  <si>
    <t>NYSDOH Infrastructure Grant 04/16 to 03/17</t>
  </si>
  <si>
    <t>NYSDOH Clinical Services Grant 04/16 to 03/17</t>
  </si>
  <si>
    <t>Transportation Services (Quarterly Voucher)</t>
  </si>
  <si>
    <t>Grant Development Services (Quarterly Voucher)</t>
  </si>
  <si>
    <t>Health &amp; Recovery Plan (HCBS - HARP)</t>
  </si>
  <si>
    <t>Investment</t>
  </si>
  <si>
    <t>Dept. of Health</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</si>
  <si>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</si>
  <si>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</si>
  <si>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</si>
  <si>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</si>
  <si>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</si>
  <si>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</si>
  <si>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</si>
  <si>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</si>
  <si>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</si>
  <si>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</si>
  <si>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</si>
  <si>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</si>
  <si>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Maintanance &amp; Repairs</t>
  </si>
  <si>
    <t>Vehicle Lease with County - $550/mth</t>
  </si>
  <si>
    <t>Vehicle Licenses &amp; Permits</t>
  </si>
  <si>
    <t>Depreciation-Vehicles</t>
  </si>
  <si>
    <t>Audit</t>
  </si>
  <si>
    <t>Office &amp; Program Supplies</t>
  </si>
  <si>
    <t>General Insurance</t>
  </si>
  <si>
    <t>Other Expenses</t>
  </si>
  <si>
    <t>Add Back Deprecation</t>
  </si>
  <si>
    <t>Net Cash</t>
  </si>
  <si>
    <t>RountingBox Software</t>
  </si>
  <si>
    <t>Gain (Loss) on Sale of Vehicles</t>
  </si>
  <si>
    <t>Various Medical Providers</t>
  </si>
  <si>
    <t>Prescription Rx Access</t>
  </si>
  <si>
    <t>Transportation: Acram/Copake</t>
  </si>
  <si>
    <t>Children's Mental Health Project</t>
  </si>
  <si>
    <t>NYS Grant Advances</t>
  </si>
  <si>
    <t>Tobacco Free Program</t>
  </si>
  <si>
    <t>Total Advance Funding Payable</t>
  </si>
  <si>
    <t>Investment Income</t>
  </si>
  <si>
    <t>Foundation Revenue - FCH &amp; Dyson</t>
  </si>
  <si>
    <t>Purchases</t>
  </si>
  <si>
    <t>Income</t>
  </si>
  <si>
    <t>Unrealized Gains</t>
  </si>
  <si>
    <t>Ending Balance</t>
  </si>
  <si>
    <t>Cash</t>
  </si>
  <si>
    <t xml:space="preserve">FCISX </t>
  </si>
  <si>
    <t xml:space="preserve">FRUGX </t>
  </si>
  <si>
    <t xml:space="preserve">FRGSX </t>
  </si>
  <si>
    <t>FCSCX</t>
  </si>
  <si>
    <t xml:space="preserve">FSGCX </t>
  </si>
  <si>
    <t>TEGBX</t>
  </si>
  <si>
    <t>Beginning</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</si>
  <si>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</si>
  <si>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</si>
  <si>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</si>
  <si>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</si>
  <si>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</si>
  <si>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</si>
  <si>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</si>
  <si>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</si>
  <si>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</si>
  <si>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</si>
  <si>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</si>
  <si>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</si>
  <si>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NYSDOH 07/16 to 06/17</t>
  </si>
  <si>
    <t>Tobacco Free Communities Grant - COLA</t>
  </si>
  <si>
    <t>CSP-  Infrastructure Grant - COLA</t>
  </si>
  <si>
    <t>Totals</t>
  </si>
  <si>
    <t>NYSDOH 10/16 to 09/17</t>
  </si>
  <si>
    <t>NY Connects Year #11  10/16 to 9/17</t>
  </si>
  <si>
    <t>CSP - Infrastructure Grant - Yr# 4 of 5</t>
  </si>
  <si>
    <t>NY Connects Year #11</t>
  </si>
  <si>
    <t>In Person Assistors &amp; Navigators - Yr#4 of 5</t>
  </si>
  <si>
    <t>Senior Transportation Services - 2017</t>
  </si>
  <si>
    <t>Ten Months Ended October 31, 2016 and 2015</t>
  </si>
  <si>
    <t>Albany Medical Center</t>
  </si>
  <si>
    <t>Bank Fees</t>
  </si>
  <si>
    <t>Date</t>
  </si>
  <si>
    <t>Balance</t>
  </si>
  <si>
    <t>Transportation Services (2017)</t>
  </si>
  <si>
    <t>County Government - 2017</t>
  </si>
  <si>
    <t>County Departments - 2017</t>
  </si>
  <si>
    <t>Columbia County Departments 2017 Donations (CARTS)</t>
  </si>
  <si>
    <t>Columbia County BOS 2017 Budget Appropriation</t>
  </si>
  <si>
    <t>Organizational Budget</t>
  </si>
  <si>
    <t>Twelve Months Ended December 31, 2017</t>
  </si>
  <si>
    <t>Balance as of 01/01/2017</t>
  </si>
  <si>
    <t>Less: Purchase of Vehicles</t>
  </si>
  <si>
    <t>NYSDOH 04/17 to 03/18 (Quarterly Voucher)</t>
  </si>
  <si>
    <t>NYSDOH Infrastructure Grant 04/17 to 03/18</t>
  </si>
  <si>
    <t>NYSDOH Clinical Services Grant 04/17 to 03/18</t>
  </si>
  <si>
    <t>Columbia County - Office of the Aging</t>
  </si>
  <si>
    <t>Rural Health Network Program - Yr#5 of 5</t>
  </si>
  <si>
    <t>CSP - Infrastructure Grant - Yr# 5 of 5</t>
  </si>
  <si>
    <t xml:space="preserve">Diff </t>
  </si>
  <si>
    <t>Max</t>
  </si>
  <si>
    <t>Min</t>
  </si>
  <si>
    <t>Agency</t>
  </si>
  <si>
    <t>2017 Ford Taurus</t>
  </si>
  <si>
    <t>2010 Ford Van</t>
  </si>
  <si>
    <t>Columbia County</t>
  </si>
  <si>
    <t>2017 Dodge Caravan</t>
  </si>
  <si>
    <t>Central Dodge</t>
  </si>
  <si>
    <t>Henderson Ford</t>
  </si>
  <si>
    <t>Same trend as previous year</t>
  </si>
  <si>
    <r>
      <t xml:space="preserve">Greene County DSS </t>
    </r>
    <r>
      <rPr>
        <sz val="10"/>
        <color theme="1"/>
        <rFont val="Arial"/>
        <family val="2"/>
      </rPr>
      <t>(Community Service Workers )</t>
    </r>
  </si>
  <si>
    <t>DSRIP Funds</t>
  </si>
  <si>
    <r>
      <t>è</t>
    </r>
    <r>
      <rPr>
        <b/>
        <sz val="12"/>
        <color theme="1"/>
        <rFont val="Times New Roman"/>
        <family val="1"/>
      </rPr>
      <t xml:space="preserve"> Equipment, Furniture &amp; Vehicles</t>
    </r>
    <r>
      <rPr>
        <sz val="12"/>
        <color theme="1"/>
        <rFont val="Calibri"/>
        <family val="2"/>
      </rPr>
      <t xml:space="preserve"> -Agency purchased and sold the following capital equipment. </t>
    </r>
  </si>
  <si>
    <t xml:space="preserve">2010 Chevy Impala </t>
  </si>
  <si>
    <t>Sold in Month</t>
  </si>
  <si>
    <t>Revenue</t>
  </si>
  <si>
    <t>2010 Dodge Caravan</t>
  </si>
  <si>
    <t>Mileage</t>
  </si>
  <si>
    <t>158.3K</t>
  </si>
  <si>
    <t>144.9K</t>
  </si>
  <si>
    <t>Auctions International</t>
  </si>
  <si>
    <t>Sold thru</t>
  </si>
  <si>
    <t>Vehicle Fuel &amp; Repairs</t>
  </si>
  <si>
    <t>CSP Clinical Services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</si>
  <si>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2018.</t>
    </r>
  </si>
  <si>
    <t>NYSDOH 07/17 to 06/18</t>
  </si>
  <si>
    <t>HRI Clinical Services 07/17 to 06/18</t>
  </si>
  <si>
    <t>MIPPA                              01/17 to 9/17</t>
  </si>
  <si>
    <t>Pending on NYS Statewide Financial System Website</t>
  </si>
  <si>
    <t>Greene County-Dept of Social Services</t>
  </si>
  <si>
    <t>Donations for Columbia Cty Cancer Fund  (Ed Habeck, Jr.)</t>
  </si>
  <si>
    <t>Tobacco Free Communities Grant - Yr#4 of 5</t>
  </si>
  <si>
    <t>Tobacco Free Grant Advance</t>
  </si>
  <si>
    <t>CSP - Grant Advance</t>
  </si>
  <si>
    <t>Sale of Vehicle - 2010 Chevy Impala</t>
  </si>
  <si>
    <t>Sale of Vehicle - 2010 Dodge Grand Caravan</t>
  </si>
  <si>
    <t>Sale of '10 Impala &amp; '10 Dodge Grand Caravan</t>
  </si>
  <si>
    <t>Wages that are down: Driver's $10K, Tobacco Youth Corrdinator $7K</t>
  </si>
  <si>
    <t>$1,250 in 2016 for Sexual Harassment - Staff Training</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</si>
  <si>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</si>
  <si>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October</t>
  </si>
  <si>
    <t>NYSDOH 10/17 to 09/18</t>
  </si>
  <si>
    <t>In Person Assistors &amp; Navigators - Yr#5 of 5</t>
  </si>
  <si>
    <t>Ten Months Ended October 31, 2017 and 2016</t>
  </si>
  <si>
    <t>Unrealized Gain on Investments</t>
  </si>
  <si>
    <t>In 2016,  $6.6K Galvin - Community Health Workers</t>
  </si>
  <si>
    <t xml:space="preserve">Lower '17 SUI &amp; W/C Rates plus Health Ins </t>
  </si>
  <si>
    <t>Tobacco No Smoking Supplies down $8K</t>
  </si>
  <si>
    <t>in 2016, $15K to Mentor Foundation, $6.6 Galvin -Community Health Workers</t>
  </si>
  <si>
    <t xml:space="preserve">Transportation Services </t>
  </si>
  <si>
    <t>Grants Receivable Aging Summary as of December 31, 2017</t>
  </si>
  <si>
    <t>December</t>
  </si>
  <si>
    <t>November</t>
  </si>
  <si>
    <t>September &amp; Older</t>
  </si>
  <si>
    <t>Payments Received After December 31, 2017</t>
  </si>
  <si>
    <t>Grants Receivable at 12/31/2017</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</si>
  <si>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</si>
  <si>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</si>
  <si>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</si>
  <si>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</si>
  <si>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</si>
  <si>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</si>
  <si>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</si>
  <si>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</si>
  <si>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</si>
  <si>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</si>
  <si>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</si>
  <si>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</si>
  <si>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</si>
  <si>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</si>
  <si>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</si>
  <si>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</si>
  <si>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</si>
  <si>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</si>
  <si>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</si>
  <si>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</si>
  <si>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</si>
  <si>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</si>
  <si>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Tobacco - COLA  December 2017 Voucher</t>
  </si>
  <si>
    <t>CSP: Patient Services - November 2017 Voucher</t>
  </si>
  <si>
    <t>OFA: Senior Transportation - November 2017 Voucher</t>
  </si>
  <si>
    <t>OFA: NY Connects Year #11 Ext - October 2017 Voucher</t>
  </si>
  <si>
    <t>OFA: NY Connects E&amp;EP - October 2017 Voucher</t>
  </si>
  <si>
    <t>December 31st AR Balance at January 13, 2018</t>
  </si>
  <si>
    <t>Total AR Payments Received After December 31, 2017</t>
  </si>
  <si>
    <t>As of  December 31, 2017</t>
  </si>
  <si>
    <t>Senior Transportation Services - 2018</t>
  </si>
  <si>
    <t>NY Connects Year #11 - (6 Month Extension)</t>
  </si>
  <si>
    <t>CSP - Patient Services Grant - (6 Month Extension)</t>
  </si>
  <si>
    <t>CSP - Infrastructure Grant - (6 Month Extension)</t>
  </si>
  <si>
    <t>Rural Health Network Program-(6 Month Extension)</t>
  </si>
  <si>
    <t>Transportation Services (2018)</t>
  </si>
  <si>
    <t>County Government - 2018</t>
  </si>
  <si>
    <t>Columbia County BOS 2018 Budget Appropriation</t>
  </si>
  <si>
    <t>County Departments - 2018</t>
  </si>
  <si>
    <t>Columbia County Departments 2018 Donations (CARTS)</t>
  </si>
  <si>
    <t>Foundation of Community Health - 2018 CARTS</t>
  </si>
  <si>
    <t>QuickBooks AR at 12/31/2017</t>
  </si>
  <si>
    <t>4695-05</t>
  </si>
  <si>
    <t>Twelve Months Ended December 31 2017 &amp; 2016</t>
  </si>
  <si>
    <t>Full 12 Months of Infinex Investments</t>
  </si>
  <si>
    <r>
      <t>è</t>
    </r>
    <r>
      <rPr>
        <b/>
        <sz val="12"/>
        <color theme="1"/>
        <rFont val="Times New Roman"/>
        <family val="1"/>
      </rPr>
      <t xml:space="preserve"> Cash</t>
    </r>
    <r>
      <rPr>
        <sz val="12"/>
        <color theme="1"/>
        <rFont val="Calibri"/>
        <family val="2"/>
      </rPr>
      <t xml:space="preserve"> -  Cash balance in the operating checking account started the year off with $355K and ended with $283K at December 31, 2017. Low balance on June 26th was $199K &amp; the high balance on February 17th was $405K. Average daily balance for 2017 is $323K. </t>
    </r>
  </si>
  <si>
    <r>
      <t>è</t>
    </r>
    <r>
      <rPr>
        <b/>
        <sz val="12"/>
        <color theme="1"/>
        <rFont val="Times New Roman"/>
        <family val="1"/>
      </rPr>
      <t xml:space="preserve"> Investment - Infinex Financial-Securities</t>
    </r>
    <r>
      <rPr>
        <sz val="12"/>
        <color theme="1"/>
        <rFont val="Calibri"/>
        <family val="2"/>
      </rPr>
      <t xml:space="preserve"> - As of December 31, 2017, investment account value of six mutual funds is $164,938. Initial investment was $25K per mutual fund</t>
    </r>
  </si>
  <si>
    <r>
      <t>è</t>
    </r>
    <r>
      <rPr>
        <b/>
        <sz val="12"/>
        <color theme="1"/>
        <rFont val="Times New Roman"/>
        <family val="1"/>
      </rPr>
      <t xml:space="preserve">Accounts Payable - </t>
    </r>
    <r>
      <rPr>
        <sz val="12"/>
        <color theme="1"/>
        <rFont val="Calibri"/>
        <family val="2"/>
        <scheme val="minor"/>
      </rPr>
      <t xml:space="preserve">At December 31, 2017, accounts payable lability is $10,263 and all AP liability is being paid timely within 28 days except CSP Clinical Services which gets paid once NYS pays CCCHC. </t>
    </r>
  </si>
  <si>
    <t>Ending Balance at December 31, 2017</t>
  </si>
  <si>
    <t>Columbia County Dept of Social Services - 2018 CARTS</t>
  </si>
  <si>
    <t>CSP: Patient Services - December 2017 Voucher</t>
  </si>
  <si>
    <t>CSP Infrstructure - November 2017 Voucher</t>
  </si>
  <si>
    <t>Navigator Program - November 2017 Voucher</t>
  </si>
  <si>
    <t>December '17 vs. '16</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</si>
  <si>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December 31, 2017 our Grant Receivable is $256,837. Expectation is that we will collect on all receivables.  The average collection preiod for 2017 is 70 days. Summary of Grants Receivable is as follows:</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</si>
  <si>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December 31, 2017,</t>
    </r>
  </si>
  <si>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Temporarily restricted net assets are donated contributions that have only a one-sided economic benefit and are restricted to a specific period of time or set of conditions. To decrease this revenue employ another account named Net Assets Released From Restrictions, which reports revenue.  Below temporarily restricted net assets represents donations to be used for the following specific program purpose as of December 31, 2017: </t>
    </r>
  </si>
  <si>
    <t>Navigator Program - October 2017 Voucher</t>
  </si>
  <si>
    <t>Medicaid Revenue -Transportation</t>
  </si>
  <si>
    <t>Web Redesign in Tobacco in 2017 for $1,325</t>
  </si>
  <si>
    <t>NY Connects EEP increased by $23.5 in 2017</t>
  </si>
  <si>
    <t>$1,000 from Col-Greene Dialysis + $1,700 in memory of S.Light</t>
  </si>
  <si>
    <t>Down &lt;$17K&gt; FCH Children Mental Health, &lt;$7K&gt; Dyson Rx</t>
  </si>
  <si>
    <t>Tobacco advertising down &lt;$17K&gt; + CSP down &lt;$13K&gt;</t>
  </si>
  <si>
    <t>CSP down &lt;$35K&gt;, RHN down &lt;$39K&gt;, Tobacco down &lt;$9K&gt;</t>
  </si>
  <si>
    <t>See supporting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</si>
</sst>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64"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69">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75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14" fontId="0" fillId="0" borderId="59" xfId="0" applyNumberFormat="1" applyFill="1" applyBorder="1" applyAlignment="1">
      <alignment horizontal="center"/>
    </xf>
    <xf numFmtId="41" fontId="0" fillId="0" borderId="49" xfId="1" applyNumberFormat="1" applyFont="1" applyFill="1" applyBorder="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38" fontId="0" fillId="0" borderId="49" xfId="1" applyNumberFormat="1" applyFont="1" applyFill="1" applyBorder="1" applyAlignment="1">
      <alignment horizontal="right"/>
    </xf>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46"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2" fillId="0" borderId="49" xfId="1" applyNumberFormat="1" applyFont="1" applyFill="1"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1" fontId="2" fillId="0" borderId="49" xfId="1" applyNumberFormat="1" applyFont="1" applyFill="1" applyBorder="1" applyAlignment="1">
      <alignment horizontal="center" vertical="center"/>
    </xf>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40" fontId="0" fillId="0" borderId="11" xfId="0" applyNumberFormat="1" applyBorder="1" applyAlignment="1">
      <alignment horizontal="center"/>
    </xf>
    <xf numFmtId="0" fontId="0" fillId="0" borderId="11" xfId="0" applyBorder="1" applyAlignment="1">
      <alignment horizontal="center"/>
    </xf>
    <xf numFmtId="0" fontId="34" fillId="0" borderId="0" xfId="0" applyFont="1" applyFill="1" applyAlignment="1">
      <alignment horizontal="left" vertical="top" wrapText="1"/>
    </xf>
    <xf numFmtId="41" fontId="35" fillId="0" borderId="0" xfId="0" applyNumberFormat="1" applyFont="1" applyFill="1" applyAlignment="1">
      <alignment horizontal="center" vertical="center" wrapText="1"/>
    </xf>
    <xf numFmtId="0" fontId="34" fillId="0" borderId="0" xfId="0" applyFont="1" applyFill="1" applyAlignment="1">
      <alignment horizontal="left" vertical="top" wrapText="1"/>
    </xf>
    <xf numFmtId="38" fontId="15" fillId="0" borderId="0" xfId="0" applyNumberFormat="1" applyFont="1" applyFill="1" applyBorder="1" applyAlignment="1">
      <alignment vertical="center"/>
    </xf>
    <xf numFmtId="41" fontId="35" fillId="0" borderId="0" xfId="0" applyNumberFormat="1" applyFont="1" applyFill="1" applyAlignment="1">
      <alignment horizontal="right" vertical="center" wrapText="1"/>
    </xf>
    <xf numFmtId="40" fontId="0" fillId="0" borderId="0" xfId="0" applyNumberFormat="1" applyFill="1"/>
    <xf numFmtId="49" fontId="15" fillId="0" borderId="0" xfId="0" applyNumberFormat="1" applyFont="1" applyAlignment="1">
      <alignment horizontal="left" vertical="center"/>
    </xf>
    <xf numFmtId="42" fontId="6" fillId="2" borderId="44" xfId="0" applyNumberFormat="1" applyFont="1" applyFill="1" applyBorder="1" applyAlignment="1"/>
    <xf numFmtId="42" fontId="0" fillId="0" borderId="0" xfId="0" applyNumberFormat="1" applyFill="1" applyBorder="1" applyAlignment="1">
      <alignment vertical="center"/>
    </xf>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0" fontId="50" fillId="0" borderId="0" xfId="0" applyFont="1" applyFill="1" applyBorder="1" applyAlignment="1">
      <alignment horizontal="center"/>
    </xf>
    <xf numFmtId="0" fontId="50" fillId="0" borderId="0" xfId="0" applyFont="1" applyFill="1" applyBorder="1"/>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164" fontId="50" fillId="0" borderId="0" xfId="0" applyNumberFormat="1" applyFont="1" applyFill="1" applyBorder="1" applyAlignment="1">
      <alignment horizont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0" fontId="38" fillId="0" borderId="0" xfId="0" applyFont="1" applyFill="1" applyAlignment="1">
      <alignment horizontal="center" vertical="center"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Border="1" applyAlignment="1">
      <alignment horizontal="right"/>
    </xf>
    <xf numFmtId="41" fontId="7" fillId="0" borderId="0" xfId="0" applyNumberFormat="1" applyFont="1" applyAlignment="1">
      <alignment horizontal="right"/>
    </xf>
    <xf numFmtId="38" fontId="7" fillId="0" borderId="0" xfId="0" applyNumberFormat="1" applyFont="1" applyAlignment="1">
      <alignment horizontal="right"/>
    </xf>
    <xf numFmtId="8" fontId="0" fillId="0" borderId="27" xfId="0" applyNumberFormat="1" applyFont="1" applyBorder="1" applyAlignment="1">
      <alignment vertical="center"/>
    </xf>
    <xf numFmtId="3" fontId="51" fillId="2" borderId="0" xfId="0" applyNumberFormat="1" applyFont="1" applyFill="1"/>
    <xf numFmtId="38" fontId="50" fillId="2" borderId="0" xfId="0" applyNumberFormat="1" applyFont="1" applyFill="1"/>
    <xf numFmtId="0" fontId="0" fillId="0" borderId="48" xfId="0" applyFill="1" applyBorder="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6" fontId="0" fillId="0" borderId="49" xfId="1" applyNumberFormat="1" applyFont="1" applyFill="1" applyBorder="1" applyAlignment="1"/>
    <xf numFmtId="38" fontId="0" fillId="2" borderId="49" xfId="1" applyNumberFormat="1" applyFont="1" applyFill="1" applyBorder="1" applyAlignment="1">
      <alignment horizontal="right"/>
    </xf>
    <xf numFmtId="0" fontId="3" fillId="3" borderId="14" xfId="0" applyFont="1" applyFill="1" applyBorder="1" applyAlignment="1">
      <alignment horizontal="center" vertical="center"/>
    </xf>
    <xf numFmtId="0" fontId="0" fillId="0" borderId="2" xfId="0" applyFill="1" applyBorder="1" applyAlignment="1">
      <alignment horizontal="center"/>
    </xf>
    <xf numFmtId="0" fontId="0" fillId="0" borderId="27" xfId="0" applyFill="1" applyBorder="1" applyAlignment="1">
      <alignment horizont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3" fillId="3" borderId="14" xfId="0" applyNumberFormat="1" applyFont="1" applyFill="1" applyBorder="1" applyAlignment="1">
      <alignment horizontal="center" vertical="center" wrapText="1"/>
    </xf>
    <xf numFmtId="41" fontId="0" fillId="0" borderId="2" xfId="1" applyNumberFormat="1" applyFont="1" applyFill="1" applyBorder="1" applyAlignment="1"/>
    <xf numFmtId="41" fontId="0" fillId="0" borderId="27" xfId="1" applyNumberFormat="1" applyFont="1" applyFill="1" applyBorder="1" applyAlignment="1"/>
    <xf numFmtId="38" fontId="0" fillId="0" borderId="0" xfId="0" applyNumberFormat="1" applyFont="1" applyFill="1" applyBorder="1"/>
    <xf numFmtId="41" fontId="0" fillId="2" borderId="49" xfId="1" applyNumberFormat="1" applyFont="1" applyFill="1" applyBorder="1" applyAlignment="1"/>
    <xf numFmtId="0" fontId="63" fillId="0" borderId="0" xfId="0" applyFont="1"/>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35" fillId="0" borderId="0" xfId="0" applyFont="1" applyFill="1" applyAlignment="1">
      <alignment horizontal="center" vertical="top" wrapText="1"/>
    </xf>
    <xf numFmtId="0" fontId="41" fillId="0" borderId="0" xfId="0" applyFont="1" applyFill="1" applyAlignment="1">
      <alignment horizontal="center" wrapText="1"/>
    </xf>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0" fontId="35" fillId="0" borderId="0" xfId="0" applyFont="1" applyFill="1" applyAlignment="1">
      <alignment horizontal="right" vertical="center" wrapText="1"/>
    </xf>
    <xf numFmtId="0" fontId="34" fillId="0" borderId="0" xfId="0" applyFont="1" applyFill="1" applyAlignment="1">
      <alignment horizontal="left" wrapText="1"/>
    </xf>
    <xf numFmtId="41" fontId="35" fillId="0" borderId="0" xfId="0" applyNumberFormat="1" applyFont="1" applyFill="1" applyAlignment="1">
      <alignment horizontal="center" vertical="center" wrapText="1"/>
    </xf>
    <xf numFmtId="0" fontId="35" fillId="0" borderId="0" xfId="0" applyFont="1" applyFill="1" applyAlignment="1">
      <alignment horizontal="left" vertical="center" wrapText="1" indent="2"/>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0" fontId="38" fillId="0" borderId="0" xfId="0" applyFont="1" applyFill="1" applyAlignment="1">
      <alignment horizontal="center" vertical="center" wrapText="1"/>
    </xf>
    <xf numFmtId="0" fontId="60" fillId="0" borderId="0" xfId="0" applyFont="1" applyFill="1" applyAlignment="1">
      <alignment horizontal="center" vertical="center"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21" fillId="0" borderId="11"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50" xfId="0" applyFill="1" applyBorder="1" applyAlignment="1">
      <alignment horizontal="left"/>
    </xf>
    <xf numFmtId="0" fontId="0" fillId="0" borderId="51"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Alignment="1">
      <alignment horizontal="left" vertical="center"/>
    </xf>
    <xf numFmtId="49" fontId="15" fillId="0" borderId="0" xfId="0" applyNumberFormat="1" applyFont="1" applyBorder="1" applyAlignment="1">
      <alignment horizontal="left" vertical="center"/>
    </xf>
    <xf numFmtId="49" fontId="11" fillId="0" borderId="0" xfId="0" applyNumberFormat="1" applyFont="1" applyBorder="1" applyAlignment="1">
      <alignment horizontal="center"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Data!$A$265:$A$524</c:f>
              <c:numCache>
                <c:formatCode>[$-F800]dddd\,\ mmmm\ dd\,\ yyyy</c:formatCode>
                <c:ptCount val="260"/>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42785</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numCache>
            </c:numRef>
          </c:cat>
          <c:val>
            <c:numRef>
              <c:f>Data!$B$265:$B$524</c:f>
              <c:numCache>
                <c:formatCode>#,##0</c:formatCode>
                <c:ptCount val="260"/>
                <c:pt idx="0">
                  <c:v>354814</c:v>
                </c:pt>
                <c:pt idx="1">
                  <c:v>361866.86</c:v>
                </c:pt>
                <c:pt idx="2">
                  <c:v>363519.32</c:v>
                </c:pt>
                <c:pt idx="3">
                  <c:v>361866.66</c:v>
                </c:pt>
                <c:pt idx="4">
                  <c:v>363519</c:v>
                </c:pt>
                <c:pt idx="5">
                  <c:v>363543.47</c:v>
                </c:pt>
                <c:pt idx="6">
                  <c:v>328707.83</c:v>
                </c:pt>
                <c:pt idx="7">
                  <c:v>328708</c:v>
                </c:pt>
                <c:pt idx="8">
                  <c:v>321086.01</c:v>
                </c:pt>
                <c:pt idx="9">
                  <c:v>334097.28000000003</c:v>
                </c:pt>
                <c:pt idx="10">
                  <c:v>334097</c:v>
                </c:pt>
                <c:pt idx="11">
                  <c:v>268850.96000000002</c:v>
                </c:pt>
                <c:pt idx="12">
                  <c:v>268851</c:v>
                </c:pt>
                <c:pt idx="13">
                  <c:v>269075.21000000002</c:v>
                </c:pt>
                <c:pt idx="14">
                  <c:v>270983.21000000002</c:v>
                </c:pt>
                <c:pt idx="15">
                  <c:v>270983</c:v>
                </c:pt>
                <c:pt idx="16">
                  <c:v>270723.98</c:v>
                </c:pt>
                <c:pt idx="17">
                  <c:v>281353.09999999998</c:v>
                </c:pt>
                <c:pt idx="18">
                  <c:v>274313.84999999998</c:v>
                </c:pt>
                <c:pt idx="19">
                  <c:v>296447.59999999998</c:v>
                </c:pt>
                <c:pt idx="20">
                  <c:v>295107.96000000002</c:v>
                </c:pt>
                <c:pt idx="21">
                  <c:v>314030.53000000003</c:v>
                </c:pt>
                <c:pt idx="22">
                  <c:v>314031</c:v>
                </c:pt>
                <c:pt idx="23">
                  <c:v>312808.53999999998</c:v>
                </c:pt>
                <c:pt idx="24">
                  <c:v>316461.53999999998</c:v>
                </c:pt>
                <c:pt idx="25">
                  <c:v>316462</c:v>
                </c:pt>
                <c:pt idx="26">
                  <c:v>289560.21999999997</c:v>
                </c:pt>
                <c:pt idx="27">
                  <c:v>297310.21999999997</c:v>
                </c:pt>
                <c:pt idx="28">
                  <c:v>352433.91</c:v>
                </c:pt>
                <c:pt idx="29">
                  <c:v>352434</c:v>
                </c:pt>
                <c:pt idx="30">
                  <c:v>352434</c:v>
                </c:pt>
                <c:pt idx="31">
                  <c:v>352434</c:v>
                </c:pt>
                <c:pt idx="32">
                  <c:v>352542.46</c:v>
                </c:pt>
                <c:pt idx="33">
                  <c:v>383231.99</c:v>
                </c:pt>
                <c:pt idx="34">
                  <c:v>404679.36</c:v>
                </c:pt>
                <c:pt idx="35">
                  <c:v>404679</c:v>
                </c:pt>
                <c:pt idx="36">
                  <c:v>368703.72</c:v>
                </c:pt>
                <c:pt idx="37">
                  <c:v>368203.72</c:v>
                </c:pt>
                <c:pt idx="38">
                  <c:v>349211.92</c:v>
                </c:pt>
                <c:pt idx="39">
                  <c:v>384176.45</c:v>
                </c:pt>
                <c:pt idx="40">
                  <c:v>384176</c:v>
                </c:pt>
                <c:pt idx="41">
                  <c:v>384176</c:v>
                </c:pt>
                <c:pt idx="42">
                  <c:v>384176</c:v>
                </c:pt>
                <c:pt idx="43">
                  <c:v>395396.43</c:v>
                </c:pt>
                <c:pt idx="44">
                  <c:v>395396</c:v>
                </c:pt>
                <c:pt idx="45">
                  <c:v>395396</c:v>
                </c:pt>
                <c:pt idx="46">
                  <c:v>361856.47</c:v>
                </c:pt>
                <c:pt idx="47">
                  <c:v>361856</c:v>
                </c:pt>
                <c:pt idx="48">
                  <c:v>349877.16</c:v>
                </c:pt>
                <c:pt idx="49">
                  <c:v>359297.81</c:v>
                </c:pt>
                <c:pt idx="50">
                  <c:v>361678.91</c:v>
                </c:pt>
                <c:pt idx="51">
                  <c:v>361679</c:v>
                </c:pt>
                <c:pt idx="52">
                  <c:v>370843.37</c:v>
                </c:pt>
                <c:pt idx="53">
                  <c:v>377566.07</c:v>
                </c:pt>
                <c:pt idx="54">
                  <c:v>370373.97</c:v>
                </c:pt>
                <c:pt idx="55">
                  <c:v>338340.3</c:v>
                </c:pt>
                <c:pt idx="56">
                  <c:v>338340</c:v>
                </c:pt>
                <c:pt idx="57">
                  <c:v>338340</c:v>
                </c:pt>
                <c:pt idx="58">
                  <c:v>348438.37</c:v>
                </c:pt>
                <c:pt idx="59">
                  <c:v>348438</c:v>
                </c:pt>
                <c:pt idx="60">
                  <c:v>348360.51</c:v>
                </c:pt>
                <c:pt idx="61" formatCode="#,##0_);[Red]\(#,##0\)">
                  <c:v>348440.48</c:v>
                </c:pt>
                <c:pt idx="62" formatCode="#,##0_);[Red]\(#,##0\)">
                  <c:v>348440</c:v>
                </c:pt>
                <c:pt idx="63" formatCode="#,##0_);[Red]\(#,##0\)">
                  <c:v>350305.92</c:v>
                </c:pt>
                <c:pt idx="64" formatCode="#,##0_);[Red]\(#,##0\)">
                  <c:v>350306</c:v>
                </c:pt>
                <c:pt idx="65" formatCode="#,##0_);[Red]\(#,##0\)">
                  <c:v>350306</c:v>
                </c:pt>
                <c:pt idx="66" formatCode="#,##0_);[Red]\(#,##0\)">
                  <c:v>320389.65000000002</c:v>
                </c:pt>
                <c:pt idx="67" formatCode="#,##0_);[Red]\(#,##0\)">
                  <c:v>320390</c:v>
                </c:pt>
                <c:pt idx="68" formatCode="#,##0_);[Red]\(#,##0\)">
                  <c:v>313344</c:v>
                </c:pt>
                <c:pt idx="69" formatCode="#,##0_);[Red]\(#,##0\)">
                  <c:v>313344</c:v>
                </c:pt>
                <c:pt idx="70" formatCode="#,##0_);[Red]\(#,##0\)">
                  <c:v>306132.78000000003</c:v>
                </c:pt>
                <c:pt idx="71" formatCode="#,##0_);[Red]\(#,##0\)">
                  <c:v>286047.34999999998</c:v>
                </c:pt>
                <c:pt idx="72" formatCode="#,##0_);[Red]\(#,##0\)">
                  <c:v>286047</c:v>
                </c:pt>
                <c:pt idx="73" formatCode="#,##0_);[Red]\(#,##0\)">
                  <c:v>272128.99</c:v>
                </c:pt>
                <c:pt idx="74" formatCode="#,##0_);[Red]\(#,##0\)">
                  <c:v>272229.71000000002</c:v>
                </c:pt>
                <c:pt idx="75" formatCode="#,##0_);[Red]\(#,##0\)">
                  <c:v>236683.56</c:v>
                </c:pt>
                <c:pt idx="76" formatCode="#,##0_);[Red]\(#,##0\)">
                  <c:v>244114.64</c:v>
                </c:pt>
                <c:pt idx="77" formatCode="#,##0_);[Red]\(#,##0\)">
                  <c:v>244115</c:v>
                </c:pt>
                <c:pt idx="78" formatCode="#,##0_);[Red]\(#,##0\)">
                  <c:v>241798.76</c:v>
                </c:pt>
                <c:pt idx="79" formatCode="#,##0_);[Red]\(#,##0\)">
                  <c:v>241799</c:v>
                </c:pt>
                <c:pt idx="80" formatCode="#,##0_);[Red]\(#,##0\)">
                  <c:v>241973.76000000001</c:v>
                </c:pt>
                <c:pt idx="81" formatCode="#,##0_);[Red]\(#,##0\)">
                  <c:v>243364.2</c:v>
                </c:pt>
                <c:pt idx="82" formatCode="#,##0_);[Red]\(#,##0\)">
                  <c:v>243364</c:v>
                </c:pt>
                <c:pt idx="83" formatCode="#,##0_);[Red]\(#,##0\)">
                  <c:v>259265.45</c:v>
                </c:pt>
                <c:pt idx="84" formatCode="#,##0_);[Red]\(#,##0\)">
                  <c:v>290731.18</c:v>
                </c:pt>
                <c:pt idx="85" formatCode="#,##0_);[Red]\(#,##0\)">
                  <c:v>251486.17</c:v>
                </c:pt>
                <c:pt idx="86" formatCode="#,##0_);[Red]\(#,##0\)">
                  <c:v>253188.17</c:v>
                </c:pt>
                <c:pt idx="87" formatCode="#,##0_);[Red]\(#,##0\)">
                  <c:v>253188</c:v>
                </c:pt>
                <c:pt idx="88" formatCode="#,##0_);[Red]\(#,##0\)">
                  <c:v>232739.33</c:v>
                </c:pt>
                <c:pt idx="89" formatCode="#,##0_);[Red]\(#,##0\)">
                  <c:v>234049.33</c:v>
                </c:pt>
                <c:pt idx="90" formatCode="#,##0_);[Red]\(#,##0\)">
                  <c:v>314317.77</c:v>
                </c:pt>
                <c:pt idx="91" formatCode="#,##0_);[Red]\(#,##0\)">
                  <c:v>314318</c:v>
                </c:pt>
                <c:pt idx="92" formatCode="#,##0_);[Red]\(#,##0\)">
                  <c:v>314318</c:v>
                </c:pt>
                <c:pt idx="93" formatCode="#,##0_);[Red]\(#,##0\)">
                  <c:v>313971.28000000003</c:v>
                </c:pt>
                <c:pt idx="94" formatCode="#,##0_);[Red]\(#,##0\)">
                  <c:v>313971</c:v>
                </c:pt>
                <c:pt idx="95" formatCode="#,##0_);[Red]\(#,##0\)">
                  <c:v>271063.69</c:v>
                </c:pt>
                <c:pt idx="96" formatCode="#,##0_);[Red]\(#,##0\)">
                  <c:v>271064</c:v>
                </c:pt>
                <c:pt idx="97" formatCode="#,##0_);[Red]\(#,##0\)">
                  <c:v>271064</c:v>
                </c:pt>
                <c:pt idx="98" formatCode="#,##0_);[Red]\(#,##0\)">
                  <c:v>261497.73</c:v>
                </c:pt>
                <c:pt idx="99" formatCode="#,##0_);[Red]\(#,##0\)">
                  <c:v>311507.92</c:v>
                </c:pt>
                <c:pt idx="100" formatCode="#,##0_);[Red]\(#,##0\)">
                  <c:v>290080.52</c:v>
                </c:pt>
                <c:pt idx="101" formatCode="#,##0_);[Red]\(#,##0\)">
                  <c:v>290081</c:v>
                </c:pt>
                <c:pt idx="102" formatCode="#,##0_);[Red]\(#,##0\)">
                  <c:v>327080.46000000002</c:v>
                </c:pt>
                <c:pt idx="103" formatCode="#,##0_);[Red]\(#,##0\)">
                  <c:v>327080</c:v>
                </c:pt>
                <c:pt idx="104" formatCode="#,##0_);[Red]\(#,##0\)">
                  <c:v>336844.12</c:v>
                </c:pt>
                <c:pt idx="105" formatCode="#,##0_);[Red]\(#,##0\)">
                  <c:v>336844</c:v>
                </c:pt>
                <c:pt idx="106" formatCode="#,##0_);[Red]\(#,##0\)">
                  <c:v>300553.48</c:v>
                </c:pt>
                <c:pt idx="107" formatCode="#,##0_);[Red]\(#,##0\)">
                  <c:v>296887.5</c:v>
                </c:pt>
                <c:pt idx="108" formatCode="#,##0_);[Red]\(#,##0\)">
                  <c:v>297355.68</c:v>
                </c:pt>
                <c:pt idx="109" formatCode="#,##0_);[Red]\(#,##0\)">
                  <c:v>298760.68</c:v>
                </c:pt>
                <c:pt idx="110" formatCode="#,##0_);[Red]\(#,##0\)">
                  <c:v>279006.82</c:v>
                </c:pt>
                <c:pt idx="111" formatCode="#,##0_);[Red]\(#,##0\)">
                  <c:v>279007</c:v>
                </c:pt>
                <c:pt idx="112" formatCode="#,##0_);[Red]\(#,##0\)">
                  <c:v>279007</c:v>
                </c:pt>
                <c:pt idx="113" formatCode="#,##0_);[Red]\(#,##0\)">
                  <c:v>279112.07</c:v>
                </c:pt>
                <c:pt idx="114" formatCode="#,##0_);[Red]\(#,##0\)">
                  <c:v>279112</c:v>
                </c:pt>
                <c:pt idx="115" formatCode="#,##0_);[Red]\(#,##0\)">
                  <c:v>244072.02</c:v>
                </c:pt>
                <c:pt idx="116" formatCode="#,##0_);[Red]\(#,##0\)">
                  <c:v>249325.41</c:v>
                </c:pt>
                <c:pt idx="117" formatCode="#,##0_);[Red]\(#,##0\)">
                  <c:v>249325</c:v>
                </c:pt>
                <c:pt idx="118" formatCode="#,##0_);[Red]\(#,##0\)">
                  <c:v>252874.48</c:v>
                </c:pt>
                <c:pt idx="119" formatCode="#,##0_);[Red]\(#,##0\)">
                  <c:v>253128.65</c:v>
                </c:pt>
                <c:pt idx="120" formatCode="#,##0_);[Red]\(#,##0\)">
                  <c:v>255098.96</c:v>
                </c:pt>
                <c:pt idx="121" formatCode="#,##0_);[Red]\(#,##0\)">
                  <c:v>253521.42</c:v>
                </c:pt>
                <c:pt idx="122" formatCode="#,##0_);[Red]\(#,##0\)">
                  <c:v>253521</c:v>
                </c:pt>
                <c:pt idx="123" formatCode="#,##0_);[Red]\(#,##0\)">
                  <c:v>235912.36</c:v>
                </c:pt>
                <c:pt idx="124" formatCode="#,##0_);[Red]\(#,##0\)">
                  <c:v>235912</c:v>
                </c:pt>
                <c:pt idx="125" formatCode="#,##0_);[Red]\(#,##0\)">
                  <c:v>198879.76</c:v>
                </c:pt>
                <c:pt idx="126" formatCode="#,##0_);[Red]\(#,##0\)">
                  <c:v>199009.76</c:v>
                </c:pt>
                <c:pt idx="127" formatCode="#,##0_);[Red]\(#,##0\)">
                  <c:v>199010</c:v>
                </c:pt>
                <c:pt idx="128" formatCode="#,##0_);[Red]\(#,##0\)">
                  <c:v>210354</c:v>
                </c:pt>
                <c:pt idx="129" formatCode="#,##0_);[Red]\(#,##0\)">
                  <c:v>260779.62</c:v>
                </c:pt>
                <c:pt idx="130" formatCode="#,##0_);[Red]\(#,##0\)">
                  <c:v>260780</c:v>
                </c:pt>
                <c:pt idx="131" formatCode="#,##0_);[Red]\(#,##0\)">
                  <c:v>260780</c:v>
                </c:pt>
                <c:pt idx="132" formatCode="#,##0_);[Red]\(#,##0\)">
                  <c:v>260780</c:v>
                </c:pt>
                <c:pt idx="133" formatCode="#,##0_);[Red]\(#,##0\)">
                  <c:v>261774.11</c:v>
                </c:pt>
                <c:pt idx="134" formatCode="#,##0_);[Red]\(#,##0\)">
                  <c:v>261774</c:v>
                </c:pt>
                <c:pt idx="135" formatCode="#,##0_);[Red]\(#,##0\)">
                  <c:v>226950.89</c:v>
                </c:pt>
                <c:pt idx="136" formatCode="#,##0_);[Red]\(#,##0\)">
                  <c:v>226951</c:v>
                </c:pt>
                <c:pt idx="137" formatCode="#,##0_);[Red]\(#,##0\)">
                  <c:v>248711.94</c:v>
                </c:pt>
                <c:pt idx="138" formatCode="#,##0_);[Red]\(#,##0\)">
                  <c:v>256201.58</c:v>
                </c:pt>
                <c:pt idx="139" formatCode="#,##0_);[Red]\(#,##0\)">
                  <c:v>256272.97</c:v>
                </c:pt>
                <c:pt idx="140" formatCode="#,##0_);[Red]\(#,##0\)">
                  <c:v>256056.42</c:v>
                </c:pt>
                <c:pt idx="141" formatCode="#,##0_);[Red]\(#,##0\)">
                  <c:v>257213.96</c:v>
                </c:pt>
                <c:pt idx="142" formatCode="#,##0_);[Red]\(#,##0\)">
                  <c:v>257214</c:v>
                </c:pt>
                <c:pt idx="143" formatCode="#,##0_);[Red]\(#,##0\)">
                  <c:v>260075.5</c:v>
                </c:pt>
                <c:pt idx="144" formatCode="#,##0_);[Red]\(#,##0\)">
                  <c:v>339825.5</c:v>
                </c:pt>
                <c:pt idx="145" formatCode="#,##0_);[Red]\(#,##0\)">
                  <c:v>303182.65000000002</c:v>
                </c:pt>
                <c:pt idx="146" formatCode="#,##0_);[Red]\(#,##0\)">
                  <c:v>322340.12</c:v>
                </c:pt>
                <c:pt idx="147" formatCode="#,##0_);[Red]\(#,##0\)">
                  <c:v>322340</c:v>
                </c:pt>
                <c:pt idx="148" formatCode="#,##0_);[Red]\(#,##0\)">
                  <c:v>308772.78999999998</c:v>
                </c:pt>
                <c:pt idx="149" formatCode="#,##0_);[Red]\(#,##0\)">
                  <c:v>317343.40999999997</c:v>
                </c:pt>
                <c:pt idx="150" formatCode="#,##0_);[Red]\(#,##0\)">
                  <c:v>317343</c:v>
                </c:pt>
                <c:pt idx="151" formatCode="#,##0_);[Red]\(#,##0\)">
                  <c:v>369152.35</c:v>
                </c:pt>
                <c:pt idx="152" formatCode="#,##0_);[Red]\(#,##0\)">
                  <c:v>371061.94</c:v>
                </c:pt>
                <c:pt idx="153" formatCode="#,##0_);[Red]\(#,##0\)">
                  <c:v>372080.87</c:v>
                </c:pt>
                <c:pt idx="154" formatCode="#,##0_);[Red]\(#,##0\)">
                  <c:v>372080.87</c:v>
                </c:pt>
                <c:pt idx="155" formatCode="#,##0_);[Red]\(#,##0\)">
                  <c:v>336189.47</c:v>
                </c:pt>
                <c:pt idx="156" formatCode="#,##0_);[Red]\(#,##0\)">
                  <c:v>340998.07</c:v>
                </c:pt>
                <c:pt idx="157" formatCode="#,##0_);[Red]\(#,##0\)">
                  <c:v>332763.65000000002</c:v>
                </c:pt>
                <c:pt idx="158" formatCode="#,##0_);[Red]\(#,##0\)">
                  <c:v>375651.45</c:v>
                </c:pt>
                <c:pt idx="159" formatCode="#,##0_);[Red]\(#,##0\)">
                  <c:v>378293.21</c:v>
                </c:pt>
                <c:pt idx="160" formatCode="#,##0_);[Red]\(#,##0\)">
                  <c:v>378293</c:v>
                </c:pt>
                <c:pt idx="161" formatCode="#,##0_);[Red]\(#,##0\)">
                  <c:v>401190.06</c:v>
                </c:pt>
                <c:pt idx="162" formatCode="#,##0_);[Red]\(#,##0\)">
                  <c:v>401190</c:v>
                </c:pt>
                <c:pt idx="163" formatCode="#,##0_);[Red]\(#,##0\)">
                  <c:v>401569.72</c:v>
                </c:pt>
                <c:pt idx="164" formatCode="#,##0_);[Red]\(#,##0\)">
                  <c:v>403837.72</c:v>
                </c:pt>
                <c:pt idx="165" formatCode="#,##0_);[Red]\(#,##0\)">
                  <c:v>369495.17</c:v>
                </c:pt>
                <c:pt idx="166" formatCode="#,##0_);[Red]\(#,##0\)">
                  <c:v>379169.06</c:v>
                </c:pt>
                <c:pt idx="167" formatCode="#,##0_);[Red]\(#,##0\)">
                  <c:v>379169</c:v>
                </c:pt>
                <c:pt idx="168" formatCode="#,##0_);[Red]\(#,##0\)">
                  <c:v>372540.41</c:v>
                </c:pt>
                <c:pt idx="169" formatCode="#,##0_);[Red]\(#,##0\)">
                  <c:v>372540</c:v>
                </c:pt>
                <c:pt idx="170" formatCode="#,##0_);[Red]\(#,##0\)">
                  <c:v>372540</c:v>
                </c:pt>
                <c:pt idx="171" formatCode="#,##0_);[Red]\(#,##0\)">
                  <c:v>374625.25</c:v>
                </c:pt>
                <c:pt idx="172" formatCode="#,##0_);[Red]\(#,##0\)">
                  <c:v>382658.46</c:v>
                </c:pt>
                <c:pt idx="173" formatCode="#,##0_);[Red]\(#,##0\)">
                  <c:v>389160.26</c:v>
                </c:pt>
                <c:pt idx="174" formatCode="#,##0_);[Red]\(#,##0\)">
                  <c:v>389160</c:v>
                </c:pt>
                <c:pt idx="175" formatCode="#,##0_);[Red]\(#,##0\)">
                  <c:v>389160</c:v>
                </c:pt>
                <c:pt idx="176" formatCode="#,##0_);[Red]\(#,##0\)">
                  <c:v>352908.42</c:v>
                </c:pt>
                <c:pt idx="177" formatCode="#,##0_);[Red]\(#,##0\)">
                  <c:v>383959.41</c:v>
                </c:pt>
                <c:pt idx="178" formatCode="#,##0_);[Red]\(#,##0\)">
                  <c:v>403148.81</c:v>
                </c:pt>
                <c:pt idx="179" formatCode="#,##0_);[Red]\(#,##0\)">
                  <c:v>403344.11</c:v>
                </c:pt>
                <c:pt idx="180" formatCode="#,##0_);[Red]\(#,##0\)">
                  <c:v>403344</c:v>
                </c:pt>
                <c:pt idx="181" formatCode="#,##0_);[Red]\(#,##0\)">
                  <c:v>403344</c:v>
                </c:pt>
                <c:pt idx="182" formatCode="#,##0_);[Red]\(#,##0\)">
                  <c:v>403344</c:v>
                </c:pt>
                <c:pt idx="183" formatCode="#,##0_);[Red]\(#,##0\)">
                  <c:v>400016.8</c:v>
                </c:pt>
                <c:pt idx="184" formatCode="#,##0_);[Red]\(#,##0\)">
                  <c:v>400134.96</c:v>
                </c:pt>
                <c:pt idx="185" formatCode="#,##0_);[Red]\(#,##0\)">
                  <c:v>364805.11</c:v>
                </c:pt>
                <c:pt idx="186" formatCode="#,##0_);[Red]\(#,##0\)">
                  <c:v>364805</c:v>
                </c:pt>
                <c:pt idx="187" formatCode="#,##0_);[Red]\(#,##0\)">
                  <c:v>371804.33</c:v>
                </c:pt>
                <c:pt idx="188" formatCode="#,##0_);[Red]\(#,##0\)">
                  <c:v>370759.85</c:v>
                </c:pt>
                <c:pt idx="189" formatCode="#,##0_);[Red]\(#,##0\)">
                  <c:v>389878.66</c:v>
                </c:pt>
                <c:pt idx="190" formatCode="#,##0_);[Red]\(#,##0\)">
                  <c:v>393013.02</c:v>
                </c:pt>
                <c:pt idx="191" formatCode="#,##0_);[Red]\(#,##0\)">
                  <c:v>393593.22</c:v>
                </c:pt>
                <c:pt idx="192" formatCode="#,##0_);[Red]\(#,##0\)">
                  <c:v>393593</c:v>
                </c:pt>
                <c:pt idx="193" formatCode="#,##0_);[Red]\(#,##0\)">
                  <c:v>385433.95</c:v>
                </c:pt>
                <c:pt idx="194" formatCode="#,##0_);[Red]\(#,##0\)">
                  <c:v>385678.15</c:v>
                </c:pt>
                <c:pt idx="195" formatCode="#,##0_);[Red]\(#,##0\)">
                  <c:v>350949.28</c:v>
                </c:pt>
                <c:pt idx="196" formatCode="#,##0_);[Red]\(#,##0\)">
                  <c:v>352010.98</c:v>
                </c:pt>
                <c:pt idx="197" formatCode="#,##0_);[Red]\(#,##0\)">
                  <c:v>352011</c:v>
                </c:pt>
                <c:pt idx="198" formatCode="#,##0_);[Red]\(#,##0\)">
                  <c:v>348679</c:v>
                </c:pt>
                <c:pt idx="199" formatCode="#,##0_);[Red]\(#,##0\)">
                  <c:v>348679</c:v>
                </c:pt>
                <c:pt idx="200" formatCode="#,##0_);[Red]\(#,##0\)">
                  <c:v>348679</c:v>
                </c:pt>
                <c:pt idx="201" formatCode="#,##0_);[Red]\(#,##0\)">
                  <c:v>348679</c:v>
                </c:pt>
                <c:pt idx="202" formatCode="#,##0_);[Red]\(#,##0\)">
                  <c:v>348761.24</c:v>
                </c:pt>
                <c:pt idx="203" formatCode="#,##0_);[Red]\(#,##0\)">
                  <c:v>349998.26</c:v>
                </c:pt>
                <c:pt idx="204" formatCode="#,##0_);[Red]\(#,##0\)">
                  <c:v>370561.14</c:v>
                </c:pt>
                <c:pt idx="205" formatCode="#,##0_);[Red]\(#,##0\)">
                  <c:v>336220.14</c:v>
                </c:pt>
                <c:pt idx="206" formatCode="#,##0_);[Red]\(#,##0\)">
                  <c:v>336332.14</c:v>
                </c:pt>
                <c:pt idx="207" formatCode="#,##0_);[Red]\(#,##0\)">
                  <c:v>336332</c:v>
                </c:pt>
                <c:pt idx="208" formatCode="#,##0_);[Red]\(#,##0\)">
                  <c:v>339185.02</c:v>
                </c:pt>
                <c:pt idx="209" formatCode="#,##0_);[Red]\(#,##0\)">
                  <c:v>344936.35</c:v>
                </c:pt>
                <c:pt idx="210" formatCode="#,##0_);[Red]\(#,##0\)">
                  <c:v>344564.68</c:v>
                </c:pt>
                <c:pt idx="211" formatCode="#,##0_);[Red]\(#,##0\)">
                  <c:v>344565</c:v>
                </c:pt>
                <c:pt idx="212" formatCode="#,##0_);[Red]\(#,##0\)">
                  <c:v>344829.18</c:v>
                </c:pt>
                <c:pt idx="213" formatCode="#,##0_);[Red]\(#,##0\)">
                  <c:v>339942.05</c:v>
                </c:pt>
                <c:pt idx="214" formatCode="#,##0_);[Red]\(#,##0\)">
                  <c:v>360185.72</c:v>
                </c:pt>
                <c:pt idx="215" formatCode="#,##0_);[Red]\(#,##0\)">
                  <c:v>323067.73</c:v>
                </c:pt>
                <c:pt idx="216" formatCode="#,##0_);[Red]\(#,##0\)">
                  <c:v>323197.73</c:v>
                </c:pt>
                <c:pt idx="217" formatCode="#,##0_);[Red]\(#,##0\)">
                  <c:v>323198</c:v>
                </c:pt>
                <c:pt idx="218" formatCode="#,##0_);[Red]\(#,##0\)">
                  <c:v>341044.7</c:v>
                </c:pt>
                <c:pt idx="219" formatCode="#,##0_);[Red]\(#,##0\)">
                  <c:v>341676.17</c:v>
                </c:pt>
                <c:pt idx="220" formatCode="#,##0_);[Red]\(#,##0\)">
                  <c:v>341676</c:v>
                </c:pt>
                <c:pt idx="221" formatCode="#,##0_);[Red]\(#,##0\)">
                  <c:v>341676</c:v>
                </c:pt>
                <c:pt idx="222" formatCode="#,##0_);[Red]\(#,##0\)">
                  <c:v>379863.97</c:v>
                </c:pt>
                <c:pt idx="223" formatCode="#,##0_);[Red]\(#,##0\)">
                  <c:v>378842.06</c:v>
                </c:pt>
                <c:pt idx="224" formatCode="#,##0_);[Red]\(#,##0\)">
                  <c:v>378842</c:v>
                </c:pt>
                <c:pt idx="225" formatCode="#,##0_);[Red]\(#,##0\)">
                  <c:v>340784.14</c:v>
                </c:pt>
                <c:pt idx="226" formatCode="#,##0_);[Red]\(#,##0\)">
                  <c:v>340784</c:v>
                </c:pt>
                <c:pt idx="227" formatCode="#,##0_);[Red]\(#,##0\)">
                  <c:v>340895.76</c:v>
                </c:pt>
                <c:pt idx="228" formatCode="#,##0_);[Red]\(#,##0\)">
                  <c:v>354246.44</c:v>
                </c:pt>
                <c:pt idx="229" formatCode="#,##0_);[Red]\(#,##0\)">
                  <c:v>354246.44</c:v>
                </c:pt>
                <c:pt idx="230" formatCode="#,##0_);[Red]\(#,##0\)">
                  <c:v>354264.44</c:v>
                </c:pt>
                <c:pt idx="231" formatCode="#,##0_);[Red]\(#,##0\)">
                  <c:v>354264</c:v>
                </c:pt>
                <c:pt idx="232" formatCode="#,##0_);[Red]\(#,##0\)">
                  <c:v>357804.55</c:v>
                </c:pt>
                <c:pt idx="233" formatCode="#,##0_);[Red]\(#,##0\)">
                  <c:v>357805</c:v>
                </c:pt>
                <c:pt idx="234" formatCode="#,##0_);[Red]\(#,##0\)">
                  <c:v>361119.05</c:v>
                </c:pt>
                <c:pt idx="235" formatCode="#,##0_);[Red]\(#,##0\)">
                  <c:v>318415.71000000002</c:v>
                </c:pt>
                <c:pt idx="236" formatCode="#,##0_);[Red]\(#,##0\)">
                  <c:v>320237.53999999998</c:v>
                </c:pt>
                <c:pt idx="237" formatCode="#,##0_);[Red]\(#,##0\)">
                  <c:v>320237.53999999998</c:v>
                </c:pt>
                <c:pt idx="238" formatCode="#,##0_);[Red]\(#,##0\)">
                  <c:v>325286.46999999997</c:v>
                </c:pt>
                <c:pt idx="239" formatCode="#,##0_);[Red]\(#,##0\)">
                  <c:v>334247.03000000003</c:v>
                </c:pt>
                <c:pt idx="240" formatCode="#,##0_);[Red]\(#,##0\)">
                  <c:v>334247</c:v>
                </c:pt>
                <c:pt idx="241" formatCode="#,##0_);[Red]\(#,##0\)">
                  <c:v>334247.03000000003</c:v>
                </c:pt>
                <c:pt idx="242" formatCode="#,##0_);[Red]\(#,##0\)">
                  <c:v>334247</c:v>
                </c:pt>
                <c:pt idx="243" formatCode="#,##0_);[Red]\(#,##0\)">
                  <c:v>323171.46000000002</c:v>
                </c:pt>
                <c:pt idx="244" formatCode="#,##0_);[Red]\(#,##0\)">
                  <c:v>324229.90999999997</c:v>
                </c:pt>
                <c:pt idx="245" formatCode="#,##0_);[Red]\(#,##0\)">
                  <c:v>324230</c:v>
                </c:pt>
                <c:pt idx="246" formatCode="#,##0_);[Red]\(#,##0\)">
                  <c:v>286030.39</c:v>
                </c:pt>
                <c:pt idx="247" formatCode="#,##0_);[Red]\(#,##0\)">
                  <c:v>286197.44</c:v>
                </c:pt>
                <c:pt idx="248" formatCode="#,##0_);[Red]\(#,##0\)">
                  <c:v>280065.2</c:v>
                </c:pt>
                <c:pt idx="249" formatCode="#,##0_);[Red]\(#,##0\)">
                  <c:v>284409.09999999998</c:v>
                </c:pt>
                <c:pt idx="250" formatCode="#,##0_);[Red]\(#,##0\)">
                  <c:v>285119.09999999998</c:v>
                </c:pt>
                <c:pt idx="251" formatCode="#,##0_);[Red]\(#,##0\)">
                  <c:v>285395.49</c:v>
                </c:pt>
                <c:pt idx="252" formatCode="#,##0_);[Red]\(#,##0\)">
                  <c:v>285395</c:v>
                </c:pt>
                <c:pt idx="253" formatCode="#,##0_);[Red]\(#,##0\)">
                  <c:v>285542.49</c:v>
                </c:pt>
                <c:pt idx="254" formatCode="#,##0_);[Red]\(#,##0\)">
                  <c:v>285542</c:v>
                </c:pt>
                <c:pt idx="255" formatCode="#,##0_);[Red]\(#,##0\)">
                  <c:v>285542</c:v>
                </c:pt>
                <c:pt idx="256" formatCode="#,##0_);[Red]\(#,##0\)">
                  <c:v>248584.72</c:v>
                </c:pt>
                <c:pt idx="257" formatCode="#,##0_);[Red]\(#,##0\)">
                  <c:v>248585</c:v>
                </c:pt>
                <c:pt idx="258" formatCode="#,##0_);[Red]\(#,##0\)">
                  <c:v>270685.83</c:v>
                </c:pt>
                <c:pt idx="259" formatCode="#,##0_);[Red]\(#,##0\)">
                  <c:v>282558.58</c:v>
                </c:pt>
              </c:numCache>
            </c:numRef>
          </c:val>
          <c:smooth val="0"/>
        </c:ser>
        <c:dLbls>
          <c:showLegendKey val="0"/>
          <c:showVal val="0"/>
          <c:showCatName val="0"/>
          <c:showSerName val="0"/>
          <c:showPercent val="0"/>
          <c:showBubbleSize val="0"/>
        </c:dLbls>
        <c:smooth val="0"/>
        <c:axId val="127879232"/>
        <c:axId val="181682728"/>
      </c:lineChart>
      <c:dateAx>
        <c:axId val="127879232"/>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682728"/>
        <c:crosses val="autoZero"/>
        <c:auto val="1"/>
        <c:lblOffset val="100"/>
        <c:baseTimeUnit val="days"/>
        <c:majorUnit val="30"/>
        <c:majorTimeUnit val="days"/>
        <c:minorUnit val="4"/>
        <c:minorTimeUnit val="months"/>
      </c:dateAx>
      <c:valAx>
        <c:axId val="181682728"/>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879232"/>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Data!$D$184:$D$197</c:f>
              <c:numCache>
                <c:formatCode>mmm\-yy</c:formatCode>
                <c:ptCount val="14"/>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numCache>
            </c:numRef>
          </c:cat>
          <c:val>
            <c:numRef>
              <c:f>Data!$E$184:$E$197</c:f>
              <c:numCache>
                <c:formatCode>"$"#,##0_);[Red]\("$"#,##0\)</c:formatCode>
                <c:ptCount val="14"/>
                <c:pt idx="0">
                  <c:v>249807.51</c:v>
                </c:pt>
                <c:pt idx="1">
                  <c:v>351420.1</c:v>
                </c:pt>
                <c:pt idx="2">
                  <c:v>253330.36</c:v>
                </c:pt>
                <c:pt idx="3">
                  <c:v>280744.2</c:v>
                </c:pt>
                <c:pt idx="4">
                  <c:v>319478.15999999997</c:v>
                </c:pt>
                <c:pt idx="5">
                  <c:v>241828.1</c:v>
                </c:pt>
                <c:pt idx="6">
                  <c:v>248981.18</c:v>
                </c:pt>
                <c:pt idx="7">
                  <c:v>268936.05</c:v>
                </c:pt>
                <c:pt idx="8">
                  <c:v>198251.6</c:v>
                </c:pt>
                <c:pt idx="9">
                  <c:v>178964.63</c:v>
                </c:pt>
                <c:pt idx="10">
                  <c:v>199171.39</c:v>
                </c:pt>
                <c:pt idx="11">
                  <c:v>180584.58</c:v>
                </c:pt>
                <c:pt idx="12">
                  <c:v>256836.77999999997</c:v>
                </c:pt>
              </c:numCache>
            </c:numRef>
          </c:val>
        </c:ser>
        <c:dLbls>
          <c:showLegendKey val="0"/>
          <c:showVal val="0"/>
          <c:showCatName val="0"/>
          <c:showSerName val="0"/>
          <c:showPercent val="0"/>
          <c:showBubbleSize val="0"/>
        </c:dLbls>
        <c:gapWidth val="243"/>
        <c:overlap val="-83"/>
        <c:axId val="182571088"/>
        <c:axId val="182571472"/>
      </c:barChart>
      <c:dateAx>
        <c:axId val="1825710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571472"/>
        <c:crosses val="autoZero"/>
        <c:auto val="1"/>
        <c:lblOffset val="100"/>
        <c:baseTimeUnit val="months"/>
      </c:dateAx>
      <c:valAx>
        <c:axId val="1825714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57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'December''17 AR Aging '!$B$173</c:f>
              <c:strCache>
                <c:ptCount val="1"/>
                <c:pt idx="0">
                  <c:v>Current Month</c:v>
                </c:pt>
              </c:strCache>
            </c:strRef>
          </c:tx>
          <c:spPr>
            <a:solidFill>
              <a:srgbClr val="0070C0"/>
            </a:solidFill>
          </c:spPr>
          <c:invertIfNegative val="0"/>
          <c:val>
            <c:numRef>
              <c:f>'December''17 AR Aging '!$C$173:$N$173</c:f>
            </c:numRef>
          </c:val>
          <c:extLst>
            <c:ext xmlns:c15="http://schemas.microsoft.com/office/drawing/2012/chart" uri="{02D57815-91ED-43cb-92C2-25804820EDAC}">
              <c15:filteredCategoryTitle>
                <c15:cat>
                  <c:multiLvlStrRef>
                    <c:extLst>
                      <c:ext uri="{02D57815-91ED-43cb-92C2-25804820EDAC}">
                        <c15:formulaRef>
                          <c15:sqref>'December''17 AR Aging '!$C$172:$N$172</c15:sqref>
                        </c15:formulaRef>
                      </c:ext>
                    </c:extLst>
                  </c:multiLvlStrRef>
                </c15:cat>
              </c15:filteredCategoryTitle>
            </c:ext>
          </c:extLst>
        </c:ser>
        <c:ser>
          <c:idx val="1"/>
          <c:order val="1"/>
          <c:tx>
            <c:strRef>
              <c:f>'December''17 AR Aging '!$B$174</c:f>
              <c:strCache>
                <c:ptCount val="1"/>
                <c:pt idx="0">
                  <c:v>Previous Month</c:v>
                </c:pt>
              </c:strCache>
            </c:strRef>
          </c:tx>
          <c:spPr>
            <a:solidFill>
              <a:schemeClr val="accent6">
                <a:lumMod val="40000"/>
                <a:lumOff val="60000"/>
              </a:schemeClr>
            </a:solidFill>
          </c:spPr>
          <c:invertIfNegative val="0"/>
          <c:val>
            <c:numRef>
              <c:f>'December''17 AR Aging '!$C$174:$N$174</c:f>
            </c:numRef>
          </c:val>
          <c:extLst>
            <c:ext xmlns:c15="http://schemas.microsoft.com/office/drawing/2012/chart" uri="{02D57815-91ED-43cb-92C2-25804820EDAC}">
              <c15:filteredCategoryTitle>
                <c15:cat>
                  <c:multiLvlStrRef>
                    <c:extLst>
                      <c:ext uri="{02D57815-91ED-43cb-92C2-25804820EDAC}">
                        <c15:formulaRef>
                          <c15:sqref>'December''17 AR Aging '!$C$172:$N$172</c15:sqref>
                        </c15:formulaRef>
                      </c:ext>
                    </c:extLst>
                  </c:multiLvlStrRef>
                </c15:cat>
              </c15:filteredCategoryTitle>
            </c:ext>
          </c:extLst>
        </c:ser>
        <c:ser>
          <c:idx val="2"/>
          <c:order val="2"/>
          <c:tx>
            <c:strRef>
              <c:f>'December''17 AR Aging '!$B$175</c:f>
              <c:strCache>
                <c:ptCount val="1"/>
                <c:pt idx="0">
                  <c:v>Three Months Ago</c:v>
                </c:pt>
              </c:strCache>
            </c:strRef>
          </c:tx>
          <c:spPr>
            <a:solidFill>
              <a:schemeClr val="accent3">
                <a:lumMod val="75000"/>
              </a:schemeClr>
            </a:solidFill>
          </c:spPr>
          <c:invertIfNegative val="0"/>
          <c:val>
            <c:numRef>
              <c:f>'December''17 AR Aging '!$C$175:$N$175</c:f>
            </c:numRef>
          </c:val>
          <c:extLst>
            <c:ext xmlns:c15="http://schemas.microsoft.com/office/drawing/2012/chart" uri="{02D57815-91ED-43cb-92C2-25804820EDAC}">
              <c15:filteredCategoryTitle>
                <c15:cat>
                  <c:multiLvlStrRef>
                    <c:extLst>
                      <c:ext uri="{02D57815-91ED-43cb-92C2-25804820EDAC}">
                        <c15:formulaRef>
                          <c15:sqref>'December''17 AR Aging '!$C$172:$N$172</c15:sqref>
                        </c15:formulaRef>
                      </c:ext>
                    </c:extLst>
                  </c:multiLvlStrRef>
                </c15:cat>
              </c15:filteredCategoryTitle>
            </c:ext>
          </c:extLst>
        </c:ser>
        <c:ser>
          <c:idx val="3"/>
          <c:order val="3"/>
          <c:tx>
            <c:strRef>
              <c:f>'December''17 AR Aging '!$B$176</c:f>
              <c:strCache>
                <c:ptCount val="1"/>
                <c:pt idx="0">
                  <c:v>Older than Three Months</c:v>
                </c:pt>
              </c:strCache>
            </c:strRef>
          </c:tx>
          <c:spPr>
            <a:solidFill>
              <a:schemeClr val="accent4">
                <a:lumMod val="40000"/>
                <a:lumOff val="60000"/>
              </a:schemeClr>
            </a:solidFill>
          </c:spPr>
          <c:invertIfNegative val="0"/>
          <c:val>
            <c:numRef>
              <c:f>'December''17 AR Aging '!$C$176:$N$176</c:f>
            </c:numRef>
          </c:val>
          <c:extLst>
            <c:ext xmlns:c15="http://schemas.microsoft.com/office/drawing/2012/chart" uri="{02D57815-91ED-43cb-92C2-25804820EDAC}">
              <c15:filteredCategoryTitle>
                <c15:cat>
                  <c:multiLvlStrRef>
                    <c:extLst>
                      <c:ext uri="{02D57815-91ED-43cb-92C2-25804820EDAC}">
                        <c15:formulaRef>
                          <c15:sqref>'December''17 AR Aging '!$C$172:$N$172</c15:sqref>
                        </c15:formulaRef>
                      </c:ext>
                    </c:extLst>
                  </c:multiLvlStrRef>
                </c15:cat>
              </c15:filteredCategoryTitle>
            </c:ext>
          </c:extLst>
        </c:ser>
        <c:dLbls>
          <c:showLegendKey val="0"/>
          <c:showVal val="0"/>
          <c:showCatName val="0"/>
          <c:showSerName val="0"/>
          <c:showPercent val="0"/>
          <c:showBubbleSize val="0"/>
        </c:dLbls>
        <c:gapWidth val="56"/>
        <c:overlap val="100"/>
        <c:axId val="229814392"/>
        <c:axId val="229816824"/>
      </c:barChart>
      <c:catAx>
        <c:axId val="229814392"/>
        <c:scaling>
          <c:orientation val="minMax"/>
        </c:scaling>
        <c:delete val="0"/>
        <c:axPos val="b"/>
        <c:numFmt formatCode="[$-409]mmmm\-yy;@" sourceLinked="1"/>
        <c:majorTickMark val="none"/>
        <c:minorTickMark val="none"/>
        <c:tickLblPos val="nextTo"/>
        <c:spPr>
          <a:noFill/>
          <a:ln w="22225"/>
        </c:spPr>
        <c:crossAx val="229816824"/>
        <c:crosses val="autoZero"/>
        <c:auto val="0"/>
        <c:lblAlgn val="ctr"/>
        <c:lblOffset val="100"/>
        <c:tickLblSkip val="1"/>
        <c:noMultiLvlLbl val="0"/>
      </c:catAx>
      <c:valAx>
        <c:axId val="229816824"/>
        <c:scaling>
          <c:orientation val="minMax"/>
        </c:scaling>
        <c:delete val="0"/>
        <c:axPos val="l"/>
        <c:majorGridlines/>
        <c:numFmt formatCode="&quot;$&quot;#,##0_);[Red]\(&quot;$&quot;#,##0\)" sourceLinked="1"/>
        <c:majorTickMark val="none"/>
        <c:minorTickMark val="none"/>
        <c:tickLblPos val="nextTo"/>
        <c:crossAx val="229814392"/>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800099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18</xdr:row>
      <xdr:rowOff>180976</xdr:rowOff>
    </xdr:from>
    <xdr:to>
      <xdr:col>7</xdr:col>
      <xdr:colOff>571500</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166</xdr:row>
      <xdr:rowOff>47625</xdr:rowOff>
    </xdr:from>
    <xdr:to>
      <xdr:col>8</xdr:col>
      <xdr:colOff>523875</xdr:colOff>
      <xdr:row>203</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zoomScaleNormal="100" workbookViewId="0">
      <selection activeCell="L10" sqref="L10"/>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6384" width="9" style="4"/>
  </cols>
  <sheetData>
    <row r="1" spans="1:8" ht="23.25" x14ac:dyDescent="0.2">
      <c r="A1" s="693" t="s">
        <v>193</v>
      </c>
      <c r="B1" s="693"/>
      <c r="C1" s="693"/>
      <c r="D1" s="693"/>
      <c r="E1" s="693"/>
      <c r="F1" s="693"/>
      <c r="G1" s="693"/>
      <c r="H1" s="693"/>
    </row>
    <row r="2" spans="1:8" ht="23.25" x14ac:dyDescent="0.2">
      <c r="A2" s="693" t="s">
        <v>194</v>
      </c>
      <c r="B2" s="693"/>
      <c r="C2" s="693"/>
      <c r="D2" s="693"/>
      <c r="E2" s="693"/>
      <c r="F2" s="693"/>
      <c r="G2" s="693"/>
      <c r="H2" s="693"/>
    </row>
    <row r="3" spans="1:8" ht="23.25" x14ac:dyDescent="0.2">
      <c r="A3" s="694">
        <v>43116</v>
      </c>
      <c r="B3" s="694"/>
      <c r="C3" s="694"/>
      <c r="D3" s="694"/>
      <c r="E3" s="694"/>
      <c r="F3" s="694"/>
      <c r="G3" s="694"/>
      <c r="H3" s="694"/>
    </row>
    <row r="4" spans="1:8" ht="21.75" customHeight="1" x14ac:dyDescent="0.25">
      <c r="A4" s="696" t="s">
        <v>211</v>
      </c>
      <c r="B4" s="696"/>
      <c r="C4" s="696"/>
      <c r="D4" s="696"/>
      <c r="E4" s="696"/>
      <c r="F4" s="696"/>
      <c r="G4" s="696"/>
      <c r="H4" s="696"/>
    </row>
    <row r="5" spans="1:8" ht="51" customHeight="1" x14ac:dyDescent="0.2">
      <c r="A5" s="697" t="s">
        <v>447</v>
      </c>
      <c r="B5" s="697"/>
      <c r="C5" s="697"/>
      <c r="D5" s="697"/>
      <c r="E5" s="697"/>
      <c r="F5" s="697"/>
      <c r="G5" s="697"/>
      <c r="H5" s="697"/>
    </row>
    <row r="6" spans="1:8" ht="81" customHeight="1" x14ac:dyDescent="0.2">
      <c r="A6" s="539"/>
      <c r="B6" s="539"/>
      <c r="C6" s="539"/>
      <c r="D6" s="539"/>
      <c r="E6" s="539"/>
      <c r="F6" s="539"/>
      <c r="G6" s="539"/>
      <c r="H6" s="539"/>
    </row>
    <row r="7" spans="1:8" ht="81" customHeight="1" x14ac:dyDescent="0.2">
      <c r="A7" s="539"/>
      <c r="B7" s="539"/>
      <c r="C7" s="539"/>
      <c r="D7" s="539"/>
      <c r="E7" s="539"/>
      <c r="F7" s="539"/>
      <c r="G7" s="539"/>
      <c r="H7" s="539"/>
    </row>
    <row r="8" spans="1:8" ht="81" customHeight="1" x14ac:dyDescent="0.2">
      <c r="A8" s="539"/>
      <c r="B8" s="539"/>
      <c r="C8" s="539"/>
      <c r="D8" s="539"/>
      <c r="E8" s="539"/>
      <c r="F8" s="539"/>
      <c r="G8" s="539"/>
      <c r="H8" s="539"/>
    </row>
    <row r="9" spans="1:8" ht="38.25" customHeight="1" x14ac:dyDescent="0.2">
      <c r="A9" s="697" t="s">
        <v>456</v>
      </c>
      <c r="B9" s="697"/>
      <c r="C9" s="697"/>
      <c r="D9" s="697"/>
      <c r="E9" s="697"/>
      <c r="F9" s="697"/>
      <c r="G9" s="697"/>
      <c r="H9" s="697"/>
    </row>
    <row r="10" spans="1:8" ht="15.75" x14ac:dyDescent="0.25">
      <c r="A10" s="507"/>
      <c r="B10" s="695"/>
      <c r="C10" s="695"/>
      <c r="D10" s="497"/>
      <c r="E10" s="503" t="s">
        <v>56</v>
      </c>
      <c r="F10" s="497"/>
      <c r="G10" s="498"/>
      <c r="H10" s="507"/>
    </row>
    <row r="11" spans="1:8" ht="15.75" customHeight="1" x14ac:dyDescent="0.25">
      <c r="A11" s="507"/>
      <c r="C11" s="695" t="s">
        <v>201</v>
      </c>
      <c r="D11" s="695"/>
      <c r="E11" s="540">
        <f>'December''17 AR Aging '!G8</f>
        <v>38966.769999999997</v>
      </c>
      <c r="F11" s="499"/>
      <c r="G11" s="499"/>
      <c r="H11" s="507"/>
    </row>
    <row r="12" spans="1:8" ht="15.75" customHeight="1" x14ac:dyDescent="0.25">
      <c r="A12" s="507"/>
      <c r="C12" s="695" t="s">
        <v>233</v>
      </c>
      <c r="D12" s="695"/>
      <c r="E12" s="540">
        <f>'December''17 AR Aging '!G32</f>
        <v>79503.39</v>
      </c>
      <c r="F12" s="499"/>
      <c r="G12" s="499"/>
      <c r="H12" s="507"/>
    </row>
    <row r="13" spans="1:8" ht="15.75" customHeight="1" x14ac:dyDescent="0.25">
      <c r="A13" s="507"/>
      <c r="C13" s="695" t="s">
        <v>234</v>
      </c>
      <c r="D13" s="695"/>
      <c r="E13" s="540">
        <f>'December''17 AR Aging '!G14</f>
        <v>50670.13</v>
      </c>
      <c r="F13" s="499"/>
      <c r="G13" s="499"/>
      <c r="H13" s="507"/>
    </row>
    <row r="14" spans="1:8" ht="15.75" customHeight="1" x14ac:dyDescent="0.25">
      <c r="A14" s="507"/>
      <c r="C14" s="695" t="s">
        <v>235</v>
      </c>
      <c r="D14" s="695"/>
      <c r="E14" s="540">
        <f>'December''17 AR Aging '!G23</f>
        <v>26651.93</v>
      </c>
      <c r="F14" s="499"/>
      <c r="G14" s="499"/>
      <c r="H14" s="507"/>
    </row>
    <row r="15" spans="1:8" ht="15.75" customHeight="1" x14ac:dyDescent="0.25">
      <c r="A15" s="507"/>
      <c r="C15" s="695" t="s">
        <v>236</v>
      </c>
      <c r="D15" s="695"/>
      <c r="E15" s="540">
        <f>'December''17 AR Aging '!G41</f>
        <v>16551.919999999998</v>
      </c>
      <c r="F15" s="499"/>
      <c r="G15" s="499"/>
      <c r="H15" s="507"/>
    </row>
    <row r="16" spans="1:8" ht="15.75" customHeight="1" x14ac:dyDescent="0.25">
      <c r="A16" s="507"/>
      <c r="C16" s="695" t="s">
        <v>237</v>
      </c>
      <c r="D16" s="695"/>
      <c r="E16" s="540">
        <f>'December''17 AR Aging '!G49+'December''17 AR Aging '!G54+'December''17 AR Aging '!G56+'December''17 AR Aging '!G39+'December''17 AR Aging '!G60</f>
        <v>42278.479999999996</v>
      </c>
      <c r="F16" s="499"/>
      <c r="G16" s="499"/>
      <c r="H16" s="507"/>
    </row>
    <row r="17" spans="1:12" ht="15.75" customHeight="1" x14ac:dyDescent="0.25">
      <c r="A17" s="507"/>
      <c r="C17" s="695" t="s">
        <v>208</v>
      </c>
      <c r="D17" s="695"/>
      <c r="E17" s="540">
        <f>'December''17 AR Aging '!G58</f>
        <v>2214.16</v>
      </c>
      <c r="F17" s="499"/>
      <c r="G17" s="499"/>
      <c r="H17" s="507"/>
    </row>
    <row r="18" spans="1:12" ht="16.5" thickBot="1" x14ac:dyDescent="0.3">
      <c r="A18" s="507"/>
      <c r="B18" s="695" t="s">
        <v>238</v>
      </c>
      <c r="C18" s="695"/>
      <c r="D18" s="504"/>
      <c r="E18" s="505">
        <f>SUM(E11:E17)</f>
        <v>256836.78</v>
      </c>
      <c r="F18" s="504"/>
      <c r="G18" s="504"/>
      <c r="H18" s="507"/>
    </row>
    <row r="19" spans="1:12" ht="38.25" customHeight="1" thickTop="1" x14ac:dyDescent="0.2">
      <c r="A19" s="631"/>
      <c r="B19" s="631"/>
      <c r="C19" s="631"/>
      <c r="D19" s="631"/>
      <c r="E19" s="631"/>
      <c r="F19" s="631"/>
      <c r="G19" s="631"/>
      <c r="H19" s="631"/>
    </row>
    <row r="20" spans="1:12" ht="88.5" customHeight="1" x14ac:dyDescent="0.2">
      <c r="A20" s="631"/>
      <c r="B20" s="631"/>
      <c r="C20" s="631"/>
      <c r="D20" s="631"/>
      <c r="E20" s="631"/>
      <c r="F20" s="631"/>
      <c r="G20" s="631"/>
      <c r="H20" s="631"/>
    </row>
    <row r="21" spans="1:12" ht="88.5" customHeight="1" x14ac:dyDescent="0.2">
      <c r="A21" s="631"/>
      <c r="B21" s="631"/>
      <c r="C21" s="631"/>
      <c r="D21" s="631"/>
      <c r="E21" s="631"/>
      <c r="F21" s="631"/>
      <c r="G21" s="631"/>
      <c r="H21" s="631"/>
    </row>
    <row r="22" spans="1:12" ht="88.5" customHeight="1" x14ac:dyDescent="0.2">
      <c r="A22" s="631"/>
      <c r="B22" s="631"/>
      <c r="C22" s="631"/>
      <c r="D22" s="631"/>
      <c r="E22" s="631"/>
      <c r="F22" s="631"/>
      <c r="G22" s="631"/>
      <c r="H22" s="631"/>
    </row>
    <row r="23" spans="1:12" ht="35.25" hidden="1" customHeight="1" x14ac:dyDescent="0.2">
      <c r="A23" s="697" t="s">
        <v>385</v>
      </c>
      <c r="B23" s="697"/>
      <c r="C23" s="697"/>
      <c r="D23" s="697"/>
      <c r="E23" s="697"/>
      <c r="F23" s="697"/>
      <c r="G23" s="697"/>
      <c r="H23" s="697"/>
    </row>
    <row r="24" spans="1:12" ht="15" customHeight="1" x14ac:dyDescent="0.2">
      <c r="A24" s="631"/>
      <c r="B24" s="631"/>
      <c r="C24" s="631"/>
      <c r="D24" s="631"/>
      <c r="E24" s="631"/>
      <c r="F24" s="631"/>
      <c r="G24" s="631"/>
      <c r="H24" s="631"/>
    </row>
    <row r="25" spans="1:12" ht="38.25" customHeight="1" x14ac:dyDescent="0.2">
      <c r="A25" s="697" t="s">
        <v>448</v>
      </c>
      <c r="B25" s="697"/>
      <c r="C25" s="697"/>
      <c r="D25" s="697"/>
      <c r="E25" s="697"/>
      <c r="F25" s="697"/>
      <c r="G25" s="697"/>
      <c r="H25" s="697"/>
    </row>
    <row r="26" spans="1:12" ht="17.25" customHeight="1" x14ac:dyDescent="0.2">
      <c r="A26" s="539"/>
      <c r="B26"/>
      <c r="C26" s="551" t="s">
        <v>302</v>
      </c>
      <c r="D26" s="552" t="s">
        <v>291</v>
      </c>
      <c r="E26" s="552" t="s">
        <v>292</v>
      </c>
      <c r="F26" s="552" t="s">
        <v>293</v>
      </c>
      <c r="G26" s="552" t="s">
        <v>294</v>
      </c>
      <c r="H26" s="573"/>
    </row>
    <row r="27" spans="1:12" ht="15" x14ac:dyDescent="0.2">
      <c r="A27" s="539"/>
      <c r="B27" s="43" t="s">
        <v>295</v>
      </c>
      <c r="C27" s="602">
        <v>-0.03</v>
      </c>
      <c r="D27" s="602">
        <f>-SUM(D29:D34)</f>
        <v>-4345.8599999999997</v>
      </c>
      <c r="E27" s="602">
        <f>SUM(E29:E34)</f>
        <v>4345.8599999999997</v>
      </c>
      <c r="F27" s="602"/>
      <c r="G27" s="602">
        <f>C27+D27+E27</f>
        <v>-2.9999999999745341E-2</v>
      </c>
      <c r="H27" s="574"/>
      <c r="J27" s="558"/>
    </row>
    <row r="28" spans="1:12" ht="15" x14ac:dyDescent="0.2">
      <c r="A28" s="539"/>
      <c r="B28" s="43"/>
      <c r="C28" s="602"/>
      <c r="D28" s="602"/>
      <c r="E28" s="602"/>
      <c r="F28" s="602"/>
      <c r="G28" s="602"/>
      <c r="H28" s="574"/>
    </row>
    <row r="29" spans="1:12" ht="15" x14ac:dyDescent="0.2">
      <c r="A29" s="539"/>
      <c r="B29" s="43" t="s">
        <v>296</v>
      </c>
      <c r="C29" s="602">
        <v>26400.080000000002</v>
      </c>
      <c r="D29" s="602">
        <v>1248.77</v>
      </c>
      <c r="E29" s="602">
        <f t="shared" ref="E29:E34" si="0">D29</f>
        <v>1248.77</v>
      </c>
      <c r="F29" s="602">
        <v>930.14</v>
      </c>
      <c r="G29" s="602">
        <f>C29+D29+F29</f>
        <v>28578.99</v>
      </c>
      <c r="H29" s="580"/>
      <c r="I29" s="558"/>
      <c r="L29" s="571"/>
    </row>
    <row r="30" spans="1:12" ht="15" x14ac:dyDescent="0.2">
      <c r="A30" s="539"/>
      <c r="B30" s="43" t="s">
        <v>297</v>
      </c>
      <c r="C30" s="602">
        <v>24919.01</v>
      </c>
      <c r="D30" s="602">
        <v>631.74</v>
      </c>
      <c r="E30" s="602">
        <f t="shared" si="0"/>
        <v>631.74</v>
      </c>
      <c r="F30" s="602">
        <v>-580.53</v>
      </c>
      <c r="G30" s="602">
        <f t="shared" ref="G30:G34" si="1">C30+D30+F30</f>
        <v>24970.22</v>
      </c>
      <c r="H30" s="580"/>
      <c r="I30" s="558"/>
      <c r="L30" s="571"/>
    </row>
    <row r="31" spans="1:12" ht="15" x14ac:dyDescent="0.2">
      <c r="A31" s="539"/>
      <c r="B31" s="43" t="s">
        <v>298</v>
      </c>
      <c r="C31" s="602">
        <v>25840.51</v>
      </c>
      <c r="D31" s="602">
        <v>822.81</v>
      </c>
      <c r="E31" s="602">
        <f t="shared" si="0"/>
        <v>822.81</v>
      </c>
      <c r="F31" s="602">
        <v>5897.77</v>
      </c>
      <c r="G31" s="602">
        <f t="shared" si="1"/>
        <v>32561.09</v>
      </c>
      <c r="H31" s="580"/>
      <c r="I31" s="558"/>
      <c r="L31" s="571"/>
    </row>
    <row r="32" spans="1:12" ht="15" x14ac:dyDescent="0.2">
      <c r="A32" s="539"/>
      <c r="B32" s="43" t="s">
        <v>299</v>
      </c>
      <c r="C32" s="602">
        <v>25201.86</v>
      </c>
      <c r="D32" s="602">
        <v>379.14</v>
      </c>
      <c r="E32" s="602">
        <f t="shared" si="0"/>
        <v>379.14</v>
      </c>
      <c r="F32" s="602">
        <v>-515.21</v>
      </c>
      <c r="G32" s="602">
        <f t="shared" si="1"/>
        <v>25065.79</v>
      </c>
      <c r="H32" s="580"/>
      <c r="I32" s="558"/>
      <c r="L32" s="571"/>
    </row>
    <row r="33" spans="1:12" ht="15" x14ac:dyDescent="0.2">
      <c r="A33" s="539"/>
      <c r="B33" s="43" t="s">
        <v>300</v>
      </c>
      <c r="C33" s="602">
        <v>25507.19</v>
      </c>
      <c r="D33" s="602">
        <v>482.9</v>
      </c>
      <c r="E33" s="602">
        <f t="shared" si="0"/>
        <v>482.9</v>
      </c>
      <c r="F33" s="602">
        <v>578.36</v>
      </c>
      <c r="G33" s="602">
        <f t="shared" si="1"/>
        <v>26568.45</v>
      </c>
      <c r="H33" s="580"/>
      <c r="I33" s="558"/>
      <c r="L33" s="571"/>
    </row>
    <row r="34" spans="1:12" ht="15" x14ac:dyDescent="0.2">
      <c r="A34" s="539"/>
      <c r="B34" s="43" t="s">
        <v>301</v>
      </c>
      <c r="C34" s="602">
        <v>26664.45</v>
      </c>
      <c r="D34" s="602">
        <v>780.5</v>
      </c>
      <c r="E34" s="602">
        <f t="shared" si="0"/>
        <v>780.5</v>
      </c>
      <c r="F34" s="602">
        <v>-251.65</v>
      </c>
      <c r="G34" s="602">
        <f t="shared" si="1"/>
        <v>27193.3</v>
      </c>
      <c r="H34" s="580"/>
      <c r="I34" s="558"/>
      <c r="L34" s="571"/>
    </row>
    <row r="35" spans="1:12" ht="15" x14ac:dyDescent="0.2">
      <c r="A35" s="539"/>
      <c r="B35" s="43"/>
      <c r="C35" s="602"/>
      <c r="D35" s="602"/>
      <c r="E35" s="602"/>
      <c r="F35" s="602"/>
      <c r="G35" s="602"/>
      <c r="H35" s="573"/>
    </row>
    <row r="36" spans="1:12" ht="15.75" thickBot="1" x14ac:dyDescent="0.25">
      <c r="A36" s="555"/>
      <c r="B36" s="18"/>
      <c r="C36" s="604">
        <f>SUM(C29:C35)</f>
        <v>154533.1</v>
      </c>
      <c r="D36" s="603"/>
      <c r="E36" s="603" t="s">
        <v>318</v>
      </c>
      <c r="F36" s="604">
        <f>SUM(F29:F35)</f>
        <v>6058.88</v>
      </c>
      <c r="G36" s="604">
        <f>SUM(G27:G35)+0.5</f>
        <v>164938.31</v>
      </c>
      <c r="H36" s="575">
        <f>(G36-154533.13)/154533.13</f>
        <v>6.7333004903220375E-2</v>
      </c>
    </row>
    <row r="37" spans="1:12" ht="15.75" thickTop="1" x14ac:dyDescent="0.2">
      <c r="A37" s="539"/>
      <c r="B37" s="539"/>
      <c r="C37" s="539"/>
      <c r="D37" s="539"/>
      <c r="E37" s="539"/>
      <c r="F37" s="539"/>
      <c r="G37" s="539"/>
      <c r="H37" s="539"/>
    </row>
    <row r="38" spans="1:12" ht="47.25" customHeight="1" x14ac:dyDescent="0.2">
      <c r="A38" s="539"/>
      <c r="B38" s="707" t="s">
        <v>308</v>
      </c>
      <c r="C38" s="708"/>
      <c r="D38" s="708"/>
      <c r="E38" s="708"/>
      <c r="F38" s="708"/>
      <c r="G38" s="708"/>
      <c r="H38" s="572"/>
    </row>
    <row r="39" spans="1:12" ht="47.25" customHeight="1" x14ac:dyDescent="0.2">
      <c r="A39" s="539"/>
      <c r="B39" s="707" t="s">
        <v>309</v>
      </c>
      <c r="C39" s="708"/>
      <c r="D39" s="708"/>
      <c r="E39" s="708"/>
      <c r="F39" s="708"/>
      <c r="G39" s="708"/>
      <c r="H39" s="572"/>
    </row>
    <row r="40" spans="1:12" ht="47.25" customHeight="1" x14ac:dyDescent="0.2">
      <c r="A40" s="539"/>
      <c r="B40" s="707" t="s">
        <v>310</v>
      </c>
      <c r="C40" s="708"/>
      <c r="D40" s="708"/>
      <c r="E40" s="708"/>
      <c r="F40" s="708"/>
      <c r="G40" s="708"/>
      <c r="H40" s="572"/>
    </row>
    <row r="41" spans="1:12" ht="47.25" customHeight="1" x14ac:dyDescent="0.2">
      <c r="A41" s="539"/>
      <c r="B41" s="709" t="s">
        <v>311</v>
      </c>
      <c r="C41" s="710"/>
      <c r="D41" s="710"/>
      <c r="E41" s="710"/>
      <c r="F41" s="710"/>
      <c r="G41" s="710"/>
      <c r="H41" s="572"/>
    </row>
    <row r="42" spans="1:12" ht="47.25" customHeight="1" x14ac:dyDescent="0.2">
      <c r="A42" s="539"/>
      <c r="B42" s="707" t="s">
        <v>314</v>
      </c>
      <c r="C42" s="708"/>
      <c r="D42" s="708"/>
      <c r="E42" s="708"/>
      <c r="F42" s="708"/>
      <c r="G42" s="708"/>
      <c r="H42" s="572"/>
    </row>
    <row r="43" spans="1:12" ht="47.25" customHeight="1" x14ac:dyDescent="0.2">
      <c r="A43" s="539"/>
      <c r="B43" s="707" t="s">
        <v>312</v>
      </c>
      <c r="C43" s="708"/>
      <c r="D43" s="708"/>
      <c r="E43" s="708"/>
      <c r="F43" s="708"/>
      <c r="G43" s="708"/>
      <c r="H43" s="572"/>
    </row>
    <row r="44" spans="1:12" ht="7.5" customHeight="1" x14ac:dyDescent="0.2">
      <c r="A44" s="539"/>
      <c r="B44" s="539"/>
      <c r="C44" s="539"/>
      <c r="D44" s="539"/>
      <c r="E44" s="539"/>
      <c r="F44" s="539"/>
      <c r="G44" s="539"/>
      <c r="H44" s="539"/>
    </row>
    <row r="45" spans="1:12" ht="25.5" customHeight="1" x14ac:dyDescent="0.25">
      <c r="A45" s="700" t="s">
        <v>358</v>
      </c>
      <c r="B45" s="700"/>
      <c r="C45" s="700"/>
      <c r="D45" s="700"/>
      <c r="E45" s="700"/>
      <c r="F45" s="700"/>
      <c r="G45" s="700"/>
      <c r="H45" s="700"/>
    </row>
    <row r="46" spans="1:12" ht="15" x14ac:dyDescent="0.25">
      <c r="A46" s="539"/>
      <c r="B46" s="541" t="s">
        <v>303</v>
      </c>
      <c r="C46" s="542" t="s">
        <v>304</v>
      </c>
      <c r="D46" s="541" t="s">
        <v>305</v>
      </c>
      <c r="E46" s="714" t="s">
        <v>26</v>
      </c>
      <c r="F46" s="714"/>
      <c r="G46" s="541" t="s">
        <v>306</v>
      </c>
      <c r="H46" s="539"/>
    </row>
    <row r="47" spans="1:12" ht="15" x14ac:dyDescent="0.2">
      <c r="A47" s="539"/>
      <c r="B47" s="543">
        <v>42856</v>
      </c>
      <c r="C47" s="550" t="s">
        <v>348</v>
      </c>
      <c r="D47" s="627" t="s">
        <v>351</v>
      </c>
      <c r="E47" s="713" t="s">
        <v>350</v>
      </c>
      <c r="F47" s="713"/>
      <c r="G47" s="545">
        <v>5995</v>
      </c>
      <c r="H47" s="539"/>
    </row>
    <row r="48" spans="1:12" ht="15" x14ac:dyDescent="0.2">
      <c r="A48" s="539"/>
      <c r="B48" s="543">
        <v>42856</v>
      </c>
      <c r="C48" s="550" t="s">
        <v>348</v>
      </c>
      <c r="D48" s="544" t="s">
        <v>353</v>
      </c>
      <c r="E48" s="713" t="s">
        <v>352</v>
      </c>
      <c r="F48" s="713"/>
      <c r="G48" s="546">
        <v>21427.4</v>
      </c>
      <c r="H48" s="539"/>
    </row>
    <row r="49" spans="1:8" ht="15" x14ac:dyDescent="0.2">
      <c r="A49" s="553"/>
      <c r="B49" s="543">
        <v>42856</v>
      </c>
      <c r="C49" s="550" t="s">
        <v>348</v>
      </c>
      <c r="D49" s="544" t="s">
        <v>354</v>
      </c>
      <c r="E49" s="713" t="s">
        <v>349</v>
      </c>
      <c r="F49" s="713"/>
      <c r="G49" s="546">
        <v>21625</v>
      </c>
      <c r="H49" s="553"/>
    </row>
    <row r="50" spans="1:8" ht="15" x14ac:dyDescent="0.2">
      <c r="A50" s="615"/>
      <c r="B50" s="618"/>
      <c r="C50" s="619"/>
      <c r="D50" s="620"/>
      <c r="E50" s="621"/>
      <c r="F50" s="548" t="s">
        <v>307</v>
      </c>
      <c r="G50" s="628">
        <f>SUM(G47:G49)</f>
        <v>49047.4</v>
      </c>
      <c r="H50" s="615"/>
    </row>
    <row r="51" spans="1:8" ht="15" x14ac:dyDescent="0.2">
      <c r="A51" s="615"/>
      <c r="B51" s="618"/>
      <c r="C51" s="619"/>
      <c r="D51" s="620"/>
      <c r="E51" s="621"/>
      <c r="F51" s="548"/>
      <c r="G51" s="626"/>
      <c r="H51" s="615"/>
    </row>
    <row r="52" spans="1:8" ht="15" x14ac:dyDescent="0.2">
      <c r="A52" s="615"/>
      <c r="B52" s="622" t="s">
        <v>360</v>
      </c>
      <c r="C52" s="623" t="s">
        <v>367</v>
      </c>
      <c r="D52" s="624" t="s">
        <v>363</v>
      </c>
      <c r="E52" s="715" t="s">
        <v>26</v>
      </c>
      <c r="F52" s="716"/>
      <c r="G52" s="625" t="s">
        <v>361</v>
      </c>
      <c r="H52" s="615"/>
    </row>
    <row r="53" spans="1:8" ht="15" x14ac:dyDescent="0.2">
      <c r="A53" s="615"/>
      <c r="B53" s="543">
        <v>42917</v>
      </c>
      <c r="C53" s="629" t="s">
        <v>366</v>
      </c>
      <c r="D53" s="544" t="s">
        <v>365</v>
      </c>
      <c r="E53" s="713" t="s">
        <v>359</v>
      </c>
      <c r="F53" s="713"/>
      <c r="G53" s="546">
        <v>1825</v>
      </c>
      <c r="H53" s="615"/>
    </row>
    <row r="54" spans="1:8" ht="15" x14ac:dyDescent="0.2">
      <c r="A54" s="615"/>
      <c r="B54" s="543">
        <v>42948</v>
      </c>
      <c r="C54" s="629" t="s">
        <v>366</v>
      </c>
      <c r="D54" s="544" t="s">
        <v>364</v>
      </c>
      <c r="E54" s="713" t="s">
        <v>362</v>
      </c>
      <c r="F54" s="713"/>
      <c r="G54" s="546">
        <v>3350</v>
      </c>
      <c r="H54" s="615"/>
    </row>
    <row r="55" spans="1:8" ht="15" x14ac:dyDescent="0.2">
      <c r="A55" s="539"/>
      <c r="B55" s="547"/>
      <c r="C55" s="547"/>
      <c r="D55" s="547"/>
      <c r="E55" s="547"/>
      <c r="F55" s="548" t="s">
        <v>307</v>
      </c>
      <c r="G55" s="549">
        <f>G53+G54</f>
        <v>5175</v>
      </c>
      <c r="H55" s="539"/>
    </row>
    <row r="56" spans="1:8" ht="11.25" customHeight="1" x14ac:dyDescent="0.2">
      <c r="A56" s="539"/>
      <c r="B56" s="539"/>
      <c r="C56" s="539"/>
      <c r="D56" s="539"/>
      <c r="E56" s="539"/>
      <c r="F56" s="539"/>
      <c r="G56" s="539"/>
      <c r="H56" s="539"/>
    </row>
    <row r="57" spans="1:8" ht="37.5" customHeight="1" x14ac:dyDescent="0.2">
      <c r="A57" s="697" t="s">
        <v>449</v>
      </c>
      <c r="B57" s="697"/>
      <c r="C57" s="697"/>
      <c r="D57" s="697"/>
      <c r="E57" s="697"/>
      <c r="F57" s="697"/>
      <c r="G57" s="697"/>
      <c r="H57" s="697"/>
    </row>
    <row r="58" spans="1:8" ht="15.75" hidden="1" customHeight="1" x14ac:dyDescent="0.2">
      <c r="A58" s="500"/>
      <c r="C58" s="711" t="s">
        <v>351</v>
      </c>
      <c r="D58" s="711"/>
      <c r="E58" s="557">
        <v>1823.85</v>
      </c>
      <c r="F58" s="712" t="s">
        <v>368</v>
      </c>
      <c r="G58" s="712"/>
      <c r="H58" s="500"/>
    </row>
    <row r="59" spans="1:8" ht="15.75" hidden="1" customHeight="1" x14ac:dyDescent="0.2">
      <c r="A59" s="500"/>
      <c r="C59" s="711"/>
      <c r="D59" s="711"/>
      <c r="E59" s="557"/>
      <c r="F59" s="712"/>
      <c r="G59" s="712"/>
      <c r="H59" s="500"/>
    </row>
    <row r="60" spans="1:8" ht="15.75" hidden="1" customHeight="1" x14ac:dyDescent="0.2">
      <c r="A60" s="500"/>
      <c r="C60" s="711"/>
      <c r="D60" s="711"/>
      <c r="E60" s="557"/>
      <c r="F60" s="712"/>
      <c r="G60" s="712"/>
      <c r="H60" s="500"/>
    </row>
    <row r="61" spans="1:8" ht="15.75" hidden="1" customHeight="1" x14ac:dyDescent="0.2">
      <c r="A61" s="500"/>
      <c r="C61" s="711" t="s">
        <v>282</v>
      </c>
      <c r="D61" s="711"/>
      <c r="E61" s="557">
        <f>1689.92+2978.07</f>
        <v>4667.99</v>
      </c>
      <c r="F61" s="712" t="s">
        <v>369</v>
      </c>
      <c r="G61" s="712"/>
      <c r="H61" s="500"/>
    </row>
    <row r="62" spans="1:8" ht="16.5" hidden="1" thickBot="1" x14ac:dyDescent="0.25">
      <c r="A62" s="500"/>
      <c r="B62" s="509"/>
      <c r="C62" s="701" t="s">
        <v>249</v>
      </c>
      <c r="D62" s="701"/>
      <c r="E62" s="506">
        <f>SUM(E58:E61)</f>
        <v>6491.84</v>
      </c>
      <c r="F62" s="509"/>
      <c r="G62" s="509"/>
      <c r="H62" s="500"/>
    </row>
    <row r="63" spans="1:8" ht="15.75" x14ac:dyDescent="0.2">
      <c r="A63" s="500"/>
      <c r="B63" s="616"/>
      <c r="C63" s="617"/>
      <c r="D63" s="617"/>
      <c r="E63" s="630"/>
      <c r="F63" s="616"/>
      <c r="G63" s="616"/>
      <c r="H63" s="500"/>
    </row>
    <row r="64" spans="1:8" ht="33" customHeight="1" x14ac:dyDescent="0.25">
      <c r="A64" s="700" t="s">
        <v>370</v>
      </c>
      <c r="B64" s="700"/>
      <c r="C64" s="700"/>
      <c r="D64" s="700"/>
      <c r="E64" s="700"/>
      <c r="F64" s="700"/>
      <c r="G64" s="700"/>
      <c r="H64" s="700"/>
    </row>
    <row r="65" spans="1:23" ht="15.75" x14ac:dyDescent="0.2">
      <c r="A65" s="500"/>
      <c r="B65" s="616"/>
      <c r="C65" s="617"/>
      <c r="D65" s="617"/>
      <c r="E65" s="630"/>
      <c r="F65" s="616"/>
      <c r="G65" s="616"/>
      <c r="H65" s="500"/>
    </row>
    <row r="66" spans="1:23" ht="97.5" customHeight="1" x14ac:dyDescent="0.2">
      <c r="A66" s="697" t="s">
        <v>457</v>
      </c>
      <c r="B66" s="697"/>
      <c r="C66" s="697"/>
      <c r="D66" s="697"/>
      <c r="E66" s="697"/>
      <c r="F66" s="697"/>
      <c r="G66" s="697"/>
      <c r="H66" s="697"/>
      <c r="V66" s="538">
        <v>42278</v>
      </c>
      <c r="W66" s="537">
        <v>224005.57</v>
      </c>
    </row>
    <row r="67" spans="1:23" ht="47.25" x14ac:dyDescent="0.2">
      <c r="A67" s="508"/>
      <c r="B67" s="705" t="s">
        <v>239</v>
      </c>
      <c r="C67" s="705"/>
      <c r="D67" s="511" t="s">
        <v>240</v>
      </c>
      <c r="E67" s="501" t="s">
        <v>241</v>
      </c>
      <c r="F67" s="511" t="s">
        <v>242</v>
      </c>
      <c r="G67" s="511" t="s">
        <v>450</v>
      </c>
      <c r="H67" s="508"/>
      <c r="V67" s="538">
        <v>42309</v>
      </c>
      <c r="W67" s="537">
        <v>212998.66</v>
      </c>
    </row>
    <row r="68" spans="1:23" ht="15.75" customHeight="1" x14ac:dyDescent="0.2">
      <c r="A68" s="508"/>
      <c r="B68" s="704" t="s">
        <v>13</v>
      </c>
      <c r="C68" s="704"/>
      <c r="D68" s="704"/>
      <c r="E68" s="510"/>
      <c r="F68" s="510"/>
      <c r="G68" s="510"/>
      <c r="H68" s="508"/>
      <c r="V68" s="538">
        <v>42339</v>
      </c>
      <c r="W68" s="537">
        <v>256955.64</v>
      </c>
    </row>
    <row r="69" spans="1:23" ht="15.75" customHeight="1" x14ac:dyDescent="0.2">
      <c r="A69" s="508"/>
      <c r="B69" s="702" t="s">
        <v>283</v>
      </c>
      <c r="C69" s="702"/>
      <c r="D69" s="510">
        <v>12113.27</v>
      </c>
      <c r="E69" s="510"/>
      <c r="F69" s="510">
        <f>-'December''17 Revenues &amp; Expenses'!H38</f>
        <v>-3060.34</v>
      </c>
      <c r="G69" s="510">
        <f>'December''17 Revenues &amp; Expenses'!K38+'December''17 Revenues &amp; Expenses'!K39</f>
        <v>9052.93</v>
      </c>
      <c r="H69" s="508"/>
      <c r="V69" s="538">
        <v>42370</v>
      </c>
      <c r="W69" s="537">
        <v>370456.38</v>
      </c>
    </row>
    <row r="70" spans="1:23" ht="15.75" customHeight="1" x14ac:dyDescent="0.2">
      <c r="A70" s="508"/>
      <c r="B70" s="702" t="s">
        <v>284</v>
      </c>
      <c r="C70" s="702"/>
      <c r="D70" s="510">
        <v>0</v>
      </c>
      <c r="E70" s="510">
        <f>25000+25000</f>
        <v>50000</v>
      </c>
      <c r="F70" s="510">
        <f>G70-E70</f>
        <v>-25000</v>
      </c>
      <c r="G70" s="510">
        <f>'December''17 Revenues &amp; Expenses'!K37</f>
        <v>25000</v>
      </c>
      <c r="H70" s="508"/>
      <c r="V70" s="538">
        <v>42401</v>
      </c>
      <c r="W70" s="537">
        <v>299251.62</v>
      </c>
    </row>
    <row r="71" spans="1:23" ht="15.75" customHeight="1" x14ac:dyDescent="0.2">
      <c r="A71" s="508"/>
      <c r="B71" s="702" t="s">
        <v>285</v>
      </c>
      <c r="C71" s="702"/>
      <c r="D71" s="510">
        <v>1745.88</v>
      </c>
      <c r="E71" s="510"/>
      <c r="F71" s="510">
        <v>-1745.88</v>
      </c>
      <c r="G71" s="510">
        <f t="shared" ref="G71" si="2">D71+E71+F71</f>
        <v>0</v>
      </c>
      <c r="H71" s="508"/>
      <c r="V71" s="538">
        <v>42430</v>
      </c>
      <c r="W71" s="537">
        <v>253801.15</v>
      </c>
    </row>
    <row r="72" spans="1:23" ht="15.75" customHeight="1" x14ac:dyDescent="0.2">
      <c r="A72" s="508"/>
      <c r="B72" s="704" t="s">
        <v>19</v>
      </c>
      <c r="C72" s="704"/>
      <c r="D72" s="510"/>
      <c r="E72" s="510"/>
      <c r="F72" s="510"/>
      <c r="G72" s="510"/>
      <c r="H72" s="508"/>
      <c r="V72" s="538"/>
    </row>
    <row r="73" spans="1:23" ht="15.75" customHeight="1" x14ac:dyDescent="0.2">
      <c r="A73" s="508"/>
      <c r="B73" s="702" t="s">
        <v>283</v>
      </c>
      <c r="C73" s="702"/>
      <c r="D73" s="510">
        <v>0</v>
      </c>
      <c r="E73" s="510">
        <v>22000</v>
      </c>
      <c r="F73" s="510">
        <f>-E73+G73</f>
        <v>-17729.79</v>
      </c>
      <c r="G73" s="510">
        <f>'December''17 Revenues &amp; Expenses'!K41</f>
        <v>4270.2099999999991</v>
      </c>
      <c r="H73" s="508"/>
      <c r="V73" s="538"/>
    </row>
    <row r="74" spans="1:23" ht="15.75" customHeight="1" x14ac:dyDescent="0.2">
      <c r="A74" s="508"/>
      <c r="B74" s="704" t="s">
        <v>286</v>
      </c>
      <c r="C74" s="704"/>
      <c r="D74" s="510"/>
      <c r="E74" s="510"/>
      <c r="F74" s="510"/>
      <c r="G74" s="510"/>
      <c r="H74" s="508"/>
      <c r="V74" s="538"/>
    </row>
    <row r="75" spans="1:23" ht="15.75" customHeight="1" x14ac:dyDescent="0.2">
      <c r="A75" s="508"/>
      <c r="B75" s="702" t="s">
        <v>235</v>
      </c>
      <c r="C75" s="702"/>
      <c r="D75" s="510">
        <v>7610.32</v>
      </c>
      <c r="E75" s="510">
        <v>22450.84</v>
      </c>
      <c r="F75" s="554">
        <f>-D75+G75-E75</f>
        <v>-27042.27</v>
      </c>
      <c r="G75" s="510">
        <f>'December''17 Revenues &amp; Expenses'!K13</f>
        <v>3018.89</v>
      </c>
      <c r="H75" s="508"/>
      <c r="V75" s="538"/>
    </row>
    <row r="76" spans="1:23" ht="15.75" customHeight="1" x14ac:dyDescent="0.2">
      <c r="A76" s="508"/>
      <c r="B76" s="702" t="s">
        <v>287</v>
      </c>
      <c r="C76" s="702"/>
      <c r="D76" s="510">
        <v>43703.99</v>
      </c>
      <c r="E76" s="510">
        <v>79750</v>
      </c>
      <c r="F76" s="510">
        <f>-D76+G76-E76</f>
        <v>-85020.43</v>
      </c>
      <c r="G76" s="510">
        <f>'December''17 Revenues &amp; Expenses'!K10</f>
        <v>38433.56</v>
      </c>
      <c r="H76" s="508"/>
      <c r="V76" s="538"/>
    </row>
    <row r="77" spans="1:23" ht="15.75" customHeight="1" x14ac:dyDescent="0.2">
      <c r="A77" s="508"/>
      <c r="B77" s="706" t="s">
        <v>255</v>
      </c>
      <c r="C77" s="706"/>
      <c r="D77" s="510">
        <v>49850</v>
      </c>
      <c r="E77" s="510">
        <v>0</v>
      </c>
      <c r="F77" s="510">
        <v>-49850</v>
      </c>
      <c r="G77" s="510">
        <f>E77</f>
        <v>0</v>
      </c>
      <c r="H77" s="508"/>
      <c r="V77" s="538"/>
    </row>
    <row r="78" spans="1:23" ht="15.75" customHeight="1" thickBot="1" x14ac:dyDescent="0.25">
      <c r="A78" s="508"/>
      <c r="B78" s="703" t="s">
        <v>288</v>
      </c>
      <c r="C78" s="703"/>
      <c r="D78" s="502">
        <f>SUM(D68:D77)</f>
        <v>115023.45999999999</v>
      </c>
      <c r="E78" s="502">
        <f>SUM(E68:E77)</f>
        <v>174200.84</v>
      </c>
      <c r="F78" s="502">
        <f t="shared" ref="F78:G78" si="3">SUM(F68:F77)</f>
        <v>-209448.71</v>
      </c>
      <c r="G78" s="502">
        <f t="shared" si="3"/>
        <v>79775.59</v>
      </c>
      <c r="H78" s="508"/>
      <c r="V78" s="538"/>
    </row>
    <row r="79" spans="1:23" ht="11.25" customHeight="1" thickTop="1" x14ac:dyDescent="0.2">
      <c r="A79" s="508"/>
      <c r="B79" s="535"/>
      <c r="C79" s="535"/>
      <c r="D79" s="536"/>
      <c r="E79" s="536"/>
      <c r="F79" s="536"/>
      <c r="G79" s="536"/>
      <c r="H79" s="508"/>
      <c r="V79" s="538"/>
    </row>
    <row r="80" spans="1:23" ht="67.5" customHeight="1" x14ac:dyDescent="0.2">
      <c r="A80" s="697" t="s">
        <v>458</v>
      </c>
      <c r="B80" s="697"/>
      <c r="C80" s="697"/>
      <c r="D80" s="697"/>
      <c r="E80" s="697"/>
      <c r="F80" s="697"/>
      <c r="G80" s="697"/>
      <c r="H80" s="697"/>
    </row>
    <row r="81" spans="1:8" ht="47.25" x14ac:dyDescent="0.2">
      <c r="A81" s="508"/>
      <c r="B81" s="705" t="s">
        <v>239</v>
      </c>
      <c r="C81" s="705"/>
      <c r="D81" s="511" t="s">
        <v>240</v>
      </c>
      <c r="E81" s="501" t="s">
        <v>241</v>
      </c>
      <c r="F81" s="511" t="s">
        <v>242</v>
      </c>
      <c r="G81" s="632" t="s">
        <v>450</v>
      </c>
      <c r="H81" s="508"/>
    </row>
    <row r="82" spans="1:8" ht="15.75" customHeight="1" x14ac:dyDescent="0.2">
      <c r="A82" s="508"/>
      <c r="B82" s="698" t="s">
        <v>243</v>
      </c>
      <c r="C82" s="698"/>
      <c r="D82" s="510">
        <v>0</v>
      </c>
      <c r="E82" s="510">
        <v>49000</v>
      </c>
      <c r="F82" s="510">
        <f>-'December''17 Revenues &amp; Expenses'!J52</f>
        <v>-49000</v>
      </c>
      <c r="G82" s="510">
        <f t="shared" ref="G82:G88" si="4">D82+E82+F82</f>
        <v>0</v>
      </c>
      <c r="H82" s="508"/>
    </row>
    <row r="83" spans="1:8" ht="15.75" customHeight="1" x14ac:dyDescent="0.2">
      <c r="A83" s="508"/>
      <c r="B83" s="698" t="s">
        <v>313</v>
      </c>
      <c r="C83" s="698"/>
      <c r="D83" s="510">
        <v>0</v>
      </c>
      <c r="E83" s="510">
        <v>19000</v>
      </c>
      <c r="F83" s="510">
        <f>-'December''17 Revenues &amp; Expenses'!J54</f>
        <v>-19000</v>
      </c>
      <c r="G83" s="510">
        <f t="shared" si="4"/>
        <v>0</v>
      </c>
      <c r="H83" s="508"/>
    </row>
    <row r="84" spans="1:8" ht="15.75" customHeight="1" x14ac:dyDescent="0.2">
      <c r="A84" s="508"/>
      <c r="B84" s="698" t="s">
        <v>244</v>
      </c>
      <c r="C84" s="698"/>
      <c r="D84" s="510">
        <v>17437.849999999999</v>
      </c>
      <c r="E84" s="510">
        <f>'December''17 Revenues &amp; Expenses'!H58</f>
        <v>16713.900000000001</v>
      </c>
      <c r="F84" s="510">
        <f>-'December''17 Revenues &amp; Expenses'!J58</f>
        <v>-11341.67</v>
      </c>
      <c r="G84" s="510">
        <f t="shared" si="4"/>
        <v>22810.080000000002</v>
      </c>
      <c r="H84" s="508"/>
    </row>
    <row r="85" spans="1:8" ht="15.75" customHeight="1" x14ac:dyDescent="0.2">
      <c r="A85" s="508"/>
      <c r="B85" s="698" t="s">
        <v>245</v>
      </c>
      <c r="C85" s="698"/>
      <c r="D85" s="510">
        <v>8260.73</v>
      </c>
      <c r="E85" s="510">
        <f>'December''17 Revenues &amp; Expenses'!H59</f>
        <v>6794.36</v>
      </c>
      <c r="F85" s="510">
        <f>-'December''17 Revenues &amp; Expenses'!J59</f>
        <v>-5511.8</v>
      </c>
      <c r="G85" s="510">
        <f t="shared" si="4"/>
        <v>9543.2900000000009</v>
      </c>
      <c r="H85" s="508"/>
    </row>
    <row r="86" spans="1:8" ht="15.75" customHeight="1" x14ac:dyDescent="0.2">
      <c r="A86" s="508"/>
      <c r="B86" s="698" t="s">
        <v>246</v>
      </c>
      <c r="C86" s="698"/>
      <c r="D86" s="510">
        <v>5854.58</v>
      </c>
      <c r="E86" s="510"/>
      <c r="F86" s="510">
        <f>-'December''17 Revenues &amp; Expenses'!H42</f>
        <v>-470</v>
      </c>
      <c r="G86" s="510">
        <f t="shared" si="4"/>
        <v>5384.58</v>
      </c>
      <c r="H86" s="508"/>
    </row>
    <row r="87" spans="1:8" ht="15.75" x14ac:dyDescent="0.2">
      <c r="A87" s="508"/>
      <c r="B87" s="698" t="s">
        <v>247</v>
      </c>
      <c r="C87" s="698"/>
      <c r="D87" s="510">
        <v>1100.82</v>
      </c>
      <c r="E87" s="510"/>
      <c r="F87" s="510">
        <f>-'December''17 Revenues &amp; Expenses'!J57</f>
        <v>0</v>
      </c>
      <c r="G87" s="510">
        <f t="shared" si="4"/>
        <v>1100.82</v>
      </c>
      <c r="H87" s="508"/>
    </row>
    <row r="88" spans="1:8" ht="15.75" x14ac:dyDescent="0.2">
      <c r="A88" s="508"/>
      <c r="B88" s="698"/>
      <c r="C88" s="698"/>
      <c r="D88" s="510">
        <v>0</v>
      </c>
      <c r="E88" s="510"/>
      <c r="F88" s="510">
        <v>0</v>
      </c>
      <c r="G88" s="510">
        <f t="shared" si="4"/>
        <v>0</v>
      </c>
      <c r="H88" s="508"/>
    </row>
    <row r="89" spans="1:8" ht="15.75" customHeight="1" thickBot="1" x14ac:dyDescent="0.25">
      <c r="A89" s="508"/>
      <c r="B89" s="699" t="s">
        <v>248</v>
      </c>
      <c r="C89" s="699"/>
      <c r="D89" s="502">
        <f>SUM(D82:D88)</f>
        <v>32653.979999999996</v>
      </c>
      <c r="E89" s="502">
        <f>SUM(E82:E88)</f>
        <v>91508.26</v>
      </c>
      <c r="F89" s="502">
        <f>SUM(F82:F88)</f>
        <v>-85323.47</v>
      </c>
      <c r="G89" s="502">
        <f>SUM(G82:G88)</f>
        <v>38838.770000000004</v>
      </c>
      <c r="H89" s="508"/>
    </row>
    <row r="90" spans="1:8" ht="16.5" thickTop="1" x14ac:dyDescent="0.2">
      <c r="A90" s="500"/>
      <c r="B90" s="509"/>
      <c r="C90" s="509"/>
      <c r="D90" s="509"/>
      <c r="E90" s="509"/>
      <c r="F90" s="509"/>
      <c r="G90" s="509"/>
      <c r="H90" s="500"/>
    </row>
    <row r="91" spans="1:8" ht="15.75" customHeight="1" x14ac:dyDescent="0.2"/>
    <row r="92" spans="1:8" ht="6.75" customHeight="1" x14ac:dyDescent="0.2"/>
    <row r="93" spans="1:8" ht="37.5" customHeight="1" x14ac:dyDescent="0.2"/>
  </sheetData>
  <mergeCells count="65">
    <mergeCell ref="E52:F52"/>
    <mergeCell ref="A57:H57"/>
    <mergeCell ref="C58:D58"/>
    <mergeCell ref="F58:G58"/>
    <mergeCell ref="E49:F49"/>
    <mergeCell ref="E53:F53"/>
    <mergeCell ref="E54:F54"/>
    <mergeCell ref="C13:D13"/>
    <mergeCell ref="C14:D14"/>
    <mergeCell ref="C15:D15"/>
    <mergeCell ref="B18:C18"/>
    <mergeCell ref="C16:D16"/>
    <mergeCell ref="C17:D17"/>
    <mergeCell ref="B42:G42"/>
    <mergeCell ref="B43:G43"/>
    <mergeCell ref="E48:F48"/>
    <mergeCell ref="E47:F47"/>
    <mergeCell ref="E46:F46"/>
    <mergeCell ref="A45:H45"/>
    <mergeCell ref="A23:H23"/>
    <mergeCell ref="A25:H25"/>
    <mergeCell ref="B77:C77"/>
    <mergeCell ref="B71:C71"/>
    <mergeCell ref="B72:C72"/>
    <mergeCell ref="B73:C73"/>
    <mergeCell ref="B38:G38"/>
    <mergeCell ref="B39:G39"/>
    <mergeCell ref="B40:G40"/>
    <mergeCell ref="B41:G41"/>
    <mergeCell ref="C61:D61"/>
    <mergeCell ref="F61:G61"/>
    <mergeCell ref="C59:D59"/>
    <mergeCell ref="F59:G59"/>
    <mergeCell ref="C60:D60"/>
    <mergeCell ref="F60:G60"/>
    <mergeCell ref="A64:H64"/>
    <mergeCell ref="B82:C82"/>
    <mergeCell ref="B83:C83"/>
    <mergeCell ref="C62:D62"/>
    <mergeCell ref="B84:C84"/>
    <mergeCell ref="B76:C76"/>
    <mergeCell ref="B78:C78"/>
    <mergeCell ref="B74:C74"/>
    <mergeCell ref="B75:C75"/>
    <mergeCell ref="A66:H66"/>
    <mergeCell ref="B67:C67"/>
    <mergeCell ref="B69:C69"/>
    <mergeCell ref="B70:C70"/>
    <mergeCell ref="B81:C81"/>
    <mergeCell ref="B68:D68"/>
    <mergeCell ref="A80:H80"/>
    <mergeCell ref="B85:C85"/>
    <mergeCell ref="B86:C86"/>
    <mergeCell ref="B88:C88"/>
    <mergeCell ref="B89:C89"/>
    <mergeCell ref="B87:C87"/>
    <mergeCell ref="A1:H1"/>
    <mergeCell ref="A2:H2"/>
    <mergeCell ref="A3:H3"/>
    <mergeCell ref="C11:D11"/>
    <mergeCell ref="C12:D12"/>
    <mergeCell ref="B10:C10"/>
    <mergeCell ref="A4:H4"/>
    <mergeCell ref="A5:H5"/>
    <mergeCell ref="A9:H9"/>
  </mergeCells>
  <pageMargins left="0.75" right="0.25" top="0.75" bottom="0.75" header="0.3" footer="0.3"/>
  <pageSetup scale="77" fitToHeight="4" orientation="portrait" r:id="rId1"/>
  <headerFooter>
    <oddFooter>&amp;CPage #&amp;P of &amp;N</oddFooter>
  </headerFooter>
  <rowBreaks count="2" manualBreakCount="2">
    <brk id="23" max="7" man="1"/>
    <brk id="6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99"/>
  <sheetViews>
    <sheetView topLeftCell="A169" workbookViewId="0">
      <selection activeCell="E184" sqref="E184:E196"/>
    </sheetView>
  </sheetViews>
  <sheetFormatPr defaultRowHeight="14.25" x14ac:dyDescent="0.2"/>
  <cols>
    <col min="1" max="1" width="22.875" style="601" customWidth="1"/>
    <col min="2" max="2" width="9" style="567"/>
  </cols>
  <sheetData>
    <row r="3" spans="1:2" ht="15" thickBot="1" x14ac:dyDescent="0.25">
      <c r="A3" s="598" t="s">
        <v>328</v>
      </c>
      <c r="B3" s="563" t="s">
        <v>329</v>
      </c>
    </row>
    <row r="4" spans="1:2" ht="15" thickTop="1" x14ac:dyDescent="0.2">
      <c r="A4" s="599">
        <v>42370</v>
      </c>
      <c r="B4" s="564">
        <v>316020.78000000003</v>
      </c>
    </row>
    <row r="5" spans="1:2" x14ac:dyDescent="0.2">
      <c r="A5" s="600">
        <v>42373</v>
      </c>
      <c r="B5" s="565">
        <v>315970.78000000003</v>
      </c>
    </row>
    <row r="6" spans="1:2" x14ac:dyDescent="0.2">
      <c r="A6" s="600">
        <v>42374</v>
      </c>
      <c r="B6" s="565">
        <v>320557.63</v>
      </c>
    </row>
    <row r="7" spans="1:2" x14ac:dyDescent="0.2">
      <c r="A7" s="600">
        <v>42375</v>
      </c>
      <c r="B7" s="565">
        <f>B6</f>
        <v>320557.63</v>
      </c>
    </row>
    <row r="8" spans="1:2" x14ac:dyDescent="0.2">
      <c r="A8" s="600">
        <v>42376</v>
      </c>
      <c r="B8" s="565">
        <v>323108.86</v>
      </c>
    </row>
    <row r="9" spans="1:2" x14ac:dyDescent="0.2">
      <c r="A9" s="600">
        <v>42377</v>
      </c>
      <c r="B9" s="565">
        <f>B8</f>
        <v>323108.86</v>
      </c>
    </row>
    <row r="10" spans="1:2" x14ac:dyDescent="0.2">
      <c r="A10" s="600">
        <v>42380</v>
      </c>
      <c r="B10" s="565">
        <v>323239.86</v>
      </c>
    </row>
    <row r="11" spans="1:2" x14ac:dyDescent="0.2">
      <c r="A11" s="600">
        <v>42381</v>
      </c>
      <c r="B11" s="565">
        <v>288792.71999999997</v>
      </c>
    </row>
    <row r="12" spans="1:2" x14ac:dyDescent="0.2">
      <c r="A12" s="600">
        <v>42382</v>
      </c>
      <c r="B12" s="565">
        <f>B11</f>
        <v>288792.71999999997</v>
      </c>
    </row>
    <row r="13" spans="1:2" x14ac:dyDescent="0.2">
      <c r="A13" s="600">
        <v>42383</v>
      </c>
      <c r="B13" s="565">
        <v>277881.3</v>
      </c>
    </row>
    <row r="14" spans="1:2" x14ac:dyDescent="0.2">
      <c r="A14" s="600">
        <v>42384</v>
      </c>
      <c r="B14" s="565">
        <v>293922.15000000002</v>
      </c>
    </row>
    <row r="15" spans="1:2" x14ac:dyDescent="0.2">
      <c r="A15" s="600">
        <v>42387</v>
      </c>
      <c r="B15" s="565">
        <f>B14</f>
        <v>293922.15000000002</v>
      </c>
    </row>
    <row r="16" spans="1:2" x14ac:dyDescent="0.2">
      <c r="A16" s="600">
        <v>42388</v>
      </c>
      <c r="B16" s="565">
        <f>B14</f>
        <v>293922.15000000002</v>
      </c>
    </row>
    <row r="17" spans="1:2" x14ac:dyDescent="0.2">
      <c r="A17" s="600">
        <v>42389</v>
      </c>
      <c r="B17" s="565">
        <v>294002.2</v>
      </c>
    </row>
    <row r="18" spans="1:2" x14ac:dyDescent="0.2">
      <c r="A18" s="600">
        <v>42390</v>
      </c>
      <c r="B18" s="565">
        <v>285645.33</v>
      </c>
    </row>
    <row r="19" spans="1:2" x14ac:dyDescent="0.2">
      <c r="A19" s="600">
        <v>42391</v>
      </c>
      <c r="B19" s="565">
        <f>B18</f>
        <v>285645.33</v>
      </c>
    </row>
    <row r="20" spans="1:2" x14ac:dyDescent="0.2">
      <c r="A20" s="600">
        <v>42394</v>
      </c>
      <c r="B20" s="565">
        <v>310939.57</v>
      </c>
    </row>
    <row r="21" spans="1:2" x14ac:dyDescent="0.2">
      <c r="A21" s="600">
        <v>42395</v>
      </c>
      <c r="B21" s="565">
        <v>285520.28000000003</v>
      </c>
    </row>
    <row r="22" spans="1:2" x14ac:dyDescent="0.2">
      <c r="A22" s="600">
        <v>42396</v>
      </c>
      <c r="B22" s="565">
        <f>B21</f>
        <v>285520.28000000003</v>
      </c>
    </row>
    <row r="23" spans="1:2" x14ac:dyDescent="0.2">
      <c r="A23" s="600">
        <v>42397</v>
      </c>
      <c r="B23" s="565">
        <v>282022.58</v>
      </c>
    </row>
    <row r="24" spans="1:2" x14ac:dyDescent="0.2">
      <c r="A24" s="600">
        <v>42398</v>
      </c>
      <c r="B24" s="565">
        <v>294848.15999999997</v>
      </c>
    </row>
    <row r="25" spans="1:2" x14ac:dyDescent="0.2">
      <c r="A25" s="600">
        <v>42401</v>
      </c>
      <c r="B25" s="565">
        <v>295971.7</v>
      </c>
    </row>
    <row r="26" spans="1:2" x14ac:dyDescent="0.2">
      <c r="A26" s="600">
        <v>42402</v>
      </c>
      <c r="B26" s="565">
        <v>342700.41</v>
      </c>
    </row>
    <row r="27" spans="1:2" x14ac:dyDescent="0.2">
      <c r="A27" s="600">
        <v>42403</v>
      </c>
      <c r="B27" s="565">
        <f>B26</f>
        <v>342700.41</v>
      </c>
    </row>
    <row r="28" spans="1:2" x14ac:dyDescent="0.2">
      <c r="A28" s="600">
        <v>42404</v>
      </c>
      <c r="B28" s="565">
        <v>337638.63</v>
      </c>
    </row>
    <row r="29" spans="1:2" x14ac:dyDescent="0.2">
      <c r="A29" s="600">
        <v>42405</v>
      </c>
      <c r="B29" s="565">
        <v>367843.39</v>
      </c>
    </row>
    <row r="30" spans="1:2" x14ac:dyDescent="0.2">
      <c r="A30" s="600">
        <v>42408</v>
      </c>
      <c r="B30" s="565">
        <v>367773.39</v>
      </c>
    </row>
    <row r="31" spans="1:2" x14ac:dyDescent="0.2">
      <c r="A31" s="600">
        <v>42409</v>
      </c>
      <c r="B31" s="565">
        <v>339527.33</v>
      </c>
    </row>
    <row r="32" spans="1:2" x14ac:dyDescent="0.2">
      <c r="A32" s="600">
        <v>42410</v>
      </c>
      <c r="B32" s="565">
        <f>B31</f>
        <v>339527.33</v>
      </c>
    </row>
    <row r="33" spans="1:2" x14ac:dyDescent="0.2">
      <c r="A33" s="600">
        <v>42411</v>
      </c>
      <c r="B33" s="565">
        <v>336968.79</v>
      </c>
    </row>
    <row r="34" spans="1:2" x14ac:dyDescent="0.2">
      <c r="A34" s="600">
        <v>42412</v>
      </c>
      <c r="B34" s="565">
        <v>337055.76</v>
      </c>
    </row>
    <row r="35" spans="1:2" x14ac:dyDescent="0.2">
      <c r="A35" s="600">
        <v>42415</v>
      </c>
      <c r="B35" s="565">
        <f>B34</f>
        <v>337055.76</v>
      </c>
    </row>
    <row r="36" spans="1:2" x14ac:dyDescent="0.2">
      <c r="A36" s="600">
        <v>42416</v>
      </c>
      <c r="B36" s="565">
        <f>B35</f>
        <v>337055.76</v>
      </c>
    </row>
    <row r="37" spans="1:2" x14ac:dyDescent="0.2">
      <c r="A37" s="600">
        <v>42417</v>
      </c>
      <c r="B37" s="565">
        <v>365266.06</v>
      </c>
    </row>
    <row r="38" spans="1:2" x14ac:dyDescent="0.2">
      <c r="A38" s="600">
        <v>42418</v>
      </c>
      <c r="B38" s="565">
        <v>360871.98</v>
      </c>
    </row>
    <row r="39" spans="1:2" x14ac:dyDescent="0.2">
      <c r="A39" s="600">
        <v>42419</v>
      </c>
      <c r="B39" s="565">
        <f>B38</f>
        <v>360871.98</v>
      </c>
    </row>
    <row r="40" spans="1:2" x14ac:dyDescent="0.2">
      <c r="A40" s="600">
        <v>42421</v>
      </c>
      <c r="B40" s="565">
        <f>B39</f>
        <v>360871.98</v>
      </c>
    </row>
    <row r="41" spans="1:2" x14ac:dyDescent="0.2">
      <c r="A41" s="600">
        <v>42423</v>
      </c>
      <c r="B41" s="565">
        <v>355845.62</v>
      </c>
    </row>
    <row r="42" spans="1:2" x14ac:dyDescent="0.2">
      <c r="A42" s="600">
        <v>42424</v>
      </c>
      <c r="B42" s="565">
        <f>B41</f>
        <v>355845.62</v>
      </c>
    </row>
    <row r="43" spans="1:2" x14ac:dyDescent="0.2">
      <c r="A43" s="600">
        <v>42425</v>
      </c>
      <c r="B43" s="565">
        <v>345399.7</v>
      </c>
    </row>
    <row r="44" spans="1:2" x14ac:dyDescent="0.2">
      <c r="A44" s="600">
        <v>42426</v>
      </c>
      <c r="B44" s="565">
        <v>370500.69</v>
      </c>
    </row>
    <row r="45" spans="1:2" x14ac:dyDescent="0.2">
      <c r="A45" s="600">
        <v>42429</v>
      </c>
      <c r="B45" s="565">
        <v>389846.49</v>
      </c>
    </row>
    <row r="46" spans="1:2" x14ac:dyDescent="0.2">
      <c r="A46" s="600">
        <v>42430</v>
      </c>
      <c r="B46" s="565">
        <f>B45</f>
        <v>389846.49</v>
      </c>
    </row>
    <row r="47" spans="1:2" x14ac:dyDescent="0.2">
      <c r="A47" s="600">
        <v>42431</v>
      </c>
      <c r="B47" s="565">
        <f>B46</f>
        <v>389846.49</v>
      </c>
    </row>
    <row r="48" spans="1:2" x14ac:dyDescent="0.2">
      <c r="A48" s="600">
        <v>42432</v>
      </c>
      <c r="B48" s="565">
        <v>378391.97</v>
      </c>
    </row>
    <row r="49" spans="1:2" x14ac:dyDescent="0.2">
      <c r="A49" s="600">
        <v>42433</v>
      </c>
      <c r="B49" s="565">
        <v>424034.23</v>
      </c>
    </row>
    <row r="50" spans="1:2" x14ac:dyDescent="0.2">
      <c r="A50" s="600">
        <v>42436</v>
      </c>
      <c r="B50" s="565">
        <f>B49</f>
        <v>424034.23</v>
      </c>
    </row>
    <row r="51" spans="1:2" x14ac:dyDescent="0.2">
      <c r="A51" s="600">
        <v>42437</v>
      </c>
      <c r="B51" s="565">
        <v>386665.73</v>
      </c>
    </row>
    <row r="52" spans="1:2" x14ac:dyDescent="0.2">
      <c r="A52" s="600">
        <v>42438</v>
      </c>
      <c r="B52" s="565">
        <f>B51</f>
        <v>386665.73</v>
      </c>
    </row>
    <row r="53" spans="1:2" x14ac:dyDescent="0.2">
      <c r="A53" s="600">
        <v>42439</v>
      </c>
      <c r="B53" s="565">
        <v>389219.85</v>
      </c>
    </row>
    <row r="54" spans="1:2" x14ac:dyDescent="0.2">
      <c r="A54" s="600">
        <v>42440</v>
      </c>
      <c r="B54" s="565">
        <v>406100.98</v>
      </c>
    </row>
    <row r="55" spans="1:2" x14ac:dyDescent="0.2">
      <c r="A55" s="600">
        <v>42443</v>
      </c>
      <c r="B55" s="565">
        <v>407873.33</v>
      </c>
    </row>
    <row r="56" spans="1:2" x14ac:dyDescent="0.2">
      <c r="A56" s="600">
        <v>42444</v>
      </c>
      <c r="B56" s="565">
        <v>407992.23</v>
      </c>
    </row>
    <row r="57" spans="1:2" x14ac:dyDescent="0.2">
      <c r="A57" s="600">
        <v>42445</v>
      </c>
      <c r="B57" s="565">
        <v>433808.81</v>
      </c>
    </row>
    <row r="58" spans="1:2" x14ac:dyDescent="0.2">
      <c r="A58" s="600">
        <v>42446</v>
      </c>
      <c r="B58" s="565">
        <v>422290.94</v>
      </c>
    </row>
    <row r="59" spans="1:2" x14ac:dyDescent="0.2">
      <c r="A59" s="600">
        <v>42447</v>
      </c>
      <c r="B59" s="565">
        <v>468026.54</v>
      </c>
    </row>
    <row r="60" spans="1:2" x14ac:dyDescent="0.2">
      <c r="A60" s="600">
        <v>42450</v>
      </c>
      <c r="B60" s="565">
        <v>348026.54</v>
      </c>
    </row>
    <row r="61" spans="1:2" x14ac:dyDescent="0.2">
      <c r="A61" s="600">
        <v>42451</v>
      </c>
      <c r="B61" s="565">
        <v>312876.71000000002</v>
      </c>
    </row>
    <row r="62" spans="1:2" x14ac:dyDescent="0.2">
      <c r="A62" s="600">
        <v>42452</v>
      </c>
      <c r="B62" s="565">
        <v>314939.26</v>
      </c>
    </row>
    <row r="63" spans="1:2" x14ac:dyDescent="0.2">
      <c r="A63" s="600">
        <v>42453</v>
      </c>
      <c r="B63" s="565">
        <v>309254.23</v>
      </c>
    </row>
    <row r="64" spans="1:2" x14ac:dyDescent="0.2">
      <c r="A64" s="600">
        <v>42454</v>
      </c>
      <c r="B64" s="565">
        <v>308314.94</v>
      </c>
    </row>
    <row r="65" spans="1:2" x14ac:dyDescent="0.2">
      <c r="A65" s="600">
        <v>42457</v>
      </c>
      <c r="B65" s="565">
        <f>B64</f>
        <v>308314.94</v>
      </c>
    </row>
    <row r="66" spans="1:2" x14ac:dyDescent="0.2">
      <c r="A66" s="600">
        <v>42458</v>
      </c>
      <c r="B66" s="565">
        <v>308501.75</v>
      </c>
    </row>
    <row r="67" spans="1:2" x14ac:dyDescent="0.2">
      <c r="A67" s="600">
        <v>42459</v>
      </c>
      <c r="B67" s="565">
        <f>B66</f>
        <v>308501.75</v>
      </c>
    </row>
    <row r="68" spans="1:2" x14ac:dyDescent="0.2">
      <c r="A68" s="600">
        <v>42460</v>
      </c>
      <c r="B68" s="565">
        <v>309191.53000000003</v>
      </c>
    </row>
    <row r="69" spans="1:2" x14ac:dyDescent="0.2">
      <c r="A69" s="600">
        <v>42461</v>
      </c>
      <c r="B69" s="565">
        <f>B68</f>
        <v>309191.53000000003</v>
      </c>
    </row>
    <row r="70" spans="1:2" x14ac:dyDescent="0.2">
      <c r="A70" s="600">
        <v>42464</v>
      </c>
      <c r="B70" s="565">
        <v>273521.59999999998</v>
      </c>
    </row>
    <row r="71" spans="1:2" x14ac:dyDescent="0.2">
      <c r="A71" s="600">
        <v>42465</v>
      </c>
      <c r="B71" s="565">
        <f>B70</f>
        <v>273521.59999999998</v>
      </c>
    </row>
    <row r="72" spans="1:2" x14ac:dyDescent="0.2">
      <c r="A72" s="600">
        <v>42466</v>
      </c>
      <c r="B72" s="565">
        <v>272690.59999999998</v>
      </c>
    </row>
    <row r="73" spans="1:2" x14ac:dyDescent="0.2">
      <c r="A73" s="600">
        <v>42467</v>
      </c>
      <c r="B73" s="565">
        <v>269582.73</v>
      </c>
    </row>
    <row r="74" spans="1:2" x14ac:dyDescent="0.2">
      <c r="A74" s="600">
        <v>42468</v>
      </c>
      <c r="B74" s="565">
        <f>B73</f>
        <v>269582.73</v>
      </c>
    </row>
    <row r="75" spans="1:2" x14ac:dyDescent="0.2">
      <c r="A75" s="600">
        <v>42471</v>
      </c>
      <c r="B75" s="565">
        <v>269763.98</v>
      </c>
    </row>
    <row r="76" spans="1:2" x14ac:dyDescent="0.2">
      <c r="A76" s="600">
        <v>42472</v>
      </c>
      <c r="B76" s="565">
        <f>B75</f>
        <v>269763.98</v>
      </c>
    </row>
    <row r="77" spans="1:2" x14ac:dyDescent="0.2">
      <c r="A77" s="600">
        <v>42473</v>
      </c>
      <c r="B77" s="565">
        <v>269925.98</v>
      </c>
    </row>
    <row r="78" spans="1:2" x14ac:dyDescent="0.2">
      <c r="A78" s="600">
        <v>42474</v>
      </c>
      <c r="B78" s="565">
        <v>262853.87</v>
      </c>
    </row>
    <row r="79" spans="1:2" x14ac:dyDescent="0.2">
      <c r="A79" s="600">
        <v>42475</v>
      </c>
      <c r="B79" s="565">
        <v>285492.90999999997</v>
      </c>
    </row>
    <row r="80" spans="1:2" x14ac:dyDescent="0.2">
      <c r="A80" s="600">
        <v>42478</v>
      </c>
      <c r="B80" s="565">
        <v>248936.49</v>
      </c>
    </row>
    <row r="81" spans="1:2" x14ac:dyDescent="0.2">
      <c r="A81" s="600">
        <v>42479</v>
      </c>
      <c r="B81" s="565">
        <v>299276.93</v>
      </c>
    </row>
    <row r="82" spans="1:2" x14ac:dyDescent="0.2">
      <c r="A82" s="600">
        <v>42480</v>
      </c>
      <c r="B82" s="565">
        <v>298671.93</v>
      </c>
    </row>
    <row r="83" spans="1:2" x14ac:dyDescent="0.2">
      <c r="A83" s="600">
        <v>42481</v>
      </c>
      <c r="B83" s="565">
        <v>300188.76</v>
      </c>
    </row>
    <row r="84" spans="1:2" x14ac:dyDescent="0.2">
      <c r="A84" s="600">
        <v>42482</v>
      </c>
      <c r="B84" s="565">
        <v>320014.86</v>
      </c>
    </row>
    <row r="85" spans="1:2" x14ac:dyDescent="0.2">
      <c r="A85" s="600">
        <v>42485</v>
      </c>
      <c r="B85" s="565">
        <v>316702.44</v>
      </c>
    </row>
    <row r="86" spans="1:2" x14ac:dyDescent="0.2">
      <c r="A86" s="600">
        <v>42486</v>
      </c>
      <c r="B86" s="565">
        <f>B85</f>
        <v>316702.44</v>
      </c>
    </row>
    <row r="87" spans="1:2" x14ac:dyDescent="0.2">
      <c r="A87" s="600">
        <v>42487</v>
      </c>
      <c r="B87" s="565">
        <v>316945.44</v>
      </c>
    </row>
    <row r="88" spans="1:2" x14ac:dyDescent="0.2">
      <c r="A88" s="600">
        <v>42488</v>
      </c>
      <c r="B88" s="565">
        <v>320979.96999999997</v>
      </c>
    </row>
    <row r="89" spans="1:2" x14ac:dyDescent="0.2">
      <c r="A89" s="600">
        <v>42489</v>
      </c>
      <c r="B89" s="565">
        <f>B88</f>
        <v>320979.96999999997</v>
      </c>
    </row>
    <row r="90" spans="1:2" x14ac:dyDescent="0.2">
      <c r="A90" s="600">
        <v>42492</v>
      </c>
      <c r="B90" s="565">
        <v>285992.84000000003</v>
      </c>
    </row>
    <row r="91" spans="1:2" x14ac:dyDescent="0.2">
      <c r="A91" s="600">
        <v>42493</v>
      </c>
      <c r="B91" s="565">
        <v>286063.08</v>
      </c>
    </row>
    <row r="92" spans="1:2" x14ac:dyDescent="0.2">
      <c r="A92" s="600">
        <v>42494</v>
      </c>
      <c r="B92" s="565">
        <v>314586.46000000002</v>
      </c>
    </row>
    <row r="93" spans="1:2" x14ac:dyDescent="0.2">
      <c r="A93" s="600">
        <v>42495</v>
      </c>
      <c r="B93" s="565">
        <v>317747.52</v>
      </c>
    </row>
    <row r="94" spans="1:2" x14ac:dyDescent="0.2">
      <c r="A94" s="600">
        <v>42496</v>
      </c>
      <c r="B94" s="565">
        <f>B93</f>
        <v>317747.52</v>
      </c>
    </row>
    <row r="95" spans="1:2" x14ac:dyDescent="0.2">
      <c r="A95" s="600">
        <v>42499</v>
      </c>
      <c r="B95" s="565">
        <v>317647.52</v>
      </c>
    </row>
    <row r="96" spans="1:2" x14ac:dyDescent="0.2">
      <c r="A96" s="600">
        <v>42500</v>
      </c>
      <c r="B96" s="565">
        <v>354645.16</v>
      </c>
    </row>
    <row r="97" spans="1:2" x14ac:dyDescent="0.2">
      <c r="A97" s="600">
        <v>42501</v>
      </c>
      <c r="B97" s="565">
        <f>B96</f>
        <v>354645.16</v>
      </c>
    </row>
    <row r="98" spans="1:2" x14ac:dyDescent="0.2">
      <c r="A98" s="600">
        <v>42502</v>
      </c>
      <c r="B98" s="565">
        <v>334676.08</v>
      </c>
    </row>
    <row r="99" spans="1:2" x14ac:dyDescent="0.2">
      <c r="A99" s="600">
        <v>42503</v>
      </c>
      <c r="B99" s="565">
        <v>335053.34999999998</v>
      </c>
    </row>
    <row r="100" spans="1:2" x14ac:dyDescent="0.2">
      <c r="A100" s="600">
        <v>42506</v>
      </c>
      <c r="B100" s="565">
        <v>299641.7</v>
      </c>
    </row>
    <row r="101" spans="1:2" x14ac:dyDescent="0.2">
      <c r="A101" s="600">
        <v>42507</v>
      </c>
      <c r="B101" s="565">
        <f>B100</f>
        <v>299641.7</v>
      </c>
    </row>
    <row r="102" spans="1:2" x14ac:dyDescent="0.2">
      <c r="A102" s="600">
        <v>42508</v>
      </c>
      <c r="B102" s="565">
        <v>316034.81</v>
      </c>
    </row>
    <row r="103" spans="1:2" x14ac:dyDescent="0.2">
      <c r="A103" s="600">
        <v>42509</v>
      </c>
      <c r="B103" s="565">
        <v>320069.11</v>
      </c>
    </row>
    <row r="104" spans="1:2" x14ac:dyDescent="0.2">
      <c r="A104" s="600">
        <v>42510</v>
      </c>
      <c r="B104" s="565">
        <v>328514.03000000003</v>
      </c>
    </row>
    <row r="105" spans="1:2" x14ac:dyDescent="0.2">
      <c r="A105" s="600">
        <v>42513</v>
      </c>
      <c r="B105" s="565">
        <f>B104</f>
        <v>328514.03000000003</v>
      </c>
    </row>
    <row r="106" spans="1:2" x14ac:dyDescent="0.2">
      <c r="A106" s="600">
        <v>42514</v>
      </c>
      <c r="B106" s="565">
        <v>334541.26</v>
      </c>
    </row>
    <row r="107" spans="1:2" x14ac:dyDescent="0.2">
      <c r="A107" s="600">
        <v>42515</v>
      </c>
      <c r="B107" s="566">
        <v>329880.45</v>
      </c>
    </row>
    <row r="108" spans="1:2" x14ac:dyDescent="0.2">
      <c r="A108" s="600">
        <v>42516</v>
      </c>
      <c r="B108" s="567">
        <v>337992.17</v>
      </c>
    </row>
    <row r="109" spans="1:2" x14ac:dyDescent="0.2">
      <c r="A109" s="600">
        <v>42517</v>
      </c>
      <c r="B109" s="567">
        <v>347755.4</v>
      </c>
    </row>
    <row r="110" spans="1:2" x14ac:dyDescent="0.2">
      <c r="A110" s="600">
        <v>42520</v>
      </c>
      <c r="B110" s="567">
        <v>347755.4</v>
      </c>
    </row>
    <row r="111" spans="1:2" x14ac:dyDescent="0.2">
      <c r="A111" s="600">
        <v>42521</v>
      </c>
      <c r="B111" s="567">
        <v>312817.88</v>
      </c>
    </row>
    <row r="112" spans="1:2" x14ac:dyDescent="0.2">
      <c r="A112" s="600">
        <v>42522</v>
      </c>
      <c r="B112" s="567">
        <v>314571.3</v>
      </c>
    </row>
    <row r="113" spans="1:2" x14ac:dyDescent="0.2">
      <c r="A113" s="600">
        <v>42523</v>
      </c>
      <c r="B113" s="567">
        <v>302515.78000000003</v>
      </c>
    </row>
    <row r="114" spans="1:2" x14ac:dyDescent="0.2">
      <c r="A114" s="600">
        <v>42524</v>
      </c>
      <c r="B114" s="567">
        <v>302516</v>
      </c>
    </row>
    <row r="115" spans="1:2" x14ac:dyDescent="0.2">
      <c r="A115" s="600">
        <v>42527</v>
      </c>
      <c r="B115" s="567">
        <v>302516</v>
      </c>
    </row>
    <row r="116" spans="1:2" x14ac:dyDescent="0.2">
      <c r="A116" s="600">
        <v>42528</v>
      </c>
      <c r="B116" s="567">
        <v>302516</v>
      </c>
    </row>
    <row r="117" spans="1:2" x14ac:dyDescent="0.2">
      <c r="A117" s="600">
        <v>42529</v>
      </c>
      <c r="B117" s="567">
        <v>279865.95</v>
      </c>
    </row>
    <row r="118" spans="1:2" x14ac:dyDescent="0.2">
      <c r="A118" s="600">
        <v>42530</v>
      </c>
      <c r="B118" s="567">
        <v>279866</v>
      </c>
    </row>
    <row r="119" spans="1:2" x14ac:dyDescent="0.2">
      <c r="A119" s="600">
        <v>42531</v>
      </c>
      <c r="B119" s="567">
        <v>279866</v>
      </c>
    </row>
    <row r="120" spans="1:2" x14ac:dyDescent="0.2">
      <c r="A120" s="600">
        <v>42534</v>
      </c>
      <c r="B120" s="567">
        <v>279866</v>
      </c>
    </row>
    <row r="121" spans="1:2" x14ac:dyDescent="0.2">
      <c r="A121" s="600">
        <v>42535</v>
      </c>
      <c r="B121" s="567">
        <v>279866</v>
      </c>
    </row>
    <row r="122" spans="1:2" x14ac:dyDescent="0.2">
      <c r="A122" s="600">
        <v>42536</v>
      </c>
      <c r="B122" s="567">
        <v>290096.01</v>
      </c>
    </row>
    <row r="123" spans="1:2" x14ac:dyDescent="0.2">
      <c r="A123" s="600">
        <v>42537</v>
      </c>
      <c r="B123" s="567">
        <v>247423.5</v>
      </c>
    </row>
    <row r="124" spans="1:2" x14ac:dyDescent="0.2">
      <c r="A124" s="600">
        <v>42538</v>
      </c>
      <c r="B124" s="567">
        <v>247424</v>
      </c>
    </row>
    <row r="125" spans="1:2" x14ac:dyDescent="0.2">
      <c r="A125" s="600">
        <v>42541</v>
      </c>
      <c r="B125" s="567">
        <v>247424</v>
      </c>
    </row>
    <row r="126" spans="1:2" x14ac:dyDescent="0.2">
      <c r="A126" s="600">
        <v>42542</v>
      </c>
      <c r="B126" s="567">
        <v>255459.85</v>
      </c>
    </row>
    <row r="127" spans="1:2" x14ac:dyDescent="0.2">
      <c r="A127" s="600">
        <v>42543</v>
      </c>
      <c r="B127" s="567">
        <v>255460</v>
      </c>
    </row>
    <row r="128" spans="1:2" x14ac:dyDescent="0.2">
      <c r="A128" s="568">
        <f>A127+1</f>
        <v>42544</v>
      </c>
      <c r="B128" s="567">
        <v>240780.4</v>
      </c>
    </row>
    <row r="129" spans="1:2" x14ac:dyDescent="0.2">
      <c r="A129" s="568">
        <f>A128+1</f>
        <v>42545</v>
      </c>
      <c r="B129" s="567">
        <v>240780</v>
      </c>
    </row>
    <row r="130" spans="1:2" x14ac:dyDescent="0.2">
      <c r="A130" s="568">
        <f>A125+7</f>
        <v>42548</v>
      </c>
      <c r="B130" s="567">
        <v>205735.12</v>
      </c>
    </row>
    <row r="131" spans="1:2" x14ac:dyDescent="0.2">
      <c r="A131" s="568">
        <f>A126+7</f>
        <v>42549</v>
      </c>
      <c r="B131" s="567">
        <v>207489.37</v>
      </c>
    </row>
    <row r="132" spans="1:2" x14ac:dyDescent="0.2">
      <c r="A132" s="568">
        <f t="shared" ref="A132:A195" si="0">A127+7</f>
        <v>42550</v>
      </c>
      <c r="B132" s="567">
        <v>213757.9</v>
      </c>
    </row>
    <row r="133" spans="1:2" x14ac:dyDescent="0.2">
      <c r="A133" s="568">
        <f t="shared" si="0"/>
        <v>42551</v>
      </c>
      <c r="B133" s="567">
        <v>220332.56</v>
      </c>
    </row>
    <row r="134" spans="1:2" x14ac:dyDescent="0.2">
      <c r="A134" s="568">
        <f t="shared" si="0"/>
        <v>42552</v>
      </c>
      <c r="B134" s="567">
        <v>212813.84</v>
      </c>
    </row>
    <row r="135" spans="1:2" x14ac:dyDescent="0.2">
      <c r="A135" s="568">
        <f t="shared" si="0"/>
        <v>42555</v>
      </c>
      <c r="B135" s="567">
        <v>212814</v>
      </c>
    </row>
    <row r="136" spans="1:2" x14ac:dyDescent="0.2">
      <c r="A136" s="568">
        <f t="shared" si="0"/>
        <v>42556</v>
      </c>
      <c r="B136" s="567">
        <v>236539.45</v>
      </c>
    </row>
    <row r="137" spans="1:2" x14ac:dyDescent="0.2">
      <c r="A137" s="568">
        <f t="shared" si="0"/>
        <v>42557</v>
      </c>
      <c r="B137" s="567">
        <v>234224.42</v>
      </c>
    </row>
    <row r="138" spans="1:2" x14ac:dyDescent="0.2">
      <c r="A138" s="568">
        <f t="shared" si="0"/>
        <v>42558</v>
      </c>
      <c r="B138" s="567">
        <v>234132.08</v>
      </c>
    </row>
    <row r="139" spans="1:2" x14ac:dyDescent="0.2">
      <c r="A139" s="568">
        <f t="shared" si="0"/>
        <v>42559</v>
      </c>
      <c r="B139" s="567">
        <v>234132.08</v>
      </c>
    </row>
    <row r="140" spans="1:2" x14ac:dyDescent="0.2">
      <c r="A140" s="568">
        <f t="shared" si="0"/>
        <v>42562</v>
      </c>
      <c r="B140" s="567">
        <v>199890.85</v>
      </c>
    </row>
    <row r="141" spans="1:2" x14ac:dyDescent="0.2">
      <c r="A141" s="568">
        <f t="shared" si="0"/>
        <v>42563</v>
      </c>
      <c r="B141" s="567">
        <v>221114.27</v>
      </c>
    </row>
    <row r="142" spans="1:2" x14ac:dyDescent="0.2">
      <c r="A142" s="568">
        <f t="shared" si="0"/>
        <v>42564</v>
      </c>
      <c r="B142" s="567">
        <v>221114</v>
      </c>
    </row>
    <row r="143" spans="1:2" x14ac:dyDescent="0.2">
      <c r="A143" s="568">
        <f t="shared" si="0"/>
        <v>42565</v>
      </c>
      <c r="B143" s="567">
        <v>214752.25</v>
      </c>
    </row>
    <row r="144" spans="1:2" x14ac:dyDescent="0.2">
      <c r="A144" s="568">
        <f t="shared" si="0"/>
        <v>42566</v>
      </c>
      <c r="B144" s="567">
        <v>294578.96999999997</v>
      </c>
    </row>
    <row r="145" spans="1:2" x14ac:dyDescent="0.2">
      <c r="A145" s="568">
        <f t="shared" si="0"/>
        <v>42569</v>
      </c>
      <c r="B145" s="567">
        <v>294579</v>
      </c>
    </row>
    <row r="146" spans="1:2" x14ac:dyDescent="0.2">
      <c r="A146" s="568">
        <f t="shared" si="0"/>
        <v>42570</v>
      </c>
      <c r="B146" s="567">
        <v>294579</v>
      </c>
    </row>
    <row r="147" spans="1:2" x14ac:dyDescent="0.2">
      <c r="A147" s="568">
        <f t="shared" si="0"/>
        <v>42571</v>
      </c>
      <c r="B147" s="567">
        <v>328195.42</v>
      </c>
    </row>
    <row r="148" spans="1:2" x14ac:dyDescent="0.2">
      <c r="A148" s="568">
        <f t="shared" si="0"/>
        <v>42572</v>
      </c>
      <c r="B148" s="567">
        <v>407865.86</v>
      </c>
    </row>
    <row r="149" spans="1:2" x14ac:dyDescent="0.2">
      <c r="A149" s="568">
        <f t="shared" si="0"/>
        <v>42573</v>
      </c>
      <c r="B149" s="567">
        <v>409053.93</v>
      </c>
    </row>
    <row r="150" spans="1:2" x14ac:dyDescent="0.2">
      <c r="A150" s="568">
        <f t="shared" si="0"/>
        <v>42576</v>
      </c>
      <c r="B150" s="567">
        <v>372421.56</v>
      </c>
    </row>
    <row r="151" spans="1:2" x14ac:dyDescent="0.2">
      <c r="A151" s="568">
        <f t="shared" si="0"/>
        <v>42577</v>
      </c>
      <c r="B151" s="567">
        <v>375562.78</v>
      </c>
    </row>
    <row r="152" spans="1:2" x14ac:dyDescent="0.2">
      <c r="A152" s="568">
        <f t="shared" si="0"/>
        <v>42578</v>
      </c>
      <c r="B152" s="567">
        <v>375563</v>
      </c>
    </row>
    <row r="153" spans="1:2" x14ac:dyDescent="0.2">
      <c r="A153" s="568">
        <f t="shared" si="0"/>
        <v>42579</v>
      </c>
      <c r="B153" s="567">
        <v>366510.98</v>
      </c>
    </row>
    <row r="154" spans="1:2" x14ac:dyDescent="0.2">
      <c r="A154" s="568">
        <f t="shared" si="0"/>
        <v>42580</v>
      </c>
      <c r="B154" s="567">
        <v>366609.48</v>
      </c>
    </row>
    <row r="155" spans="1:2" x14ac:dyDescent="0.2">
      <c r="A155" s="568">
        <f t="shared" si="0"/>
        <v>42583</v>
      </c>
      <c r="B155" s="567">
        <v>382689.69</v>
      </c>
    </row>
    <row r="156" spans="1:2" x14ac:dyDescent="0.2">
      <c r="A156" s="568">
        <f t="shared" si="0"/>
        <v>42584</v>
      </c>
      <c r="B156" s="567">
        <v>382690</v>
      </c>
    </row>
    <row r="157" spans="1:2" x14ac:dyDescent="0.2">
      <c r="A157" s="568">
        <f t="shared" si="0"/>
        <v>42585</v>
      </c>
      <c r="B157" s="567">
        <v>387013.59</v>
      </c>
    </row>
    <row r="158" spans="1:2" x14ac:dyDescent="0.2">
      <c r="A158" s="568">
        <f t="shared" si="0"/>
        <v>42586</v>
      </c>
      <c r="B158" s="567">
        <v>382543.7</v>
      </c>
    </row>
    <row r="159" spans="1:2" x14ac:dyDescent="0.2">
      <c r="A159" s="568">
        <f t="shared" si="0"/>
        <v>42587</v>
      </c>
      <c r="B159" s="567">
        <v>382544</v>
      </c>
    </row>
    <row r="160" spans="1:2" x14ac:dyDescent="0.2">
      <c r="A160" s="568">
        <f t="shared" si="0"/>
        <v>42590</v>
      </c>
      <c r="B160" s="567">
        <v>344510.17</v>
      </c>
    </row>
    <row r="161" spans="1:2" x14ac:dyDescent="0.2">
      <c r="A161" s="568">
        <f t="shared" si="0"/>
        <v>42591</v>
      </c>
      <c r="B161" s="567">
        <v>350095.94</v>
      </c>
    </row>
    <row r="162" spans="1:2" x14ac:dyDescent="0.2">
      <c r="A162" s="568">
        <f t="shared" si="0"/>
        <v>42592</v>
      </c>
      <c r="B162" s="567">
        <v>350096</v>
      </c>
    </row>
    <row r="163" spans="1:2" x14ac:dyDescent="0.2">
      <c r="A163" s="568">
        <f t="shared" si="0"/>
        <v>42593</v>
      </c>
      <c r="B163" s="567">
        <v>355079.15</v>
      </c>
    </row>
    <row r="164" spans="1:2" x14ac:dyDescent="0.2">
      <c r="A164" s="568">
        <f t="shared" si="0"/>
        <v>42594</v>
      </c>
      <c r="B164" s="567">
        <v>356502.11</v>
      </c>
    </row>
    <row r="165" spans="1:2" x14ac:dyDescent="0.2">
      <c r="A165" s="568">
        <f t="shared" si="0"/>
        <v>42597</v>
      </c>
      <c r="B165" s="567">
        <v>408622.46</v>
      </c>
    </row>
    <row r="166" spans="1:2" x14ac:dyDescent="0.2">
      <c r="A166" s="568">
        <f t="shared" si="0"/>
        <v>42598</v>
      </c>
      <c r="B166" s="567">
        <v>408622</v>
      </c>
    </row>
    <row r="167" spans="1:2" x14ac:dyDescent="0.2">
      <c r="A167" s="568">
        <f t="shared" si="0"/>
        <v>42599</v>
      </c>
      <c r="B167" s="567">
        <v>408622</v>
      </c>
    </row>
    <row r="168" spans="1:2" x14ac:dyDescent="0.2">
      <c r="A168" s="568">
        <f t="shared" si="0"/>
        <v>42600</v>
      </c>
      <c r="B168" s="567">
        <v>409931.67</v>
      </c>
    </row>
    <row r="169" spans="1:2" x14ac:dyDescent="0.2">
      <c r="A169" s="568">
        <f t="shared" si="0"/>
        <v>42601</v>
      </c>
      <c r="B169" s="567">
        <v>410189.3</v>
      </c>
    </row>
    <row r="170" spans="1:2" x14ac:dyDescent="0.2">
      <c r="A170" s="568">
        <f t="shared" si="0"/>
        <v>42604</v>
      </c>
      <c r="B170" s="567">
        <v>370399.56</v>
      </c>
    </row>
    <row r="171" spans="1:2" x14ac:dyDescent="0.2">
      <c r="A171" s="568">
        <f t="shared" si="0"/>
        <v>42605</v>
      </c>
      <c r="B171" s="567">
        <v>370399.56</v>
      </c>
    </row>
    <row r="172" spans="1:2" x14ac:dyDescent="0.2">
      <c r="A172" s="568">
        <f t="shared" si="0"/>
        <v>42606</v>
      </c>
      <c r="B172" s="567">
        <v>370400</v>
      </c>
    </row>
    <row r="173" spans="1:2" x14ac:dyDescent="0.2">
      <c r="A173" s="568">
        <f t="shared" si="0"/>
        <v>42607</v>
      </c>
      <c r="B173" s="567">
        <v>359591.19</v>
      </c>
    </row>
    <row r="174" spans="1:2" x14ac:dyDescent="0.2">
      <c r="A174" s="568">
        <f t="shared" si="0"/>
        <v>42608</v>
      </c>
      <c r="B174" s="567">
        <v>399163.14</v>
      </c>
    </row>
    <row r="175" spans="1:2" x14ac:dyDescent="0.2">
      <c r="A175" s="568">
        <f t="shared" si="0"/>
        <v>42611</v>
      </c>
      <c r="B175" s="567">
        <v>407196.62</v>
      </c>
    </row>
    <row r="176" spans="1:2" x14ac:dyDescent="0.2">
      <c r="A176" s="568">
        <f t="shared" si="0"/>
        <v>42612</v>
      </c>
      <c r="B176" s="567">
        <v>422526.97</v>
      </c>
    </row>
    <row r="177" spans="1:5" x14ac:dyDescent="0.2">
      <c r="A177" s="568">
        <f t="shared" si="0"/>
        <v>42613</v>
      </c>
      <c r="B177" s="567">
        <v>479216.05</v>
      </c>
    </row>
    <row r="178" spans="1:5" x14ac:dyDescent="0.2">
      <c r="A178" s="568">
        <f t="shared" si="0"/>
        <v>42614</v>
      </c>
      <c r="B178" s="567">
        <v>479216</v>
      </c>
    </row>
    <row r="179" spans="1:5" x14ac:dyDescent="0.2">
      <c r="A179" s="568">
        <f t="shared" si="0"/>
        <v>42615</v>
      </c>
      <c r="B179" s="567">
        <v>479216</v>
      </c>
    </row>
    <row r="180" spans="1:5" x14ac:dyDescent="0.2">
      <c r="A180" s="568">
        <f t="shared" si="0"/>
        <v>42618</v>
      </c>
      <c r="B180" s="567">
        <v>479216</v>
      </c>
    </row>
    <row r="181" spans="1:5" x14ac:dyDescent="0.2">
      <c r="A181" s="568">
        <f t="shared" si="0"/>
        <v>42619</v>
      </c>
      <c r="B181" s="567">
        <v>440784.82</v>
      </c>
    </row>
    <row r="182" spans="1:5" x14ac:dyDescent="0.2">
      <c r="A182" s="568">
        <f t="shared" si="0"/>
        <v>42620</v>
      </c>
      <c r="B182" s="567">
        <v>440785</v>
      </c>
      <c r="D182" s="569"/>
      <c r="E182" s="570"/>
    </row>
    <row r="183" spans="1:5" x14ac:dyDescent="0.2">
      <c r="A183" s="568">
        <f t="shared" si="0"/>
        <v>42621</v>
      </c>
      <c r="B183" s="567">
        <v>445373.31</v>
      </c>
    </row>
    <row r="184" spans="1:5" x14ac:dyDescent="0.2">
      <c r="A184" s="568">
        <f t="shared" si="0"/>
        <v>42622</v>
      </c>
      <c r="B184" s="567">
        <v>463896.46</v>
      </c>
      <c r="D184" s="569">
        <v>42705</v>
      </c>
      <c r="E184" s="570">
        <v>249807.51</v>
      </c>
    </row>
    <row r="185" spans="1:5" x14ac:dyDescent="0.2">
      <c r="A185" s="568">
        <f t="shared" si="0"/>
        <v>42625</v>
      </c>
      <c r="B185" s="567">
        <v>463296.46</v>
      </c>
      <c r="D185" s="569">
        <v>42736</v>
      </c>
      <c r="E185" s="570">
        <v>351420.1</v>
      </c>
    </row>
    <row r="186" spans="1:5" x14ac:dyDescent="0.2">
      <c r="A186" s="568">
        <f t="shared" si="0"/>
        <v>42626</v>
      </c>
      <c r="B186" s="567">
        <v>465024.54</v>
      </c>
      <c r="D186" s="569">
        <v>42767</v>
      </c>
      <c r="E186" s="570">
        <v>253330.36</v>
      </c>
    </row>
    <row r="187" spans="1:5" x14ac:dyDescent="0.2">
      <c r="A187" s="568">
        <f t="shared" si="0"/>
        <v>42627</v>
      </c>
      <c r="B187" s="567">
        <v>465025</v>
      </c>
      <c r="D187" s="569">
        <v>42795</v>
      </c>
      <c r="E187" s="570">
        <v>280744.2</v>
      </c>
    </row>
    <row r="188" spans="1:5" x14ac:dyDescent="0.2">
      <c r="A188" s="568">
        <f t="shared" si="0"/>
        <v>42628</v>
      </c>
      <c r="B188" s="567">
        <v>447444.34</v>
      </c>
      <c r="D188" s="569">
        <v>42826</v>
      </c>
      <c r="E188" s="570">
        <v>319478.15999999997</v>
      </c>
    </row>
    <row r="189" spans="1:5" x14ac:dyDescent="0.2">
      <c r="A189" s="568">
        <f t="shared" si="0"/>
        <v>42629</v>
      </c>
      <c r="B189" s="567">
        <v>451135.42</v>
      </c>
      <c r="D189" s="569">
        <v>42856</v>
      </c>
      <c r="E189" s="570">
        <v>241828.1</v>
      </c>
    </row>
    <row r="190" spans="1:5" x14ac:dyDescent="0.2">
      <c r="A190" s="568">
        <f t="shared" si="0"/>
        <v>42632</v>
      </c>
      <c r="B190" s="567">
        <v>413924.51</v>
      </c>
      <c r="D190" s="569">
        <v>42887</v>
      </c>
      <c r="E190" s="570">
        <v>248981.18</v>
      </c>
    </row>
    <row r="191" spans="1:5" x14ac:dyDescent="0.2">
      <c r="A191" s="568">
        <f t="shared" si="0"/>
        <v>42633</v>
      </c>
      <c r="B191" s="567">
        <v>395080.96000000002</v>
      </c>
      <c r="D191" s="569">
        <v>42917</v>
      </c>
      <c r="E191" s="570">
        <v>268936.05</v>
      </c>
    </row>
    <row r="192" spans="1:5" x14ac:dyDescent="0.2">
      <c r="A192" s="568">
        <f t="shared" si="0"/>
        <v>42634</v>
      </c>
      <c r="B192" s="567">
        <v>393852.1</v>
      </c>
      <c r="D192" s="569">
        <v>42948</v>
      </c>
      <c r="E192" s="570">
        <v>198251.6</v>
      </c>
    </row>
    <row r="193" spans="1:5" x14ac:dyDescent="0.2">
      <c r="A193" s="568">
        <f t="shared" si="0"/>
        <v>42635</v>
      </c>
      <c r="B193" s="567">
        <v>397757.18</v>
      </c>
      <c r="D193" s="569">
        <v>42979</v>
      </c>
      <c r="E193" s="570">
        <v>178964.63</v>
      </c>
    </row>
    <row r="194" spans="1:5" x14ac:dyDescent="0.2">
      <c r="A194" s="568">
        <f t="shared" si="0"/>
        <v>42636</v>
      </c>
      <c r="B194" s="567">
        <v>397757</v>
      </c>
      <c r="D194" s="569">
        <v>43009</v>
      </c>
      <c r="E194" s="570">
        <v>199171.39</v>
      </c>
    </row>
    <row r="195" spans="1:5" x14ac:dyDescent="0.2">
      <c r="A195" s="568">
        <f t="shared" si="0"/>
        <v>42639</v>
      </c>
      <c r="B195" s="567">
        <v>397757</v>
      </c>
      <c r="D195" s="569">
        <v>43040</v>
      </c>
      <c r="E195" s="570">
        <v>180584.58</v>
      </c>
    </row>
    <row r="196" spans="1:5" x14ac:dyDescent="0.2">
      <c r="A196" s="568">
        <f t="shared" ref="A196:A259" si="1">A191+7</f>
        <v>42640</v>
      </c>
      <c r="B196" s="567">
        <v>403105.59</v>
      </c>
      <c r="D196" s="569">
        <v>43070</v>
      </c>
      <c r="E196" s="570">
        <f>'December''17 AR Aging '!G62</f>
        <v>256836.77999999997</v>
      </c>
    </row>
    <row r="197" spans="1:5" x14ac:dyDescent="0.2">
      <c r="A197" s="568">
        <f t="shared" si="1"/>
        <v>42641</v>
      </c>
      <c r="B197" s="567">
        <v>394170.51</v>
      </c>
      <c r="D197" s="569"/>
      <c r="E197" s="570"/>
    </row>
    <row r="198" spans="1:5" x14ac:dyDescent="0.2">
      <c r="A198" s="568">
        <f t="shared" si="1"/>
        <v>42642</v>
      </c>
      <c r="B198" s="567">
        <v>397917.56</v>
      </c>
      <c r="D198" s="569"/>
      <c r="E198" s="570"/>
    </row>
    <row r="199" spans="1:5" x14ac:dyDescent="0.2">
      <c r="A199" s="568">
        <f t="shared" si="1"/>
        <v>42643</v>
      </c>
      <c r="B199" s="567">
        <v>397918</v>
      </c>
      <c r="D199" s="569"/>
      <c r="E199" s="570"/>
    </row>
    <row r="200" spans="1:5" x14ac:dyDescent="0.2">
      <c r="A200" s="568">
        <f t="shared" si="1"/>
        <v>42646</v>
      </c>
      <c r="B200" s="567">
        <v>361701.8</v>
      </c>
      <c r="D200" s="569"/>
      <c r="E200" s="570"/>
    </row>
    <row r="201" spans="1:5" x14ac:dyDescent="0.2">
      <c r="A201" s="568">
        <f t="shared" si="1"/>
        <v>42647</v>
      </c>
      <c r="B201" s="567">
        <v>362031.95</v>
      </c>
      <c r="D201" s="569"/>
      <c r="E201" s="570"/>
    </row>
    <row r="202" spans="1:5" x14ac:dyDescent="0.2">
      <c r="A202" s="568">
        <f t="shared" si="1"/>
        <v>42648</v>
      </c>
      <c r="B202" s="567">
        <v>362032</v>
      </c>
    </row>
    <row r="203" spans="1:5" x14ac:dyDescent="0.2">
      <c r="A203" s="568">
        <f t="shared" si="1"/>
        <v>42649</v>
      </c>
      <c r="B203" s="567">
        <v>360433.13</v>
      </c>
    </row>
    <row r="204" spans="1:5" x14ac:dyDescent="0.2">
      <c r="A204" s="568">
        <f t="shared" si="1"/>
        <v>42650</v>
      </c>
      <c r="B204" s="567">
        <v>361754.66</v>
      </c>
    </row>
    <row r="205" spans="1:5" x14ac:dyDescent="0.2">
      <c r="A205" s="568">
        <f t="shared" si="1"/>
        <v>42653</v>
      </c>
      <c r="B205" s="567">
        <v>361755</v>
      </c>
    </row>
    <row r="206" spans="1:5" x14ac:dyDescent="0.2">
      <c r="A206" s="568">
        <f t="shared" si="1"/>
        <v>42654</v>
      </c>
      <c r="B206" s="567">
        <v>361755</v>
      </c>
    </row>
    <row r="207" spans="1:5" x14ac:dyDescent="0.2">
      <c r="A207" s="568">
        <f t="shared" si="1"/>
        <v>42655</v>
      </c>
      <c r="B207" s="567">
        <v>365429.62</v>
      </c>
    </row>
    <row r="208" spans="1:5" x14ac:dyDescent="0.2">
      <c r="A208" s="568">
        <f t="shared" si="1"/>
        <v>42656</v>
      </c>
      <c r="B208" s="567">
        <v>375400.83</v>
      </c>
    </row>
    <row r="209" spans="1:2" x14ac:dyDescent="0.2">
      <c r="A209" s="568">
        <f t="shared" si="1"/>
        <v>42657</v>
      </c>
      <c r="B209" s="567">
        <v>375484.03</v>
      </c>
    </row>
    <row r="210" spans="1:2" x14ac:dyDescent="0.2">
      <c r="A210" s="568">
        <f t="shared" si="1"/>
        <v>42660</v>
      </c>
      <c r="B210" s="567">
        <v>339702.96</v>
      </c>
    </row>
    <row r="211" spans="1:2" x14ac:dyDescent="0.2">
      <c r="A211" s="568">
        <f t="shared" si="1"/>
        <v>42661</v>
      </c>
      <c r="B211" s="567">
        <v>343741.39</v>
      </c>
    </row>
    <row r="212" spans="1:2" x14ac:dyDescent="0.2">
      <c r="A212" s="568">
        <f t="shared" si="1"/>
        <v>42662</v>
      </c>
      <c r="B212" s="567">
        <v>343741</v>
      </c>
    </row>
    <row r="213" spans="1:2" x14ac:dyDescent="0.2">
      <c r="A213" s="568">
        <f t="shared" si="1"/>
        <v>42663</v>
      </c>
      <c r="B213" s="567">
        <v>332267.31</v>
      </c>
    </row>
    <row r="214" spans="1:2" x14ac:dyDescent="0.2">
      <c r="A214" s="568">
        <f t="shared" si="1"/>
        <v>42664</v>
      </c>
      <c r="B214" s="567">
        <v>332482.06</v>
      </c>
    </row>
    <row r="215" spans="1:2" x14ac:dyDescent="0.2">
      <c r="A215" s="568">
        <f t="shared" si="1"/>
        <v>42667</v>
      </c>
      <c r="B215" s="567">
        <v>332482</v>
      </c>
    </row>
    <row r="216" spans="1:2" x14ac:dyDescent="0.2">
      <c r="A216" s="568">
        <f t="shared" si="1"/>
        <v>42668</v>
      </c>
      <c r="B216" s="567">
        <v>337085.39</v>
      </c>
    </row>
    <row r="217" spans="1:2" x14ac:dyDescent="0.2">
      <c r="A217" s="568">
        <f t="shared" si="1"/>
        <v>42669</v>
      </c>
      <c r="B217" s="567">
        <v>337085</v>
      </c>
    </row>
    <row r="218" spans="1:2" x14ac:dyDescent="0.2">
      <c r="A218" s="568">
        <f t="shared" si="1"/>
        <v>42670</v>
      </c>
      <c r="B218" s="567">
        <v>333113.26</v>
      </c>
    </row>
    <row r="219" spans="1:2" x14ac:dyDescent="0.2">
      <c r="A219" s="568">
        <f t="shared" si="1"/>
        <v>42671</v>
      </c>
      <c r="B219" s="567">
        <v>360993.03</v>
      </c>
    </row>
    <row r="220" spans="1:2" x14ac:dyDescent="0.2">
      <c r="A220" s="568">
        <f t="shared" si="1"/>
        <v>42674</v>
      </c>
      <c r="B220" s="567">
        <v>350567.25</v>
      </c>
    </row>
    <row r="221" spans="1:2" x14ac:dyDescent="0.2">
      <c r="A221" s="568">
        <f t="shared" si="1"/>
        <v>42675</v>
      </c>
      <c r="B221" s="567">
        <v>350939.21</v>
      </c>
    </row>
    <row r="222" spans="1:2" x14ac:dyDescent="0.2">
      <c r="A222" s="568">
        <f t="shared" si="1"/>
        <v>42676</v>
      </c>
      <c r="B222" s="567">
        <v>350939</v>
      </c>
    </row>
    <row r="223" spans="1:2" x14ac:dyDescent="0.2">
      <c r="A223" s="568">
        <f t="shared" si="1"/>
        <v>42677</v>
      </c>
      <c r="B223" s="567">
        <v>344148.64</v>
      </c>
    </row>
    <row r="224" spans="1:2" x14ac:dyDescent="0.2">
      <c r="A224" s="568">
        <f t="shared" si="1"/>
        <v>42678</v>
      </c>
      <c r="B224" s="567">
        <v>399084.27</v>
      </c>
    </row>
    <row r="225" spans="1:2" x14ac:dyDescent="0.2">
      <c r="A225" s="568">
        <f t="shared" si="1"/>
        <v>42681</v>
      </c>
      <c r="B225" s="567">
        <v>399084</v>
      </c>
    </row>
    <row r="226" spans="1:2" x14ac:dyDescent="0.2">
      <c r="A226" s="568">
        <f t="shared" si="1"/>
        <v>42682</v>
      </c>
      <c r="B226" s="567">
        <v>403667.29</v>
      </c>
    </row>
    <row r="227" spans="1:2" x14ac:dyDescent="0.2">
      <c r="A227" s="568">
        <f t="shared" si="1"/>
        <v>42683</v>
      </c>
      <c r="B227" s="567">
        <v>403667</v>
      </c>
    </row>
    <row r="228" spans="1:2" x14ac:dyDescent="0.2">
      <c r="A228" s="568">
        <f t="shared" si="1"/>
        <v>42684</v>
      </c>
      <c r="B228" s="567">
        <v>383477.25</v>
      </c>
    </row>
    <row r="229" spans="1:2" x14ac:dyDescent="0.2">
      <c r="A229" s="568">
        <f t="shared" si="1"/>
        <v>42685</v>
      </c>
      <c r="B229" s="567">
        <v>383477</v>
      </c>
    </row>
    <row r="230" spans="1:2" x14ac:dyDescent="0.2">
      <c r="A230" s="568">
        <f t="shared" si="1"/>
        <v>42688</v>
      </c>
      <c r="B230" s="567">
        <v>347717.6</v>
      </c>
    </row>
    <row r="231" spans="1:2" x14ac:dyDescent="0.2">
      <c r="A231" s="568">
        <f t="shared" si="1"/>
        <v>42689</v>
      </c>
      <c r="B231" s="567">
        <v>347836.75</v>
      </c>
    </row>
    <row r="232" spans="1:2" x14ac:dyDescent="0.2">
      <c r="A232" s="568">
        <f t="shared" si="1"/>
        <v>42690</v>
      </c>
      <c r="B232" s="567">
        <v>347836.75</v>
      </c>
    </row>
    <row r="233" spans="1:2" x14ac:dyDescent="0.2">
      <c r="A233" s="568">
        <f t="shared" si="1"/>
        <v>42691</v>
      </c>
      <c r="B233" s="567">
        <v>350935.56</v>
      </c>
    </row>
    <row r="234" spans="1:2" x14ac:dyDescent="0.2">
      <c r="A234" s="568">
        <f t="shared" si="1"/>
        <v>42692</v>
      </c>
      <c r="B234" s="567">
        <v>350936</v>
      </c>
    </row>
    <row r="235" spans="1:2" x14ac:dyDescent="0.2">
      <c r="A235" s="568">
        <f t="shared" si="1"/>
        <v>42695</v>
      </c>
      <c r="B235" s="567">
        <v>350936</v>
      </c>
    </row>
    <row r="236" spans="1:2" x14ac:dyDescent="0.2">
      <c r="A236" s="568">
        <f t="shared" si="1"/>
        <v>42696</v>
      </c>
      <c r="B236" s="567">
        <v>351588.06</v>
      </c>
    </row>
    <row r="237" spans="1:2" x14ac:dyDescent="0.2">
      <c r="A237" s="568">
        <f t="shared" si="1"/>
        <v>42697</v>
      </c>
      <c r="B237" s="567">
        <v>349477.96</v>
      </c>
    </row>
    <row r="238" spans="1:2" x14ac:dyDescent="0.2">
      <c r="A238" s="568">
        <f t="shared" si="1"/>
        <v>42698</v>
      </c>
      <c r="B238" s="567">
        <v>349478</v>
      </c>
    </row>
    <row r="239" spans="1:2" x14ac:dyDescent="0.2">
      <c r="A239" s="568">
        <f t="shared" si="1"/>
        <v>42699</v>
      </c>
      <c r="B239" s="567">
        <v>368170.66</v>
      </c>
    </row>
    <row r="240" spans="1:2" x14ac:dyDescent="0.2">
      <c r="A240" s="568">
        <f t="shared" si="1"/>
        <v>42702</v>
      </c>
      <c r="B240" s="567">
        <v>368170.66</v>
      </c>
    </row>
    <row r="241" spans="1:2" x14ac:dyDescent="0.2">
      <c r="A241" s="568">
        <f t="shared" si="1"/>
        <v>42703</v>
      </c>
      <c r="B241" s="567">
        <v>328902.64</v>
      </c>
    </row>
    <row r="242" spans="1:2" x14ac:dyDescent="0.2">
      <c r="A242" s="568">
        <f t="shared" si="1"/>
        <v>42704</v>
      </c>
      <c r="B242" s="567">
        <v>338455.85</v>
      </c>
    </row>
    <row r="243" spans="1:2" x14ac:dyDescent="0.2">
      <c r="A243" s="568">
        <f t="shared" si="1"/>
        <v>42705</v>
      </c>
      <c r="B243" s="567">
        <v>336997.18</v>
      </c>
    </row>
    <row r="244" spans="1:2" x14ac:dyDescent="0.2">
      <c r="A244" s="568">
        <f t="shared" si="1"/>
        <v>42706</v>
      </c>
      <c r="B244" s="567">
        <v>342825.59</v>
      </c>
    </row>
    <row r="245" spans="1:2" x14ac:dyDescent="0.2">
      <c r="A245" s="568">
        <f t="shared" si="1"/>
        <v>42709</v>
      </c>
      <c r="B245" s="567">
        <v>342826</v>
      </c>
    </row>
    <row r="246" spans="1:2" x14ac:dyDescent="0.2">
      <c r="A246" s="568">
        <f t="shared" si="1"/>
        <v>42710</v>
      </c>
      <c r="B246" s="567">
        <v>344457.81</v>
      </c>
    </row>
    <row r="247" spans="1:2" x14ac:dyDescent="0.2">
      <c r="A247" s="568">
        <f t="shared" si="1"/>
        <v>42711</v>
      </c>
      <c r="B247" s="567">
        <v>366772.64</v>
      </c>
    </row>
    <row r="248" spans="1:2" x14ac:dyDescent="0.2">
      <c r="A248" s="568">
        <f t="shared" si="1"/>
        <v>42712</v>
      </c>
      <c r="B248" s="567">
        <v>366772.6</v>
      </c>
    </row>
    <row r="249" spans="1:2" x14ac:dyDescent="0.2">
      <c r="A249" s="568">
        <f t="shared" si="1"/>
        <v>42713</v>
      </c>
      <c r="B249" s="567">
        <v>366773</v>
      </c>
    </row>
    <row r="250" spans="1:2" x14ac:dyDescent="0.2">
      <c r="A250" s="568">
        <f t="shared" si="1"/>
        <v>42716</v>
      </c>
      <c r="B250" s="567">
        <v>366773</v>
      </c>
    </row>
    <row r="251" spans="1:2" x14ac:dyDescent="0.2">
      <c r="A251" s="568">
        <f t="shared" si="1"/>
        <v>42717</v>
      </c>
      <c r="B251" s="567">
        <v>346535.44</v>
      </c>
    </row>
    <row r="252" spans="1:2" x14ac:dyDescent="0.2">
      <c r="A252" s="568">
        <f t="shared" si="1"/>
        <v>42718</v>
      </c>
      <c r="B252" s="567">
        <v>346535</v>
      </c>
    </row>
    <row r="253" spans="1:2" x14ac:dyDescent="0.2">
      <c r="A253" s="568">
        <f t="shared" si="1"/>
        <v>42719</v>
      </c>
      <c r="B253" s="567">
        <v>335522.11</v>
      </c>
    </row>
    <row r="254" spans="1:2" x14ac:dyDescent="0.2">
      <c r="A254" s="568">
        <f t="shared" si="1"/>
        <v>42720</v>
      </c>
      <c r="B254" s="567">
        <v>335675.99</v>
      </c>
    </row>
    <row r="255" spans="1:2" x14ac:dyDescent="0.2">
      <c r="A255" s="568">
        <f t="shared" si="1"/>
        <v>42723</v>
      </c>
      <c r="B255" s="567">
        <v>357268.43</v>
      </c>
    </row>
    <row r="256" spans="1:2" x14ac:dyDescent="0.2">
      <c r="A256" s="568">
        <f t="shared" si="1"/>
        <v>42724</v>
      </c>
      <c r="B256" s="567">
        <v>357268</v>
      </c>
    </row>
    <row r="257" spans="1:2" x14ac:dyDescent="0.2">
      <c r="A257" s="568">
        <f t="shared" si="1"/>
        <v>42725</v>
      </c>
      <c r="B257" s="567">
        <v>366192.91</v>
      </c>
    </row>
    <row r="258" spans="1:2" x14ac:dyDescent="0.2">
      <c r="A258" s="568">
        <f t="shared" si="1"/>
        <v>42726</v>
      </c>
      <c r="B258" s="567">
        <v>377001.67</v>
      </c>
    </row>
    <row r="259" spans="1:2" x14ac:dyDescent="0.2">
      <c r="A259" s="568">
        <f t="shared" si="1"/>
        <v>42727</v>
      </c>
      <c r="B259" s="567">
        <v>377329.67</v>
      </c>
    </row>
    <row r="260" spans="1:2" x14ac:dyDescent="0.2">
      <c r="A260" s="568">
        <f t="shared" ref="A260:A264" si="2">A255+7</f>
        <v>42730</v>
      </c>
      <c r="B260" s="567">
        <v>377330</v>
      </c>
    </row>
    <row r="261" spans="1:2" x14ac:dyDescent="0.2">
      <c r="A261" s="568">
        <f t="shared" si="2"/>
        <v>42731</v>
      </c>
      <c r="B261" s="567">
        <v>339782.53</v>
      </c>
    </row>
    <row r="262" spans="1:2" x14ac:dyDescent="0.2">
      <c r="A262" s="568">
        <f t="shared" si="2"/>
        <v>42732</v>
      </c>
      <c r="B262" s="567">
        <v>339783</v>
      </c>
    </row>
    <row r="263" spans="1:2" x14ac:dyDescent="0.2">
      <c r="A263" s="568">
        <f t="shared" si="2"/>
        <v>42733</v>
      </c>
      <c r="B263" s="567">
        <v>337987.77</v>
      </c>
    </row>
    <row r="264" spans="1:2" x14ac:dyDescent="0.2">
      <c r="A264" s="568">
        <f t="shared" si="2"/>
        <v>42734</v>
      </c>
      <c r="B264" s="567">
        <v>354814.33</v>
      </c>
    </row>
    <row r="265" spans="1:2" x14ac:dyDescent="0.2">
      <c r="A265" s="596">
        <v>42737</v>
      </c>
      <c r="B265" s="597">
        <v>354814</v>
      </c>
    </row>
    <row r="266" spans="1:2" x14ac:dyDescent="0.2">
      <c r="A266" s="596">
        <v>42738</v>
      </c>
      <c r="B266" s="597">
        <v>361866.86</v>
      </c>
    </row>
    <row r="267" spans="1:2" x14ac:dyDescent="0.2">
      <c r="A267" s="596">
        <v>42739</v>
      </c>
      <c r="B267" s="597">
        <v>363519.32</v>
      </c>
    </row>
    <row r="268" spans="1:2" x14ac:dyDescent="0.2">
      <c r="A268" s="596">
        <v>42740</v>
      </c>
      <c r="B268" s="597">
        <v>361866.66</v>
      </c>
    </row>
    <row r="269" spans="1:2" x14ac:dyDescent="0.2">
      <c r="A269" s="596">
        <v>42741</v>
      </c>
      <c r="B269" s="597">
        <v>363519</v>
      </c>
    </row>
    <row r="270" spans="1:2" x14ac:dyDescent="0.2">
      <c r="A270" s="596">
        <v>42744</v>
      </c>
      <c r="B270" s="597">
        <v>363543.47</v>
      </c>
    </row>
    <row r="271" spans="1:2" x14ac:dyDescent="0.2">
      <c r="A271" s="596">
        <v>42745</v>
      </c>
      <c r="B271" s="597">
        <v>328707.83</v>
      </c>
    </row>
    <row r="272" spans="1:2" x14ac:dyDescent="0.2">
      <c r="A272" s="596">
        <v>42746</v>
      </c>
      <c r="B272" s="597">
        <v>328708</v>
      </c>
    </row>
    <row r="273" spans="1:2" x14ac:dyDescent="0.2">
      <c r="A273" s="596">
        <v>42747</v>
      </c>
      <c r="B273" s="597">
        <v>321086.01</v>
      </c>
    </row>
    <row r="274" spans="1:2" x14ac:dyDescent="0.2">
      <c r="A274" s="596">
        <v>42748</v>
      </c>
      <c r="B274" s="597">
        <v>334097.28000000003</v>
      </c>
    </row>
    <row r="275" spans="1:2" x14ac:dyDescent="0.2">
      <c r="A275" s="596">
        <v>42751</v>
      </c>
      <c r="B275" s="597">
        <v>334097</v>
      </c>
    </row>
    <row r="276" spans="1:2" x14ac:dyDescent="0.2">
      <c r="A276" s="596">
        <v>42752</v>
      </c>
      <c r="B276" s="597">
        <v>268850.96000000002</v>
      </c>
    </row>
    <row r="277" spans="1:2" x14ac:dyDescent="0.2">
      <c r="A277" s="596">
        <v>42753</v>
      </c>
      <c r="B277" s="597">
        <v>268851</v>
      </c>
    </row>
    <row r="278" spans="1:2" x14ac:dyDescent="0.2">
      <c r="A278" s="596">
        <v>42754</v>
      </c>
      <c r="B278" s="597">
        <v>269075.21000000002</v>
      </c>
    </row>
    <row r="279" spans="1:2" x14ac:dyDescent="0.2">
      <c r="A279" s="596">
        <v>42755</v>
      </c>
      <c r="B279" s="597">
        <v>270983.21000000002</v>
      </c>
    </row>
    <row r="280" spans="1:2" x14ac:dyDescent="0.2">
      <c r="A280" s="596">
        <v>42758</v>
      </c>
      <c r="B280" s="597">
        <v>270983</v>
      </c>
    </row>
    <row r="281" spans="1:2" x14ac:dyDescent="0.2">
      <c r="A281" s="596">
        <v>42759</v>
      </c>
      <c r="B281" s="597">
        <v>270723.98</v>
      </c>
    </row>
    <row r="282" spans="1:2" x14ac:dyDescent="0.2">
      <c r="A282" s="596">
        <v>42760</v>
      </c>
      <c r="B282" s="597">
        <v>281353.09999999998</v>
      </c>
    </row>
    <row r="283" spans="1:2" x14ac:dyDescent="0.2">
      <c r="A283" s="596">
        <v>42761</v>
      </c>
      <c r="B283" s="597">
        <v>274313.84999999998</v>
      </c>
    </row>
    <row r="284" spans="1:2" x14ac:dyDescent="0.2">
      <c r="A284" s="596">
        <v>42762</v>
      </c>
      <c r="B284" s="597">
        <v>296447.59999999998</v>
      </c>
    </row>
    <row r="285" spans="1:2" x14ac:dyDescent="0.2">
      <c r="A285" s="596">
        <v>42765</v>
      </c>
      <c r="B285" s="597">
        <v>295107.96000000002</v>
      </c>
    </row>
    <row r="286" spans="1:2" x14ac:dyDescent="0.2">
      <c r="A286" s="596">
        <v>42766</v>
      </c>
      <c r="B286" s="597">
        <v>314030.53000000003</v>
      </c>
    </row>
    <row r="287" spans="1:2" x14ac:dyDescent="0.2">
      <c r="A287" s="596">
        <v>42767</v>
      </c>
      <c r="B287" s="597">
        <v>314031</v>
      </c>
    </row>
    <row r="288" spans="1:2" x14ac:dyDescent="0.2">
      <c r="A288" s="596">
        <v>42768</v>
      </c>
      <c r="B288" s="597">
        <v>312808.53999999998</v>
      </c>
    </row>
    <row r="289" spans="1:2" x14ac:dyDescent="0.2">
      <c r="A289" s="596">
        <v>42769</v>
      </c>
      <c r="B289" s="597">
        <v>316461.53999999998</v>
      </c>
    </row>
    <row r="290" spans="1:2" x14ac:dyDescent="0.2">
      <c r="A290" s="596">
        <v>42772</v>
      </c>
      <c r="B290" s="597">
        <v>316462</v>
      </c>
    </row>
    <row r="291" spans="1:2" x14ac:dyDescent="0.2">
      <c r="A291" s="596">
        <v>42773</v>
      </c>
      <c r="B291" s="597">
        <v>289560.21999999997</v>
      </c>
    </row>
    <row r="292" spans="1:2" x14ac:dyDescent="0.2">
      <c r="A292" s="596">
        <v>42774</v>
      </c>
      <c r="B292" s="597">
        <v>297310.21999999997</v>
      </c>
    </row>
    <row r="293" spans="1:2" x14ac:dyDescent="0.2">
      <c r="A293" s="596">
        <v>42775</v>
      </c>
      <c r="B293" s="597">
        <v>352433.91</v>
      </c>
    </row>
    <row r="294" spans="1:2" x14ac:dyDescent="0.2">
      <c r="A294" s="596">
        <v>42776</v>
      </c>
      <c r="B294" s="597">
        <v>352434</v>
      </c>
    </row>
    <row r="295" spans="1:2" x14ac:dyDescent="0.2">
      <c r="A295" s="596">
        <v>42779</v>
      </c>
      <c r="B295" s="597">
        <v>352434</v>
      </c>
    </row>
    <row r="296" spans="1:2" x14ac:dyDescent="0.2">
      <c r="A296" s="596">
        <v>42780</v>
      </c>
      <c r="B296" s="597">
        <v>352434</v>
      </c>
    </row>
    <row r="297" spans="1:2" x14ac:dyDescent="0.2">
      <c r="A297" s="596">
        <v>42781</v>
      </c>
      <c r="B297" s="597">
        <v>352542.46</v>
      </c>
    </row>
    <row r="298" spans="1:2" x14ac:dyDescent="0.2">
      <c r="A298" s="596">
        <v>42782</v>
      </c>
      <c r="B298" s="597">
        <v>383231.99</v>
      </c>
    </row>
    <row r="299" spans="1:2" x14ac:dyDescent="0.2">
      <c r="A299" s="596">
        <v>42783</v>
      </c>
      <c r="B299" s="640">
        <v>404679.36</v>
      </c>
    </row>
    <row r="300" spans="1:2" x14ac:dyDescent="0.2">
      <c r="A300" s="596">
        <v>42785</v>
      </c>
      <c r="B300" s="597">
        <v>404679</v>
      </c>
    </row>
    <row r="301" spans="1:2" x14ac:dyDescent="0.2">
      <c r="A301" s="596">
        <v>42787</v>
      </c>
      <c r="B301" s="597">
        <v>368703.72</v>
      </c>
    </row>
    <row r="302" spans="1:2" x14ac:dyDescent="0.2">
      <c r="A302" s="596">
        <v>42788</v>
      </c>
      <c r="B302" s="597">
        <v>368203.72</v>
      </c>
    </row>
    <row r="303" spans="1:2" x14ac:dyDescent="0.2">
      <c r="A303" s="596">
        <v>42789</v>
      </c>
      <c r="B303" s="597">
        <v>349211.92</v>
      </c>
    </row>
    <row r="304" spans="1:2" x14ac:dyDescent="0.2">
      <c r="A304" s="596">
        <v>42790</v>
      </c>
      <c r="B304" s="597">
        <v>384176.45</v>
      </c>
    </row>
    <row r="305" spans="1:2" x14ac:dyDescent="0.2">
      <c r="A305" s="596">
        <v>42793</v>
      </c>
      <c r="B305" s="597">
        <v>384176</v>
      </c>
    </row>
    <row r="306" spans="1:2" x14ac:dyDescent="0.2">
      <c r="A306" s="596">
        <v>42794</v>
      </c>
      <c r="B306" s="597">
        <v>384176</v>
      </c>
    </row>
    <row r="307" spans="1:2" x14ac:dyDescent="0.2">
      <c r="A307" s="596">
        <v>42795</v>
      </c>
      <c r="B307" s="597">
        <v>384176</v>
      </c>
    </row>
    <row r="308" spans="1:2" x14ac:dyDescent="0.2">
      <c r="A308" s="596">
        <v>42796</v>
      </c>
      <c r="B308" s="597">
        <v>395396.43</v>
      </c>
    </row>
    <row r="309" spans="1:2" x14ac:dyDescent="0.2">
      <c r="A309" s="596">
        <v>42797</v>
      </c>
      <c r="B309" s="597">
        <v>395396</v>
      </c>
    </row>
    <row r="310" spans="1:2" x14ac:dyDescent="0.2">
      <c r="A310" s="596">
        <v>42800</v>
      </c>
      <c r="B310" s="597">
        <v>395396</v>
      </c>
    </row>
    <row r="311" spans="1:2" x14ac:dyDescent="0.2">
      <c r="A311" s="596">
        <v>42801</v>
      </c>
      <c r="B311" s="597">
        <v>361856.47</v>
      </c>
    </row>
    <row r="312" spans="1:2" x14ac:dyDescent="0.2">
      <c r="A312" s="596">
        <v>42802</v>
      </c>
      <c r="B312" s="597">
        <v>361856</v>
      </c>
    </row>
    <row r="313" spans="1:2" x14ac:dyDescent="0.2">
      <c r="A313" s="596">
        <v>42803</v>
      </c>
      <c r="B313" s="597">
        <v>349877.16</v>
      </c>
    </row>
    <row r="314" spans="1:2" x14ac:dyDescent="0.2">
      <c r="A314" s="596">
        <v>42804</v>
      </c>
      <c r="B314" s="597">
        <v>359297.81</v>
      </c>
    </row>
    <row r="315" spans="1:2" x14ac:dyDescent="0.2">
      <c r="A315" s="596">
        <v>42807</v>
      </c>
      <c r="B315" s="597">
        <v>361678.91</v>
      </c>
    </row>
    <row r="316" spans="1:2" x14ac:dyDescent="0.2">
      <c r="A316" s="596">
        <v>42808</v>
      </c>
      <c r="B316" s="597">
        <v>361679</v>
      </c>
    </row>
    <row r="317" spans="1:2" x14ac:dyDescent="0.2">
      <c r="A317" s="596">
        <v>42809</v>
      </c>
      <c r="B317" s="597">
        <v>370843.37</v>
      </c>
    </row>
    <row r="318" spans="1:2" x14ac:dyDescent="0.2">
      <c r="A318" s="596">
        <v>42810</v>
      </c>
      <c r="B318" s="597">
        <v>377566.07</v>
      </c>
    </row>
    <row r="319" spans="1:2" x14ac:dyDescent="0.2">
      <c r="A319" s="596">
        <v>42811</v>
      </c>
      <c r="B319" s="597">
        <v>370373.97</v>
      </c>
    </row>
    <row r="320" spans="1:2" x14ac:dyDescent="0.2">
      <c r="A320" s="596">
        <v>42814</v>
      </c>
      <c r="B320" s="597">
        <v>338340.3</v>
      </c>
    </row>
    <row r="321" spans="1:2" x14ac:dyDescent="0.2">
      <c r="A321" s="596">
        <v>42815</v>
      </c>
      <c r="B321" s="597">
        <v>338340</v>
      </c>
    </row>
    <row r="322" spans="1:2" x14ac:dyDescent="0.2">
      <c r="A322" s="596">
        <v>42816</v>
      </c>
      <c r="B322" s="597">
        <v>338340</v>
      </c>
    </row>
    <row r="323" spans="1:2" x14ac:dyDescent="0.2">
      <c r="A323" s="596">
        <v>42817</v>
      </c>
      <c r="B323" s="597">
        <f>25944.71+322493.66</f>
        <v>348438.37</v>
      </c>
    </row>
    <row r="324" spans="1:2" x14ac:dyDescent="0.2">
      <c r="A324" s="596">
        <v>42818</v>
      </c>
      <c r="B324" s="597">
        <v>348438</v>
      </c>
    </row>
    <row r="325" spans="1:2" x14ac:dyDescent="0.2">
      <c r="A325" s="596">
        <v>42821</v>
      </c>
      <c r="B325" s="597">
        <v>348360.51</v>
      </c>
    </row>
    <row r="326" spans="1:2" x14ac:dyDescent="0.2">
      <c r="A326" s="596">
        <v>42822</v>
      </c>
      <c r="B326" s="567">
        <v>348440.48</v>
      </c>
    </row>
    <row r="327" spans="1:2" x14ac:dyDescent="0.2">
      <c r="A327" s="596">
        <v>42823</v>
      </c>
      <c r="B327" s="567">
        <v>348440</v>
      </c>
    </row>
    <row r="328" spans="1:2" x14ac:dyDescent="0.2">
      <c r="A328" s="596">
        <v>42824</v>
      </c>
      <c r="B328" s="567">
        <v>350305.92</v>
      </c>
    </row>
    <row r="329" spans="1:2" x14ac:dyDescent="0.2">
      <c r="A329" s="596">
        <v>42825</v>
      </c>
      <c r="B329" s="567">
        <v>350306</v>
      </c>
    </row>
    <row r="330" spans="1:2" x14ac:dyDescent="0.2">
      <c r="A330" s="596">
        <v>42828</v>
      </c>
      <c r="B330" s="567">
        <v>350306</v>
      </c>
    </row>
    <row r="331" spans="1:2" x14ac:dyDescent="0.2">
      <c r="A331" s="596">
        <v>42829</v>
      </c>
      <c r="B331" s="567">
        <v>320389.65000000002</v>
      </c>
    </row>
    <row r="332" spans="1:2" x14ac:dyDescent="0.2">
      <c r="A332" s="596">
        <v>42830</v>
      </c>
      <c r="B332" s="567">
        <v>320390</v>
      </c>
    </row>
    <row r="333" spans="1:2" x14ac:dyDescent="0.2">
      <c r="A333" s="596">
        <v>42831</v>
      </c>
      <c r="B333" s="567">
        <v>313344</v>
      </c>
    </row>
    <row r="334" spans="1:2" x14ac:dyDescent="0.2">
      <c r="A334" s="596">
        <v>42832</v>
      </c>
      <c r="B334" s="567">
        <v>313344</v>
      </c>
    </row>
    <row r="335" spans="1:2" x14ac:dyDescent="0.2">
      <c r="A335" s="596">
        <v>42835</v>
      </c>
      <c r="B335" s="567">
        <v>306132.78000000003</v>
      </c>
    </row>
    <row r="336" spans="1:2" x14ac:dyDescent="0.2">
      <c r="A336" s="596">
        <v>42836</v>
      </c>
      <c r="B336" s="567">
        <v>286047.34999999998</v>
      </c>
    </row>
    <row r="337" spans="1:2" x14ac:dyDescent="0.2">
      <c r="A337" s="596">
        <v>42837</v>
      </c>
      <c r="B337" s="567">
        <v>286047</v>
      </c>
    </row>
    <row r="338" spans="1:2" x14ac:dyDescent="0.2">
      <c r="A338" s="596">
        <v>42838</v>
      </c>
      <c r="B338" s="567">
        <v>272128.99</v>
      </c>
    </row>
    <row r="339" spans="1:2" x14ac:dyDescent="0.2">
      <c r="A339" s="596">
        <v>42839</v>
      </c>
      <c r="B339" s="567">
        <v>272229.71000000002</v>
      </c>
    </row>
    <row r="340" spans="1:2" x14ac:dyDescent="0.2">
      <c r="A340" s="596">
        <v>42842</v>
      </c>
      <c r="B340" s="567">
        <v>236683.56</v>
      </c>
    </row>
    <row r="341" spans="1:2" x14ac:dyDescent="0.2">
      <c r="A341" s="596">
        <v>42843</v>
      </c>
      <c r="B341" s="567">
        <v>244114.64</v>
      </c>
    </row>
    <row r="342" spans="1:2" x14ac:dyDescent="0.2">
      <c r="A342" s="596">
        <v>42844</v>
      </c>
      <c r="B342" s="567">
        <v>244115</v>
      </c>
    </row>
    <row r="343" spans="1:2" x14ac:dyDescent="0.2">
      <c r="A343" s="596">
        <v>42845</v>
      </c>
      <c r="B343" s="567">
        <v>241798.76</v>
      </c>
    </row>
    <row r="344" spans="1:2" x14ac:dyDescent="0.2">
      <c r="A344" s="596">
        <v>42846</v>
      </c>
      <c r="B344" s="567">
        <v>241799</v>
      </c>
    </row>
    <row r="345" spans="1:2" x14ac:dyDescent="0.2">
      <c r="A345" s="596">
        <v>42849</v>
      </c>
      <c r="B345" s="567">
        <v>241973.76000000001</v>
      </c>
    </row>
    <row r="346" spans="1:2" x14ac:dyDescent="0.2">
      <c r="A346" s="596">
        <v>42850</v>
      </c>
      <c r="B346" s="567">
        <v>243364.2</v>
      </c>
    </row>
    <row r="347" spans="1:2" x14ac:dyDescent="0.2">
      <c r="A347" s="596">
        <v>42851</v>
      </c>
      <c r="B347" s="567">
        <v>243364</v>
      </c>
    </row>
    <row r="348" spans="1:2" x14ac:dyDescent="0.2">
      <c r="A348" s="596">
        <v>42852</v>
      </c>
      <c r="B348" s="567">
        <v>259265.45</v>
      </c>
    </row>
    <row r="349" spans="1:2" x14ac:dyDescent="0.2">
      <c r="A349" s="596">
        <v>42853</v>
      </c>
      <c r="B349" s="567">
        <v>290731.18</v>
      </c>
    </row>
    <row r="350" spans="1:2" x14ac:dyDescent="0.2">
      <c r="A350" s="596">
        <v>42856</v>
      </c>
      <c r="B350" s="567">
        <v>251486.17</v>
      </c>
    </row>
    <row r="351" spans="1:2" x14ac:dyDescent="0.2">
      <c r="A351" s="596">
        <v>42857</v>
      </c>
      <c r="B351" s="567">
        <v>253188.17</v>
      </c>
    </row>
    <row r="352" spans="1:2" x14ac:dyDescent="0.2">
      <c r="A352" s="596">
        <v>42858</v>
      </c>
      <c r="B352" s="567">
        <v>253188</v>
      </c>
    </row>
    <row r="353" spans="1:2" x14ac:dyDescent="0.2">
      <c r="A353" s="596">
        <v>42859</v>
      </c>
      <c r="B353" s="567">
        <v>232739.33</v>
      </c>
    </row>
    <row r="354" spans="1:2" x14ac:dyDescent="0.2">
      <c r="A354" s="596">
        <v>42860</v>
      </c>
      <c r="B354" s="567">
        <v>234049.33</v>
      </c>
    </row>
    <row r="355" spans="1:2" x14ac:dyDescent="0.2">
      <c r="A355" s="596">
        <v>42863</v>
      </c>
      <c r="B355" s="567">
        <v>314317.77</v>
      </c>
    </row>
    <row r="356" spans="1:2" x14ac:dyDescent="0.2">
      <c r="A356" s="596">
        <v>42864</v>
      </c>
      <c r="B356" s="567">
        <v>314318</v>
      </c>
    </row>
    <row r="357" spans="1:2" x14ac:dyDescent="0.2">
      <c r="A357" s="596">
        <v>42865</v>
      </c>
      <c r="B357" s="567">
        <v>314318</v>
      </c>
    </row>
    <row r="358" spans="1:2" x14ac:dyDescent="0.2">
      <c r="A358" s="596">
        <v>42866</v>
      </c>
      <c r="B358" s="567">
        <v>313971.28000000003</v>
      </c>
    </row>
    <row r="359" spans="1:2" x14ac:dyDescent="0.2">
      <c r="A359" s="596">
        <v>42867</v>
      </c>
      <c r="B359" s="567">
        <v>313971</v>
      </c>
    </row>
    <row r="360" spans="1:2" x14ac:dyDescent="0.2">
      <c r="A360" s="596">
        <v>42870</v>
      </c>
      <c r="B360" s="567">
        <v>271063.69</v>
      </c>
    </row>
    <row r="361" spans="1:2" x14ac:dyDescent="0.2">
      <c r="A361" s="596">
        <v>42871</v>
      </c>
      <c r="B361" s="567">
        <v>271064</v>
      </c>
    </row>
    <row r="362" spans="1:2" x14ac:dyDescent="0.2">
      <c r="A362" s="596">
        <v>42872</v>
      </c>
      <c r="B362" s="567">
        <v>271064</v>
      </c>
    </row>
    <row r="363" spans="1:2" x14ac:dyDescent="0.2">
      <c r="A363" s="596">
        <v>42873</v>
      </c>
      <c r="B363" s="567">
        <v>261497.73</v>
      </c>
    </row>
    <row r="364" spans="1:2" x14ac:dyDescent="0.2">
      <c r="A364" s="596">
        <v>42874</v>
      </c>
      <c r="B364" s="567">
        <v>311507.92</v>
      </c>
    </row>
    <row r="365" spans="1:2" x14ac:dyDescent="0.2">
      <c r="A365" s="596">
        <v>42877</v>
      </c>
      <c r="B365" s="567">
        <v>290080.52</v>
      </c>
    </row>
    <row r="366" spans="1:2" x14ac:dyDescent="0.2">
      <c r="A366" s="596">
        <v>42878</v>
      </c>
      <c r="B366" s="567">
        <v>290081</v>
      </c>
    </row>
    <row r="367" spans="1:2" x14ac:dyDescent="0.2">
      <c r="A367" s="596">
        <v>42879</v>
      </c>
      <c r="B367" s="567">
        <v>327080.46000000002</v>
      </c>
    </row>
    <row r="368" spans="1:2" x14ac:dyDescent="0.2">
      <c r="A368" s="596">
        <v>42880</v>
      </c>
      <c r="B368" s="567">
        <v>327080</v>
      </c>
    </row>
    <row r="369" spans="1:2" x14ac:dyDescent="0.2">
      <c r="A369" s="596">
        <v>42881</v>
      </c>
      <c r="B369" s="567">
        <v>336844.12</v>
      </c>
    </row>
    <row r="370" spans="1:2" x14ac:dyDescent="0.2">
      <c r="A370" s="596">
        <v>42884</v>
      </c>
      <c r="B370" s="567">
        <v>336844</v>
      </c>
    </row>
    <row r="371" spans="1:2" x14ac:dyDescent="0.2">
      <c r="A371" s="596">
        <v>42885</v>
      </c>
      <c r="B371" s="567">
        <v>300553.48</v>
      </c>
    </row>
    <row r="372" spans="1:2" x14ac:dyDescent="0.2">
      <c r="A372" s="596">
        <v>42886</v>
      </c>
      <c r="B372" s="567">
        <v>296887.5</v>
      </c>
    </row>
    <row r="373" spans="1:2" x14ac:dyDescent="0.2">
      <c r="A373" s="596">
        <v>42887</v>
      </c>
      <c r="B373" s="567">
        <v>297355.68</v>
      </c>
    </row>
    <row r="374" spans="1:2" x14ac:dyDescent="0.2">
      <c r="A374" s="596">
        <v>42888</v>
      </c>
      <c r="B374" s="567">
        <v>298760.68</v>
      </c>
    </row>
    <row r="375" spans="1:2" x14ac:dyDescent="0.2">
      <c r="A375" s="596">
        <v>42891</v>
      </c>
      <c r="B375" s="567">
        <v>279006.82</v>
      </c>
    </row>
    <row r="376" spans="1:2" x14ac:dyDescent="0.2">
      <c r="A376" s="596">
        <v>42892</v>
      </c>
      <c r="B376" s="567">
        <v>279007</v>
      </c>
    </row>
    <row r="377" spans="1:2" x14ac:dyDescent="0.2">
      <c r="A377" s="596">
        <v>42893</v>
      </c>
      <c r="B377" s="567">
        <v>279007</v>
      </c>
    </row>
    <row r="378" spans="1:2" x14ac:dyDescent="0.2">
      <c r="A378" s="596">
        <v>42894</v>
      </c>
      <c r="B378" s="567">
        <v>279112.07</v>
      </c>
    </row>
    <row r="379" spans="1:2" x14ac:dyDescent="0.2">
      <c r="A379" s="596">
        <v>42895</v>
      </c>
      <c r="B379" s="567">
        <v>279112</v>
      </c>
    </row>
    <row r="380" spans="1:2" x14ac:dyDescent="0.2">
      <c r="A380" s="596">
        <v>42898</v>
      </c>
      <c r="B380" s="567">
        <v>244072.02</v>
      </c>
    </row>
    <row r="381" spans="1:2" x14ac:dyDescent="0.2">
      <c r="A381" s="596">
        <v>42899</v>
      </c>
      <c r="B381" s="567">
        <v>249325.41</v>
      </c>
    </row>
    <row r="382" spans="1:2" x14ac:dyDescent="0.2">
      <c r="A382" s="596">
        <v>42900</v>
      </c>
      <c r="B382" s="567">
        <v>249325</v>
      </c>
    </row>
    <row r="383" spans="1:2" x14ac:dyDescent="0.2">
      <c r="A383" s="596">
        <v>42901</v>
      </c>
      <c r="B383" s="567">
        <v>252874.48</v>
      </c>
    </row>
    <row r="384" spans="1:2" x14ac:dyDescent="0.2">
      <c r="A384" s="596">
        <v>42902</v>
      </c>
      <c r="B384" s="567">
        <v>253128.65</v>
      </c>
    </row>
    <row r="385" spans="1:2" x14ac:dyDescent="0.2">
      <c r="A385" s="596">
        <v>42905</v>
      </c>
      <c r="B385" s="567">
        <v>255098.96</v>
      </c>
    </row>
    <row r="386" spans="1:2" x14ac:dyDescent="0.2">
      <c r="A386" s="596">
        <v>42906</v>
      </c>
      <c r="B386" s="567">
        <v>253521.42</v>
      </c>
    </row>
    <row r="387" spans="1:2" x14ac:dyDescent="0.2">
      <c r="A387" s="596">
        <v>42907</v>
      </c>
      <c r="B387" s="567">
        <v>253521</v>
      </c>
    </row>
    <row r="388" spans="1:2" x14ac:dyDescent="0.2">
      <c r="A388" s="596">
        <v>42908</v>
      </c>
      <c r="B388" s="567">
        <v>235912.36</v>
      </c>
    </row>
    <row r="389" spans="1:2" x14ac:dyDescent="0.2">
      <c r="A389" s="596">
        <v>42909</v>
      </c>
      <c r="B389" s="567">
        <v>235912</v>
      </c>
    </row>
    <row r="390" spans="1:2" x14ac:dyDescent="0.2">
      <c r="A390" s="596">
        <v>42912</v>
      </c>
      <c r="B390" s="641">
        <v>198879.76</v>
      </c>
    </row>
    <row r="391" spans="1:2" x14ac:dyDescent="0.2">
      <c r="A391" s="596">
        <v>42913</v>
      </c>
      <c r="B391" s="567">
        <v>199009.76</v>
      </c>
    </row>
    <row r="392" spans="1:2" x14ac:dyDescent="0.2">
      <c r="A392" s="596">
        <v>42914</v>
      </c>
      <c r="B392" s="567">
        <v>199010</v>
      </c>
    </row>
    <row r="393" spans="1:2" x14ac:dyDescent="0.2">
      <c r="A393" s="596">
        <v>42915</v>
      </c>
      <c r="B393" s="567">
        <v>210354</v>
      </c>
    </row>
    <row r="394" spans="1:2" x14ac:dyDescent="0.2">
      <c r="A394" s="596">
        <v>42916</v>
      </c>
      <c r="B394" s="567">
        <v>260779.62</v>
      </c>
    </row>
    <row r="395" spans="1:2" x14ac:dyDescent="0.2">
      <c r="A395" s="596">
        <v>42919</v>
      </c>
      <c r="B395" s="567">
        <v>260780</v>
      </c>
    </row>
    <row r="396" spans="1:2" x14ac:dyDescent="0.2">
      <c r="A396" s="596">
        <v>42920</v>
      </c>
      <c r="B396" s="567">
        <v>260780</v>
      </c>
    </row>
    <row r="397" spans="1:2" x14ac:dyDescent="0.2">
      <c r="A397" s="596">
        <v>42921</v>
      </c>
      <c r="B397" s="567">
        <v>260780</v>
      </c>
    </row>
    <row r="398" spans="1:2" x14ac:dyDescent="0.2">
      <c r="A398" s="596">
        <v>42922</v>
      </c>
      <c r="B398" s="567">
        <v>261774.11</v>
      </c>
    </row>
    <row r="399" spans="1:2" x14ac:dyDescent="0.2">
      <c r="A399" s="596">
        <v>42923</v>
      </c>
      <c r="B399" s="567">
        <v>261774</v>
      </c>
    </row>
    <row r="400" spans="1:2" x14ac:dyDescent="0.2">
      <c r="A400" s="596">
        <v>42926</v>
      </c>
      <c r="B400" s="567">
        <v>226950.89</v>
      </c>
    </row>
    <row r="401" spans="1:2" x14ac:dyDescent="0.2">
      <c r="A401" s="596">
        <v>42927</v>
      </c>
      <c r="B401" s="567">
        <v>226951</v>
      </c>
    </row>
    <row r="402" spans="1:2" x14ac:dyDescent="0.2">
      <c r="A402" s="596">
        <v>42928</v>
      </c>
      <c r="B402" s="567">
        <v>248711.94</v>
      </c>
    </row>
    <row r="403" spans="1:2" x14ac:dyDescent="0.2">
      <c r="A403" s="596">
        <v>42929</v>
      </c>
      <c r="B403" s="567">
        <v>256201.58</v>
      </c>
    </row>
    <row r="404" spans="1:2" x14ac:dyDescent="0.2">
      <c r="A404" s="596">
        <v>42930</v>
      </c>
      <c r="B404" s="567">
        <v>256272.97</v>
      </c>
    </row>
    <row r="405" spans="1:2" x14ac:dyDescent="0.2">
      <c r="A405" s="596">
        <v>42933</v>
      </c>
      <c r="B405" s="567">
        <v>256056.42</v>
      </c>
    </row>
    <row r="406" spans="1:2" x14ac:dyDescent="0.2">
      <c r="A406" s="596">
        <v>42934</v>
      </c>
      <c r="B406" s="567">
        <v>257213.96</v>
      </c>
    </row>
    <row r="407" spans="1:2" x14ac:dyDescent="0.2">
      <c r="A407" s="596">
        <v>42935</v>
      </c>
      <c r="B407" s="567">
        <v>257214</v>
      </c>
    </row>
    <row r="408" spans="1:2" x14ac:dyDescent="0.2">
      <c r="A408" s="596">
        <v>42936</v>
      </c>
      <c r="B408" s="567">
        <v>260075.5</v>
      </c>
    </row>
    <row r="409" spans="1:2" x14ac:dyDescent="0.2">
      <c r="A409" s="596">
        <v>42937</v>
      </c>
      <c r="B409" s="567">
        <v>339825.5</v>
      </c>
    </row>
    <row r="410" spans="1:2" x14ac:dyDescent="0.2">
      <c r="A410" s="596">
        <v>42940</v>
      </c>
      <c r="B410" s="567">
        <v>303182.65000000002</v>
      </c>
    </row>
    <row r="411" spans="1:2" x14ac:dyDescent="0.2">
      <c r="A411" s="596">
        <v>42941</v>
      </c>
      <c r="B411" s="567">
        <v>322340.12</v>
      </c>
    </row>
    <row r="412" spans="1:2" x14ac:dyDescent="0.2">
      <c r="A412" s="596">
        <v>42942</v>
      </c>
      <c r="B412" s="567">
        <v>322340</v>
      </c>
    </row>
    <row r="413" spans="1:2" x14ac:dyDescent="0.2">
      <c r="A413" s="596">
        <v>42943</v>
      </c>
      <c r="B413" s="567">
        <v>308772.78999999998</v>
      </c>
    </row>
    <row r="414" spans="1:2" x14ac:dyDescent="0.2">
      <c r="A414" s="596">
        <v>42944</v>
      </c>
      <c r="B414" s="567">
        <v>317343.40999999997</v>
      </c>
    </row>
    <row r="415" spans="1:2" x14ac:dyDescent="0.2">
      <c r="A415" s="596">
        <v>42947</v>
      </c>
      <c r="B415" s="567">
        <v>317343</v>
      </c>
    </row>
    <row r="416" spans="1:2" x14ac:dyDescent="0.2">
      <c r="A416" s="596">
        <v>42948</v>
      </c>
      <c r="B416" s="567">
        <v>369152.35</v>
      </c>
    </row>
    <row r="417" spans="1:2" x14ac:dyDescent="0.2">
      <c r="A417" s="596">
        <v>42949</v>
      </c>
      <c r="B417" s="567">
        <v>371061.94</v>
      </c>
    </row>
    <row r="418" spans="1:2" x14ac:dyDescent="0.2">
      <c r="A418" s="596">
        <v>42950</v>
      </c>
      <c r="B418" s="567">
        <v>372080.87</v>
      </c>
    </row>
    <row r="419" spans="1:2" x14ac:dyDescent="0.2">
      <c r="A419" s="596">
        <v>42951</v>
      </c>
      <c r="B419" s="567">
        <v>372080.87</v>
      </c>
    </row>
    <row r="420" spans="1:2" x14ac:dyDescent="0.2">
      <c r="A420" s="596">
        <v>42954</v>
      </c>
      <c r="B420" s="567">
        <v>336189.47</v>
      </c>
    </row>
    <row r="421" spans="1:2" x14ac:dyDescent="0.2">
      <c r="A421" s="596">
        <v>42955</v>
      </c>
      <c r="B421" s="567">
        <v>340998.07</v>
      </c>
    </row>
    <row r="422" spans="1:2" x14ac:dyDescent="0.2">
      <c r="A422" s="596">
        <v>42956</v>
      </c>
      <c r="B422" s="567">
        <v>332763.65000000002</v>
      </c>
    </row>
    <row r="423" spans="1:2" x14ac:dyDescent="0.2">
      <c r="A423" s="596">
        <v>42957</v>
      </c>
      <c r="B423" s="567">
        <v>375651.45</v>
      </c>
    </row>
    <row r="424" spans="1:2" x14ac:dyDescent="0.2">
      <c r="A424" s="596">
        <v>42958</v>
      </c>
      <c r="B424" s="567">
        <v>378293.21</v>
      </c>
    </row>
    <row r="425" spans="1:2" x14ac:dyDescent="0.2">
      <c r="A425" s="596">
        <v>42961</v>
      </c>
      <c r="B425" s="567">
        <v>378293</v>
      </c>
    </row>
    <row r="426" spans="1:2" x14ac:dyDescent="0.2">
      <c r="A426" s="596">
        <v>42962</v>
      </c>
      <c r="B426" s="567">
        <v>401190.06</v>
      </c>
    </row>
    <row r="427" spans="1:2" x14ac:dyDescent="0.2">
      <c r="A427" s="596">
        <v>42963</v>
      </c>
      <c r="B427" s="567">
        <v>401190</v>
      </c>
    </row>
    <row r="428" spans="1:2" x14ac:dyDescent="0.2">
      <c r="A428" s="596">
        <v>42964</v>
      </c>
      <c r="B428" s="567">
        <v>401569.72</v>
      </c>
    </row>
    <row r="429" spans="1:2" x14ac:dyDescent="0.2">
      <c r="A429" s="596">
        <v>42965</v>
      </c>
      <c r="B429" s="567">
        <v>403837.72</v>
      </c>
    </row>
    <row r="430" spans="1:2" x14ac:dyDescent="0.2">
      <c r="A430" s="596">
        <v>42968</v>
      </c>
      <c r="B430" s="567">
        <v>369495.17</v>
      </c>
    </row>
    <row r="431" spans="1:2" x14ac:dyDescent="0.2">
      <c r="A431" s="596">
        <v>42969</v>
      </c>
      <c r="B431" s="567">
        <v>379169.06</v>
      </c>
    </row>
    <row r="432" spans="1:2" x14ac:dyDescent="0.2">
      <c r="A432" s="596">
        <v>42970</v>
      </c>
      <c r="B432" s="567">
        <v>379169</v>
      </c>
    </row>
    <row r="433" spans="1:2" x14ac:dyDescent="0.2">
      <c r="A433" s="596">
        <v>42971</v>
      </c>
      <c r="B433" s="567">
        <v>372540.41</v>
      </c>
    </row>
    <row r="434" spans="1:2" x14ac:dyDescent="0.2">
      <c r="A434" s="596">
        <v>42972</v>
      </c>
      <c r="B434" s="567">
        <v>372540</v>
      </c>
    </row>
    <row r="435" spans="1:2" x14ac:dyDescent="0.2">
      <c r="A435" s="596">
        <v>42975</v>
      </c>
      <c r="B435" s="567">
        <v>372540</v>
      </c>
    </row>
    <row r="436" spans="1:2" x14ac:dyDescent="0.2">
      <c r="A436" s="596">
        <v>42976</v>
      </c>
      <c r="B436" s="567">
        <v>374625.25</v>
      </c>
    </row>
    <row r="437" spans="1:2" x14ac:dyDescent="0.2">
      <c r="A437" s="596">
        <v>42977</v>
      </c>
      <c r="B437" s="567">
        <v>382658.46</v>
      </c>
    </row>
    <row r="438" spans="1:2" x14ac:dyDescent="0.2">
      <c r="A438" s="596">
        <v>42978</v>
      </c>
      <c r="B438" s="567">
        <v>389160.26</v>
      </c>
    </row>
    <row r="439" spans="1:2" x14ac:dyDescent="0.2">
      <c r="A439" s="596">
        <v>42979</v>
      </c>
      <c r="B439" s="567">
        <v>389160</v>
      </c>
    </row>
    <row r="440" spans="1:2" x14ac:dyDescent="0.2">
      <c r="A440" s="596">
        <v>42982</v>
      </c>
      <c r="B440" s="567">
        <v>389160</v>
      </c>
    </row>
    <row r="441" spans="1:2" x14ac:dyDescent="0.2">
      <c r="A441" s="596">
        <v>42983</v>
      </c>
      <c r="B441" s="567">
        <v>352908.42</v>
      </c>
    </row>
    <row r="442" spans="1:2" x14ac:dyDescent="0.2">
      <c r="A442" s="596">
        <v>42984</v>
      </c>
      <c r="B442" s="567">
        <v>383959.41</v>
      </c>
    </row>
    <row r="443" spans="1:2" x14ac:dyDescent="0.2">
      <c r="A443" s="596">
        <v>42985</v>
      </c>
      <c r="B443" s="567">
        <v>403148.81</v>
      </c>
    </row>
    <row r="444" spans="1:2" x14ac:dyDescent="0.2">
      <c r="A444" s="596">
        <v>42986</v>
      </c>
      <c r="B444" s="567">
        <v>403344.11</v>
      </c>
    </row>
    <row r="445" spans="1:2" x14ac:dyDescent="0.2">
      <c r="A445" s="596">
        <v>42989</v>
      </c>
      <c r="B445" s="567">
        <v>403344</v>
      </c>
    </row>
    <row r="446" spans="1:2" x14ac:dyDescent="0.2">
      <c r="A446" s="596">
        <v>42990</v>
      </c>
      <c r="B446" s="567">
        <v>403344</v>
      </c>
    </row>
    <row r="447" spans="1:2" x14ac:dyDescent="0.2">
      <c r="A447" s="596">
        <v>42991</v>
      </c>
      <c r="B447" s="567">
        <v>403344</v>
      </c>
    </row>
    <row r="448" spans="1:2" x14ac:dyDescent="0.2">
      <c r="A448" s="596">
        <v>42992</v>
      </c>
      <c r="B448" s="567">
        <v>400016.8</v>
      </c>
    </row>
    <row r="449" spans="1:2" x14ac:dyDescent="0.2">
      <c r="A449" s="596">
        <v>42993</v>
      </c>
      <c r="B449" s="567">
        <v>400134.96</v>
      </c>
    </row>
    <row r="450" spans="1:2" x14ac:dyDescent="0.2">
      <c r="A450" s="596">
        <v>42996</v>
      </c>
      <c r="B450" s="567">
        <v>364805.11</v>
      </c>
    </row>
    <row r="451" spans="1:2" x14ac:dyDescent="0.2">
      <c r="A451" s="596">
        <v>42997</v>
      </c>
      <c r="B451" s="567">
        <v>364805</v>
      </c>
    </row>
    <row r="452" spans="1:2" x14ac:dyDescent="0.2">
      <c r="A452" s="596">
        <v>42998</v>
      </c>
      <c r="B452" s="567">
        <v>371804.33</v>
      </c>
    </row>
    <row r="453" spans="1:2" x14ac:dyDescent="0.2">
      <c r="A453" s="596">
        <v>42999</v>
      </c>
      <c r="B453" s="567">
        <v>370759.85</v>
      </c>
    </row>
    <row r="454" spans="1:2" x14ac:dyDescent="0.2">
      <c r="A454" s="596">
        <v>43000</v>
      </c>
      <c r="B454" s="567">
        <v>389878.66</v>
      </c>
    </row>
    <row r="455" spans="1:2" x14ac:dyDescent="0.2">
      <c r="A455" s="596">
        <v>43003</v>
      </c>
      <c r="B455" s="567">
        <v>393013.02</v>
      </c>
    </row>
    <row r="456" spans="1:2" x14ac:dyDescent="0.2">
      <c r="A456" s="596">
        <v>43004</v>
      </c>
      <c r="B456" s="567">
        <v>393593.22</v>
      </c>
    </row>
    <row r="457" spans="1:2" x14ac:dyDescent="0.2">
      <c r="A457" s="596">
        <v>43005</v>
      </c>
      <c r="B457" s="567">
        <v>393593</v>
      </c>
    </row>
    <row r="458" spans="1:2" x14ac:dyDescent="0.2">
      <c r="A458" s="596">
        <v>43006</v>
      </c>
      <c r="B458" s="567">
        <v>385433.95</v>
      </c>
    </row>
    <row r="459" spans="1:2" x14ac:dyDescent="0.2">
      <c r="A459" s="596">
        <v>43007</v>
      </c>
      <c r="B459" s="567">
        <v>385678.15</v>
      </c>
    </row>
    <row r="460" spans="1:2" x14ac:dyDescent="0.2">
      <c r="A460" s="596">
        <v>43010</v>
      </c>
      <c r="B460" s="567">
        <v>350949.28</v>
      </c>
    </row>
    <row r="461" spans="1:2" x14ac:dyDescent="0.2">
      <c r="A461" s="596">
        <v>43011</v>
      </c>
      <c r="B461" s="567">
        <v>352010.98</v>
      </c>
    </row>
    <row r="462" spans="1:2" x14ac:dyDescent="0.2">
      <c r="A462" s="596">
        <v>43012</v>
      </c>
      <c r="B462" s="567">
        <v>352011</v>
      </c>
    </row>
    <row r="463" spans="1:2" x14ac:dyDescent="0.2">
      <c r="A463" s="596">
        <v>43013</v>
      </c>
      <c r="B463" s="567">
        <v>348679</v>
      </c>
    </row>
    <row r="464" spans="1:2" x14ac:dyDescent="0.2">
      <c r="A464" s="596">
        <v>43014</v>
      </c>
      <c r="B464" s="567">
        <v>348679</v>
      </c>
    </row>
    <row r="465" spans="1:2" x14ac:dyDescent="0.2">
      <c r="A465" s="596">
        <v>43017</v>
      </c>
      <c r="B465" s="567">
        <v>348679</v>
      </c>
    </row>
    <row r="466" spans="1:2" x14ac:dyDescent="0.2">
      <c r="A466" s="596">
        <v>43018</v>
      </c>
      <c r="B466" s="567">
        <v>348679</v>
      </c>
    </row>
    <row r="467" spans="1:2" x14ac:dyDescent="0.2">
      <c r="A467" s="596">
        <v>43019</v>
      </c>
      <c r="B467" s="567">
        <v>348761.24</v>
      </c>
    </row>
    <row r="468" spans="1:2" x14ac:dyDescent="0.2">
      <c r="A468" s="596">
        <v>43020</v>
      </c>
      <c r="B468" s="567">
        <v>349998.26</v>
      </c>
    </row>
    <row r="469" spans="1:2" x14ac:dyDescent="0.2">
      <c r="A469" s="596">
        <v>43021</v>
      </c>
      <c r="B469" s="567">
        <v>370561.14</v>
      </c>
    </row>
    <row r="470" spans="1:2" x14ac:dyDescent="0.2">
      <c r="A470" s="596">
        <v>43024</v>
      </c>
      <c r="B470" s="567">
        <v>336220.14</v>
      </c>
    </row>
    <row r="471" spans="1:2" x14ac:dyDescent="0.2">
      <c r="A471" s="596">
        <v>43025</v>
      </c>
      <c r="B471" s="567">
        <v>336332.14</v>
      </c>
    </row>
    <row r="472" spans="1:2" x14ac:dyDescent="0.2">
      <c r="A472" s="596">
        <v>43026</v>
      </c>
      <c r="B472" s="567">
        <v>336332</v>
      </c>
    </row>
    <row r="473" spans="1:2" x14ac:dyDescent="0.2">
      <c r="A473" s="596">
        <v>43027</v>
      </c>
      <c r="B473" s="567">
        <v>339185.02</v>
      </c>
    </row>
    <row r="474" spans="1:2" x14ac:dyDescent="0.2">
      <c r="A474" s="596">
        <v>43028</v>
      </c>
      <c r="B474" s="567">
        <v>344936.35</v>
      </c>
    </row>
    <row r="475" spans="1:2" x14ac:dyDescent="0.2">
      <c r="A475" s="596">
        <v>43031</v>
      </c>
      <c r="B475" s="567">
        <v>344564.68</v>
      </c>
    </row>
    <row r="476" spans="1:2" x14ac:dyDescent="0.2">
      <c r="A476" s="596">
        <v>43032</v>
      </c>
      <c r="B476" s="567">
        <v>344565</v>
      </c>
    </row>
    <row r="477" spans="1:2" x14ac:dyDescent="0.2">
      <c r="A477" s="596">
        <v>43033</v>
      </c>
      <c r="B477" s="567">
        <v>344829.18</v>
      </c>
    </row>
    <row r="478" spans="1:2" x14ac:dyDescent="0.2">
      <c r="A478" s="596">
        <v>43034</v>
      </c>
      <c r="B478" s="567">
        <v>339942.05</v>
      </c>
    </row>
    <row r="479" spans="1:2" x14ac:dyDescent="0.2">
      <c r="A479" s="596">
        <v>43035</v>
      </c>
      <c r="B479" s="567">
        <v>360185.72</v>
      </c>
    </row>
    <row r="480" spans="1:2" x14ac:dyDescent="0.2">
      <c r="A480" s="596">
        <v>43038</v>
      </c>
      <c r="B480" s="567">
        <v>323067.73</v>
      </c>
    </row>
    <row r="481" spans="1:2" x14ac:dyDescent="0.2">
      <c r="A481" s="596">
        <v>43039</v>
      </c>
      <c r="B481" s="567">
        <v>323197.73</v>
      </c>
    </row>
    <row r="482" spans="1:2" x14ac:dyDescent="0.2">
      <c r="A482" s="596">
        <v>43040</v>
      </c>
      <c r="B482" s="567">
        <v>323198</v>
      </c>
    </row>
    <row r="483" spans="1:2" x14ac:dyDescent="0.2">
      <c r="A483" s="596">
        <v>43041</v>
      </c>
      <c r="B483" s="567">
        <v>341044.7</v>
      </c>
    </row>
    <row r="484" spans="1:2" x14ac:dyDescent="0.2">
      <c r="A484" s="596">
        <v>43042</v>
      </c>
      <c r="B484" s="567">
        <v>341676.17</v>
      </c>
    </row>
    <row r="485" spans="1:2" x14ac:dyDescent="0.2">
      <c r="A485" s="596">
        <v>43045</v>
      </c>
      <c r="B485" s="567">
        <v>341676</v>
      </c>
    </row>
    <row r="486" spans="1:2" x14ac:dyDescent="0.2">
      <c r="A486" s="596">
        <v>43046</v>
      </c>
      <c r="B486" s="567">
        <v>341676</v>
      </c>
    </row>
    <row r="487" spans="1:2" x14ac:dyDescent="0.2">
      <c r="A487" s="596">
        <v>43047</v>
      </c>
      <c r="B487" s="567">
        <v>379863.97</v>
      </c>
    </row>
    <row r="488" spans="1:2" x14ac:dyDescent="0.2">
      <c r="A488" s="596">
        <v>43048</v>
      </c>
      <c r="B488" s="567">
        <v>378842.06</v>
      </c>
    </row>
    <row r="489" spans="1:2" x14ac:dyDescent="0.2">
      <c r="A489" s="596">
        <v>43049</v>
      </c>
      <c r="B489" s="567">
        <v>378842</v>
      </c>
    </row>
    <row r="490" spans="1:2" x14ac:dyDescent="0.2">
      <c r="A490" s="596">
        <v>43052</v>
      </c>
      <c r="B490" s="567">
        <v>340784.14</v>
      </c>
    </row>
    <row r="491" spans="1:2" x14ac:dyDescent="0.2">
      <c r="A491" s="596">
        <v>43053</v>
      </c>
      <c r="B491" s="567">
        <v>340784</v>
      </c>
    </row>
    <row r="492" spans="1:2" x14ac:dyDescent="0.2">
      <c r="A492" s="596">
        <v>43054</v>
      </c>
      <c r="B492" s="567">
        <v>340895.76</v>
      </c>
    </row>
    <row r="493" spans="1:2" x14ac:dyDescent="0.2">
      <c r="A493" s="596">
        <v>43055</v>
      </c>
      <c r="B493" s="567">
        <v>354246.44</v>
      </c>
    </row>
    <row r="494" spans="1:2" x14ac:dyDescent="0.2">
      <c r="A494" s="596">
        <v>43056</v>
      </c>
      <c r="B494" s="567">
        <v>354246.44</v>
      </c>
    </row>
    <row r="495" spans="1:2" x14ac:dyDescent="0.2">
      <c r="A495" s="596">
        <v>43059</v>
      </c>
      <c r="B495" s="567">
        <v>354264.44</v>
      </c>
    </row>
    <row r="496" spans="1:2" x14ac:dyDescent="0.2">
      <c r="A496" s="596">
        <v>43060</v>
      </c>
      <c r="B496" s="567">
        <v>354264</v>
      </c>
    </row>
    <row r="497" spans="1:2" x14ac:dyDescent="0.2">
      <c r="A497" s="596">
        <v>43061</v>
      </c>
      <c r="B497" s="567">
        <v>357804.55</v>
      </c>
    </row>
    <row r="498" spans="1:2" x14ac:dyDescent="0.2">
      <c r="A498" s="596">
        <v>43062</v>
      </c>
      <c r="B498" s="567">
        <v>357805</v>
      </c>
    </row>
    <row r="499" spans="1:2" x14ac:dyDescent="0.2">
      <c r="A499" s="596">
        <v>43063</v>
      </c>
      <c r="B499" s="567">
        <v>361119.05</v>
      </c>
    </row>
    <row r="500" spans="1:2" x14ac:dyDescent="0.2">
      <c r="A500" s="596">
        <v>43066</v>
      </c>
      <c r="B500" s="567">
        <v>318415.71000000002</v>
      </c>
    </row>
    <row r="501" spans="1:2" x14ac:dyDescent="0.2">
      <c r="A501" s="596">
        <v>43067</v>
      </c>
      <c r="B501" s="567">
        <v>320237.53999999998</v>
      </c>
    </row>
    <row r="502" spans="1:2" x14ac:dyDescent="0.2">
      <c r="A502" s="596">
        <v>43068</v>
      </c>
      <c r="B502" s="567">
        <v>320237.53999999998</v>
      </c>
    </row>
    <row r="503" spans="1:2" x14ac:dyDescent="0.2">
      <c r="A503" s="596">
        <v>43069</v>
      </c>
      <c r="B503" s="567">
        <v>325286.46999999997</v>
      </c>
    </row>
    <row r="504" spans="1:2" x14ac:dyDescent="0.2">
      <c r="A504" s="596">
        <v>43070</v>
      </c>
      <c r="B504" s="567">
        <v>334247.03000000003</v>
      </c>
    </row>
    <row r="505" spans="1:2" x14ac:dyDescent="0.2">
      <c r="A505" s="596">
        <v>43073</v>
      </c>
      <c r="B505" s="567">
        <v>334247</v>
      </c>
    </row>
    <row r="506" spans="1:2" x14ac:dyDescent="0.2">
      <c r="A506" s="596">
        <v>43074</v>
      </c>
      <c r="B506" s="567">
        <v>334247.03000000003</v>
      </c>
    </row>
    <row r="507" spans="1:2" x14ac:dyDescent="0.2">
      <c r="A507" s="596">
        <v>43075</v>
      </c>
      <c r="B507" s="567">
        <v>334247</v>
      </c>
    </row>
    <row r="508" spans="1:2" x14ac:dyDescent="0.2">
      <c r="A508" s="596">
        <v>43076</v>
      </c>
      <c r="B508" s="567">
        <v>323171.46000000002</v>
      </c>
    </row>
    <row r="509" spans="1:2" x14ac:dyDescent="0.2">
      <c r="A509" s="596">
        <v>43077</v>
      </c>
      <c r="B509" s="567">
        <v>324229.90999999997</v>
      </c>
    </row>
    <row r="510" spans="1:2" x14ac:dyDescent="0.2">
      <c r="A510" s="596">
        <v>43080</v>
      </c>
      <c r="B510" s="567">
        <v>324230</v>
      </c>
    </row>
    <row r="511" spans="1:2" x14ac:dyDescent="0.2">
      <c r="A511" s="596">
        <v>43081</v>
      </c>
      <c r="B511" s="567">
        <v>286030.39</v>
      </c>
    </row>
    <row r="512" spans="1:2" x14ac:dyDescent="0.2">
      <c r="A512" s="596">
        <v>43082</v>
      </c>
      <c r="B512" s="567">
        <v>286197.44</v>
      </c>
    </row>
    <row r="513" spans="1:2" x14ac:dyDescent="0.2">
      <c r="A513" s="596">
        <v>43083</v>
      </c>
      <c r="B513" s="567">
        <v>280065.2</v>
      </c>
    </row>
    <row r="514" spans="1:2" x14ac:dyDescent="0.2">
      <c r="A514" s="596">
        <v>43084</v>
      </c>
      <c r="B514" s="567">
        <v>284409.09999999998</v>
      </c>
    </row>
    <row r="515" spans="1:2" x14ac:dyDescent="0.2">
      <c r="A515" s="596">
        <v>43087</v>
      </c>
      <c r="B515" s="567">
        <v>285119.09999999998</v>
      </c>
    </row>
    <row r="516" spans="1:2" x14ac:dyDescent="0.2">
      <c r="A516" s="596">
        <v>43088</v>
      </c>
      <c r="B516" s="567">
        <v>285395.49</v>
      </c>
    </row>
    <row r="517" spans="1:2" x14ac:dyDescent="0.2">
      <c r="A517" s="596">
        <v>43089</v>
      </c>
      <c r="B517" s="567">
        <v>285395</v>
      </c>
    </row>
    <row r="518" spans="1:2" x14ac:dyDescent="0.2">
      <c r="A518" s="596">
        <v>43090</v>
      </c>
      <c r="B518" s="567">
        <v>285542.49</v>
      </c>
    </row>
    <row r="519" spans="1:2" x14ac:dyDescent="0.2">
      <c r="A519" s="596">
        <v>43091</v>
      </c>
      <c r="B519" s="567">
        <v>285542</v>
      </c>
    </row>
    <row r="520" spans="1:2" x14ac:dyDescent="0.2">
      <c r="A520" s="596">
        <v>43094</v>
      </c>
      <c r="B520" s="567">
        <v>285542</v>
      </c>
    </row>
    <row r="521" spans="1:2" x14ac:dyDescent="0.2">
      <c r="A521" s="596">
        <v>43095</v>
      </c>
      <c r="B521" s="567">
        <v>248584.72</v>
      </c>
    </row>
    <row r="522" spans="1:2" x14ac:dyDescent="0.2">
      <c r="A522" s="596">
        <v>43096</v>
      </c>
      <c r="B522" s="567">
        <v>248585</v>
      </c>
    </row>
    <row r="523" spans="1:2" x14ac:dyDescent="0.2">
      <c r="A523" s="596">
        <v>43097</v>
      </c>
      <c r="B523" s="567">
        <v>270685.83</v>
      </c>
    </row>
    <row r="524" spans="1:2" x14ac:dyDescent="0.2">
      <c r="A524" s="596">
        <v>43098</v>
      </c>
      <c r="B524" s="567">
        <v>282558.58</v>
      </c>
    </row>
    <row r="525" spans="1:2" x14ac:dyDescent="0.2">
      <c r="A525" s="596">
        <v>43101</v>
      </c>
      <c r="B525" s="567">
        <v>282559</v>
      </c>
    </row>
    <row r="526" spans="1:2" x14ac:dyDescent="0.2">
      <c r="A526" s="596">
        <v>43102</v>
      </c>
      <c r="B526" s="567">
        <v>282559</v>
      </c>
    </row>
    <row r="527" spans="1:2" x14ac:dyDescent="0.2">
      <c r="A527" s="596">
        <v>43103</v>
      </c>
      <c r="B527" s="567">
        <v>282559</v>
      </c>
    </row>
    <row r="528" spans="1:2" x14ac:dyDescent="0.2">
      <c r="A528" s="596">
        <v>43104</v>
      </c>
      <c r="B528" s="567">
        <v>283213.14</v>
      </c>
    </row>
    <row r="529" spans="1:2" x14ac:dyDescent="0.2">
      <c r="A529" s="596">
        <v>43105</v>
      </c>
      <c r="B529" s="567">
        <v>297779.06</v>
      </c>
    </row>
    <row r="530" spans="1:2" x14ac:dyDescent="0.2">
      <c r="A530" s="596">
        <v>43108</v>
      </c>
      <c r="B530" s="567">
        <v>263886.2</v>
      </c>
    </row>
    <row r="531" spans="1:2" x14ac:dyDescent="0.2">
      <c r="A531" s="596">
        <v>43109</v>
      </c>
      <c r="B531" s="567">
        <v>277030.96999999997</v>
      </c>
    </row>
    <row r="532" spans="1:2" x14ac:dyDescent="0.2">
      <c r="A532" s="596">
        <v>43110</v>
      </c>
      <c r="B532" s="567">
        <v>277031</v>
      </c>
    </row>
    <row r="533" spans="1:2" x14ac:dyDescent="0.2">
      <c r="A533" s="596">
        <v>43111</v>
      </c>
      <c r="B533" s="567">
        <v>281394.14</v>
      </c>
    </row>
    <row r="534" spans="1:2" x14ac:dyDescent="0.2">
      <c r="A534" s="596">
        <v>43112</v>
      </c>
      <c r="B534" s="567">
        <v>281470.18</v>
      </c>
    </row>
    <row r="535" spans="1:2" x14ac:dyDescent="0.2">
      <c r="A535" s="596">
        <v>43115</v>
      </c>
      <c r="B535" s="567">
        <v>281470</v>
      </c>
    </row>
    <row r="536" spans="1:2" x14ac:dyDescent="0.2">
      <c r="A536" s="596">
        <v>43116</v>
      </c>
    </row>
    <row r="537" spans="1:2" x14ac:dyDescent="0.2">
      <c r="A537" s="596">
        <v>43117</v>
      </c>
    </row>
    <row r="538" spans="1:2" x14ac:dyDescent="0.2">
      <c r="A538" s="596">
        <v>43118</v>
      </c>
    </row>
    <row r="539" spans="1:2" x14ac:dyDescent="0.2">
      <c r="A539" s="596"/>
    </row>
    <row r="540" spans="1:2" x14ac:dyDescent="0.2">
      <c r="A540" s="596"/>
    </row>
    <row r="541" spans="1:2" x14ac:dyDescent="0.2">
      <c r="A541" s="596"/>
    </row>
    <row r="542" spans="1:2" x14ac:dyDescent="0.2">
      <c r="A542" s="596"/>
    </row>
    <row r="543" spans="1:2" x14ac:dyDescent="0.2">
      <c r="A543" s="596"/>
    </row>
    <row r="544" spans="1:2" x14ac:dyDescent="0.2">
      <c r="A544" s="596"/>
    </row>
    <row r="545" spans="1:1" x14ac:dyDescent="0.2">
      <c r="A545" s="596"/>
    </row>
    <row r="546" spans="1:1" x14ac:dyDescent="0.2">
      <c r="A546" s="596"/>
    </row>
    <row r="547" spans="1:1" x14ac:dyDescent="0.2">
      <c r="A547" s="596"/>
    </row>
    <row r="548" spans="1:1" x14ac:dyDescent="0.2">
      <c r="A548" s="596"/>
    </row>
    <row r="549" spans="1:1" x14ac:dyDescent="0.2">
      <c r="A549" s="596"/>
    </row>
    <row r="550" spans="1:1" x14ac:dyDescent="0.2">
      <c r="A550" s="596"/>
    </row>
    <row r="551" spans="1:1" x14ac:dyDescent="0.2">
      <c r="A551" s="596"/>
    </row>
    <row r="552" spans="1:1" x14ac:dyDescent="0.2">
      <c r="A552" s="596"/>
    </row>
    <row r="553" spans="1:1" x14ac:dyDescent="0.2">
      <c r="A553" s="596"/>
    </row>
    <row r="554" spans="1:1" x14ac:dyDescent="0.2">
      <c r="A554" s="596"/>
    </row>
    <row r="555" spans="1:1" x14ac:dyDescent="0.2">
      <c r="A555" s="596"/>
    </row>
    <row r="556" spans="1:1" x14ac:dyDescent="0.2">
      <c r="A556" s="596"/>
    </row>
    <row r="557" spans="1:1" x14ac:dyDescent="0.2">
      <c r="A557" s="596"/>
    </row>
    <row r="558" spans="1:1" x14ac:dyDescent="0.2">
      <c r="A558" s="596"/>
    </row>
    <row r="559" spans="1:1" x14ac:dyDescent="0.2">
      <c r="A559" s="596"/>
    </row>
    <row r="560" spans="1:1" x14ac:dyDescent="0.2">
      <c r="A560" s="596"/>
    </row>
    <row r="561" spans="1:2" x14ac:dyDescent="0.2">
      <c r="A561" s="596"/>
    </row>
    <row r="567" spans="1:2" x14ac:dyDescent="0.2">
      <c r="A567" s="601" t="s">
        <v>346</v>
      </c>
      <c r="B567" s="567">
        <f>MAX(B265:B564)</f>
        <v>404679.36</v>
      </c>
    </row>
    <row r="568" spans="1:2" x14ac:dyDescent="0.2">
      <c r="A568" s="601" t="s">
        <v>347</v>
      </c>
      <c r="B568" s="567">
        <f>MIN(B265:B564)</f>
        <v>198879.76</v>
      </c>
    </row>
    <row r="598" spans="1:2" x14ac:dyDescent="0.2">
      <c r="A598" s="601" t="s">
        <v>346</v>
      </c>
      <c r="B598" s="567">
        <f>MAX(B400:B595)</f>
        <v>404679.36</v>
      </c>
    </row>
    <row r="599" spans="1:2" x14ac:dyDescent="0.2">
      <c r="A599" s="601" t="s">
        <v>347</v>
      </c>
      <c r="B599" s="567">
        <f>MIN(B400:B595)</f>
        <v>198879.76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3"/>
  <sheetViews>
    <sheetView tabSelected="1" topLeftCell="F1" zoomScaleNormal="100" workbookViewId="0">
      <selection activeCell="K38" sqref="K38:K39"/>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32</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431</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79" t="s">
        <v>174</v>
      </c>
      <c r="B5" s="280"/>
      <c r="C5" s="280"/>
      <c r="D5" s="280"/>
      <c r="E5" s="280"/>
      <c r="F5" s="280"/>
      <c r="G5" s="280"/>
      <c r="H5" s="280"/>
      <c r="I5" s="280"/>
      <c r="J5" s="280"/>
      <c r="K5" s="28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449" t="s">
        <v>24</v>
      </c>
      <c r="B6" s="449" t="s">
        <v>14</v>
      </c>
      <c r="C6" s="682" t="s">
        <v>1</v>
      </c>
      <c r="D6" s="449" t="s">
        <v>2</v>
      </c>
      <c r="E6" s="682" t="s">
        <v>3</v>
      </c>
      <c r="F6" s="282" t="s">
        <v>11</v>
      </c>
      <c r="G6" s="687" t="s">
        <v>29</v>
      </c>
      <c r="H6" s="282" t="s">
        <v>227</v>
      </c>
      <c r="I6" s="687" t="s">
        <v>28</v>
      </c>
      <c r="J6" s="282" t="s">
        <v>21</v>
      </c>
      <c r="K6" s="282" t="s">
        <v>102</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x14ac:dyDescent="0.2">
      <c r="A7" s="313" t="s">
        <v>343</v>
      </c>
      <c r="B7" s="394" t="s">
        <v>16</v>
      </c>
      <c r="C7" s="6" t="s">
        <v>169</v>
      </c>
      <c r="D7" s="317">
        <v>42826</v>
      </c>
      <c r="E7" s="7">
        <v>43190</v>
      </c>
      <c r="F7" s="339">
        <v>189383</v>
      </c>
      <c r="G7" s="340">
        <f>I7-H7</f>
        <v>82991</v>
      </c>
      <c r="H7" s="680">
        <f>'December''17 AR Aging '!G8</f>
        <v>38966.769999999997</v>
      </c>
      <c r="I7" s="340">
        <v>121957.77</v>
      </c>
      <c r="J7" s="321">
        <f>F7-I7</f>
        <v>67425.23</v>
      </c>
      <c r="K7" s="332"/>
      <c r="L7" s="46"/>
      <c r="M7" s="29"/>
      <c r="N7" s="29"/>
    </row>
    <row r="8" spans="1:48" x14ac:dyDescent="0.2">
      <c r="A8" s="642" t="s">
        <v>436</v>
      </c>
      <c r="B8" s="395" t="s">
        <v>16</v>
      </c>
      <c r="C8" s="683" t="s">
        <v>169</v>
      </c>
      <c r="D8" s="336">
        <v>43191</v>
      </c>
      <c r="E8" s="685">
        <v>43373</v>
      </c>
      <c r="F8" s="337">
        <f>F7/2</f>
        <v>94691.5</v>
      </c>
      <c r="G8" s="688">
        <f>+(+I8-H8)</f>
        <v>0</v>
      </c>
      <c r="H8" s="338"/>
      <c r="I8" s="688"/>
      <c r="J8" s="337"/>
      <c r="K8" s="401"/>
      <c r="L8" s="272"/>
      <c r="M8" s="309"/>
      <c r="N8" s="29"/>
    </row>
    <row r="9" spans="1:48" x14ac:dyDescent="0.2">
      <c r="A9" s="313" t="s">
        <v>316</v>
      </c>
      <c r="B9" s="394" t="s">
        <v>15</v>
      </c>
      <c r="C9" s="6" t="s">
        <v>176</v>
      </c>
      <c r="D9" s="317">
        <v>42826</v>
      </c>
      <c r="E9" s="7">
        <v>43190</v>
      </c>
      <c r="F9" s="339">
        <v>26286</v>
      </c>
      <c r="G9" s="340">
        <f>I9-H9</f>
        <v>0</v>
      </c>
      <c r="H9" s="321">
        <f>'December''17 AR Aging '!G11</f>
        <v>9250</v>
      </c>
      <c r="I9" s="340">
        <f>H9</f>
        <v>9250</v>
      </c>
      <c r="J9" s="339">
        <f>F9-I9</f>
        <v>17036</v>
      </c>
      <c r="K9" s="321"/>
      <c r="L9" s="272"/>
      <c r="M9" s="309"/>
      <c r="N9" s="29"/>
    </row>
    <row r="10" spans="1:48" x14ac:dyDescent="0.2">
      <c r="A10" s="642" t="s">
        <v>377</v>
      </c>
      <c r="B10" s="395" t="s">
        <v>15</v>
      </c>
      <c r="C10" s="683" t="s">
        <v>176</v>
      </c>
      <c r="D10" s="336">
        <v>42917</v>
      </c>
      <c r="E10" s="685">
        <v>43281</v>
      </c>
      <c r="F10" s="337">
        <v>319000</v>
      </c>
      <c r="G10" s="688">
        <f>I10-H10</f>
        <v>76631.709999999992</v>
      </c>
      <c r="H10" s="338">
        <f>'December''17 AR Aging '!G13</f>
        <v>41420.129999999997</v>
      </c>
      <c r="I10" s="688">
        <v>118051.84</v>
      </c>
      <c r="J10" s="337">
        <f>F10-I10</f>
        <v>200948.16</v>
      </c>
      <c r="K10" s="401">
        <v>38433.56</v>
      </c>
      <c r="L10" s="272"/>
      <c r="M10" s="309"/>
      <c r="N10" s="29"/>
    </row>
    <row r="11" spans="1:48" x14ac:dyDescent="0.2">
      <c r="A11" s="313" t="s">
        <v>317</v>
      </c>
      <c r="B11" s="394" t="s">
        <v>15</v>
      </c>
      <c r="C11" s="6" t="s">
        <v>177</v>
      </c>
      <c r="D11" s="317">
        <v>42826</v>
      </c>
      <c r="E11" s="7">
        <v>43190</v>
      </c>
      <c r="F11" s="339">
        <v>11536</v>
      </c>
      <c r="G11" s="340"/>
      <c r="H11" s="321">
        <f>'December''17 AR Aging '!G17</f>
        <v>6176.37</v>
      </c>
      <c r="I11" s="340">
        <f>H11</f>
        <v>6176.37</v>
      </c>
      <c r="J11" s="339">
        <f>F11-I11</f>
        <v>5359.63</v>
      </c>
      <c r="K11" s="455"/>
      <c r="L11" s="272"/>
      <c r="M11" s="309"/>
      <c r="N11" s="29"/>
    </row>
    <row r="12" spans="1:48" s="4" customFormat="1" hidden="1" x14ac:dyDescent="0.2">
      <c r="A12" s="313" t="s">
        <v>321</v>
      </c>
      <c r="B12" s="394" t="s">
        <v>15</v>
      </c>
      <c r="C12" s="6" t="s">
        <v>177</v>
      </c>
      <c r="D12" s="317">
        <v>42461</v>
      </c>
      <c r="E12" s="7">
        <v>42825</v>
      </c>
      <c r="F12" s="339"/>
      <c r="G12" s="340"/>
      <c r="H12" s="321"/>
      <c r="I12" s="340"/>
      <c r="J12" s="339"/>
      <c r="K12" s="471">
        <v>0</v>
      </c>
      <c r="L12" s="272"/>
      <c r="M12" s="309"/>
      <c r="N12" s="29"/>
      <c r="O12" s="29"/>
      <c r="P12" s="29"/>
      <c r="Q12" s="29"/>
      <c r="R12" s="29"/>
      <c r="S12" s="29"/>
      <c r="T12" s="29"/>
      <c r="U12" s="29"/>
      <c r="V12" s="29"/>
      <c r="W12" s="29"/>
      <c r="X12" s="29"/>
      <c r="Y12" s="29"/>
      <c r="Z12" s="29"/>
      <c r="AA12" s="29"/>
      <c r="AB12" s="11"/>
      <c r="AC12" s="11"/>
      <c r="AD12" s="11"/>
      <c r="AE12" s="11"/>
      <c r="AF12" s="11"/>
      <c r="AG12" s="11"/>
      <c r="AH12" s="11"/>
      <c r="AI12" s="11"/>
      <c r="AJ12" s="11"/>
      <c r="AK12" s="11"/>
      <c r="AL12" s="11"/>
      <c r="AM12" s="1"/>
      <c r="AN12" s="1"/>
      <c r="AO12" s="1"/>
      <c r="AP12" s="1"/>
      <c r="AQ12" s="1"/>
      <c r="AR12" s="1"/>
      <c r="AS12" s="1"/>
      <c r="AT12" s="1"/>
      <c r="AU12" s="1"/>
      <c r="AV12" s="1"/>
    </row>
    <row r="13" spans="1:48" s="4" customFormat="1" x14ac:dyDescent="0.2">
      <c r="A13" s="313" t="s">
        <v>344</v>
      </c>
      <c r="B13" s="394" t="s">
        <v>15</v>
      </c>
      <c r="C13" s="6" t="s">
        <v>177</v>
      </c>
      <c r="D13" s="317">
        <v>42826</v>
      </c>
      <c r="E13" s="7">
        <v>43190</v>
      </c>
      <c r="F13" s="339">
        <v>133000</v>
      </c>
      <c r="G13" s="340">
        <f>I13-H13</f>
        <v>71699.23</v>
      </c>
      <c r="H13" s="321">
        <f>'December''17 AR Aging '!G19</f>
        <v>16704.7</v>
      </c>
      <c r="I13" s="340">
        <f>89476.93-1073</f>
        <v>88403.93</v>
      </c>
      <c r="J13" s="339">
        <f>+F13-I13</f>
        <v>44596.070000000007</v>
      </c>
      <c r="K13" s="471">
        <v>3018.89</v>
      </c>
      <c r="L13" s="272"/>
      <c r="M13" s="309"/>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s="4" customFormat="1" x14ac:dyDescent="0.2">
      <c r="A14" s="313" t="s">
        <v>435</v>
      </c>
      <c r="B14" s="394" t="s">
        <v>15</v>
      </c>
      <c r="C14" s="6" t="s">
        <v>177</v>
      </c>
      <c r="D14" s="317">
        <v>42826</v>
      </c>
      <c r="E14" s="7">
        <v>43190</v>
      </c>
      <c r="F14" s="339">
        <f>F13/2</f>
        <v>66500</v>
      </c>
      <c r="G14" s="340"/>
      <c r="H14" s="321"/>
      <c r="I14" s="340"/>
      <c r="J14" s="339"/>
      <c r="K14" s="321"/>
      <c r="L14" s="272"/>
      <c r="M14" s="309"/>
      <c r="N14" s="29"/>
      <c r="O14" s="29"/>
      <c r="P14" s="29"/>
      <c r="Q14" s="29"/>
      <c r="R14" s="29"/>
      <c r="S14" s="29"/>
      <c r="T14" s="29"/>
      <c r="U14" s="29"/>
      <c r="V14" s="29"/>
      <c r="W14" s="29"/>
      <c r="X14" s="29"/>
      <c r="Y14" s="29"/>
      <c r="Z14" s="29"/>
      <c r="AA14" s="29"/>
      <c r="AB14" s="11"/>
      <c r="AC14" s="11"/>
      <c r="AD14" s="11"/>
      <c r="AE14" s="11"/>
      <c r="AF14" s="11"/>
      <c r="AG14" s="11"/>
      <c r="AH14" s="11"/>
      <c r="AI14" s="11"/>
      <c r="AJ14" s="11"/>
      <c r="AK14" s="11"/>
      <c r="AL14" s="11"/>
      <c r="AM14" s="1"/>
      <c r="AN14" s="1"/>
      <c r="AO14" s="1"/>
      <c r="AP14" s="1"/>
      <c r="AQ14" s="1"/>
      <c r="AR14" s="1"/>
      <c r="AS14" s="1"/>
      <c r="AT14" s="1"/>
      <c r="AU14" s="1"/>
      <c r="AV14" s="1"/>
    </row>
    <row r="15" spans="1:48" s="4" customFormat="1" x14ac:dyDescent="0.2">
      <c r="A15" s="313" t="s">
        <v>202</v>
      </c>
      <c r="B15" s="394" t="s">
        <v>15</v>
      </c>
      <c r="C15" s="6" t="s">
        <v>178</v>
      </c>
      <c r="D15" s="317">
        <v>42826</v>
      </c>
      <c r="E15" s="7">
        <v>43190</v>
      </c>
      <c r="F15" s="681">
        <v>13332</v>
      </c>
      <c r="G15" s="340">
        <f>+(+I15-H15)</f>
        <v>8638.6500000000015</v>
      </c>
      <c r="H15" s="321">
        <f>'December''17 AR Aging '!G21</f>
        <v>2870.8</v>
      </c>
      <c r="I15" s="340">
        <v>11509.45</v>
      </c>
      <c r="J15" s="339">
        <f t="shared" ref="J15" si="0">+F15-I15</f>
        <v>1822.5499999999993</v>
      </c>
      <c r="K15" s="321"/>
      <c r="L15" s="272"/>
      <c r="M15" s="309"/>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x14ac:dyDescent="0.2">
      <c r="A16" s="313" t="s">
        <v>434</v>
      </c>
      <c r="B16" s="394" t="s">
        <v>15</v>
      </c>
      <c r="C16" s="6" t="s">
        <v>178</v>
      </c>
      <c r="D16" s="317">
        <v>43191</v>
      </c>
      <c r="E16" s="7">
        <v>43555</v>
      </c>
      <c r="F16" s="427">
        <v>6910</v>
      </c>
      <c r="G16" s="340"/>
      <c r="H16" s="321"/>
      <c r="I16" s="340"/>
      <c r="J16" s="339"/>
      <c r="K16" s="321"/>
      <c r="L16" s="272"/>
      <c r="M16" s="309"/>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x14ac:dyDescent="0.2">
      <c r="A17" s="642" t="s">
        <v>203</v>
      </c>
      <c r="B17" s="395" t="s">
        <v>172</v>
      </c>
      <c r="C17" s="683" t="s">
        <v>444</v>
      </c>
      <c r="D17" s="336">
        <v>42916</v>
      </c>
      <c r="E17" s="685">
        <v>43280</v>
      </c>
      <c r="F17" s="481">
        <v>8545</v>
      </c>
      <c r="G17" s="688">
        <f>+(+I17-H17)</f>
        <v>4201.58</v>
      </c>
      <c r="H17" s="338">
        <f>'December''17 AR Aging '!G22</f>
        <v>900.06</v>
      </c>
      <c r="I17" s="688">
        <v>5101.6400000000003</v>
      </c>
      <c r="J17" s="481">
        <f>F17-I17</f>
        <v>3443.3599999999997</v>
      </c>
      <c r="K17" s="338"/>
      <c r="L17" s="272"/>
      <c r="M17" s="309"/>
      <c r="N17" s="29"/>
    </row>
    <row r="18" spans="1:48" hidden="1" x14ac:dyDescent="0.2">
      <c r="A18" s="313" t="s">
        <v>323</v>
      </c>
      <c r="B18" s="394" t="s">
        <v>15</v>
      </c>
      <c r="C18" s="6" t="s">
        <v>170</v>
      </c>
      <c r="D18" s="399">
        <v>42644</v>
      </c>
      <c r="E18" s="7">
        <v>43008</v>
      </c>
      <c r="F18" s="339"/>
      <c r="G18" s="340"/>
      <c r="H18" s="321"/>
      <c r="I18" s="340"/>
      <c r="J18" s="339"/>
      <c r="K18" s="332"/>
      <c r="L18" s="272"/>
      <c r="M18" s="309"/>
      <c r="N18" s="29"/>
    </row>
    <row r="19" spans="1:48" x14ac:dyDescent="0.2">
      <c r="A19" s="642" t="s">
        <v>388</v>
      </c>
      <c r="B19" s="395" t="s">
        <v>15</v>
      </c>
      <c r="C19" s="683" t="s">
        <v>170</v>
      </c>
      <c r="D19" s="336">
        <v>43009</v>
      </c>
      <c r="E19" s="685">
        <v>43373</v>
      </c>
      <c r="F19" s="337">
        <v>315000</v>
      </c>
      <c r="G19" s="688">
        <f>I19-H19</f>
        <v>0</v>
      </c>
      <c r="H19" s="338">
        <f>'December''17 AR Aging '!G31</f>
        <v>79503.39</v>
      </c>
      <c r="I19" s="688">
        <f>H19</f>
        <v>79503.39</v>
      </c>
      <c r="J19" s="337">
        <f>+F19-I19</f>
        <v>235496.61</v>
      </c>
      <c r="K19" s="338"/>
      <c r="L19" s="272"/>
      <c r="M19" s="309"/>
      <c r="N19" s="29"/>
    </row>
    <row r="20" spans="1:48" s="3" customFormat="1" x14ac:dyDescent="0.2">
      <c r="A20" s="313" t="s">
        <v>324</v>
      </c>
      <c r="B20" s="394" t="s">
        <v>18</v>
      </c>
      <c r="C20" s="6" t="s">
        <v>5</v>
      </c>
      <c r="D20" s="317">
        <v>42736</v>
      </c>
      <c r="E20" s="7">
        <v>43100</v>
      </c>
      <c r="F20" s="339">
        <f>3458.33*12</f>
        <v>41499.96</v>
      </c>
      <c r="G20" s="340">
        <f>I20-H20</f>
        <v>34583.300000000003</v>
      </c>
      <c r="H20" s="321">
        <f>'December''17 AR Aging '!G39</f>
        <v>6916.66</v>
      </c>
      <c r="I20" s="340">
        <f>F20/12*12</f>
        <v>41499.96</v>
      </c>
      <c r="J20" s="339">
        <f>F20-I20</f>
        <v>0</v>
      </c>
      <c r="K20" s="321"/>
      <c r="L20" s="272"/>
      <c r="M20" s="309"/>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x14ac:dyDescent="0.2">
      <c r="A21" s="313" t="s">
        <v>432</v>
      </c>
      <c r="B21" s="394" t="s">
        <v>18</v>
      </c>
      <c r="C21" s="6" t="s">
        <v>5</v>
      </c>
      <c r="D21" s="317">
        <v>43101</v>
      </c>
      <c r="E21" s="7">
        <v>43465</v>
      </c>
      <c r="F21" s="339">
        <v>42500</v>
      </c>
      <c r="G21" s="340"/>
      <c r="H21" s="321"/>
      <c r="I21" s="340"/>
      <c r="J21" s="339"/>
      <c r="K21" s="321"/>
      <c r="L21" s="272"/>
      <c r="M21" s="309"/>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idden="1" x14ac:dyDescent="0.2">
      <c r="A22" s="313" t="s">
        <v>207</v>
      </c>
      <c r="B22" s="394" t="s">
        <v>18</v>
      </c>
      <c r="C22" s="6" t="s">
        <v>23</v>
      </c>
      <c r="D22" s="317">
        <v>42736</v>
      </c>
      <c r="E22" s="7">
        <v>43007</v>
      </c>
      <c r="F22" s="339"/>
      <c r="G22" s="340">
        <f>I22-H22</f>
        <v>0</v>
      </c>
      <c r="H22" s="321"/>
      <c r="I22" s="340"/>
      <c r="J22" s="339">
        <f>+F22-I22</f>
        <v>0</v>
      </c>
      <c r="K22" s="321"/>
      <c r="L22" s="272"/>
      <c r="M22" s="309"/>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x14ac:dyDescent="0.2">
      <c r="A23" s="313" t="s">
        <v>322</v>
      </c>
      <c r="B23" s="394" t="s">
        <v>18</v>
      </c>
      <c r="C23" s="6" t="s">
        <v>23</v>
      </c>
      <c r="D23" s="317">
        <v>42644</v>
      </c>
      <c r="E23" s="7">
        <v>43008</v>
      </c>
      <c r="F23" s="339">
        <v>43987</v>
      </c>
      <c r="G23" s="340">
        <f>+(+I23-H23)</f>
        <v>43966.76</v>
      </c>
      <c r="H23" s="339">
        <f>'December''17 AR Aging '!G47</f>
        <v>0</v>
      </c>
      <c r="I23" s="340">
        <v>43966.76</v>
      </c>
      <c r="J23" s="339">
        <f t="shared" ref="J23:J27" si="1">+F23-I23</f>
        <v>20.239999999997963</v>
      </c>
      <c r="K23" s="524"/>
      <c r="L23" s="272"/>
      <c r="M23" s="309"/>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x14ac:dyDescent="0.2">
      <c r="A24" s="313" t="s">
        <v>433</v>
      </c>
      <c r="B24" s="394" t="s">
        <v>18</v>
      </c>
      <c r="C24" s="6" t="s">
        <v>23</v>
      </c>
      <c r="D24" s="317">
        <v>43009</v>
      </c>
      <c r="E24" s="7">
        <v>43190</v>
      </c>
      <c r="F24" s="339">
        <f>43987/2</f>
        <v>21993.5</v>
      </c>
      <c r="G24" s="340">
        <f>+(+I24-H24)</f>
        <v>0</v>
      </c>
      <c r="H24" s="339">
        <f>'December''17 AR Aging '!G48</f>
        <v>11913.04</v>
      </c>
      <c r="I24" s="340">
        <f>H24</f>
        <v>11913.04</v>
      </c>
      <c r="J24" s="339">
        <f t="shared" ref="J24:J25" si="2">+F24-I24</f>
        <v>10080.459999999999</v>
      </c>
      <c r="K24" s="524"/>
      <c r="L24" s="272"/>
      <c r="M24" s="30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x14ac:dyDescent="0.2">
      <c r="A25" s="313" t="s">
        <v>225</v>
      </c>
      <c r="B25" s="394" t="s">
        <v>18</v>
      </c>
      <c r="C25" s="6" t="s">
        <v>23</v>
      </c>
      <c r="D25" s="317">
        <v>42736</v>
      </c>
      <c r="E25" s="7">
        <v>43190</v>
      </c>
      <c r="F25" s="339">
        <v>97102</v>
      </c>
      <c r="G25" s="340">
        <f>I25-H25</f>
        <v>51871.990000000005</v>
      </c>
      <c r="H25" s="339">
        <f>'December''17 AR Aging '!G46</f>
        <v>19301.28</v>
      </c>
      <c r="I25" s="340">
        <v>71173.27</v>
      </c>
      <c r="J25" s="339">
        <f t="shared" si="2"/>
        <v>25928.729999999996</v>
      </c>
      <c r="K25" s="524"/>
      <c r="L25" s="272"/>
      <c r="M25" s="309"/>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x14ac:dyDescent="0.2">
      <c r="A26" s="642" t="s">
        <v>225</v>
      </c>
      <c r="B26" s="395" t="s">
        <v>18</v>
      </c>
      <c r="C26" s="683" t="s">
        <v>23</v>
      </c>
      <c r="D26" s="336">
        <v>43191</v>
      </c>
      <c r="E26" s="685">
        <v>43555</v>
      </c>
      <c r="F26" s="481">
        <f>45422*2</f>
        <v>90844</v>
      </c>
      <c r="G26" s="688">
        <f>+(+I26-H26)</f>
        <v>0</v>
      </c>
      <c r="H26" s="337"/>
      <c r="I26" s="688"/>
      <c r="J26" s="337"/>
      <c r="K26" s="338"/>
      <c r="L26" s="272"/>
      <c r="M26" s="30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x14ac:dyDescent="0.2">
      <c r="A27" s="313" t="s">
        <v>183</v>
      </c>
      <c r="B27" s="394" t="s">
        <v>191</v>
      </c>
      <c r="C27" s="6" t="s">
        <v>23</v>
      </c>
      <c r="D27" s="317">
        <v>42736</v>
      </c>
      <c r="E27" s="7">
        <v>43100</v>
      </c>
      <c r="F27" s="339">
        <v>13000</v>
      </c>
      <c r="G27" s="340">
        <f>+(+I27-H27)</f>
        <v>7712.5</v>
      </c>
      <c r="H27" s="339">
        <f>'December''17 AR Aging '!G54</f>
        <v>4147.5</v>
      </c>
      <c r="I27" s="340">
        <v>11860</v>
      </c>
      <c r="J27" s="339">
        <f t="shared" si="1"/>
        <v>1140</v>
      </c>
      <c r="K27" s="321"/>
      <c r="L27" s="272"/>
      <c r="M27" s="30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642" t="s">
        <v>183</v>
      </c>
      <c r="B28" s="395" t="s">
        <v>191</v>
      </c>
      <c r="C28" s="683" t="s">
        <v>23</v>
      </c>
      <c r="D28" s="336">
        <v>43101</v>
      </c>
      <c r="E28" s="685">
        <v>43465</v>
      </c>
      <c r="F28" s="337">
        <v>13000</v>
      </c>
      <c r="G28" s="688"/>
      <c r="H28" s="337"/>
      <c r="I28" s="688"/>
      <c r="J28" s="337"/>
      <c r="K28" s="338"/>
      <c r="L28" s="272"/>
      <c r="M28" s="30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t="15" thickBot="1" x14ac:dyDescent="0.25">
      <c r="A29" s="428" t="s">
        <v>356</v>
      </c>
      <c r="B29" s="428" t="s">
        <v>151</v>
      </c>
      <c r="C29" s="684" t="s">
        <v>23</v>
      </c>
      <c r="D29" s="429">
        <v>42948</v>
      </c>
      <c r="E29" s="686">
        <v>43204</v>
      </c>
      <c r="F29" s="437">
        <v>35917.17</v>
      </c>
      <c r="G29" s="689">
        <f>+(+I29-H29)</f>
        <v>8103.84</v>
      </c>
      <c r="H29" s="333">
        <f>'December''17 AR Aging '!G58</f>
        <v>2214.16</v>
      </c>
      <c r="I29" s="689">
        <f>10318</f>
        <v>10318</v>
      </c>
      <c r="J29" s="333">
        <f t="shared" ref="J29" si="3">+F29-I29</f>
        <v>25599.17</v>
      </c>
      <c r="K29" s="322"/>
      <c r="L29" s="272"/>
      <c r="M29" s="309"/>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17" customFormat="1" ht="16.5" thickBot="1" x14ac:dyDescent="0.3">
      <c r="A30" s="283" t="s">
        <v>39</v>
      </c>
      <c r="B30" s="284"/>
      <c r="C30" s="285"/>
      <c r="D30" s="286"/>
      <c r="E30" s="286"/>
      <c r="F30" s="311"/>
      <c r="G30" s="311">
        <f>SUM(G8:G29)</f>
        <v>307409.56</v>
      </c>
      <c r="H30" s="311">
        <f>SUM(H7:H29)</f>
        <v>240284.86</v>
      </c>
      <c r="I30" s="311">
        <f>SUM(I8:I29)</f>
        <v>508727.65</v>
      </c>
      <c r="J30" s="311">
        <f>SUM(J8:J29)</f>
        <v>571470.98</v>
      </c>
      <c r="K30" s="311">
        <f>SUM(K8:K29)</f>
        <v>41452.449999999997</v>
      </c>
      <c r="L30" s="47"/>
      <c r="M30" s="37"/>
      <c r="N30" s="37"/>
      <c r="O30" s="37"/>
      <c r="P30" s="37"/>
      <c r="Q30" s="37"/>
      <c r="R30" s="37"/>
      <c r="S30" s="37"/>
      <c r="T30" s="37"/>
      <c r="U30" s="37"/>
      <c r="V30" s="37"/>
      <c r="W30" s="37"/>
      <c r="X30" s="37"/>
      <c r="Y30" s="37"/>
      <c r="Z30" s="37"/>
      <c r="AA30" s="37"/>
      <c r="AB30" s="38"/>
      <c r="AC30" s="38"/>
      <c r="AD30" s="38"/>
      <c r="AE30" s="38"/>
      <c r="AF30" s="38"/>
      <c r="AG30" s="38"/>
      <c r="AH30" s="38"/>
      <c r="AI30" s="38"/>
      <c r="AJ30" s="38"/>
      <c r="AK30" s="38"/>
      <c r="AL30" s="38"/>
      <c r="AM30" s="39"/>
      <c r="AN30" s="39"/>
      <c r="AO30" s="39"/>
      <c r="AP30" s="39"/>
      <c r="AQ30" s="39"/>
      <c r="AR30" s="39"/>
      <c r="AS30" s="39"/>
      <c r="AT30" s="39"/>
      <c r="AU30" s="39"/>
      <c r="AV30" s="39"/>
    </row>
    <row r="31" spans="1:48" s="18" customFormat="1" x14ac:dyDescent="0.2">
      <c r="A31" s="55"/>
      <c r="B31" s="55"/>
      <c r="C31" s="19"/>
      <c r="D31" s="55"/>
      <c r="E31" s="310"/>
      <c r="F31" s="29"/>
      <c r="G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18" customFormat="1" ht="10.5" customHeight="1" thickBot="1" x14ac:dyDescent="0.25">
      <c r="A32" s="1"/>
      <c r="B32" s="44"/>
      <c r="C32" s="6"/>
      <c r="D32" s="6"/>
      <c r="E32" s="6"/>
      <c r="F32" s="29"/>
      <c r="G32" s="29"/>
      <c r="H32" s="29"/>
      <c r="I32" s="29"/>
      <c r="J32" s="29"/>
      <c r="K32" s="29"/>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2" customFormat="1" ht="16.5" thickBot="1" x14ac:dyDescent="0.3">
      <c r="A33" s="326" t="s">
        <v>41</v>
      </c>
      <c r="B33" s="158"/>
      <c r="C33" s="159"/>
      <c r="D33" s="159"/>
      <c r="E33" s="159"/>
      <c r="F33" s="160"/>
      <c r="G33" s="160"/>
      <c r="H33" s="160"/>
      <c r="I33" s="160"/>
      <c r="J33" s="160"/>
      <c r="K33" s="161"/>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20" customFormat="1" ht="45.75" thickBot="1" x14ac:dyDescent="0.25">
      <c r="A34" s="348" t="s">
        <v>24</v>
      </c>
      <c r="B34" s="730" t="s">
        <v>14</v>
      </c>
      <c r="C34" s="731"/>
      <c r="D34" s="348" t="s">
        <v>2</v>
      </c>
      <c r="E34" s="348" t="s">
        <v>3</v>
      </c>
      <c r="F34" s="353" t="s">
        <v>25</v>
      </c>
      <c r="G34" s="353" t="s">
        <v>337</v>
      </c>
      <c r="H34" s="353" t="s">
        <v>182</v>
      </c>
      <c r="I34" s="353" t="s">
        <v>21</v>
      </c>
      <c r="J34" s="353" t="s">
        <v>10</v>
      </c>
      <c r="K34" s="353" t="s">
        <v>4</v>
      </c>
      <c r="L34" s="35"/>
      <c r="M34" s="35"/>
      <c r="N34" s="35"/>
      <c r="O34" s="35"/>
      <c r="P34" s="35"/>
      <c r="Q34" s="35"/>
      <c r="R34" s="35"/>
      <c r="S34" s="35"/>
      <c r="T34" s="35"/>
      <c r="U34" s="6"/>
      <c r="V34" s="35"/>
      <c r="W34" s="35"/>
      <c r="X34" s="35"/>
      <c r="Y34" s="35"/>
      <c r="Z34" s="35"/>
      <c r="AA34" s="35"/>
      <c r="AB34" s="36"/>
      <c r="AC34" s="36"/>
      <c r="AD34" s="36"/>
      <c r="AE34" s="36"/>
      <c r="AF34" s="36"/>
      <c r="AG34" s="36"/>
      <c r="AH34" s="36"/>
      <c r="AI34" s="36"/>
      <c r="AJ34" s="36"/>
      <c r="AK34" s="36"/>
      <c r="AL34" s="36"/>
      <c r="AM34" s="6"/>
      <c r="AN34" s="6"/>
      <c r="AO34" s="6"/>
      <c r="AP34" s="6"/>
      <c r="AQ34" s="6"/>
      <c r="AR34" s="6"/>
      <c r="AS34" s="6"/>
      <c r="AT34" s="6"/>
      <c r="AU34" s="6"/>
      <c r="AV34" s="6"/>
    </row>
    <row r="35" spans="1:48" hidden="1" x14ac:dyDescent="0.2">
      <c r="A35" s="313" t="s">
        <v>17</v>
      </c>
      <c r="B35" s="722" t="s">
        <v>13</v>
      </c>
      <c r="C35" s="723"/>
      <c r="D35" s="346">
        <v>41275</v>
      </c>
      <c r="E35" s="317">
        <v>41639</v>
      </c>
      <c r="F35" s="321"/>
      <c r="G35" s="321">
        <v>0</v>
      </c>
      <c r="H35" s="321"/>
      <c r="I35" s="321">
        <f>F35-H35</f>
        <v>0</v>
      </c>
      <c r="J35" s="321">
        <v>0</v>
      </c>
      <c r="K35" s="321">
        <f t="shared" ref="K35:K41" si="4">I35</f>
        <v>0</v>
      </c>
      <c r="L35" s="29"/>
      <c r="M35" s="29"/>
      <c r="N35" s="29"/>
    </row>
    <row r="36" spans="1:48" x14ac:dyDescent="0.2">
      <c r="A36" s="313" t="s">
        <v>330</v>
      </c>
      <c r="B36" s="722" t="s">
        <v>13</v>
      </c>
      <c r="C36" s="723"/>
      <c r="D36" s="346">
        <v>42736</v>
      </c>
      <c r="E36" s="317">
        <v>43100</v>
      </c>
      <c r="F36" s="321">
        <v>25000</v>
      </c>
      <c r="G36" s="321">
        <v>0</v>
      </c>
      <c r="H36" s="321">
        <v>25000</v>
      </c>
      <c r="I36" s="321">
        <f>25000-H36</f>
        <v>0</v>
      </c>
      <c r="J36" s="321"/>
      <c r="K36" s="426">
        <f t="shared" ref="K36" si="5">I36</f>
        <v>0</v>
      </c>
      <c r="L36" s="29"/>
      <c r="M36" s="29"/>
      <c r="N36" s="29"/>
    </row>
    <row r="37" spans="1:48" x14ac:dyDescent="0.2">
      <c r="A37" s="313" t="s">
        <v>437</v>
      </c>
      <c r="B37" s="722" t="s">
        <v>13</v>
      </c>
      <c r="C37" s="723"/>
      <c r="D37" s="346">
        <v>43101</v>
      </c>
      <c r="E37" s="317">
        <v>43465</v>
      </c>
      <c r="F37" s="691">
        <v>25000</v>
      </c>
      <c r="G37" s="321">
        <v>0</v>
      </c>
      <c r="H37" s="321"/>
      <c r="I37" s="321"/>
      <c r="J37" s="321"/>
      <c r="K37" s="426">
        <v>25000</v>
      </c>
      <c r="L37" s="29"/>
      <c r="M37" s="29"/>
      <c r="N37" s="29"/>
    </row>
    <row r="38" spans="1:48" x14ac:dyDescent="0.2">
      <c r="A38" s="313" t="s">
        <v>204</v>
      </c>
      <c r="B38" s="722" t="s">
        <v>13</v>
      </c>
      <c r="C38" s="723"/>
      <c r="D38" s="346">
        <v>42248</v>
      </c>
      <c r="E38" s="317">
        <v>43465</v>
      </c>
      <c r="F38" s="321">
        <v>14250</v>
      </c>
      <c r="G38" s="321">
        <f>12113.27-7125</f>
        <v>4988.2700000000004</v>
      </c>
      <c r="H38" s="321">
        <v>3060.34</v>
      </c>
      <c r="I38" s="321">
        <f>G38-H38</f>
        <v>1927.9300000000003</v>
      </c>
      <c r="J38" s="321">
        <v>0</v>
      </c>
      <c r="K38" s="321">
        <f t="shared" si="4"/>
        <v>1927.9300000000003</v>
      </c>
      <c r="L38" s="29"/>
      <c r="M38" s="29"/>
      <c r="N38" s="29"/>
    </row>
    <row r="39" spans="1:48" x14ac:dyDescent="0.2">
      <c r="A39" s="313" t="s">
        <v>232</v>
      </c>
      <c r="B39" s="722" t="s">
        <v>13</v>
      </c>
      <c r="C39" s="723"/>
      <c r="D39" s="346">
        <v>42370</v>
      </c>
      <c r="E39" s="317">
        <v>43465</v>
      </c>
      <c r="F39" s="321">
        <v>7125</v>
      </c>
      <c r="G39" s="321">
        <v>7125</v>
      </c>
      <c r="H39" s="321"/>
      <c r="I39" s="321">
        <v>7125</v>
      </c>
      <c r="J39" s="321"/>
      <c r="K39" s="321">
        <f t="shared" si="4"/>
        <v>7125</v>
      </c>
      <c r="L39" s="29"/>
      <c r="M39" s="29"/>
      <c r="N39" s="29"/>
    </row>
    <row r="40" spans="1:48" s="4" customFormat="1" hidden="1" x14ac:dyDescent="0.2">
      <c r="A40" s="313" t="s">
        <v>197</v>
      </c>
      <c r="B40" s="720" t="s">
        <v>19</v>
      </c>
      <c r="C40" s="721"/>
      <c r="D40" s="346"/>
      <c r="E40" s="317"/>
      <c r="F40" s="321"/>
      <c r="G40" s="321"/>
      <c r="H40" s="321"/>
      <c r="I40" s="321"/>
      <c r="J40" s="321"/>
      <c r="K40" s="321"/>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4" customFormat="1" x14ac:dyDescent="0.2">
      <c r="A41" s="313" t="s">
        <v>198</v>
      </c>
      <c r="B41" s="720" t="s">
        <v>19</v>
      </c>
      <c r="C41" s="721"/>
      <c r="D41" s="346">
        <v>42736</v>
      </c>
      <c r="E41" s="317">
        <v>43465</v>
      </c>
      <c r="F41" s="321">
        <v>40000</v>
      </c>
      <c r="G41" s="321">
        <v>0</v>
      </c>
      <c r="H41" s="321">
        <v>17729.79</v>
      </c>
      <c r="I41" s="321">
        <f>22000-H41</f>
        <v>4270.2099999999991</v>
      </c>
      <c r="J41" s="321"/>
      <c r="K41" s="321">
        <f t="shared" si="4"/>
        <v>4270.2099999999991</v>
      </c>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2" customFormat="1" ht="15" thickBot="1" x14ac:dyDescent="0.25">
      <c r="A42" s="313" t="s">
        <v>20</v>
      </c>
      <c r="B42" s="717" t="s">
        <v>45</v>
      </c>
      <c r="C42" s="719"/>
      <c r="D42" s="346">
        <v>40226</v>
      </c>
      <c r="E42" s="318" t="s">
        <v>27</v>
      </c>
      <c r="F42" s="321">
        <f>8007.78+5000+50</f>
        <v>13057.779999999999</v>
      </c>
      <c r="G42" s="321">
        <v>5854.58</v>
      </c>
      <c r="H42" s="321">
        <v>470</v>
      </c>
      <c r="I42" s="321">
        <f>+G42-H42</f>
        <v>5384.58</v>
      </c>
      <c r="J42" s="321">
        <f>I42</f>
        <v>5384.58</v>
      </c>
      <c r="K42" s="321">
        <v>0</v>
      </c>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 customFormat="1" ht="15.75" thickBot="1" x14ac:dyDescent="0.3">
      <c r="A43" s="314"/>
      <c r="B43" s="733"/>
      <c r="C43" s="734"/>
      <c r="D43" s="347"/>
      <c r="E43" s="319"/>
      <c r="F43" s="322"/>
      <c r="G43" s="322"/>
      <c r="H43" s="322">
        <v>0</v>
      </c>
      <c r="I43" s="322"/>
      <c r="J43" s="322"/>
      <c r="K43" s="322">
        <v>0</v>
      </c>
      <c r="L43" s="278" t="s">
        <v>107</v>
      </c>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276" customFormat="1" ht="15.75" thickBot="1" x14ac:dyDescent="0.3">
      <c r="A44" s="312" t="s">
        <v>30</v>
      </c>
      <c r="B44" s="315"/>
      <c r="C44" s="315"/>
      <c r="D44" s="316"/>
      <c r="E44" s="316"/>
      <c r="F44" s="320">
        <f t="shared" ref="F44:K44" si="6">SUM(F35:F43)</f>
        <v>124432.78</v>
      </c>
      <c r="G44" s="323">
        <f t="shared" si="6"/>
        <v>17967.849999999999</v>
      </c>
      <c r="H44" s="320">
        <f t="shared" si="6"/>
        <v>46260.130000000005</v>
      </c>
      <c r="I44" s="320">
        <f t="shared" si="6"/>
        <v>18707.72</v>
      </c>
      <c r="J44" s="324">
        <f t="shared" si="6"/>
        <v>5384.58</v>
      </c>
      <c r="K44" s="325">
        <f t="shared" si="6"/>
        <v>38323.14</v>
      </c>
      <c r="L44" s="494">
        <f>K30+K44</f>
        <v>79775.59</v>
      </c>
      <c r="M44" s="274"/>
      <c r="N44" s="274"/>
      <c r="O44" s="274"/>
      <c r="P44" s="274"/>
      <c r="Q44" s="274"/>
      <c r="R44" s="274"/>
      <c r="S44" s="274"/>
      <c r="T44" s="274"/>
      <c r="U44" s="275"/>
      <c r="V44" s="274"/>
      <c r="W44" s="274"/>
      <c r="X44" s="274"/>
      <c r="Y44" s="274"/>
      <c r="Z44" s="274"/>
      <c r="AA44" s="274"/>
      <c r="AB44" s="274"/>
      <c r="AC44" s="274"/>
      <c r="AD44" s="274"/>
      <c r="AE44" s="274"/>
      <c r="AF44" s="274"/>
      <c r="AG44" s="274"/>
      <c r="AH44" s="274"/>
      <c r="AI44" s="274"/>
      <c r="AJ44" s="274"/>
      <c r="AK44" s="274"/>
      <c r="AL44" s="274"/>
      <c r="AM44" s="275"/>
      <c r="AN44" s="275"/>
      <c r="AO44" s="275"/>
      <c r="AP44" s="275"/>
      <c r="AQ44" s="275"/>
      <c r="AR44" s="275"/>
      <c r="AS44" s="275"/>
      <c r="AT44" s="275"/>
      <c r="AU44" s="275"/>
      <c r="AV44" s="275"/>
    </row>
    <row r="45" spans="1:48" s="18" customFormat="1" ht="15" thickBot="1" x14ac:dyDescent="0.25">
      <c r="B45" s="1"/>
      <c r="C45" s="6"/>
      <c r="D45" s="6"/>
      <c r="E45" s="6"/>
      <c r="F45" s="29"/>
      <c r="G45" s="29"/>
      <c r="H45" s="29"/>
      <c r="I45" s="29"/>
      <c r="J45" s="29"/>
      <c r="K45" s="29"/>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1" customFormat="1" ht="18.75" thickBot="1" x14ac:dyDescent="0.3">
      <c r="A46" s="326" t="s">
        <v>150</v>
      </c>
      <c r="B46" s="327"/>
      <c r="C46" s="328"/>
      <c r="D46" s="328"/>
      <c r="E46" s="328"/>
      <c r="F46" s="331"/>
      <c r="G46" s="331"/>
      <c r="H46" s="331"/>
      <c r="I46" s="331"/>
      <c r="J46" s="331"/>
      <c r="K46" s="334"/>
      <c r="L46" s="331"/>
      <c r="M46" s="335"/>
      <c r="N46" s="40"/>
      <c r="O46" s="40"/>
      <c r="P46" s="40"/>
      <c r="Q46" s="40"/>
      <c r="R46" s="40"/>
      <c r="S46" s="40"/>
      <c r="T46" s="40"/>
      <c r="U46" s="41"/>
      <c r="V46" s="40"/>
      <c r="W46" s="40"/>
      <c r="X46" s="40"/>
      <c r="Y46" s="40"/>
      <c r="Z46" s="40"/>
      <c r="AA46" s="40"/>
      <c r="AB46" s="42"/>
      <c r="AC46" s="42"/>
      <c r="AD46" s="42"/>
      <c r="AE46" s="42"/>
      <c r="AF46" s="42"/>
      <c r="AG46" s="42"/>
      <c r="AH46" s="42"/>
      <c r="AI46" s="42"/>
      <c r="AJ46" s="42"/>
      <c r="AK46" s="42"/>
      <c r="AL46" s="42"/>
      <c r="AM46" s="41"/>
      <c r="AN46" s="41"/>
      <c r="AO46" s="41"/>
      <c r="AP46" s="41"/>
      <c r="AQ46" s="41"/>
      <c r="AR46" s="41"/>
      <c r="AS46" s="41"/>
      <c r="AT46" s="41"/>
      <c r="AU46" s="41"/>
      <c r="AV46" s="41"/>
    </row>
    <row r="47" spans="1:48" s="23" customFormat="1" ht="33" customHeight="1" thickBot="1" x14ac:dyDescent="0.25">
      <c r="A47" s="348" t="s">
        <v>33</v>
      </c>
      <c r="B47" s="730" t="s">
        <v>26</v>
      </c>
      <c r="C47" s="732"/>
      <c r="D47" s="732"/>
      <c r="E47" s="731"/>
      <c r="F47" s="352" t="s">
        <v>42</v>
      </c>
      <c r="G47" s="282" t="s">
        <v>337</v>
      </c>
      <c r="H47" s="282" t="s">
        <v>181</v>
      </c>
      <c r="I47" s="282" t="s">
        <v>226</v>
      </c>
      <c r="J47" s="282" t="s">
        <v>46</v>
      </c>
      <c r="K47" s="282" t="s">
        <v>12</v>
      </c>
      <c r="L47" s="282" t="s">
        <v>9</v>
      </c>
      <c r="M47" s="282" t="s">
        <v>4</v>
      </c>
      <c r="N47" s="35"/>
      <c r="O47" s="35"/>
      <c r="P47" s="35"/>
      <c r="Q47" s="35"/>
      <c r="R47" s="35"/>
      <c r="S47" s="35"/>
      <c r="T47" s="35"/>
      <c r="U47" s="6"/>
      <c r="V47" s="35"/>
      <c r="W47" s="35"/>
      <c r="X47" s="35"/>
      <c r="Y47" s="35"/>
      <c r="Z47" s="35"/>
      <c r="AA47" s="35"/>
      <c r="AB47" s="36"/>
      <c r="AC47" s="36"/>
      <c r="AD47" s="36"/>
      <c r="AE47" s="36"/>
      <c r="AF47" s="36"/>
      <c r="AG47" s="36"/>
      <c r="AH47" s="36"/>
      <c r="AI47" s="36"/>
      <c r="AJ47" s="36"/>
      <c r="AK47" s="36"/>
      <c r="AL47" s="36"/>
      <c r="AM47" s="6"/>
      <c r="AN47" s="6"/>
      <c r="AO47" s="6"/>
      <c r="AP47" s="6"/>
      <c r="AQ47" s="6"/>
      <c r="AR47" s="6"/>
      <c r="AS47" s="6"/>
      <c r="AT47" s="6"/>
      <c r="AU47" s="6"/>
      <c r="AV47" s="6"/>
    </row>
    <row r="48" spans="1:48" s="18" customFormat="1" hidden="1" x14ac:dyDescent="0.2">
      <c r="A48" s="313" t="s">
        <v>34</v>
      </c>
      <c r="B48" s="717" t="s">
        <v>37</v>
      </c>
      <c r="C48" s="718"/>
      <c r="D48" s="718"/>
      <c r="E48" s="719"/>
      <c r="F48" s="321"/>
      <c r="G48" s="321"/>
      <c r="H48" s="321">
        <v>0</v>
      </c>
      <c r="I48" s="321"/>
      <c r="J48" s="321"/>
      <c r="K48" s="321"/>
      <c r="L48" s="321"/>
      <c r="M48" s="321">
        <v>0</v>
      </c>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hidden="1" x14ac:dyDescent="0.2">
      <c r="A49" s="313" t="s">
        <v>35</v>
      </c>
      <c r="B49" s="717" t="s">
        <v>38</v>
      </c>
      <c r="C49" s="718"/>
      <c r="D49" s="718"/>
      <c r="E49" s="719"/>
      <c r="F49" s="321"/>
      <c r="G49" s="321"/>
      <c r="H49" s="321"/>
      <c r="I49" s="332"/>
      <c r="J49" s="321"/>
      <c r="K49" s="321"/>
      <c r="L49" s="321"/>
      <c r="M49" s="321">
        <v>0</v>
      </c>
      <c r="N49" s="29"/>
    </row>
    <row r="50" spans="1:48" ht="15" hidden="1" customHeight="1" x14ac:dyDescent="0.2">
      <c r="A50" s="313"/>
      <c r="B50" s="717"/>
      <c r="C50" s="718"/>
      <c r="D50" s="718"/>
      <c r="E50" s="719"/>
      <c r="F50" s="321"/>
      <c r="G50" s="321"/>
      <c r="H50" s="321"/>
      <c r="I50" s="586"/>
      <c r="J50" s="321"/>
      <c r="K50" s="426"/>
      <c r="L50" s="321"/>
      <c r="M50" s="321"/>
      <c r="N50" s="29"/>
    </row>
    <row r="51" spans="1:48" s="18" customFormat="1" hidden="1" x14ac:dyDescent="0.2">
      <c r="A51" s="313"/>
      <c r="B51" s="717"/>
      <c r="C51" s="718"/>
      <c r="D51" s="718"/>
      <c r="E51" s="719"/>
      <c r="F51" s="321"/>
      <c r="G51" s="321"/>
      <c r="H51" s="321"/>
      <c r="I51" s="321"/>
      <c r="J51" s="321"/>
      <c r="K51" s="426"/>
      <c r="L51" s="321"/>
      <c r="M51" s="321"/>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x14ac:dyDescent="0.2">
      <c r="A52" s="313" t="s">
        <v>331</v>
      </c>
      <c r="B52" s="717" t="s">
        <v>334</v>
      </c>
      <c r="C52" s="718"/>
      <c r="D52" s="718"/>
      <c r="E52" s="719"/>
      <c r="F52" s="321">
        <v>49000</v>
      </c>
      <c r="G52" s="321">
        <v>0</v>
      </c>
      <c r="H52" s="321">
        <f>24500*2</f>
        <v>49000</v>
      </c>
      <c r="I52" s="400">
        <f>'December''17 AR Aging '!G60</f>
        <v>0</v>
      </c>
      <c r="J52" s="339">
        <v>49000</v>
      </c>
      <c r="K52" s="426">
        <f>H52-J52</f>
        <v>0</v>
      </c>
      <c r="L52" s="321">
        <f>K52</f>
        <v>0</v>
      </c>
      <c r="M52" s="321"/>
      <c r="N52" s="29"/>
    </row>
    <row r="53" spans="1:48" x14ac:dyDescent="0.2">
      <c r="A53" s="313" t="s">
        <v>438</v>
      </c>
      <c r="B53" s="643" t="s">
        <v>439</v>
      </c>
      <c r="C53" s="644"/>
      <c r="D53" s="644"/>
      <c r="E53" s="645"/>
      <c r="F53" s="321">
        <v>50000</v>
      </c>
      <c r="G53" s="321"/>
      <c r="H53" s="321"/>
      <c r="I53" s="400"/>
      <c r="J53" s="339"/>
      <c r="K53" s="426"/>
      <c r="L53" s="321"/>
      <c r="M53" s="321"/>
      <c r="N53" s="29"/>
    </row>
    <row r="54" spans="1:48" s="18" customFormat="1" x14ac:dyDescent="0.2">
      <c r="A54" s="313" t="s">
        <v>332</v>
      </c>
      <c r="B54" s="717" t="s">
        <v>333</v>
      </c>
      <c r="C54" s="718"/>
      <c r="D54" s="718"/>
      <c r="E54" s="719"/>
      <c r="F54" s="321">
        <f>6500+3500+2000+3500+3500</f>
        <v>19000</v>
      </c>
      <c r="G54" s="321"/>
      <c r="H54" s="321">
        <v>19000</v>
      </c>
      <c r="I54" s="321"/>
      <c r="J54" s="339">
        <v>19000</v>
      </c>
      <c r="K54" s="426">
        <f>H54-J54</f>
        <v>0</v>
      </c>
      <c r="L54" s="321">
        <f>K54</f>
        <v>0</v>
      </c>
      <c r="M54" s="321"/>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18" customFormat="1" x14ac:dyDescent="0.2">
      <c r="A55" s="313" t="s">
        <v>440</v>
      </c>
      <c r="B55" s="717" t="s">
        <v>441</v>
      </c>
      <c r="C55" s="718"/>
      <c r="D55" s="718"/>
      <c r="E55" s="719"/>
      <c r="F55" s="321">
        <f>6500+3500+2000+3500+3500</f>
        <v>19000</v>
      </c>
      <c r="G55" s="321"/>
      <c r="H55" s="321"/>
      <c r="I55" s="321"/>
      <c r="J55" s="339"/>
      <c r="K55" s="426">
        <f>H55-J55</f>
        <v>0</v>
      </c>
      <c r="L55" s="321">
        <f>K55</f>
        <v>0</v>
      </c>
      <c r="M55" s="321"/>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x14ac:dyDescent="0.2">
      <c r="A56" s="313" t="s">
        <v>22</v>
      </c>
      <c r="B56" s="717" t="s">
        <v>152</v>
      </c>
      <c r="C56" s="718"/>
      <c r="D56" s="718"/>
      <c r="E56" s="719"/>
      <c r="F56" s="321"/>
      <c r="G56" s="321">
        <v>0</v>
      </c>
      <c r="H56" s="321">
        <v>13675.25</v>
      </c>
      <c r="I56" s="321"/>
      <c r="J56" s="339">
        <f>H56</f>
        <v>13675.25</v>
      </c>
      <c r="K56" s="426"/>
      <c r="L56" s="321">
        <v>0</v>
      </c>
      <c r="M56" s="321">
        <v>0</v>
      </c>
      <c r="N56" s="29"/>
    </row>
    <row r="57" spans="1:48" x14ac:dyDescent="0.2">
      <c r="A57" s="313" t="s">
        <v>22</v>
      </c>
      <c r="B57" s="717" t="s">
        <v>6</v>
      </c>
      <c r="C57" s="718"/>
      <c r="D57" s="718"/>
      <c r="E57" s="719"/>
      <c r="F57" s="321"/>
      <c r="G57" s="321">
        <v>1100.82</v>
      </c>
      <c r="H57" s="321"/>
      <c r="I57" s="321"/>
      <c r="J57" s="339">
        <v>0</v>
      </c>
      <c r="K57" s="426">
        <v>1100.82</v>
      </c>
      <c r="L57" s="321">
        <f>K57</f>
        <v>1100.82</v>
      </c>
      <c r="M57" s="321">
        <v>0</v>
      </c>
      <c r="N57" s="29"/>
    </row>
    <row r="58" spans="1:48" x14ac:dyDescent="0.2">
      <c r="A58" s="313" t="s">
        <v>22</v>
      </c>
      <c r="B58" s="717" t="s">
        <v>7</v>
      </c>
      <c r="C58" s="718"/>
      <c r="D58" s="718"/>
      <c r="E58" s="719"/>
      <c r="F58" s="321"/>
      <c r="G58" s="321">
        <v>17437.849999999999</v>
      </c>
      <c r="H58" s="321">
        <v>16713.900000000001</v>
      </c>
      <c r="I58" s="321"/>
      <c r="J58" s="339">
        <v>11341.67</v>
      </c>
      <c r="K58" s="426">
        <f>G58+H58-J58</f>
        <v>22810.080000000002</v>
      </c>
      <c r="L58" s="321">
        <f>K58</f>
        <v>22810.080000000002</v>
      </c>
      <c r="M58" s="321">
        <v>0</v>
      </c>
      <c r="N58" s="29"/>
    </row>
    <row r="59" spans="1:48" x14ac:dyDescent="0.2">
      <c r="A59" s="313" t="s">
        <v>22</v>
      </c>
      <c r="B59" s="717" t="s">
        <v>8</v>
      </c>
      <c r="C59" s="718"/>
      <c r="D59" s="718"/>
      <c r="E59" s="719"/>
      <c r="F59" s="321"/>
      <c r="G59" s="321">
        <v>8260.73</v>
      </c>
      <c r="H59" s="321">
        <v>6794.36</v>
      </c>
      <c r="I59" s="321"/>
      <c r="J59" s="339">
        <v>5511.8</v>
      </c>
      <c r="K59" s="426">
        <f>G59+H59-J59</f>
        <v>9543.2900000000009</v>
      </c>
      <c r="L59" s="321">
        <f>K59</f>
        <v>9543.2900000000009</v>
      </c>
      <c r="M59" s="321">
        <v>0</v>
      </c>
      <c r="N59" s="29"/>
    </row>
    <row r="60" spans="1:48" s="25" customFormat="1" ht="15" thickBot="1" x14ac:dyDescent="0.25">
      <c r="A60" s="313"/>
      <c r="B60" s="717"/>
      <c r="C60" s="718"/>
      <c r="D60" s="718"/>
      <c r="E60" s="719"/>
      <c r="F60" s="321"/>
      <c r="G60" s="321"/>
      <c r="H60" s="321"/>
      <c r="I60" s="321"/>
      <c r="J60" s="321"/>
      <c r="K60" s="321"/>
      <c r="L60" s="321">
        <f>K60</f>
        <v>0</v>
      </c>
      <c r="M60" s="321">
        <v>0</v>
      </c>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25" customFormat="1" ht="15" hidden="1" thickBot="1" x14ac:dyDescent="0.25">
      <c r="A61" s="313" t="s">
        <v>22</v>
      </c>
      <c r="B61" s="329" t="s">
        <v>84</v>
      </c>
      <c r="C61" s="304"/>
      <c r="D61" s="304"/>
      <c r="E61" s="330"/>
      <c r="F61" s="321"/>
      <c r="G61" s="321"/>
      <c r="H61" s="321"/>
      <c r="I61" s="321"/>
      <c r="J61" s="321"/>
      <c r="K61" s="321"/>
      <c r="L61" s="321"/>
      <c r="M61" s="321"/>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18" customFormat="1" ht="15" hidden="1" customHeight="1" thickBot="1" x14ac:dyDescent="0.25">
      <c r="A62" s="314"/>
      <c r="B62" s="717"/>
      <c r="C62" s="718"/>
      <c r="D62" s="718"/>
      <c r="E62" s="719"/>
      <c r="F62" s="322"/>
      <c r="G62" s="322">
        <v>0</v>
      </c>
      <c r="H62" s="322"/>
      <c r="I62" s="333"/>
      <c r="J62" s="322"/>
      <c r="K62" s="322"/>
      <c r="L62" s="322"/>
      <c r="M62" s="322">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76" customFormat="1" ht="15.75" thickBot="1" x14ac:dyDescent="0.3">
      <c r="A63" s="349" t="s">
        <v>40</v>
      </c>
      <c r="B63" s="350"/>
      <c r="C63" s="350"/>
      <c r="D63" s="350"/>
      <c r="E63" s="351"/>
      <c r="F63" s="419">
        <f t="shared" ref="F63:M63" si="7">SUM(F48:F62)</f>
        <v>137000</v>
      </c>
      <c r="G63" s="420">
        <f t="shared" si="7"/>
        <v>26799.399999999998</v>
      </c>
      <c r="H63" s="420">
        <f t="shared" si="7"/>
        <v>105183.51</v>
      </c>
      <c r="I63" s="420">
        <f t="shared" si="7"/>
        <v>0</v>
      </c>
      <c r="J63" s="420">
        <f t="shared" si="7"/>
        <v>98528.72</v>
      </c>
      <c r="K63" s="421">
        <f t="shared" si="7"/>
        <v>33454.19</v>
      </c>
      <c r="L63" s="422">
        <f>SUM(L48:L62)</f>
        <v>33454.19</v>
      </c>
      <c r="M63" s="421">
        <f t="shared" si="7"/>
        <v>0</v>
      </c>
      <c r="N63" s="274"/>
      <c r="O63" s="274"/>
      <c r="P63" s="274"/>
      <c r="Q63" s="274"/>
      <c r="R63" s="274"/>
      <c r="S63" s="274"/>
      <c r="T63" s="274"/>
      <c r="U63" s="275"/>
      <c r="V63" s="274"/>
      <c r="W63" s="274"/>
      <c r="X63" s="274"/>
      <c r="Y63" s="274"/>
      <c r="Z63" s="274"/>
      <c r="AA63" s="274"/>
      <c r="AB63" s="274"/>
      <c r="AC63" s="274"/>
      <c r="AD63" s="274"/>
      <c r="AE63" s="274"/>
      <c r="AF63" s="274"/>
      <c r="AG63" s="274"/>
      <c r="AH63" s="274"/>
      <c r="AI63" s="274"/>
      <c r="AJ63" s="274"/>
      <c r="AK63" s="274"/>
      <c r="AL63" s="274"/>
      <c r="AM63" s="275"/>
      <c r="AN63" s="275"/>
      <c r="AO63" s="275"/>
      <c r="AP63" s="275"/>
      <c r="AQ63" s="275"/>
      <c r="AR63" s="275"/>
      <c r="AS63" s="275"/>
      <c r="AT63" s="275"/>
      <c r="AU63" s="275"/>
      <c r="AV63" s="275"/>
    </row>
    <row r="64" spans="1:48" ht="15.75" thickBot="1" x14ac:dyDescent="0.3">
      <c r="H64" s="28"/>
      <c r="L64" s="277" t="s">
        <v>108</v>
      </c>
      <c r="N64" s="29"/>
    </row>
    <row r="65" spans="1:48" s="48" customFormat="1" ht="16.5" thickBot="1" x14ac:dyDescent="0.3">
      <c r="A65" s="52"/>
      <c r="B65" s="53"/>
      <c r="C65" s="53"/>
      <c r="D65" s="53"/>
      <c r="E65" s="53"/>
      <c r="F65" s="53"/>
      <c r="G65" s="53"/>
      <c r="H65" s="53"/>
      <c r="I65" s="53"/>
      <c r="J65" s="53"/>
      <c r="K65" s="53"/>
      <c r="L65" s="560">
        <f>L63+J44</f>
        <v>38838.770000000004</v>
      </c>
      <c r="M65" s="49"/>
      <c r="N65" s="29"/>
      <c r="O65" s="29"/>
      <c r="P65" s="29"/>
      <c r="Q65" s="29"/>
      <c r="R65" s="29"/>
      <c r="S65" s="29"/>
      <c r="T65" s="29"/>
      <c r="U65" s="29"/>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51" customFormat="1" ht="31.5" hidden="1" x14ac:dyDescent="0.25">
      <c r="A66" s="54"/>
      <c r="B66" s="50"/>
      <c r="C66" s="50"/>
      <c r="D66" s="50"/>
      <c r="E66" s="50"/>
      <c r="F66" s="50"/>
      <c r="G66" s="151" t="s">
        <v>192</v>
      </c>
      <c r="H66" s="152" t="s">
        <v>181</v>
      </c>
      <c r="I66" s="152" t="s">
        <v>106</v>
      </c>
      <c r="J66" s="152" t="s">
        <v>60</v>
      </c>
      <c r="K66" s="153" t="s">
        <v>48</v>
      </c>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row>
    <row r="67" spans="1:48" s="43" customFormat="1" ht="20.25" hidden="1" customHeight="1" x14ac:dyDescent="0.2">
      <c r="A67" s="369" t="s">
        <v>79</v>
      </c>
      <c r="B67" s="726" t="s">
        <v>47</v>
      </c>
      <c r="C67" s="726"/>
      <c r="D67" s="726"/>
      <c r="E67" s="726"/>
      <c r="F67" s="370"/>
      <c r="G67" s="370">
        <f>104647.76-J51-1250-1250</f>
        <v>102147.76</v>
      </c>
      <c r="H67" s="370">
        <f>90450.47-J67-H70</f>
        <v>73898.55</v>
      </c>
      <c r="I67" s="370">
        <f>H56</f>
        <v>13675.25</v>
      </c>
      <c r="J67" s="370">
        <f>'December''17 AR Aging '!G41</f>
        <v>16551.919999999998</v>
      </c>
      <c r="K67" s="371">
        <f>+I67+J67+H67-G67</f>
        <v>1977.9600000000064</v>
      </c>
      <c r="L67" s="46"/>
      <c r="M67" s="46"/>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25" customFormat="1" hidden="1" x14ac:dyDescent="0.2">
      <c r="A68" s="372" t="s">
        <v>36</v>
      </c>
      <c r="B68" s="725" t="s">
        <v>31</v>
      </c>
      <c r="C68" s="725"/>
      <c r="D68" s="725"/>
      <c r="E68" s="725"/>
      <c r="F68" s="367"/>
      <c r="G68" s="367"/>
      <c r="H68" s="367">
        <v>0</v>
      </c>
      <c r="I68" s="368"/>
      <c r="J68" s="367">
        <v>0</v>
      </c>
      <c r="K68" s="373"/>
      <c r="L68" s="340"/>
      <c r="M68" s="340">
        <v>0</v>
      </c>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18" customFormat="1" hidden="1" x14ac:dyDescent="0.2">
      <c r="A69" s="372" t="s">
        <v>22</v>
      </c>
      <c r="B69" s="727" t="s">
        <v>161</v>
      </c>
      <c r="C69" s="728"/>
      <c r="D69" s="728"/>
      <c r="E69" s="729"/>
      <c r="F69" s="367"/>
      <c r="G69" s="367"/>
      <c r="H69" s="367"/>
      <c r="I69" s="368"/>
      <c r="J69" s="367"/>
      <c r="K69" s="373"/>
      <c r="L69" s="340"/>
      <c r="M69" s="340"/>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18" customFormat="1" ht="15" hidden="1" thickBot="1" x14ac:dyDescent="0.25">
      <c r="A70" s="374" t="s">
        <v>160</v>
      </c>
      <c r="B70" s="724" t="s">
        <v>47</v>
      </c>
      <c r="C70" s="724"/>
      <c r="D70" s="724"/>
      <c r="E70" s="724"/>
      <c r="F70" s="375"/>
      <c r="G70" s="375"/>
      <c r="H70" s="375">
        <v>0</v>
      </c>
      <c r="I70" s="375"/>
      <c r="J70" s="375">
        <f>'December''17 AR Aging '!G40</f>
        <v>0</v>
      </c>
      <c r="K70" s="376"/>
      <c r="L70" s="46"/>
      <c r="M70" s="46"/>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x14ac:dyDescent="0.2">
      <c r="F71" s="250"/>
      <c r="G71" s="251"/>
      <c r="H71" s="250"/>
      <c r="I71" s="250"/>
      <c r="J71" s="250">
        <f>J67+I63+H30+J70</f>
        <v>256836.77999999997</v>
      </c>
      <c r="K71" s="250" t="s">
        <v>53</v>
      </c>
      <c r="N71" s="29"/>
    </row>
    <row r="72" spans="1:48" x14ac:dyDescent="0.2">
      <c r="F72" s="250"/>
      <c r="G72" s="251"/>
      <c r="H72" s="250"/>
      <c r="I72" s="250"/>
      <c r="J72" s="271">
        <f>'December''17 AR Aging '!G62</f>
        <v>256836.77999999997</v>
      </c>
      <c r="K72" s="250" t="s">
        <v>443</v>
      </c>
      <c r="N72" s="29"/>
    </row>
    <row r="73" spans="1:48" ht="15" customHeight="1" x14ac:dyDescent="0.2">
      <c r="F73" s="250"/>
      <c r="G73" s="251"/>
      <c r="H73" s="250"/>
      <c r="I73" s="250"/>
      <c r="J73" s="578">
        <f>J72-J71</f>
        <v>0</v>
      </c>
      <c r="K73" s="250" t="s">
        <v>345</v>
      </c>
      <c r="N73" s="29"/>
    </row>
    <row r="74" spans="1:48" ht="15" customHeight="1" x14ac:dyDescent="0.2">
      <c r="C74" s="8"/>
      <c r="E74" s="9"/>
    </row>
    <row r="83" spans="1:12" x14ac:dyDescent="0.2">
      <c r="A83" s="10"/>
      <c r="B83" s="1"/>
      <c r="C83" s="6"/>
      <c r="D83" s="6"/>
      <c r="E83" s="7"/>
      <c r="F83" s="29"/>
      <c r="G83" s="29"/>
      <c r="I83" s="29"/>
      <c r="J83" s="29"/>
      <c r="K83" s="29"/>
      <c r="L83" s="29"/>
    </row>
  </sheetData>
  <mergeCells count="28">
    <mergeCell ref="B34:C34"/>
    <mergeCell ref="B58:E58"/>
    <mergeCell ref="B47:E47"/>
    <mergeCell ref="B36:C36"/>
    <mergeCell ref="B42:C42"/>
    <mergeCell ref="B43:C43"/>
    <mergeCell ref="B48:E48"/>
    <mergeCell ref="B49:E49"/>
    <mergeCell ref="B56:E56"/>
    <mergeCell ref="B57:E57"/>
    <mergeCell ref="B35:C35"/>
    <mergeCell ref="B37:C37"/>
    <mergeCell ref="B50:E50"/>
    <mergeCell ref="B51:E51"/>
    <mergeCell ref="B52:E52"/>
    <mergeCell ref="B54:E54"/>
    <mergeCell ref="B70:E70"/>
    <mergeCell ref="B60:E60"/>
    <mergeCell ref="B68:E68"/>
    <mergeCell ref="B62:E62"/>
    <mergeCell ref="B67:E67"/>
    <mergeCell ref="B69:E69"/>
    <mergeCell ref="B59:E59"/>
    <mergeCell ref="B40:C40"/>
    <mergeCell ref="B38:C38"/>
    <mergeCell ref="B39:C39"/>
    <mergeCell ref="B41:C41"/>
    <mergeCell ref="B55:E55"/>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28"/>
  <sheetViews>
    <sheetView zoomScale="75" zoomScaleNormal="75" workbookViewId="0"/>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396</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397</v>
      </c>
      <c r="D4" s="93" t="s">
        <v>398</v>
      </c>
      <c r="E4" s="93" t="s">
        <v>386</v>
      </c>
      <c r="F4" s="93" t="s">
        <v>399</v>
      </c>
      <c r="G4" s="93" t="s">
        <v>78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35" t="s">
        <v>73</v>
      </c>
      <c r="B5" s="736"/>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6" customFormat="1" ht="24.95" hidden="1" customHeight="1" x14ac:dyDescent="0.25">
      <c r="A6" s="361"/>
      <c r="B6" s="125" t="s">
        <v>250</v>
      </c>
      <c r="C6" s="362"/>
      <c r="D6" s="164"/>
      <c r="E6" s="594"/>
      <c r="F6" s="363"/>
      <c r="G6" s="166">
        <f>ROUND(SUM(C6:F6),5)</f>
        <v>0</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365"/>
      <c r="GA6" s="365"/>
      <c r="GB6" s="365"/>
      <c r="GC6" s="365"/>
      <c r="GD6" s="365"/>
      <c r="GE6" s="365"/>
      <c r="GF6" s="365"/>
      <c r="GG6" s="365"/>
      <c r="GH6" s="365"/>
      <c r="GI6" s="365"/>
      <c r="GJ6" s="365"/>
      <c r="GK6" s="365"/>
      <c r="GL6" s="365"/>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365"/>
      <c r="HM6" s="365"/>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65"/>
      <c r="IN6" s="365"/>
      <c r="IO6" s="365"/>
      <c r="IP6" s="365"/>
      <c r="IQ6" s="365"/>
      <c r="IR6" s="365"/>
      <c r="IS6" s="365"/>
      <c r="IT6" s="365"/>
      <c r="IU6" s="365"/>
      <c r="IV6" s="365"/>
      <c r="IW6" s="365"/>
      <c r="IX6" s="365"/>
      <c r="IY6" s="365"/>
      <c r="IZ6" s="365"/>
      <c r="JA6" s="365"/>
      <c r="JB6" s="365"/>
      <c r="JC6" s="365"/>
      <c r="JD6" s="365"/>
      <c r="JE6" s="365"/>
      <c r="JF6" s="365"/>
      <c r="JG6" s="365"/>
      <c r="JH6" s="365"/>
      <c r="JI6" s="365"/>
      <c r="JJ6" s="365"/>
      <c r="JK6" s="365"/>
      <c r="JL6" s="365"/>
      <c r="JM6" s="365"/>
      <c r="JN6" s="365"/>
      <c r="JO6" s="365"/>
      <c r="JP6" s="365"/>
      <c r="JQ6" s="365"/>
      <c r="JR6" s="365"/>
      <c r="JS6" s="365"/>
      <c r="JT6" s="365"/>
      <c r="JU6" s="365"/>
      <c r="JV6" s="365"/>
      <c r="JW6" s="365"/>
      <c r="JX6" s="365"/>
      <c r="JY6" s="365"/>
      <c r="JZ6" s="365"/>
      <c r="KA6" s="365"/>
      <c r="KB6" s="365"/>
      <c r="KC6" s="365"/>
      <c r="KD6" s="365"/>
      <c r="KE6" s="365"/>
      <c r="KF6" s="365"/>
      <c r="KG6" s="365"/>
      <c r="KH6" s="365"/>
      <c r="KI6" s="365"/>
      <c r="KJ6" s="365"/>
      <c r="KK6" s="365"/>
      <c r="KL6" s="365"/>
      <c r="KM6" s="365"/>
      <c r="KN6" s="365"/>
      <c r="KO6" s="365"/>
      <c r="KP6" s="365"/>
      <c r="KQ6" s="365"/>
      <c r="KR6" s="365"/>
      <c r="KS6" s="365"/>
      <c r="KT6" s="365"/>
      <c r="KU6" s="365"/>
      <c r="KV6" s="365"/>
      <c r="KW6" s="365"/>
      <c r="KX6" s="365"/>
      <c r="KY6" s="365"/>
      <c r="KZ6" s="365"/>
      <c r="LA6" s="365"/>
      <c r="LB6" s="365"/>
      <c r="LC6" s="365"/>
      <c r="LD6" s="365"/>
      <c r="LE6" s="365"/>
      <c r="LF6" s="365"/>
      <c r="LG6" s="365"/>
      <c r="LH6" s="365"/>
      <c r="LI6" s="365"/>
      <c r="LJ6" s="365"/>
      <c r="LK6" s="365"/>
      <c r="LL6" s="365"/>
      <c r="LM6" s="365"/>
      <c r="LN6" s="365"/>
      <c r="LO6" s="365"/>
      <c r="LP6" s="365"/>
      <c r="LQ6" s="365"/>
      <c r="LR6" s="365"/>
      <c r="LS6" s="365"/>
      <c r="LT6" s="365"/>
      <c r="LU6" s="365"/>
      <c r="LV6" s="365"/>
      <c r="LW6" s="365"/>
      <c r="LX6" s="365"/>
      <c r="LY6" s="365"/>
      <c r="LZ6" s="365"/>
      <c r="MA6" s="365"/>
      <c r="MB6" s="365"/>
      <c r="MC6" s="365"/>
      <c r="MD6" s="365"/>
      <c r="ME6" s="365"/>
      <c r="MF6" s="365"/>
      <c r="MG6" s="365"/>
      <c r="MH6" s="365"/>
      <c r="MI6" s="365"/>
      <c r="MJ6" s="365"/>
      <c r="MK6" s="365"/>
      <c r="ML6" s="365"/>
      <c r="MM6" s="365"/>
      <c r="MN6" s="365"/>
      <c r="MO6" s="365"/>
      <c r="MP6" s="365"/>
      <c r="MQ6" s="365"/>
      <c r="MR6" s="365"/>
      <c r="MS6" s="365"/>
      <c r="MT6" s="365"/>
      <c r="MU6" s="365"/>
      <c r="MV6" s="365"/>
      <c r="MW6" s="365"/>
      <c r="MX6" s="365"/>
      <c r="MY6" s="365"/>
      <c r="MZ6" s="365"/>
      <c r="NA6" s="365"/>
      <c r="NB6" s="365"/>
      <c r="NC6" s="365"/>
      <c r="ND6" s="365"/>
      <c r="NE6" s="365"/>
      <c r="NF6" s="365"/>
      <c r="NG6" s="365"/>
      <c r="NH6" s="365"/>
      <c r="NI6" s="365"/>
      <c r="NJ6" s="365"/>
      <c r="NK6" s="365"/>
      <c r="NL6" s="365"/>
      <c r="NM6" s="365"/>
      <c r="NN6" s="365"/>
      <c r="NO6" s="365"/>
      <c r="NP6" s="365"/>
      <c r="NQ6" s="365"/>
      <c r="NR6" s="365"/>
      <c r="NS6" s="365"/>
      <c r="NT6" s="365"/>
      <c r="NU6" s="365"/>
      <c r="NV6" s="365"/>
      <c r="NW6" s="365"/>
      <c r="NX6" s="365"/>
      <c r="NY6" s="365"/>
      <c r="NZ6" s="365"/>
      <c r="OA6" s="365"/>
      <c r="OB6" s="365"/>
      <c r="OC6" s="365"/>
      <c r="OD6" s="365"/>
      <c r="OE6" s="365"/>
      <c r="OF6" s="365"/>
      <c r="OG6" s="365"/>
      <c r="OH6" s="365"/>
      <c r="OI6" s="365"/>
      <c r="OJ6" s="365"/>
      <c r="OK6" s="365"/>
      <c r="OL6" s="365"/>
      <c r="OM6" s="365"/>
      <c r="ON6" s="365"/>
      <c r="OO6" s="365"/>
      <c r="OP6" s="365"/>
      <c r="OQ6" s="365"/>
      <c r="OR6" s="365"/>
      <c r="OS6" s="365"/>
      <c r="OT6" s="365"/>
      <c r="OU6" s="365"/>
      <c r="OV6" s="365"/>
      <c r="OW6" s="365"/>
      <c r="OX6" s="365"/>
      <c r="OY6" s="365"/>
      <c r="OZ6" s="365"/>
      <c r="PA6" s="365"/>
      <c r="PB6" s="365"/>
      <c r="PC6" s="365"/>
      <c r="PD6" s="365"/>
      <c r="PE6" s="365"/>
      <c r="PF6" s="365"/>
      <c r="PG6" s="365"/>
      <c r="PH6" s="365"/>
      <c r="PI6" s="365"/>
      <c r="PJ6" s="365"/>
      <c r="PK6" s="365"/>
      <c r="PL6" s="365"/>
      <c r="PM6" s="365"/>
      <c r="PN6" s="365"/>
      <c r="PO6" s="365"/>
      <c r="PP6" s="365"/>
      <c r="PQ6" s="365"/>
      <c r="PR6" s="365"/>
      <c r="PS6" s="365"/>
      <c r="PT6" s="365"/>
      <c r="PU6" s="365"/>
      <c r="PV6" s="365"/>
      <c r="PW6" s="365"/>
      <c r="PX6" s="365"/>
      <c r="PY6" s="365"/>
      <c r="PZ6" s="365"/>
      <c r="QA6" s="365"/>
      <c r="QB6" s="365"/>
      <c r="QC6" s="365"/>
      <c r="QD6" s="365"/>
      <c r="QE6" s="365"/>
      <c r="QF6" s="365"/>
      <c r="QG6" s="365"/>
      <c r="QH6" s="365"/>
      <c r="QI6" s="365"/>
      <c r="QJ6" s="365"/>
      <c r="QK6" s="365"/>
      <c r="QL6" s="365"/>
      <c r="QM6" s="365"/>
      <c r="QN6" s="365"/>
      <c r="QO6" s="365"/>
      <c r="QP6" s="365"/>
      <c r="QQ6" s="365"/>
      <c r="QR6" s="365"/>
      <c r="QS6" s="365"/>
      <c r="QT6" s="365"/>
      <c r="QU6" s="365"/>
      <c r="QV6" s="365"/>
      <c r="QW6" s="365"/>
      <c r="QX6" s="365"/>
      <c r="QY6" s="365"/>
      <c r="QZ6" s="365"/>
      <c r="RA6" s="365"/>
      <c r="RB6" s="365"/>
      <c r="RC6" s="365"/>
      <c r="RD6" s="365"/>
      <c r="RE6" s="365"/>
      <c r="RF6" s="365"/>
      <c r="RG6" s="365"/>
      <c r="RH6" s="365"/>
      <c r="RI6" s="365"/>
      <c r="RJ6" s="365"/>
      <c r="RK6" s="365"/>
      <c r="RL6" s="365"/>
      <c r="RM6" s="365"/>
      <c r="RN6" s="365"/>
      <c r="RO6" s="365"/>
      <c r="RP6" s="365"/>
      <c r="RQ6" s="365"/>
      <c r="RR6" s="365"/>
      <c r="RS6" s="365"/>
      <c r="RT6" s="365"/>
      <c r="RU6" s="365"/>
      <c r="RV6" s="365"/>
      <c r="RW6" s="365"/>
      <c r="RX6" s="365"/>
      <c r="RY6" s="365"/>
      <c r="RZ6" s="365"/>
      <c r="SA6" s="365"/>
      <c r="SB6" s="365"/>
      <c r="SC6" s="365"/>
      <c r="SD6" s="365"/>
      <c r="SE6" s="365"/>
      <c r="SF6" s="365"/>
      <c r="SG6" s="365"/>
      <c r="SH6" s="365"/>
      <c r="SI6" s="365"/>
      <c r="SJ6" s="365"/>
      <c r="SK6" s="365"/>
      <c r="SL6" s="365"/>
      <c r="SM6" s="365"/>
      <c r="SN6" s="365"/>
      <c r="SO6" s="365"/>
      <c r="SP6" s="365"/>
      <c r="SQ6" s="365"/>
      <c r="SR6" s="365"/>
      <c r="SS6" s="365"/>
      <c r="ST6" s="365"/>
      <c r="SU6" s="365"/>
      <c r="SV6" s="365"/>
      <c r="SW6" s="365"/>
      <c r="SX6" s="365"/>
      <c r="SY6" s="365"/>
      <c r="SZ6" s="365"/>
      <c r="TA6" s="365"/>
      <c r="TB6" s="365"/>
      <c r="TC6" s="365"/>
      <c r="TD6" s="365"/>
      <c r="TE6" s="365"/>
      <c r="TF6" s="365"/>
      <c r="TG6" s="365"/>
      <c r="TH6" s="365"/>
      <c r="TI6" s="365"/>
      <c r="TJ6" s="365"/>
      <c r="TK6" s="365"/>
      <c r="TL6" s="365"/>
      <c r="TM6" s="365"/>
      <c r="TN6" s="365"/>
      <c r="TO6" s="365"/>
      <c r="TP6" s="365"/>
      <c r="TQ6" s="365"/>
      <c r="TR6" s="365"/>
      <c r="TS6" s="365"/>
      <c r="TT6" s="365"/>
      <c r="TU6" s="365"/>
      <c r="TV6" s="365"/>
      <c r="TW6" s="365"/>
      <c r="TX6" s="365"/>
      <c r="TY6" s="365"/>
      <c r="TZ6" s="365"/>
      <c r="UA6" s="365"/>
      <c r="UB6" s="365"/>
      <c r="UC6" s="365"/>
      <c r="UD6" s="365"/>
      <c r="UE6" s="365"/>
      <c r="UF6" s="365"/>
      <c r="UG6" s="365"/>
      <c r="UH6" s="365"/>
      <c r="UI6" s="365"/>
      <c r="UJ6" s="365"/>
      <c r="UK6" s="365"/>
      <c r="UL6" s="365"/>
      <c r="UM6" s="365"/>
      <c r="UN6" s="365"/>
      <c r="UO6" s="365"/>
      <c r="UP6" s="365"/>
      <c r="UQ6" s="365"/>
      <c r="UR6" s="365"/>
      <c r="US6" s="365"/>
      <c r="UT6" s="365"/>
      <c r="UU6" s="365"/>
      <c r="UV6" s="365"/>
      <c r="UW6" s="365"/>
      <c r="UX6" s="365"/>
      <c r="UY6" s="365"/>
      <c r="UZ6" s="365"/>
      <c r="VA6" s="365"/>
      <c r="VB6" s="365"/>
      <c r="VC6" s="365"/>
      <c r="VD6" s="365"/>
      <c r="VE6" s="365"/>
      <c r="VF6" s="365"/>
      <c r="VG6" s="365"/>
      <c r="VH6" s="365"/>
      <c r="VI6" s="365"/>
      <c r="VJ6" s="365"/>
      <c r="VK6" s="365"/>
      <c r="VL6" s="365"/>
      <c r="VM6" s="365"/>
      <c r="VN6" s="365"/>
      <c r="VO6" s="365"/>
      <c r="VP6" s="365"/>
      <c r="VQ6" s="365"/>
      <c r="VR6" s="365"/>
      <c r="VS6" s="365"/>
      <c r="VT6" s="365"/>
      <c r="VU6" s="365"/>
      <c r="VV6" s="365"/>
      <c r="VW6" s="365"/>
      <c r="VX6" s="365"/>
      <c r="VY6" s="365"/>
      <c r="VZ6" s="365"/>
      <c r="WA6" s="365"/>
      <c r="WB6" s="365"/>
      <c r="WC6" s="365"/>
      <c r="WD6" s="365"/>
      <c r="WE6" s="365"/>
      <c r="WF6" s="365"/>
      <c r="WG6" s="365"/>
      <c r="WH6" s="365"/>
      <c r="WI6" s="365"/>
      <c r="WJ6" s="365"/>
      <c r="WK6" s="365"/>
      <c r="WL6" s="365"/>
      <c r="WM6" s="365"/>
      <c r="WN6" s="365"/>
      <c r="WO6" s="365"/>
      <c r="WP6" s="365"/>
      <c r="WQ6" s="365"/>
      <c r="WR6" s="365"/>
      <c r="WS6" s="365"/>
      <c r="WT6" s="365"/>
      <c r="WU6" s="365"/>
      <c r="WV6" s="365"/>
      <c r="WW6" s="365"/>
      <c r="WX6" s="365"/>
      <c r="WY6" s="365"/>
      <c r="WZ6" s="365"/>
      <c r="XA6" s="365"/>
      <c r="XB6" s="365"/>
      <c r="XC6" s="365"/>
      <c r="XD6" s="365"/>
      <c r="XE6" s="365"/>
      <c r="XF6" s="365"/>
      <c r="XG6" s="365"/>
      <c r="XH6" s="365"/>
      <c r="XI6" s="365"/>
      <c r="XJ6" s="365"/>
      <c r="XK6" s="365"/>
      <c r="XL6" s="365"/>
      <c r="XM6" s="365"/>
      <c r="XN6" s="365"/>
      <c r="XO6" s="365"/>
      <c r="XP6" s="365"/>
      <c r="XQ6" s="365"/>
      <c r="XR6" s="365"/>
      <c r="XS6" s="365"/>
      <c r="XT6" s="365"/>
      <c r="XU6" s="365"/>
      <c r="XV6" s="365"/>
      <c r="XW6" s="365"/>
      <c r="XX6" s="365"/>
      <c r="XY6" s="365"/>
      <c r="XZ6" s="365"/>
      <c r="YA6" s="365"/>
      <c r="YB6" s="365"/>
      <c r="YC6" s="365"/>
      <c r="YD6" s="365"/>
      <c r="YE6" s="365"/>
      <c r="YF6" s="365"/>
      <c r="YG6" s="365"/>
      <c r="YH6" s="365"/>
      <c r="YI6" s="365"/>
      <c r="YJ6" s="365"/>
      <c r="YK6" s="365"/>
      <c r="YL6" s="365"/>
      <c r="YM6" s="365"/>
      <c r="YN6" s="365"/>
      <c r="YO6" s="365"/>
      <c r="YP6" s="365"/>
      <c r="YQ6" s="365"/>
      <c r="YR6" s="365"/>
      <c r="YS6" s="365"/>
      <c r="YT6" s="365"/>
      <c r="YU6" s="365"/>
      <c r="YV6" s="365"/>
      <c r="YW6" s="365"/>
      <c r="YX6" s="365"/>
      <c r="YY6" s="365"/>
      <c r="YZ6" s="365"/>
      <c r="ZA6" s="365"/>
      <c r="ZB6" s="365"/>
      <c r="ZC6" s="365"/>
      <c r="ZD6" s="365"/>
      <c r="ZE6" s="365"/>
      <c r="ZF6" s="365"/>
      <c r="ZG6" s="365"/>
      <c r="ZH6" s="365"/>
      <c r="ZI6" s="365"/>
      <c r="ZJ6" s="365"/>
      <c r="ZK6" s="365"/>
      <c r="ZL6" s="365"/>
      <c r="ZM6" s="365"/>
      <c r="ZN6" s="365"/>
      <c r="ZO6" s="365"/>
      <c r="ZP6" s="365"/>
      <c r="ZQ6" s="365"/>
      <c r="ZR6" s="365"/>
      <c r="ZS6" s="365"/>
      <c r="ZT6" s="365"/>
      <c r="ZU6" s="365"/>
      <c r="ZV6" s="365"/>
      <c r="ZW6" s="365"/>
      <c r="ZX6" s="365"/>
      <c r="ZY6" s="365"/>
      <c r="ZZ6" s="365"/>
      <c r="AAA6" s="365"/>
      <c r="AAB6" s="365"/>
      <c r="AAC6" s="365"/>
      <c r="AAD6" s="365"/>
      <c r="AAE6" s="365"/>
      <c r="AAF6" s="365"/>
      <c r="AAG6" s="365"/>
      <c r="AAH6" s="365"/>
      <c r="AAI6" s="365"/>
      <c r="AAJ6" s="365"/>
      <c r="AAK6" s="365"/>
      <c r="AAL6" s="365"/>
      <c r="AAM6" s="365"/>
      <c r="AAN6" s="365"/>
      <c r="AAO6" s="365"/>
      <c r="AAP6" s="365"/>
      <c r="AAQ6" s="365"/>
      <c r="AAR6" s="365"/>
      <c r="AAS6" s="365"/>
      <c r="AAT6" s="365"/>
      <c r="AAU6" s="365"/>
      <c r="AAV6" s="365"/>
      <c r="AAW6" s="365"/>
      <c r="AAX6" s="365"/>
      <c r="AAY6" s="365"/>
      <c r="AAZ6" s="365"/>
      <c r="ABA6" s="365"/>
      <c r="ABB6" s="365"/>
      <c r="ABC6" s="365"/>
      <c r="ABD6" s="365"/>
      <c r="ABE6" s="365"/>
      <c r="ABF6" s="365"/>
      <c r="ABG6" s="365"/>
      <c r="ABH6" s="365"/>
      <c r="ABI6" s="365"/>
      <c r="ABJ6" s="365"/>
      <c r="ABK6" s="365"/>
      <c r="ABL6" s="365"/>
      <c r="ABM6" s="365"/>
      <c r="ABN6" s="365"/>
      <c r="ABO6" s="365"/>
      <c r="ABP6" s="365"/>
      <c r="ABQ6" s="365"/>
      <c r="ABR6" s="365"/>
      <c r="ABS6" s="365"/>
      <c r="ABT6" s="365"/>
      <c r="ABU6" s="365"/>
      <c r="ABV6" s="365"/>
      <c r="ABW6" s="365"/>
      <c r="ABX6" s="365"/>
      <c r="ABY6" s="365"/>
      <c r="ABZ6" s="365"/>
      <c r="ACA6" s="365"/>
      <c r="ACB6" s="365"/>
      <c r="ACC6" s="365"/>
      <c r="ACD6" s="365"/>
      <c r="ACE6" s="365"/>
      <c r="ACF6" s="365"/>
      <c r="ACG6" s="365"/>
      <c r="ACH6" s="365"/>
      <c r="ACI6" s="365"/>
      <c r="ACJ6" s="365"/>
      <c r="ACK6" s="365"/>
      <c r="ACL6" s="365"/>
      <c r="ACM6" s="365"/>
      <c r="ACN6" s="365"/>
      <c r="ACO6" s="365"/>
      <c r="ACP6" s="365"/>
      <c r="ACQ6" s="365"/>
      <c r="ACR6" s="365"/>
      <c r="ACS6" s="365"/>
      <c r="ACT6" s="365"/>
      <c r="ACU6" s="365"/>
      <c r="ACV6" s="365"/>
      <c r="ACW6" s="365"/>
      <c r="ACX6" s="365"/>
      <c r="ACY6" s="365"/>
      <c r="ACZ6" s="365"/>
      <c r="ADA6" s="365"/>
      <c r="ADB6" s="365"/>
      <c r="ADC6" s="365"/>
      <c r="ADD6" s="365"/>
      <c r="ADE6" s="365"/>
      <c r="ADF6" s="365"/>
      <c r="ADG6" s="365"/>
      <c r="ADH6" s="365"/>
      <c r="ADI6" s="365"/>
      <c r="ADJ6" s="365"/>
      <c r="ADK6" s="365"/>
      <c r="ADL6" s="365"/>
      <c r="ADM6" s="365"/>
      <c r="ADN6" s="365"/>
      <c r="ADO6" s="365"/>
      <c r="ADP6" s="365"/>
      <c r="ADQ6" s="365"/>
      <c r="ADR6" s="365"/>
      <c r="ADS6" s="365"/>
      <c r="ADT6" s="365"/>
      <c r="ADU6" s="365"/>
      <c r="ADV6" s="365"/>
      <c r="ADW6" s="365"/>
      <c r="ADX6" s="365"/>
      <c r="ADY6" s="365"/>
      <c r="ADZ6" s="365"/>
      <c r="AEA6" s="365"/>
      <c r="AEB6" s="365"/>
      <c r="AEC6" s="365"/>
      <c r="AED6" s="365"/>
      <c r="AEE6" s="365"/>
      <c r="AEF6" s="365"/>
      <c r="AEG6" s="365"/>
      <c r="AEH6" s="365"/>
      <c r="AEI6" s="365"/>
      <c r="AEJ6" s="365"/>
      <c r="AEK6" s="365"/>
      <c r="AEL6" s="365"/>
      <c r="AEM6" s="365"/>
      <c r="AEN6" s="365"/>
      <c r="AEO6" s="365"/>
      <c r="AEP6" s="365"/>
      <c r="AEQ6" s="365"/>
      <c r="AER6" s="365"/>
      <c r="AES6" s="365"/>
      <c r="AET6" s="365"/>
      <c r="AEU6" s="365"/>
      <c r="AEV6" s="365"/>
      <c r="AEW6" s="365"/>
      <c r="AEX6" s="365"/>
      <c r="AEY6" s="365"/>
      <c r="AEZ6" s="365"/>
      <c r="AFA6" s="365"/>
      <c r="AFB6" s="365"/>
      <c r="AFC6" s="365"/>
      <c r="AFD6" s="365"/>
      <c r="AFE6" s="365"/>
      <c r="AFF6" s="365"/>
      <c r="AFG6" s="365"/>
      <c r="AFH6" s="365"/>
      <c r="AFI6" s="365"/>
      <c r="AFJ6" s="365"/>
      <c r="AFK6" s="365"/>
      <c r="AFL6" s="365"/>
      <c r="AFM6" s="365"/>
      <c r="AFN6" s="365"/>
      <c r="AFO6" s="365"/>
      <c r="AFP6" s="365"/>
      <c r="AFQ6" s="365"/>
      <c r="AFR6" s="365"/>
      <c r="AFS6" s="365"/>
      <c r="AFT6" s="365"/>
      <c r="AFU6" s="365"/>
      <c r="AFV6" s="365"/>
      <c r="AFW6" s="365"/>
      <c r="AFX6" s="365"/>
      <c r="AFY6" s="365"/>
      <c r="AFZ6" s="365"/>
      <c r="AGA6" s="365"/>
      <c r="AGB6" s="365"/>
      <c r="AGC6" s="365"/>
      <c r="AGD6" s="365"/>
      <c r="AGE6" s="365"/>
      <c r="AGF6" s="365"/>
      <c r="AGG6" s="365"/>
      <c r="AGH6" s="365"/>
      <c r="AGI6" s="365"/>
      <c r="AGJ6" s="365"/>
      <c r="AGK6" s="365"/>
      <c r="AGL6" s="365"/>
      <c r="AGM6" s="365"/>
      <c r="AGN6" s="365"/>
      <c r="AGO6" s="365"/>
      <c r="AGP6" s="365"/>
      <c r="AGQ6" s="365"/>
      <c r="AGR6" s="365"/>
      <c r="AGS6" s="365"/>
      <c r="AGT6" s="365"/>
      <c r="AGU6" s="365"/>
      <c r="AGV6" s="365"/>
      <c r="AGW6" s="365"/>
      <c r="AGX6" s="365"/>
      <c r="AGY6" s="365"/>
      <c r="AGZ6" s="365"/>
      <c r="AHA6" s="365"/>
      <c r="AHB6" s="365"/>
      <c r="AHC6" s="365"/>
      <c r="AHD6" s="365"/>
      <c r="AHE6" s="365"/>
      <c r="AHF6" s="365"/>
      <c r="AHG6" s="365"/>
      <c r="AHH6" s="365"/>
      <c r="AHI6" s="365"/>
      <c r="AHJ6" s="365"/>
      <c r="AHK6" s="365"/>
      <c r="AHL6" s="365"/>
      <c r="AHM6" s="365"/>
      <c r="AHN6" s="365"/>
      <c r="AHO6" s="365"/>
      <c r="AHP6" s="365"/>
      <c r="AHQ6" s="365"/>
      <c r="AHR6" s="365"/>
      <c r="AHS6" s="365"/>
      <c r="AHT6" s="365"/>
      <c r="AHU6" s="365"/>
      <c r="AHV6" s="365"/>
      <c r="AHW6" s="365"/>
      <c r="AHX6" s="365"/>
      <c r="AHY6" s="365"/>
      <c r="AHZ6" s="365"/>
      <c r="AIA6" s="365"/>
      <c r="AIB6" s="365"/>
      <c r="AIC6" s="365"/>
      <c r="AID6" s="365"/>
      <c r="AIE6" s="365"/>
      <c r="AIF6" s="365"/>
      <c r="AIG6" s="365"/>
      <c r="AIH6" s="365"/>
      <c r="AII6" s="365"/>
      <c r="AIJ6" s="365"/>
      <c r="AIK6" s="365"/>
      <c r="AIL6" s="365"/>
      <c r="AIM6" s="365"/>
      <c r="AIN6" s="365"/>
      <c r="AIO6" s="365"/>
      <c r="AIP6" s="365"/>
      <c r="AIQ6" s="365"/>
      <c r="AIR6" s="365"/>
      <c r="AIS6" s="365"/>
      <c r="AIT6" s="365"/>
      <c r="AIU6" s="365"/>
      <c r="AIV6" s="365"/>
      <c r="AIW6" s="365"/>
      <c r="AIX6" s="365"/>
      <c r="AIY6" s="365"/>
      <c r="AIZ6" s="365"/>
      <c r="AJA6" s="365"/>
      <c r="AJB6" s="365"/>
      <c r="AJC6" s="365"/>
      <c r="AJD6" s="365"/>
      <c r="AJE6" s="365"/>
      <c r="AJF6" s="365"/>
      <c r="AJG6" s="365"/>
      <c r="AJH6" s="365"/>
      <c r="AJI6" s="365"/>
      <c r="AJJ6" s="365"/>
      <c r="AJK6" s="365"/>
      <c r="AJL6" s="365"/>
      <c r="AJM6" s="365"/>
      <c r="AJN6" s="365"/>
      <c r="AJO6" s="365"/>
      <c r="AJP6" s="365"/>
      <c r="AJQ6" s="365"/>
      <c r="AJR6" s="365"/>
      <c r="AJS6" s="365"/>
      <c r="AJT6" s="365"/>
      <c r="AJU6" s="365"/>
      <c r="AJV6" s="365"/>
      <c r="AJW6" s="365"/>
      <c r="AJX6" s="365"/>
      <c r="AJY6" s="365"/>
      <c r="AJZ6" s="365"/>
      <c r="AKA6" s="365"/>
      <c r="AKB6" s="365"/>
      <c r="AKC6" s="365"/>
      <c r="AKD6" s="365"/>
      <c r="AKE6" s="365"/>
      <c r="AKF6" s="365"/>
      <c r="AKG6" s="365"/>
      <c r="AKH6" s="365"/>
      <c r="AKI6" s="365"/>
      <c r="AKJ6" s="365"/>
      <c r="AKK6" s="365"/>
      <c r="AKL6" s="365"/>
      <c r="AKM6" s="365"/>
      <c r="AKN6" s="365"/>
      <c r="AKO6" s="365"/>
      <c r="AKP6" s="365"/>
      <c r="AKQ6" s="365"/>
      <c r="AKR6" s="365"/>
      <c r="AKS6" s="365"/>
      <c r="AKT6" s="365"/>
      <c r="AKU6" s="365"/>
      <c r="AKV6" s="365"/>
      <c r="AKW6" s="365"/>
      <c r="AKX6" s="365"/>
      <c r="AKY6" s="365"/>
      <c r="AKZ6" s="365"/>
      <c r="ALA6" s="365"/>
      <c r="ALB6" s="365"/>
      <c r="ALC6" s="365"/>
      <c r="ALD6" s="365"/>
      <c r="ALE6" s="365"/>
      <c r="ALF6" s="365"/>
      <c r="ALG6" s="365"/>
      <c r="ALH6" s="365"/>
      <c r="ALI6" s="365"/>
      <c r="ALJ6" s="365"/>
      <c r="ALK6" s="365"/>
      <c r="ALL6" s="365"/>
      <c r="ALM6" s="365"/>
      <c r="ALN6" s="365"/>
      <c r="ALO6" s="365"/>
      <c r="ALP6" s="365"/>
      <c r="ALQ6" s="365"/>
      <c r="ALR6" s="365"/>
      <c r="ALS6" s="365"/>
      <c r="ALT6" s="365"/>
      <c r="ALU6" s="365"/>
      <c r="ALV6" s="365"/>
      <c r="ALW6" s="365"/>
      <c r="ALX6" s="365"/>
      <c r="ALY6" s="365"/>
      <c r="ALZ6" s="365"/>
      <c r="AMA6" s="365"/>
      <c r="AMB6" s="365"/>
      <c r="AMC6" s="365"/>
      <c r="AMD6" s="365"/>
      <c r="AME6" s="365"/>
      <c r="AMF6" s="365"/>
      <c r="AMG6" s="365"/>
      <c r="AMH6" s="365"/>
      <c r="AMI6" s="365"/>
      <c r="AMJ6" s="365"/>
      <c r="AMK6" s="365"/>
      <c r="AML6" s="365"/>
      <c r="AMM6" s="365"/>
      <c r="AMN6" s="365"/>
      <c r="AMO6" s="365"/>
      <c r="AMP6" s="365"/>
      <c r="AMQ6" s="365"/>
      <c r="AMR6" s="365"/>
      <c r="AMS6" s="365"/>
      <c r="AMT6" s="365"/>
      <c r="AMU6" s="365"/>
      <c r="AMV6" s="365"/>
      <c r="AMW6" s="365"/>
      <c r="AMX6" s="365"/>
      <c r="AMY6" s="365"/>
      <c r="AMZ6" s="365"/>
      <c r="ANA6" s="365"/>
      <c r="ANB6" s="365"/>
      <c r="ANC6" s="365"/>
      <c r="AND6" s="365"/>
      <c r="ANE6" s="365"/>
      <c r="ANF6" s="365"/>
      <c r="ANG6" s="365"/>
      <c r="ANH6" s="365"/>
      <c r="ANI6" s="365"/>
      <c r="ANJ6" s="365"/>
      <c r="ANK6" s="365"/>
      <c r="ANL6" s="365"/>
      <c r="ANM6" s="365"/>
      <c r="ANN6" s="365"/>
      <c r="ANO6" s="365"/>
      <c r="ANP6" s="365"/>
      <c r="ANQ6" s="365"/>
      <c r="ANR6" s="365"/>
      <c r="ANS6" s="365"/>
      <c r="ANT6" s="365"/>
      <c r="ANU6" s="365"/>
      <c r="ANV6" s="365"/>
      <c r="ANW6" s="365"/>
      <c r="ANX6" s="365"/>
      <c r="ANY6" s="365"/>
      <c r="ANZ6" s="365"/>
      <c r="AOA6" s="365"/>
      <c r="AOB6" s="365"/>
      <c r="AOC6" s="365"/>
      <c r="AOD6" s="365"/>
      <c r="AOE6" s="365"/>
      <c r="AOF6" s="365"/>
      <c r="AOG6" s="365"/>
      <c r="AOH6" s="365"/>
      <c r="AOI6" s="365"/>
      <c r="AOJ6" s="365"/>
      <c r="AOK6" s="365"/>
      <c r="AOL6" s="365"/>
      <c r="AOM6" s="365"/>
      <c r="AON6" s="365"/>
      <c r="AOO6" s="365"/>
      <c r="AOP6" s="365"/>
      <c r="AOQ6" s="365"/>
      <c r="AOR6" s="365"/>
      <c r="AOS6" s="365"/>
      <c r="AOT6" s="365"/>
      <c r="AOU6" s="365"/>
      <c r="AOV6" s="365"/>
      <c r="AOW6" s="365"/>
      <c r="AOX6" s="365"/>
      <c r="AOY6" s="365"/>
      <c r="AOZ6" s="365"/>
      <c r="APA6" s="365"/>
      <c r="APB6" s="365"/>
      <c r="APC6" s="365"/>
      <c r="APD6" s="365"/>
      <c r="APE6" s="365"/>
      <c r="APF6" s="365"/>
      <c r="APG6" s="365"/>
      <c r="APH6" s="365"/>
      <c r="API6" s="365"/>
      <c r="APJ6" s="365"/>
      <c r="APK6" s="365"/>
      <c r="APL6" s="365"/>
      <c r="APM6" s="365"/>
      <c r="APN6" s="365"/>
      <c r="APO6" s="365"/>
      <c r="APP6" s="365"/>
      <c r="APQ6" s="365"/>
      <c r="APR6" s="365"/>
      <c r="APS6" s="365"/>
      <c r="APT6" s="365"/>
      <c r="APU6" s="365"/>
      <c r="APV6" s="365"/>
      <c r="APW6" s="365"/>
      <c r="APX6" s="365"/>
      <c r="APY6" s="365"/>
      <c r="APZ6" s="365"/>
      <c r="AQA6" s="365"/>
      <c r="AQB6" s="365"/>
      <c r="AQC6" s="365"/>
      <c r="AQD6" s="365"/>
      <c r="AQE6" s="365"/>
      <c r="AQF6" s="365"/>
      <c r="AQG6" s="365"/>
      <c r="AQH6" s="365"/>
      <c r="AQI6" s="365"/>
      <c r="AQJ6" s="365"/>
      <c r="AQK6" s="365"/>
      <c r="AQL6" s="365"/>
      <c r="AQM6" s="365"/>
      <c r="AQN6" s="365"/>
      <c r="AQO6" s="365"/>
      <c r="AQP6" s="365"/>
      <c r="AQQ6" s="365"/>
      <c r="AQR6" s="365"/>
      <c r="AQS6" s="365"/>
      <c r="AQT6" s="365"/>
      <c r="AQU6" s="365"/>
      <c r="AQV6" s="365"/>
      <c r="AQW6" s="365"/>
      <c r="AQX6" s="365"/>
      <c r="AQY6" s="365"/>
      <c r="AQZ6" s="365"/>
      <c r="ARA6" s="365"/>
      <c r="ARB6" s="365"/>
      <c r="ARC6" s="365"/>
      <c r="ARD6" s="365"/>
      <c r="ARE6" s="365"/>
      <c r="ARF6" s="365"/>
      <c r="ARG6" s="365"/>
      <c r="ARH6" s="365"/>
      <c r="ARI6" s="365"/>
      <c r="ARJ6" s="365"/>
      <c r="ARK6" s="365"/>
      <c r="ARL6" s="365"/>
      <c r="ARM6" s="365"/>
      <c r="ARN6" s="365"/>
      <c r="ARO6" s="365"/>
      <c r="ARP6" s="365"/>
      <c r="ARQ6" s="365"/>
      <c r="ARR6" s="365"/>
      <c r="ARS6" s="365"/>
      <c r="ART6" s="365"/>
      <c r="ARU6" s="365"/>
      <c r="ARV6" s="365"/>
      <c r="ARW6" s="365"/>
      <c r="ARX6" s="365"/>
      <c r="ARY6" s="365"/>
      <c r="ARZ6" s="365"/>
      <c r="ASA6" s="365"/>
      <c r="ASB6" s="365"/>
      <c r="ASC6" s="365"/>
      <c r="ASD6" s="365"/>
      <c r="ASE6" s="365"/>
      <c r="ASF6" s="365"/>
      <c r="ASG6" s="365"/>
      <c r="ASH6" s="365"/>
      <c r="ASI6" s="365"/>
      <c r="ASJ6" s="365"/>
      <c r="ASK6" s="365"/>
      <c r="ASL6" s="365"/>
      <c r="ASM6" s="365"/>
      <c r="ASN6" s="365"/>
      <c r="ASO6" s="365"/>
      <c r="ASP6" s="365"/>
      <c r="ASQ6" s="365"/>
      <c r="ASR6" s="365"/>
      <c r="ASS6" s="365"/>
      <c r="AST6" s="365"/>
      <c r="ASU6" s="365"/>
      <c r="ASV6" s="365"/>
      <c r="ASW6" s="365"/>
      <c r="ASX6" s="365"/>
      <c r="ASY6" s="365"/>
      <c r="ASZ6" s="365"/>
      <c r="ATA6" s="365"/>
      <c r="ATB6" s="365"/>
      <c r="ATC6" s="365"/>
      <c r="ATD6" s="365"/>
      <c r="ATE6" s="365"/>
      <c r="ATF6" s="365"/>
      <c r="ATG6" s="365"/>
      <c r="ATH6" s="365"/>
      <c r="ATI6" s="365"/>
      <c r="ATJ6" s="365"/>
      <c r="ATK6" s="365"/>
      <c r="ATL6" s="365"/>
      <c r="ATM6" s="365"/>
      <c r="ATN6" s="365"/>
      <c r="ATO6" s="365"/>
      <c r="ATP6" s="365"/>
      <c r="ATQ6" s="365"/>
      <c r="ATR6" s="365"/>
      <c r="ATS6" s="365"/>
      <c r="ATT6" s="365"/>
      <c r="ATU6" s="365"/>
      <c r="ATV6" s="365"/>
      <c r="ATW6" s="365"/>
      <c r="ATX6" s="365"/>
      <c r="ATY6" s="365"/>
      <c r="ATZ6" s="365"/>
      <c r="AUA6" s="365"/>
      <c r="AUB6" s="365"/>
      <c r="AUC6" s="365"/>
      <c r="AUD6" s="365"/>
      <c r="AUE6" s="365"/>
      <c r="AUF6" s="365"/>
      <c r="AUG6" s="365"/>
      <c r="AUH6" s="365"/>
      <c r="AUI6" s="365"/>
      <c r="AUJ6" s="365"/>
      <c r="AUK6" s="365"/>
      <c r="AUL6" s="365"/>
      <c r="AUM6" s="365"/>
      <c r="AUN6" s="365"/>
      <c r="AUO6" s="365"/>
      <c r="AUP6" s="365"/>
      <c r="AUQ6" s="365"/>
      <c r="AUR6" s="365"/>
      <c r="AUS6" s="365"/>
      <c r="AUT6" s="365"/>
      <c r="AUU6" s="365"/>
      <c r="AUV6" s="365"/>
      <c r="AUW6" s="365"/>
      <c r="AUX6" s="365"/>
      <c r="AUY6" s="365"/>
      <c r="AUZ6" s="365"/>
      <c r="AVA6" s="365"/>
      <c r="AVB6" s="365"/>
      <c r="AVC6" s="365"/>
      <c r="AVD6" s="365"/>
      <c r="AVE6" s="365"/>
      <c r="AVF6" s="365"/>
      <c r="AVG6" s="365"/>
      <c r="AVH6" s="365"/>
      <c r="AVI6" s="365"/>
      <c r="AVJ6" s="365"/>
      <c r="AVK6" s="365"/>
      <c r="AVL6" s="365"/>
      <c r="AVM6" s="365"/>
      <c r="AVN6" s="365"/>
      <c r="AVO6" s="365"/>
      <c r="AVP6" s="365"/>
      <c r="AVQ6" s="365"/>
      <c r="AVR6" s="365"/>
      <c r="AVS6" s="365"/>
      <c r="AVT6" s="365"/>
      <c r="AVU6" s="365"/>
      <c r="AVV6" s="365"/>
      <c r="AVW6" s="365"/>
      <c r="AVX6" s="365"/>
      <c r="AVY6" s="365"/>
      <c r="AVZ6" s="365"/>
      <c r="AWA6" s="365"/>
      <c r="AWB6" s="365"/>
      <c r="AWC6" s="365"/>
      <c r="AWD6" s="365"/>
      <c r="AWE6" s="365"/>
      <c r="AWF6" s="365"/>
      <c r="AWG6" s="365"/>
      <c r="AWH6" s="365"/>
      <c r="AWI6" s="365"/>
      <c r="AWJ6" s="365"/>
      <c r="AWK6" s="365"/>
      <c r="AWL6" s="365"/>
      <c r="AWM6" s="365"/>
      <c r="AWN6" s="365"/>
      <c r="AWO6" s="365"/>
      <c r="AWP6" s="365"/>
      <c r="AWQ6" s="365"/>
      <c r="AWR6" s="365"/>
      <c r="AWS6" s="365"/>
      <c r="AWT6" s="365"/>
      <c r="AWU6" s="365"/>
      <c r="AWV6" s="365"/>
      <c r="AWW6" s="365"/>
      <c r="AWX6" s="365"/>
      <c r="AWY6" s="365"/>
      <c r="AWZ6" s="365"/>
      <c r="AXA6" s="365"/>
      <c r="AXB6" s="365"/>
      <c r="AXC6" s="365"/>
      <c r="AXD6" s="365"/>
      <c r="AXE6" s="365"/>
      <c r="AXF6" s="365"/>
      <c r="AXG6" s="365"/>
      <c r="AXH6" s="365"/>
      <c r="AXI6" s="365"/>
      <c r="AXJ6" s="365"/>
      <c r="AXK6" s="365"/>
      <c r="AXL6" s="365"/>
      <c r="AXM6" s="365"/>
      <c r="AXN6" s="365"/>
      <c r="AXO6" s="365"/>
      <c r="AXP6" s="365"/>
      <c r="AXQ6" s="365"/>
      <c r="AXR6" s="365"/>
      <c r="AXS6" s="365"/>
      <c r="AXT6" s="365"/>
      <c r="AXU6" s="365"/>
      <c r="AXV6" s="365"/>
      <c r="AXW6" s="365"/>
      <c r="AXX6" s="365"/>
      <c r="AXY6" s="365"/>
      <c r="AXZ6" s="365"/>
      <c r="AYA6" s="365"/>
      <c r="AYB6" s="365"/>
      <c r="AYC6" s="365"/>
      <c r="AYD6" s="365"/>
      <c r="AYE6" s="365"/>
      <c r="AYF6" s="365"/>
      <c r="AYG6" s="365"/>
      <c r="AYH6" s="365"/>
      <c r="AYI6" s="365"/>
      <c r="AYJ6" s="365"/>
      <c r="AYK6" s="365"/>
      <c r="AYL6" s="365"/>
      <c r="AYM6" s="365"/>
      <c r="AYN6" s="365"/>
      <c r="AYO6" s="365"/>
      <c r="AYP6" s="365"/>
      <c r="AYQ6" s="365"/>
      <c r="AYR6" s="365"/>
      <c r="AYS6" s="365"/>
      <c r="AYT6" s="365"/>
      <c r="AYU6" s="365"/>
      <c r="AYV6" s="365"/>
      <c r="AYW6" s="365"/>
      <c r="AYX6" s="365"/>
      <c r="AYY6" s="365"/>
      <c r="AYZ6" s="365"/>
      <c r="AZA6" s="365"/>
      <c r="AZB6" s="365"/>
      <c r="AZC6" s="365"/>
      <c r="AZD6" s="365"/>
      <c r="AZE6" s="365"/>
      <c r="AZF6" s="365"/>
      <c r="AZG6" s="365"/>
      <c r="AZH6" s="365"/>
      <c r="AZI6" s="365"/>
      <c r="AZJ6" s="365"/>
      <c r="AZK6" s="365"/>
      <c r="AZL6" s="365"/>
      <c r="AZM6" s="365"/>
      <c r="AZN6" s="365"/>
      <c r="AZO6" s="365"/>
      <c r="AZP6" s="365"/>
      <c r="AZQ6" s="365"/>
      <c r="AZR6" s="365"/>
      <c r="AZS6" s="365"/>
      <c r="AZT6" s="365"/>
      <c r="AZU6" s="365"/>
      <c r="AZV6" s="365"/>
      <c r="AZW6" s="365"/>
      <c r="AZX6" s="365"/>
      <c r="AZY6" s="365"/>
      <c r="AZZ6" s="365"/>
      <c r="BAA6" s="365"/>
      <c r="BAB6" s="365"/>
      <c r="BAC6" s="365"/>
      <c r="BAD6" s="365"/>
      <c r="BAE6" s="365"/>
      <c r="BAF6" s="365"/>
      <c r="BAG6" s="365"/>
      <c r="BAH6" s="365"/>
      <c r="BAI6" s="365"/>
      <c r="BAJ6" s="365"/>
      <c r="BAK6" s="365"/>
      <c r="BAL6" s="365"/>
      <c r="BAM6" s="365"/>
      <c r="BAN6" s="365"/>
      <c r="BAO6" s="365"/>
      <c r="BAP6" s="365"/>
      <c r="BAQ6" s="365"/>
      <c r="BAR6" s="365"/>
      <c r="BAS6" s="365"/>
      <c r="BAT6" s="365"/>
      <c r="BAU6" s="365"/>
      <c r="BAV6" s="365"/>
      <c r="BAW6" s="365"/>
      <c r="BAX6" s="365"/>
      <c r="BAY6" s="365"/>
      <c r="BAZ6" s="365"/>
      <c r="BBA6" s="365"/>
      <c r="BBB6" s="365"/>
      <c r="BBC6" s="365"/>
      <c r="BBD6" s="365"/>
      <c r="BBE6" s="365"/>
      <c r="BBF6" s="365"/>
      <c r="BBG6" s="365"/>
      <c r="BBH6" s="365"/>
      <c r="BBI6" s="365"/>
      <c r="BBJ6" s="365"/>
      <c r="BBK6" s="365"/>
      <c r="BBL6" s="365"/>
      <c r="BBM6" s="365"/>
      <c r="BBN6" s="365"/>
      <c r="BBO6" s="365"/>
      <c r="BBP6" s="365"/>
      <c r="BBQ6" s="365"/>
      <c r="BBR6" s="365"/>
      <c r="BBS6" s="365"/>
      <c r="BBT6" s="365"/>
      <c r="BBU6" s="365"/>
      <c r="BBV6" s="365"/>
      <c r="BBW6" s="365"/>
      <c r="BBX6" s="365"/>
      <c r="BBY6" s="365"/>
      <c r="BBZ6" s="365"/>
      <c r="BCA6" s="365"/>
      <c r="BCB6" s="365"/>
      <c r="BCC6" s="365"/>
      <c r="BCD6" s="365"/>
      <c r="BCE6" s="365"/>
      <c r="BCF6" s="365"/>
      <c r="BCG6" s="365"/>
      <c r="BCH6" s="365"/>
      <c r="BCI6" s="365"/>
      <c r="BCJ6" s="365"/>
      <c r="BCK6" s="365"/>
      <c r="BCL6" s="365"/>
      <c r="BCM6" s="365"/>
      <c r="BCN6" s="365"/>
      <c r="BCO6" s="365"/>
      <c r="BCP6" s="365"/>
      <c r="BCQ6" s="365"/>
      <c r="BCR6" s="365"/>
      <c r="BCS6" s="365"/>
      <c r="BCT6" s="365"/>
      <c r="BCU6" s="365"/>
      <c r="BCV6" s="365"/>
      <c r="BCW6" s="365"/>
      <c r="BCX6" s="365"/>
      <c r="BCY6" s="365"/>
      <c r="BCZ6" s="365"/>
      <c r="BDA6" s="365"/>
      <c r="BDB6" s="365"/>
      <c r="BDC6" s="365"/>
      <c r="BDD6" s="365"/>
      <c r="BDE6" s="365"/>
      <c r="BDF6" s="365"/>
      <c r="BDG6" s="365"/>
      <c r="BDH6" s="365"/>
      <c r="BDI6" s="365"/>
      <c r="BDJ6" s="365"/>
      <c r="BDK6" s="365"/>
      <c r="BDL6" s="365"/>
      <c r="BDM6" s="365"/>
      <c r="BDN6" s="365"/>
      <c r="BDO6" s="365"/>
      <c r="BDP6" s="365"/>
      <c r="BDQ6" s="365"/>
      <c r="BDR6" s="365"/>
      <c r="BDS6" s="365"/>
      <c r="BDT6" s="365"/>
      <c r="BDU6" s="365"/>
      <c r="BDV6" s="365"/>
      <c r="BDW6" s="365"/>
      <c r="BDX6" s="365"/>
      <c r="BDY6" s="365"/>
      <c r="BDZ6" s="365"/>
      <c r="BEA6" s="365"/>
      <c r="BEB6" s="365"/>
      <c r="BEC6" s="365"/>
      <c r="BED6" s="365"/>
      <c r="BEE6" s="365"/>
      <c r="BEF6" s="365"/>
      <c r="BEG6" s="365"/>
      <c r="BEH6" s="365"/>
      <c r="BEI6" s="365"/>
      <c r="BEJ6" s="365"/>
      <c r="BEK6" s="365"/>
      <c r="BEL6" s="365"/>
      <c r="BEM6" s="365"/>
      <c r="BEN6" s="365"/>
      <c r="BEO6" s="365"/>
      <c r="BEP6" s="365"/>
      <c r="BEQ6" s="365"/>
      <c r="BER6" s="365"/>
      <c r="BES6" s="365"/>
      <c r="BET6" s="365"/>
      <c r="BEU6" s="365"/>
      <c r="BEV6" s="365"/>
      <c r="BEW6" s="365"/>
      <c r="BEX6" s="365"/>
      <c r="BEY6" s="365"/>
      <c r="BEZ6" s="365"/>
      <c r="BFA6" s="365"/>
      <c r="BFB6" s="365"/>
      <c r="BFC6" s="365"/>
      <c r="BFD6" s="365"/>
      <c r="BFE6" s="365"/>
      <c r="BFF6" s="365"/>
      <c r="BFG6" s="365"/>
      <c r="BFH6" s="365"/>
      <c r="BFI6" s="365"/>
      <c r="BFJ6" s="365"/>
      <c r="BFK6" s="365"/>
      <c r="BFL6" s="365"/>
      <c r="BFM6" s="365"/>
      <c r="BFN6" s="365"/>
      <c r="BFO6" s="365"/>
      <c r="BFP6" s="365"/>
      <c r="BFQ6" s="365"/>
      <c r="BFR6" s="365"/>
      <c r="BFS6" s="365"/>
      <c r="BFT6" s="365"/>
      <c r="BFU6" s="365"/>
      <c r="BFV6" s="365"/>
      <c r="BFW6" s="365"/>
      <c r="BFX6" s="365"/>
      <c r="BFY6" s="365"/>
      <c r="BFZ6" s="365"/>
      <c r="BGA6" s="365"/>
      <c r="BGB6" s="365"/>
      <c r="BGC6" s="365"/>
      <c r="BGD6" s="365"/>
      <c r="BGE6" s="365"/>
      <c r="BGF6" s="365"/>
      <c r="BGG6" s="365"/>
      <c r="BGH6" s="365"/>
      <c r="BGI6" s="365"/>
      <c r="BGJ6" s="365"/>
      <c r="BGK6" s="365"/>
      <c r="BGL6" s="365"/>
      <c r="BGM6" s="365"/>
      <c r="BGN6" s="365"/>
      <c r="BGO6" s="365"/>
      <c r="BGP6" s="365"/>
      <c r="BGQ6" s="365"/>
      <c r="BGR6" s="365"/>
      <c r="BGS6" s="365"/>
      <c r="BGT6" s="365"/>
      <c r="BGU6" s="365"/>
      <c r="BGV6" s="365"/>
      <c r="BGW6" s="365"/>
      <c r="BGX6" s="365"/>
      <c r="BGY6" s="365"/>
      <c r="BGZ6" s="365"/>
      <c r="BHA6" s="365"/>
      <c r="BHB6" s="365"/>
      <c r="BHC6" s="365"/>
      <c r="BHD6" s="365"/>
      <c r="BHE6" s="365"/>
      <c r="BHF6" s="365"/>
      <c r="BHG6" s="365"/>
      <c r="BHH6" s="365"/>
      <c r="BHI6" s="365"/>
      <c r="BHJ6" s="365"/>
      <c r="BHK6" s="365"/>
      <c r="BHL6" s="365"/>
      <c r="BHM6" s="365"/>
      <c r="BHN6" s="365"/>
      <c r="BHO6" s="365"/>
      <c r="BHP6" s="365"/>
      <c r="BHQ6" s="365"/>
      <c r="BHR6" s="365"/>
      <c r="BHS6" s="365"/>
      <c r="BHT6" s="365"/>
      <c r="BHU6" s="365"/>
      <c r="BHV6" s="365"/>
      <c r="BHW6" s="365"/>
      <c r="BHX6" s="365"/>
      <c r="BHY6" s="365"/>
      <c r="BHZ6" s="365"/>
      <c r="BIA6" s="365"/>
      <c r="BIB6" s="365"/>
      <c r="BIC6" s="365"/>
      <c r="BID6" s="365"/>
      <c r="BIE6" s="365"/>
      <c r="BIF6" s="365"/>
      <c r="BIG6" s="365"/>
      <c r="BIH6" s="365"/>
      <c r="BII6" s="365"/>
      <c r="BIJ6" s="365"/>
      <c r="BIK6" s="365"/>
      <c r="BIL6" s="365"/>
      <c r="BIM6" s="365"/>
      <c r="BIN6" s="365"/>
      <c r="BIO6" s="365"/>
      <c r="BIP6" s="365"/>
      <c r="BIQ6" s="365"/>
      <c r="BIR6" s="365"/>
      <c r="BIS6" s="365"/>
      <c r="BIT6" s="365"/>
      <c r="BIU6" s="365"/>
      <c r="BIV6" s="365"/>
      <c r="BIW6" s="365"/>
      <c r="BIX6" s="365"/>
      <c r="BIY6" s="365"/>
      <c r="BIZ6" s="365"/>
      <c r="BJA6" s="365"/>
      <c r="BJB6" s="365"/>
      <c r="BJC6" s="365"/>
      <c r="BJD6" s="365"/>
      <c r="BJE6" s="365"/>
      <c r="BJF6" s="365"/>
      <c r="BJG6" s="365"/>
      <c r="BJH6" s="365"/>
      <c r="BJI6" s="365"/>
      <c r="BJJ6" s="365"/>
      <c r="BJK6" s="365"/>
      <c r="BJL6" s="365"/>
      <c r="BJM6" s="365"/>
      <c r="BJN6" s="365"/>
      <c r="BJO6" s="365"/>
      <c r="BJP6" s="365"/>
      <c r="BJQ6" s="365"/>
      <c r="BJR6" s="365"/>
      <c r="BJS6" s="365"/>
      <c r="BJT6" s="365"/>
      <c r="BJU6" s="365"/>
      <c r="BJV6" s="365"/>
      <c r="BJW6" s="365"/>
      <c r="BJX6" s="365"/>
      <c r="BJY6" s="365"/>
      <c r="BJZ6" s="365"/>
      <c r="BKA6" s="365"/>
      <c r="BKB6" s="365"/>
      <c r="BKC6" s="365"/>
      <c r="BKD6" s="365"/>
      <c r="BKE6" s="365"/>
      <c r="BKF6" s="365"/>
      <c r="BKG6" s="365"/>
      <c r="BKH6" s="365"/>
      <c r="BKI6" s="365"/>
      <c r="BKJ6" s="365"/>
      <c r="BKK6" s="365"/>
      <c r="BKL6" s="365"/>
      <c r="BKM6" s="365"/>
      <c r="BKN6" s="365"/>
      <c r="BKO6" s="365"/>
      <c r="BKP6" s="365"/>
      <c r="BKQ6" s="365"/>
      <c r="BKR6" s="365"/>
      <c r="BKS6" s="365"/>
      <c r="BKT6" s="365"/>
      <c r="BKU6" s="365"/>
      <c r="BKV6" s="365"/>
      <c r="BKW6" s="365"/>
      <c r="BKX6" s="365"/>
      <c r="BKY6" s="365"/>
      <c r="BKZ6" s="365"/>
      <c r="BLA6" s="365"/>
      <c r="BLB6" s="365"/>
      <c r="BLC6" s="365"/>
      <c r="BLD6" s="365"/>
      <c r="BLE6" s="365"/>
      <c r="BLF6" s="365"/>
      <c r="BLG6" s="365"/>
      <c r="BLH6" s="365"/>
      <c r="BLI6" s="365"/>
      <c r="BLJ6" s="365"/>
      <c r="BLK6" s="365"/>
      <c r="BLL6" s="365"/>
      <c r="BLM6" s="365"/>
      <c r="BLN6" s="365"/>
      <c r="BLO6" s="365"/>
      <c r="BLP6" s="365"/>
      <c r="BLQ6" s="365"/>
      <c r="BLR6" s="365"/>
      <c r="BLS6" s="365"/>
      <c r="BLT6" s="365"/>
      <c r="BLU6" s="365"/>
      <c r="BLV6" s="365"/>
      <c r="BLW6" s="365"/>
      <c r="BLX6" s="365"/>
      <c r="BLY6" s="365"/>
      <c r="BLZ6" s="365"/>
      <c r="BMA6" s="365"/>
      <c r="BMB6" s="365"/>
      <c r="BMC6" s="365"/>
      <c r="BMD6" s="365"/>
      <c r="BME6" s="365"/>
      <c r="BMF6" s="365"/>
      <c r="BMG6" s="365"/>
      <c r="BMH6" s="365"/>
      <c r="BMI6" s="365"/>
      <c r="BMJ6" s="365"/>
      <c r="BMK6" s="365"/>
      <c r="BML6" s="365"/>
      <c r="BMM6" s="365"/>
      <c r="BMN6" s="365"/>
      <c r="BMO6" s="365"/>
      <c r="BMP6" s="365"/>
      <c r="BMQ6" s="365"/>
      <c r="BMR6" s="365"/>
      <c r="BMS6" s="365"/>
      <c r="BMT6" s="365"/>
      <c r="BMU6" s="365"/>
      <c r="BMV6" s="365"/>
      <c r="BMW6" s="365"/>
      <c r="BMX6" s="365"/>
      <c r="BMY6" s="365"/>
      <c r="BMZ6" s="365"/>
      <c r="BNA6" s="365"/>
      <c r="BNB6" s="365"/>
      <c r="BNC6" s="365"/>
      <c r="BND6" s="365"/>
      <c r="BNE6" s="365"/>
      <c r="BNF6" s="365"/>
      <c r="BNG6" s="365"/>
      <c r="BNH6" s="365"/>
      <c r="BNI6" s="365"/>
      <c r="BNJ6" s="365"/>
      <c r="BNK6" s="365"/>
      <c r="BNL6" s="365"/>
      <c r="BNM6" s="365"/>
      <c r="BNN6" s="365"/>
      <c r="BNO6" s="365"/>
      <c r="BNP6" s="365"/>
      <c r="BNQ6" s="365"/>
      <c r="BNR6" s="365"/>
      <c r="BNS6" s="365"/>
      <c r="BNT6" s="365"/>
      <c r="BNU6" s="365"/>
      <c r="BNV6" s="365"/>
      <c r="BNW6" s="365"/>
      <c r="BNX6" s="365"/>
      <c r="BNY6" s="365"/>
      <c r="BNZ6" s="365"/>
      <c r="BOA6" s="365"/>
      <c r="BOB6" s="365"/>
      <c r="BOC6" s="365"/>
      <c r="BOD6" s="365"/>
      <c r="BOE6" s="365"/>
      <c r="BOF6" s="365"/>
      <c r="BOG6" s="365"/>
      <c r="BOH6" s="365"/>
      <c r="BOI6" s="365"/>
      <c r="BOJ6" s="365"/>
      <c r="BOK6" s="365"/>
      <c r="BOL6" s="365"/>
      <c r="BOM6" s="365"/>
      <c r="BON6" s="365"/>
      <c r="BOO6" s="365"/>
      <c r="BOP6" s="365"/>
      <c r="BOQ6" s="365"/>
      <c r="BOR6" s="365"/>
      <c r="BOS6" s="365"/>
      <c r="BOT6" s="365"/>
      <c r="BOU6" s="365"/>
      <c r="BOV6" s="365"/>
      <c r="BOW6" s="365"/>
      <c r="BOX6" s="365"/>
      <c r="BOY6" s="365"/>
      <c r="BOZ6" s="365"/>
      <c r="BPA6" s="365"/>
      <c r="BPB6" s="365"/>
      <c r="BPC6" s="365"/>
      <c r="BPD6" s="365"/>
      <c r="BPE6" s="365"/>
      <c r="BPF6" s="365"/>
      <c r="BPG6" s="365"/>
      <c r="BPH6" s="365"/>
      <c r="BPI6" s="365"/>
      <c r="BPJ6" s="365"/>
      <c r="BPK6" s="365"/>
      <c r="BPL6" s="365"/>
      <c r="BPM6" s="365"/>
      <c r="BPN6" s="365"/>
      <c r="BPO6" s="365"/>
      <c r="BPP6" s="365"/>
      <c r="BPQ6" s="365"/>
      <c r="BPR6" s="365"/>
      <c r="BPS6" s="365"/>
      <c r="BPT6" s="365"/>
      <c r="BPU6" s="365"/>
      <c r="BPV6" s="365"/>
      <c r="BPW6" s="365"/>
      <c r="BPX6" s="365"/>
      <c r="BPY6" s="365"/>
      <c r="BPZ6" s="365"/>
      <c r="BQA6" s="365"/>
      <c r="BQB6" s="365"/>
      <c r="BQC6" s="365"/>
      <c r="BQD6" s="365"/>
      <c r="BQE6" s="365"/>
      <c r="BQF6" s="365"/>
      <c r="BQG6" s="365"/>
      <c r="BQH6" s="365"/>
      <c r="BQI6" s="365"/>
      <c r="BQJ6" s="365"/>
      <c r="BQK6" s="365"/>
      <c r="BQL6" s="365"/>
      <c r="BQM6" s="365"/>
      <c r="BQN6" s="365"/>
      <c r="BQO6" s="365"/>
      <c r="BQP6" s="365"/>
      <c r="BQQ6" s="365"/>
      <c r="BQR6" s="365"/>
      <c r="BQS6" s="365"/>
      <c r="BQT6" s="365"/>
      <c r="BQU6" s="365"/>
      <c r="BQV6" s="365"/>
      <c r="BQW6" s="365"/>
      <c r="BQX6" s="365"/>
      <c r="BQY6" s="365"/>
      <c r="BQZ6" s="365"/>
      <c r="BRA6" s="365"/>
      <c r="BRB6" s="365"/>
      <c r="BRC6" s="365"/>
      <c r="BRD6" s="365"/>
      <c r="BRE6" s="365"/>
      <c r="BRF6" s="365"/>
      <c r="BRG6" s="365"/>
      <c r="BRH6" s="365"/>
      <c r="BRI6" s="365"/>
      <c r="BRJ6" s="365"/>
      <c r="BRK6" s="365"/>
      <c r="BRL6" s="365"/>
      <c r="BRM6" s="365"/>
      <c r="BRN6" s="365"/>
      <c r="BRO6" s="365"/>
      <c r="BRP6" s="365"/>
      <c r="BRQ6" s="365"/>
      <c r="BRR6" s="365"/>
      <c r="BRS6" s="365"/>
      <c r="BRT6" s="365"/>
      <c r="BRU6" s="365"/>
      <c r="BRV6" s="365"/>
      <c r="BRW6" s="365"/>
      <c r="BRX6" s="365"/>
      <c r="BRY6" s="365"/>
      <c r="BRZ6" s="365"/>
      <c r="BSA6" s="365"/>
      <c r="BSB6" s="365"/>
      <c r="BSC6" s="365"/>
      <c r="BSD6" s="365"/>
      <c r="BSE6" s="365"/>
      <c r="BSF6" s="365"/>
      <c r="BSG6" s="365"/>
      <c r="BSH6" s="365"/>
      <c r="BSI6" s="365"/>
      <c r="BSJ6" s="365"/>
      <c r="BSK6" s="365"/>
      <c r="BSL6" s="365"/>
      <c r="BSM6" s="365"/>
      <c r="BSN6" s="365"/>
      <c r="BSO6" s="365"/>
      <c r="BSP6" s="365"/>
      <c r="BSQ6" s="365"/>
      <c r="BSR6" s="365"/>
      <c r="BSS6" s="365"/>
      <c r="BST6" s="365"/>
      <c r="BSU6" s="365"/>
      <c r="BSV6" s="365"/>
      <c r="BSW6" s="365"/>
      <c r="BSX6" s="365"/>
      <c r="BSY6" s="365"/>
      <c r="BSZ6" s="365"/>
      <c r="BTA6" s="365"/>
      <c r="BTB6" s="365"/>
      <c r="BTC6" s="365"/>
      <c r="BTD6" s="365"/>
      <c r="BTE6" s="365"/>
      <c r="BTF6" s="365"/>
      <c r="BTG6" s="365"/>
      <c r="BTH6" s="365"/>
      <c r="BTI6" s="365"/>
      <c r="BTJ6" s="365"/>
      <c r="BTK6" s="365"/>
      <c r="BTL6" s="365"/>
      <c r="BTM6" s="365"/>
      <c r="BTN6" s="365"/>
      <c r="BTO6" s="365"/>
      <c r="BTP6" s="365"/>
      <c r="BTQ6" s="365"/>
      <c r="BTR6" s="365"/>
      <c r="BTS6" s="365"/>
      <c r="BTT6" s="365"/>
      <c r="BTU6" s="365"/>
      <c r="BTV6" s="365"/>
      <c r="BTW6" s="365"/>
      <c r="BTX6" s="365"/>
      <c r="BTY6" s="365"/>
      <c r="BTZ6" s="365"/>
      <c r="BUA6" s="365"/>
      <c r="BUB6" s="365"/>
      <c r="BUC6" s="365"/>
      <c r="BUD6" s="365"/>
      <c r="BUE6" s="365"/>
      <c r="BUF6" s="365"/>
      <c r="BUG6" s="365"/>
      <c r="BUH6" s="365"/>
      <c r="BUI6" s="365"/>
      <c r="BUJ6" s="365"/>
      <c r="BUK6" s="365"/>
      <c r="BUL6" s="365"/>
      <c r="BUM6" s="365"/>
      <c r="BUN6" s="365"/>
      <c r="BUO6" s="365"/>
      <c r="BUP6" s="365"/>
      <c r="BUQ6" s="365"/>
      <c r="BUR6" s="365"/>
      <c r="BUS6" s="365"/>
      <c r="BUT6" s="365"/>
      <c r="BUU6" s="365"/>
      <c r="BUV6" s="365"/>
      <c r="BUW6" s="365"/>
      <c r="BUX6" s="365"/>
      <c r="BUY6" s="365"/>
      <c r="BUZ6" s="365"/>
      <c r="BVA6" s="365"/>
      <c r="BVB6" s="365"/>
      <c r="BVC6" s="365"/>
      <c r="BVD6" s="365"/>
      <c r="BVE6" s="365"/>
      <c r="BVF6" s="365"/>
      <c r="BVG6" s="365"/>
      <c r="BVH6" s="365"/>
      <c r="BVI6" s="365"/>
      <c r="BVJ6" s="365"/>
      <c r="BVK6" s="365"/>
      <c r="BVL6" s="365"/>
      <c r="BVM6" s="365"/>
      <c r="BVN6" s="365"/>
      <c r="BVO6" s="365"/>
      <c r="BVP6" s="365"/>
      <c r="BVQ6" s="365"/>
      <c r="BVR6" s="365"/>
      <c r="BVS6" s="365"/>
      <c r="BVT6" s="365"/>
      <c r="BVU6" s="365"/>
      <c r="BVV6" s="365"/>
      <c r="BVW6" s="365"/>
      <c r="BVX6" s="365"/>
      <c r="BVY6" s="365"/>
      <c r="BVZ6" s="365"/>
      <c r="BWA6" s="365"/>
      <c r="BWB6" s="365"/>
      <c r="BWC6" s="365"/>
      <c r="BWD6" s="365"/>
      <c r="BWE6" s="365"/>
      <c r="BWF6" s="365"/>
      <c r="BWG6" s="365"/>
      <c r="BWH6" s="365"/>
      <c r="BWI6" s="365"/>
      <c r="BWJ6" s="365"/>
      <c r="BWK6" s="365"/>
      <c r="BWL6" s="365"/>
      <c r="BWM6" s="365"/>
      <c r="BWN6" s="365"/>
      <c r="BWO6" s="365"/>
      <c r="BWP6" s="365"/>
      <c r="BWQ6" s="365"/>
      <c r="BWR6" s="365"/>
      <c r="BWS6" s="365"/>
      <c r="BWT6" s="365"/>
      <c r="BWU6" s="365"/>
      <c r="BWV6" s="365"/>
      <c r="BWW6" s="365"/>
      <c r="BWX6" s="365"/>
      <c r="BWY6" s="365"/>
      <c r="BWZ6" s="365"/>
      <c r="BXA6" s="365"/>
      <c r="BXB6" s="365"/>
      <c r="BXC6" s="365"/>
      <c r="BXD6" s="365"/>
      <c r="BXE6" s="365"/>
      <c r="BXF6" s="365"/>
      <c r="BXG6" s="365"/>
      <c r="BXH6" s="365"/>
      <c r="BXI6" s="365"/>
      <c r="BXJ6" s="365"/>
      <c r="BXK6" s="365"/>
      <c r="BXL6" s="365"/>
      <c r="BXM6" s="365"/>
      <c r="BXN6" s="365"/>
      <c r="BXO6" s="365"/>
      <c r="BXP6" s="365"/>
      <c r="BXQ6" s="365"/>
      <c r="BXR6" s="365"/>
      <c r="BXS6" s="365"/>
      <c r="BXT6" s="365"/>
      <c r="BXU6" s="365"/>
      <c r="BXV6" s="365"/>
      <c r="BXW6" s="365"/>
      <c r="BXX6" s="365"/>
      <c r="BXY6" s="365"/>
      <c r="BXZ6" s="365"/>
      <c r="BYA6" s="365"/>
      <c r="BYB6" s="365"/>
      <c r="BYC6" s="365"/>
      <c r="BYD6" s="365"/>
      <c r="BYE6" s="365"/>
      <c r="BYF6" s="365"/>
      <c r="BYG6" s="365"/>
    </row>
    <row r="7" spans="1:2009" s="97" customFormat="1" ht="24.95" customHeight="1" x14ac:dyDescent="0.25">
      <c r="A7" s="130"/>
      <c r="B7" s="125" t="s">
        <v>339</v>
      </c>
      <c r="C7" s="164">
        <v>38966.769999999997</v>
      </c>
      <c r="D7" s="164"/>
      <c r="E7" s="164"/>
      <c r="F7" s="165"/>
      <c r="G7" s="166">
        <f>ROUND(SUM(C7:F7),5)</f>
        <v>38966.769999999997</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168</v>
      </c>
      <c r="C8" s="209">
        <f>SUM(C7)</f>
        <v>38966.769999999997</v>
      </c>
      <c r="D8" s="209"/>
      <c r="E8" s="209"/>
      <c r="F8" s="209"/>
      <c r="G8" s="210">
        <f>ROUND(SUM(G3:G7),5)</f>
        <v>38966.769999999997</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74</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customHeight="1" x14ac:dyDescent="0.25">
      <c r="A11" s="133"/>
      <c r="B11" s="103" t="s">
        <v>49</v>
      </c>
      <c r="C11" s="171">
        <v>9250</v>
      </c>
      <c r="D11" s="171"/>
      <c r="E11" s="172"/>
      <c r="F11" s="172"/>
      <c r="G11" s="173">
        <f>ROUND(SUM(C11:F11),5)</f>
        <v>9250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315</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371</v>
      </c>
      <c r="C13" s="171">
        <v>13126.13</v>
      </c>
      <c r="D13" s="171">
        <v>11489.04</v>
      </c>
      <c r="E13" s="172">
        <v>16804.96</v>
      </c>
      <c r="F13" s="172"/>
      <c r="G13" s="173">
        <f>ROUND(SUM(C13:F13),5)</f>
        <v>41420.129999999997</v>
      </c>
      <c r="H13" s="94"/>
      <c r="I13" s="63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148</v>
      </c>
      <c r="C14" s="216">
        <f>ROUND(SUM(C10:C13),5)</f>
        <v>22376.13</v>
      </c>
      <c r="D14" s="216">
        <f>SUM(D12:D13)</f>
        <v>11489.04</v>
      </c>
      <c r="E14" s="216">
        <f>SUM(E12:E13)</f>
        <v>16804.96</v>
      </c>
      <c r="F14" s="216"/>
      <c r="G14" s="217">
        <f>ROUND(SUM(G10:G13),5)</f>
        <v>50670.13</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75</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customHeight="1" x14ac:dyDescent="0.25">
      <c r="A17" s="136"/>
      <c r="B17" s="105" t="s">
        <v>228</v>
      </c>
      <c r="C17" s="179">
        <f>5103.21+712.8+120.12+120.12+120.12</f>
        <v>6176.37</v>
      </c>
      <c r="D17" s="179"/>
      <c r="E17" s="180"/>
      <c r="F17" s="180"/>
      <c r="G17" s="181">
        <f t="shared" ref="G17:G22" si="0">ROUND(SUM(C17:F17),5)</f>
        <v>6176.37</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251</v>
      </c>
      <c r="C18" s="179"/>
      <c r="D18" s="179"/>
      <c r="E18" s="180"/>
      <c r="F18" s="180"/>
      <c r="G18" s="181">
        <f t="shared" si="0"/>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340</v>
      </c>
      <c r="C19" s="179">
        <f>9075.22-120-3</f>
        <v>8952.2199999999993</v>
      </c>
      <c r="D19" s="179">
        <f>10453.75-120.12-2584.15+3</f>
        <v>7752.48</v>
      </c>
      <c r="E19" s="180"/>
      <c r="F19" s="180"/>
      <c r="G19" s="181">
        <f t="shared" si="0"/>
        <v>16704.7</v>
      </c>
      <c r="H19" s="94"/>
      <c r="I19" s="690"/>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252</v>
      </c>
      <c r="C20" s="179"/>
      <c r="D20" s="179"/>
      <c r="E20" s="180"/>
      <c r="F20" s="180"/>
      <c r="G20" s="181">
        <f t="shared" si="0"/>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customHeight="1" x14ac:dyDescent="0.25">
      <c r="A21" s="136"/>
      <c r="B21" s="105" t="s">
        <v>341</v>
      </c>
      <c r="C21" s="179">
        <v>1684.63</v>
      </c>
      <c r="D21" s="179">
        <v>1186.17</v>
      </c>
      <c r="E21" s="180"/>
      <c r="F21" s="180"/>
      <c r="G21" s="181">
        <f t="shared" si="0"/>
        <v>2870.8</v>
      </c>
      <c r="H21" s="94"/>
      <c r="I21" s="690"/>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customHeight="1" x14ac:dyDescent="0.25">
      <c r="A22" s="137"/>
      <c r="B22" s="126" t="s">
        <v>372</v>
      </c>
      <c r="C22" s="179">
        <v>900.06</v>
      </c>
      <c r="D22" s="179"/>
      <c r="E22" s="180"/>
      <c r="F22" s="180"/>
      <c r="G22" s="181">
        <f t="shared" si="0"/>
        <v>900.06</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customHeight="1" thickBot="1" x14ac:dyDescent="0.3">
      <c r="A23" s="219"/>
      <c r="B23" s="220" t="s">
        <v>76</v>
      </c>
      <c r="C23" s="221">
        <f>SUM(C17:C22)</f>
        <v>17713.280000000002</v>
      </c>
      <c r="D23" s="221">
        <f>SUM(D17:D22)</f>
        <v>8938.65</v>
      </c>
      <c r="E23" s="221"/>
      <c r="F23" s="221"/>
      <c r="G23" s="222">
        <f>SUM(G17:G22)</f>
        <v>26651.93</v>
      </c>
      <c r="H23" s="223"/>
      <c r="I23" s="223"/>
      <c r="J23" s="223"/>
      <c r="K23" s="467"/>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68"/>
      <c r="L24" s="467">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101</v>
      </c>
      <c r="B25" s="139"/>
      <c r="C25" s="183"/>
      <c r="D25" s="183"/>
      <c r="E25" s="184"/>
      <c r="F25" s="184"/>
      <c r="G25" s="185"/>
      <c r="H25" s="94"/>
      <c r="I25" s="94"/>
      <c r="J25" s="94"/>
      <c r="K25" s="468"/>
      <c r="L25" s="468" t="s">
        <v>224</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167</v>
      </c>
      <c r="C26" s="186"/>
      <c r="D26" s="186"/>
      <c r="E26" s="187"/>
      <c r="F26" s="187"/>
      <c r="G26" s="188"/>
      <c r="H26" s="94"/>
      <c r="I26" s="94"/>
      <c r="J26" s="94"/>
      <c r="K26" s="469"/>
      <c r="L26"/>
      <c r="M26" s="470">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149</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165</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97"/>
      <c r="B30" s="114" t="s">
        <v>319</v>
      </c>
      <c r="C30" s="192"/>
      <c r="D30" s="192"/>
      <c r="E30" s="193"/>
      <c r="F30" s="193"/>
      <c r="G30" s="194">
        <f>SUM(C30:F30)</f>
        <v>0</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387</v>
      </c>
      <c r="C31" s="192">
        <v>28443.83</v>
      </c>
      <c r="D31" s="192">
        <v>26977.21</v>
      </c>
      <c r="E31" s="193">
        <v>24082.35</v>
      </c>
      <c r="F31" s="193"/>
      <c r="G31" s="194">
        <f>SUM(C31:F31)</f>
        <v>79503.39</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166</v>
      </c>
      <c r="C32" s="234">
        <f>SUM(C30:C31)</f>
        <v>28443.83</v>
      </c>
      <c r="D32" s="234">
        <f>D30+D31</f>
        <v>26977.21</v>
      </c>
      <c r="E32" s="234">
        <f>E30+E31</f>
        <v>24082.35</v>
      </c>
      <c r="F32" s="235"/>
      <c r="G32" s="236">
        <f>SUM(G30:G31)</f>
        <v>79503.39</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43</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44</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77</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50</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147</v>
      </c>
      <c r="C39" s="201">
        <v>3458.33</v>
      </c>
      <c r="D39" s="201">
        <v>3458.33</v>
      </c>
      <c r="E39" s="202"/>
      <c r="F39" s="202"/>
      <c r="G39" s="203">
        <f>ROUND(SUM(C39:F39),5)</f>
        <v>6916.66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hidden="1" customHeight="1" x14ac:dyDescent="0.25">
      <c r="A40" s="146"/>
      <c r="B40" s="117" t="s">
        <v>160</v>
      </c>
      <c r="C40" s="201"/>
      <c r="D40" s="201"/>
      <c r="E40" s="202"/>
      <c r="F40" s="202"/>
      <c r="G40" s="203">
        <f>SUM(C40:F40)</f>
        <v>0</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28" t="s">
        <v>51</v>
      </c>
      <c r="C41" s="201">
        <v>10270.16</v>
      </c>
      <c r="D41" s="201">
        <v>5929.32</v>
      </c>
      <c r="E41" s="202">
        <v>352.44</v>
      </c>
      <c r="F41" s="202"/>
      <c r="G41" s="203">
        <f>ROUND(SUM(C41:F41),5)</f>
        <v>16551.919999999998</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244" customFormat="1" ht="24.95" customHeight="1" thickBot="1" x14ac:dyDescent="0.3">
      <c r="A42" s="240"/>
      <c r="B42" s="241" t="s">
        <v>52</v>
      </c>
      <c r="C42" s="242">
        <f>SUM(C39:C41)</f>
        <v>13728.49</v>
      </c>
      <c r="D42" s="242">
        <f>SUM(D39:D41)</f>
        <v>9387.65</v>
      </c>
      <c r="E42" s="242">
        <f>SUM(E39:E41)</f>
        <v>352.44</v>
      </c>
      <c r="F42" s="242"/>
      <c r="G42" s="243">
        <f t="shared" ref="G42" si="1">SUM(G39:G41)</f>
        <v>23468.579999999998</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c r="AMS42" s="224"/>
      <c r="AMT42" s="224"/>
      <c r="AMU42" s="224"/>
      <c r="AMV42" s="224"/>
      <c r="AMW42" s="224"/>
      <c r="AMX42" s="224"/>
      <c r="AMY42" s="224"/>
      <c r="AMZ42" s="224"/>
      <c r="ANA42" s="224"/>
      <c r="ANB42" s="224"/>
      <c r="ANC42" s="224"/>
      <c r="AND42" s="224"/>
      <c r="ANE42" s="224"/>
      <c r="ANF42" s="224"/>
      <c r="ANG42" s="224"/>
      <c r="ANH42" s="224"/>
      <c r="ANI42" s="224"/>
      <c r="ANJ42" s="224"/>
      <c r="ANK42" s="224"/>
      <c r="ANL42" s="224"/>
      <c r="ANM42" s="224"/>
      <c r="ANN42" s="224"/>
      <c r="ANO42" s="224"/>
      <c r="ANP42" s="224"/>
      <c r="ANQ42" s="224"/>
      <c r="ANR42" s="224"/>
      <c r="ANS42" s="224"/>
      <c r="ANT42" s="224"/>
      <c r="ANU42" s="224"/>
      <c r="ANV42" s="224"/>
      <c r="ANW42" s="224"/>
      <c r="ANX42" s="224"/>
      <c r="ANY42" s="224"/>
      <c r="ANZ42" s="224"/>
      <c r="AOA42" s="224"/>
      <c r="AOB42" s="224"/>
      <c r="AOC42" s="224"/>
      <c r="AOD42" s="224"/>
      <c r="AOE42" s="224"/>
      <c r="AOF42" s="224"/>
      <c r="AOG42" s="224"/>
      <c r="AOH42" s="224"/>
      <c r="AOI42" s="224"/>
      <c r="AOJ42" s="224"/>
      <c r="AOK42" s="224"/>
      <c r="AOL42" s="224"/>
      <c r="AOM42" s="224"/>
      <c r="AON42" s="224"/>
      <c r="AOO42" s="224"/>
      <c r="AOP42" s="224"/>
      <c r="AOQ42" s="224"/>
      <c r="AOR42" s="224"/>
      <c r="AOS42" s="224"/>
      <c r="AOT42" s="224"/>
      <c r="AOU42" s="224"/>
      <c r="AOV42" s="224"/>
      <c r="AOW42" s="224"/>
      <c r="AOX42" s="224"/>
      <c r="AOY42" s="224"/>
      <c r="AOZ42" s="224"/>
      <c r="APA42" s="224"/>
      <c r="APB42" s="224"/>
      <c r="APC42" s="224"/>
      <c r="APD42" s="224"/>
      <c r="APE42" s="224"/>
      <c r="APF42" s="224"/>
      <c r="APG42" s="224"/>
      <c r="APH42" s="224"/>
      <c r="API42" s="224"/>
      <c r="APJ42" s="224"/>
      <c r="APK42" s="224"/>
      <c r="APL42" s="224"/>
      <c r="APM42" s="224"/>
      <c r="APN42" s="224"/>
      <c r="APO42" s="224"/>
      <c r="APP42" s="224"/>
      <c r="APQ42" s="224"/>
      <c r="APR42" s="224"/>
      <c r="APS42" s="224"/>
      <c r="APT42" s="224"/>
      <c r="APU42" s="224"/>
      <c r="APV42" s="224"/>
      <c r="APW42" s="224"/>
      <c r="APX42" s="224"/>
      <c r="APY42" s="224"/>
      <c r="APZ42" s="224"/>
      <c r="AQA42" s="224"/>
      <c r="AQB42" s="224"/>
      <c r="AQC42" s="224"/>
      <c r="AQD42" s="224"/>
      <c r="AQE42" s="224"/>
      <c r="AQF42" s="224"/>
      <c r="AQG42" s="224"/>
      <c r="AQH42" s="224"/>
      <c r="AQI42" s="224"/>
      <c r="AQJ42" s="224"/>
      <c r="AQK42" s="224"/>
      <c r="AQL42" s="224"/>
      <c r="AQM42" s="224"/>
      <c r="AQN42" s="224"/>
      <c r="AQO42" s="224"/>
      <c r="AQP42" s="224"/>
      <c r="AQQ42" s="224"/>
      <c r="AQR42" s="224"/>
      <c r="AQS42" s="224"/>
      <c r="AQT42" s="224"/>
      <c r="AQU42" s="224"/>
      <c r="AQV42" s="224"/>
      <c r="AQW42" s="224"/>
      <c r="AQX42" s="224"/>
      <c r="AQY42" s="224"/>
      <c r="AQZ42" s="224"/>
      <c r="ARA42" s="224"/>
      <c r="ARB42" s="224"/>
      <c r="ARC42" s="224"/>
      <c r="ARD42" s="224"/>
      <c r="ARE42" s="224"/>
      <c r="ARF42" s="224"/>
      <c r="ARG42" s="224"/>
      <c r="ARH42" s="224"/>
      <c r="ARI42" s="224"/>
      <c r="ARJ42" s="224"/>
      <c r="ARK42" s="224"/>
      <c r="ARL42" s="224"/>
      <c r="ARM42" s="224"/>
      <c r="ARN42" s="224"/>
      <c r="ARO42" s="224"/>
      <c r="ARP42" s="224"/>
      <c r="ARQ42" s="224"/>
      <c r="ARR42" s="224"/>
      <c r="ARS42" s="224"/>
      <c r="ART42" s="224"/>
      <c r="ARU42" s="224"/>
      <c r="ARV42" s="224"/>
      <c r="ARW42" s="224"/>
      <c r="ARX42" s="224"/>
      <c r="ARY42" s="224"/>
      <c r="ARZ42" s="224"/>
      <c r="ASA42" s="224"/>
      <c r="ASB42" s="224"/>
      <c r="ASC42" s="224"/>
      <c r="ASD42" s="224"/>
      <c r="ASE42" s="224"/>
      <c r="ASF42" s="224"/>
      <c r="ASG42" s="224"/>
      <c r="ASH42" s="224"/>
      <c r="ASI42" s="224"/>
      <c r="ASJ42" s="224"/>
      <c r="ASK42" s="224"/>
      <c r="ASL42" s="224"/>
      <c r="ASM42" s="224"/>
      <c r="ASN42" s="224"/>
      <c r="ASO42" s="224"/>
      <c r="ASP42" s="224"/>
      <c r="ASQ42" s="224"/>
      <c r="ASR42" s="224"/>
      <c r="ASS42" s="224"/>
      <c r="AST42" s="224"/>
      <c r="ASU42" s="224"/>
      <c r="ASV42" s="224"/>
      <c r="ASW42" s="224"/>
      <c r="ASX42" s="224"/>
      <c r="ASY42" s="224"/>
      <c r="ASZ42" s="224"/>
      <c r="ATA42" s="224"/>
      <c r="ATB42" s="224"/>
      <c r="ATC42" s="224"/>
      <c r="ATD42" s="224"/>
      <c r="ATE42" s="224"/>
      <c r="ATF42" s="224"/>
      <c r="ATG42" s="224"/>
      <c r="ATH42" s="224"/>
      <c r="ATI42" s="224"/>
      <c r="ATJ42" s="224"/>
      <c r="ATK42" s="224"/>
      <c r="ATL42" s="224"/>
      <c r="ATM42" s="224"/>
      <c r="ATN42" s="224"/>
      <c r="ATO42" s="224"/>
      <c r="ATP42" s="224"/>
      <c r="ATQ42" s="224"/>
      <c r="ATR42" s="224"/>
      <c r="ATS42" s="224"/>
      <c r="ATT42" s="224"/>
      <c r="ATU42" s="224"/>
      <c r="ATV42" s="224"/>
      <c r="ATW42" s="224"/>
      <c r="ATX42" s="224"/>
      <c r="ATY42" s="224"/>
      <c r="ATZ42" s="224"/>
      <c r="AUA42" s="224"/>
      <c r="AUB42" s="224"/>
      <c r="AUC42" s="224"/>
      <c r="AUD42" s="224"/>
      <c r="AUE42" s="224"/>
      <c r="AUF42" s="224"/>
      <c r="AUG42" s="224"/>
      <c r="AUH42" s="224"/>
      <c r="AUI42" s="224"/>
      <c r="AUJ42" s="224"/>
      <c r="AUK42" s="224"/>
      <c r="AUL42" s="224"/>
      <c r="AUM42" s="224"/>
      <c r="AUN42" s="224"/>
      <c r="AUO42" s="224"/>
      <c r="AUP42" s="224"/>
      <c r="AUQ42" s="224"/>
      <c r="AUR42" s="224"/>
      <c r="AUS42" s="224"/>
      <c r="AUT42" s="224"/>
      <c r="AUU42" s="224"/>
      <c r="AUV42" s="224"/>
      <c r="AUW42" s="224"/>
      <c r="AUX42" s="224"/>
      <c r="AUY42" s="224"/>
      <c r="AUZ42" s="224"/>
      <c r="AVA42" s="224"/>
      <c r="AVB42" s="224"/>
      <c r="AVC42" s="224"/>
      <c r="AVD42" s="224"/>
      <c r="AVE42" s="224"/>
      <c r="AVF42" s="224"/>
      <c r="AVG42" s="224"/>
      <c r="AVH42" s="224"/>
      <c r="AVI42" s="224"/>
      <c r="AVJ42" s="224"/>
      <c r="AVK42" s="224"/>
      <c r="AVL42" s="224"/>
      <c r="AVM42" s="224"/>
      <c r="AVN42" s="224"/>
      <c r="AVO42" s="224"/>
      <c r="AVP42" s="224"/>
      <c r="AVQ42" s="224"/>
      <c r="AVR42" s="224"/>
      <c r="AVS42" s="224"/>
      <c r="AVT42" s="224"/>
      <c r="AVU42" s="224"/>
      <c r="AVV42" s="224"/>
      <c r="AVW42" s="224"/>
      <c r="AVX42" s="224"/>
      <c r="AVY42" s="224"/>
      <c r="AVZ42" s="224"/>
      <c r="AWA42" s="224"/>
      <c r="AWB42" s="224"/>
      <c r="AWC42" s="224"/>
      <c r="AWD42" s="224"/>
      <c r="AWE42" s="224"/>
      <c r="AWF42" s="224"/>
      <c r="AWG42" s="224"/>
      <c r="AWH42" s="224"/>
      <c r="AWI42" s="224"/>
      <c r="AWJ42" s="224"/>
      <c r="AWK42" s="224"/>
      <c r="AWL42" s="224"/>
      <c r="AWM42" s="224"/>
      <c r="AWN42" s="224"/>
      <c r="AWO42" s="224"/>
      <c r="AWP42" s="224"/>
      <c r="AWQ42" s="224"/>
      <c r="AWR42" s="224"/>
      <c r="AWS42" s="224"/>
      <c r="AWT42" s="224"/>
      <c r="AWU42" s="224"/>
      <c r="AWV42" s="224"/>
      <c r="AWW42" s="224"/>
      <c r="AWX42" s="224"/>
      <c r="AWY42" s="224"/>
      <c r="AWZ42" s="224"/>
      <c r="AXA42" s="224"/>
      <c r="AXB42" s="224"/>
      <c r="AXC42" s="224"/>
      <c r="AXD42" s="224"/>
      <c r="AXE42" s="224"/>
      <c r="AXF42" s="224"/>
      <c r="AXG42" s="224"/>
      <c r="AXH42" s="224"/>
      <c r="AXI42" s="224"/>
      <c r="AXJ42" s="224"/>
      <c r="AXK42" s="224"/>
      <c r="AXL42" s="224"/>
      <c r="AXM42" s="224"/>
      <c r="AXN42" s="224"/>
      <c r="AXO42" s="224"/>
      <c r="AXP42" s="224"/>
      <c r="AXQ42" s="224"/>
      <c r="AXR42" s="224"/>
      <c r="AXS42" s="224"/>
      <c r="AXT42" s="224"/>
      <c r="AXU42" s="224"/>
      <c r="AXV42" s="224"/>
      <c r="AXW42" s="224"/>
      <c r="AXX42" s="224"/>
      <c r="AXY42" s="224"/>
      <c r="AXZ42" s="224"/>
      <c r="AYA42" s="224"/>
      <c r="AYB42" s="224"/>
      <c r="AYC42" s="224"/>
      <c r="AYD42" s="224"/>
      <c r="AYE42" s="224"/>
      <c r="AYF42" s="224"/>
      <c r="AYG42" s="224"/>
      <c r="AYH42" s="224"/>
      <c r="AYI42" s="224"/>
      <c r="AYJ42" s="224"/>
      <c r="AYK42" s="224"/>
      <c r="AYL42" s="224"/>
      <c r="AYM42" s="224"/>
      <c r="AYN42" s="224"/>
      <c r="AYO42" s="224"/>
      <c r="AYP42" s="224"/>
      <c r="AYQ42" s="224"/>
      <c r="AYR42" s="224"/>
      <c r="AYS42" s="224"/>
      <c r="AYT42" s="224"/>
      <c r="AYU42" s="224"/>
      <c r="AYV42" s="224"/>
      <c r="AYW42" s="224"/>
      <c r="AYX42" s="224"/>
      <c r="AYY42" s="224"/>
      <c r="AYZ42" s="224"/>
      <c r="AZA42" s="224"/>
      <c r="AZB42" s="224"/>
      <c r="AZC42" s="224"/>
      <c r="AZD42" s="224"/>
      <c r="AZE42" s="224"/>
      <c r="AZF42" s="224"/>
      <c r="AZG42" s="224"/>
      <c r="AZH42" s="224"/>
      <c r="AZI42" s="224"/>
      <c r="AZJ42" s="224"/>
      <c r="AZK42" s="224"/>
      <c r="AZL42" s="224"/>
      <c r="AZM42" s="224"/>
      <c r="AZN42" s="224"/>
      <c r="AZO42" s="224"/>
      <c r="AZP42" s="224"/>
      <c r="AZQ42" s="224"/>
      <c r="AZR42" s="224"/>
      <c r="AZS42" s="224"/>
      <c r="AZT42" s="224"/>
      <c r="AZU42" s="224"/>
      <c r="AZV42" s="224"/>
      <c r="AZW42" s="224"/>
      <c r="AZX42" s="224"/>
      <c r="AZY42" s="224"/>
      <c r="AZZ42" s="224"/>
      <c r="BAA42" s="224"/>
      <c r="BAB42" s="224"/>
      <c r="BAC42" s="224"/>
      <c r="BAD42" s="224"/>
      <c r="BAE42" s="224"/>
      <c r="BAF42" s="224"/>
      <c r="BAG42" s="224"/>
      <c r="BAH42" s="224"/>
      <c r="BAI42" s="224"/>
      <c r="BAJ42" s="224"/>
      <c r="BAK42" s="224"/>
      <c r="BAL42" s="224"/>
      <c r="BAM42" s="224"/>
      <c r="BAN42" s="224"/>
      <c r="BAO42" s="224"/>
      <c r="BAP42" s="224"/>
      <c r="BAQ42" s="224"/>
      <c r="BAR42" s="224"/>
      <c r="BAS42" s="224"/>
      <c r="BAT42" s="224"/>
      <c r="BAU42" s="224"/>
      <c r="BAV42" s="224"/>
      <c r="BAW42" s="224"/>
      <c r="BAX42" s="224"/>
      <c r="BAY42" s="224"/>
      <c r="BAZ42" s="224"/>
      <c r="BBA42" s="224"/>
      <c r="BBB42" s="224"/>
      <c r="BBC42" s="224"/>
      <c r="BBD42" s="224"/>
      <c r="BBE42" s="224"/>
      <c r="BBF42" s="224"/>
      <c r="BBG42" s="224"/>
      <c r="BBH42" s="224"/>
      <c r="BBI42" s="224"/>
      <c r="BBJ42" s="224"/>
      <c r="BBK42" s="224"/>
      <c r="BBL42" s="224"/>
      <c r="BBM42" s="224"/>
      <c r="BBN42" s="224"/>
      <c r="BBO42" s="224"/>
      <c r="BBP42" s="224"/>
      <c r="BBQ42" s="224"/>
      <c r="BBR42" s="224"/>
      <c r="BBS42" s="224"/>
      <c r="BBT42" s="224"/>
      <c r="BBU42" s="224"/>
      <c r="BBV42" s="224"/>
      <c r="BBW42" s="224"/>
      <c r="BBX42" s="224"/>
      <c r="BBY42" s="224"/>
      <c r="BBZ42" s="224"/>
      <c r="BCA42" s="224"/>
      <c r="BCB42" s="224"/>
      <c r="BCC42" s="224"/>
      <c r="BCD42" s="224"/>
      <c r="BCE42" s="224"/>
      <c r="BCF42" s="224"/>
      <c r="BCG42" s="224"/>
      <c r="BCH42" s="224"/>
      <c r="BCI42" s="224"/>
      <c r="BCJ42" s="224"/>
      <c r="BCK42" s="224"/>
      <c r="BCL42" s="224"/>
      <c r="BCM42" s="224"/>
      <c r="BCN42" s="224"/>
      <c r="BCO42" s="224"/>
      <c r="BCP42" s="224"/>
      <c r="BCQ42" s="224"/>
      <c r="BCR42" s="224"/>
      <c r="BCS42" s="224"/>
      <c r="BCT42" s="224"/>
      <c r="BCU42" s="224"/>
      <c r="BCV42" s="224"/>
      <c r="BCW42" s="224"/>
      <c r="BCX42" s="224"/>
      <c r="BCY42" s="224"/>
      <c r="BCZ42" s="224"/>
      <c r="BDA42" s="224"/>
      <c r="BDB42" s="224"/>
      <c r="BDC42" s="224"/>
      <c r="BDD42" s="224"/>
      <c r="BDE42" s="224"/>
      <c r="BDF42" s="224"/>
      <c r="BDG42" s="224"/>
      <c r="BDH42" s="224"/>
      <c r="BDI42" s="224"/>
      <c r="BDJ42" s="224"/>
      <c r="BDK42" s="224"/>
      <c r="BDL42" s="224"/>
      <c r="BDM42" s="224"/>
      <c r="BDN42" s="224"/>
      <c r="BDO42" s="224"/>
      <c r="BDP42" s="224"/>
      <c r="BDQ42" s="224"/>
      <c r="BDR42" s="224"/>
      <c r="BDS42" s="224"/>
      <c r="BDT42" s="224"/>
      <c r="BDU42" s="224"/>
      <c r="BDV42" s="224"/>
      <c r="BDW42" s="224"/>
      <c r="BDX42" s="224"/>
      <c r="BDY42" s="224"/>
      <c r="BDZ42" s="224"/>
      <c r="BEA42" s="224"/>
      <c r="BEB42" s="224"/>
      <c r="BEC42" s="224"/>
      <c r="BED42" s="224"/>
      <c r="BEE42" s="224"/>
      <c r="BEF42" s="224"/>
      <c r="BEG42" s="224"/>
      <c r="BEH42" s="224"/>
      <c r="BEI42" s="224"/>
      <c r="BEJ42" s="224"/>
      <c r="BEK42" s="224"/>
      <c r="BEL42" s="224"/>
      <c r="BEM42" s="224"/>
      <c r="BEN42" s="224"/>
      <c r="BEO42" s="224"/>
      <c r="BEP42" s="224"/>
      <c r="BEQ42" s="224"/>
      <c r="BER42" s="224"/>
      <c r="BES42" s="224"/>
      <c r="BET42" s="224"/>
      <c r="BEU42" s="224"/>
      <c r="BEV42" s="224"/>
      <c r="BEW42" s="224"/>
      <c r="BEX42" s="224"/>
      <c r="BEY42" s="224"/>
      <c r="BEZ42" s="224"/>
      <c r="BFA42" s="224"/>
      <c r="BFB42" s="224"/>
      <c r="BFC42" s="224"/>
      <c r="BFD42" s="224"/>
      <c r="BFE42" s="224"/>
      <c r="BFF42" s="224"/>
      <c r="BFG42" s="224"/>
      <c r="BFH42" s="224"/>
      <c r="BFI42" s="224"/>
      <c r="BFJ42" s="224"/>
      <c r="BFK42" s="224"/>
      <c r="BFL42" s="224"/>
      <c r="BFM42" s="224"/>
      <c r="BFN42" s="224"/>
      <c r="BFO42" s="224"/>
      <c r="BFP42" s="224"/>
      <c r="BFQ42" s="224"/>
      <c r="BFR42" s="224"/>
      <c r="BFS42" s="224"/>
      <c r="BFT42" s="224"/>
      <c r="BFU42" s="224"/>
      <c r="BFV42" s="224"/>
      <c r="BFW42" s="224"/>
      <c r="BFX42" s="224"/>
      <c r="BFY42" s="224"/>
      <c r="BFZ42" s="224"/>
      <c r="BGA42" s="224"/>
      <c r="BGB42" s="224"/>
      <c r="BGC42" s="224"/>
      <c r="BGD42" s="224"/>
      <c r="BGE42" s="224"/>
      <c r="BGF42" s="224"/>
      <c r="BGG42" s="224"/>
      <c r="BGH42" s="224"/>
      <c r="BGI42" s="224"/>
      <c r="BGJ42" s="224"/>
      <c r="BGK42" s="224"/>
      <c r="BGL42" s="224"/>
      <c r="BGM42" s="224"/>
      <c r="BGN42" s="224"/>
      <c r="BGO42" s="224"/>
      <c r="BGP42" s="224"/>
      <c r="BGQ42" s="224"/>
      <c r="BGR42" s="224"/>
      <c r="BGS42" s="224"/>
      <c r="BGT42" s="224"/>
      <c r="BGU42" s="224"/>
      <c r="BGV42" s="224"/>
      <c r="BGW42" s="224"/>
      <c r="BGX42" s="224"/>
      <c r="BGY42" s="224"/>
      <c r="BGZ42" s="224"/>
      <c r="BHA42" s="224"/>
      <c r="BHB42" s="224"/>
      <c r="BHC42" s="224"/>
      <c r="BHD42" s="224"/>
      <c r="BHE42" s="224"/>
      <c r="BHF42" s="224"/>
      <c r="BHG42" s="224"/>
      <c r="BHH42" s="224"/>
      <c r="BHI42" s="224"/>
      <c r="BHJ42" s="224"/>
      <c r="BHK42" s="224"/>
      <c r="BHL42" s="224"/>
      <c r="BHM42" s="224"/>
      <c r="BHN42" s="224"/>
      <c r="BHO42" s="224"/>
      <c r="BHP42" s="224"/>
      <c r="BHQ42" s="224"/>
      <c r="BHR42" s="224"/>
      <c r="BHS42" s="224"/>
      <c r="BHT42" s="224"/>
      <c r="BHU42" s="224"/>
      <c r="BHV42" s="224"/>
      <c r="BHW42" s="224"/>
      <c r="BHX42" s="224"/>
      <c r="BHY42" s="224"/>
      <c r="BHZ42" s="224"/>
      <c r="BIA42" s="224"/>
      <c r="BIB42" s="224"/>
      <c r="BIC42" s="224"/>
      <c r="BID42" s="224"/>
      <c r="BIE42" s="224"/>
      <c r="BIF42" s="224"/>
      <c r="BIG42" s="224"/>
      <c r="BIH42" s="224"/>
      <c r="BII42" s="224"/>
      <c r="BIJ42" s="224"/>
      <c r="BIK42" s="224"/>
      <c r="BIL42" s="224"/>
      <c r="BIM42" s="224"/>
      <c r="BIN42" s="224"/>
      <c r="BIO42" s="224"/>
      <c r="BIP42" s="224"/>
      <c r="BIQ42" s="224"/>
      <c r="BIR42" s="224"/>
      <c r="BIS42" s="224"/>
      <c r="BIT42" s="224"/>
      <c r="BIU42" s="224"/>
      <c r="BIV42" s="224"/>
      <c r="BIW42" s="224"/>
      <c r="BIX42" s="224"/>
      <c r="BIY42" s="224"/>
      <c r="BIZ42" s="224"/>
      <c r="BJA42" s="224"/>
      <c r="BJB42" s="224"/>
      <c r="BJC42" s="224"/>
      <c r="BJD42" s="224"/>
      <c r="BJE42" s="224"/>
      <c r="BJF42" s="224"/>
      <c r="BJG42" s="224"/>
      <c r="BJH42" s="224"/>
      <c r="BJI42" s="224"/>
      <c r="BJJ42" s="224"/>
      <c r="BJK42" s="224"/>
      <c r="BJL42" s="224"/>
      <c r="BJM42" s="224"/>
      <c r="BJN42" s="224"/>
      <c r="BJO42" s="224"/>
      <c r="BJP42" s="224"/>
      <c r="BJQ42" s="224"/>
      <c r="BJR42" s="224"/>
      <c r="BJS42" s="224"/>
      <c r="BJT42" s="224"/>
      <c r="BJU42" s="224"/>
      <c r="BJV42" s="224"/>
      <c r="BJW42" s="224"/>
      <c r="BJX42" s="224"/>
      <c r="BJY42" s="224"/>
      <c r="BJZ42" s="224"/>
      <c r="BKA42" s="224"/>
      <c r="BKB42" s="224"/>
      <c r="BKC42" s="224"/>
      <c r="BKD42" s="224"/>
      <c r="BKE42" s="224"/>
      <c r="BKF42" s="224"/>
      <c r="BKG42" s="224"/>
      <c r="BKH42" s="224"/>
      <c r="BKI42" s="224"/>
      <c r="BKJ42" s="224"/>
      <c r="BKK42" s="224"/>
      <c r="BKL42" s="224"/>
      <c r="BKM42" s="224"/>
      <c r="BKN42" s="224"/>
      <c r="BKO42" s="224"/>
      <c r="BKP42" s="224"/>
      <c r="BKQ42" s="224"/>
      <c r="BKR42" s="224"/>
      <c r="BKS42" s="224"/>
      <c r="BKT42" s="224"/>
      <c r="BKU42" s="224"/>
      <c r="BKV42" s="224"/>
      <c r="BKW42" s="224"/>
      <c r="BKX42" s="224"/>
      <c r="BKY42" s="224"/>
      <c r="BKZ42" s="224"/>
      <c r="BLA42" s="224"/>
      <c r="BLB42" s="224"/>
      <c r="BLC42" s="224"/>
      <c r="BLD42" s="224"/>
      <c r="BLE42" s="224"/>
      <c r="BLF42" s="224"/>
      <c r="BLG42" s="224"/>
      <c r="BLH42" s="224"/>
      <c r="BLI42" s="224"/>
      <c r="BLJ42" s="224"/>
      <c r="BLK42" s="224"/>
      <c r="BLL42" s="224"/>
      <c r="BLM42" s="224"/>
      <c r="BLN42" s="224"/>
      <c r="BLO42" s="224"/>
      <c r="BLP42" s="224"/>
      <c r="BLQ42" s="224"/>
      <c r="BLR42" s="224"/>
      <c r="BLS42" s="224"/>
      <c r="BLT42" s="224"/>
      <c r="BLU42" s="224"/>
      <c r="BLV42" s="224"/>
      <c r="BLW42" s="224"/>
      <c r="BLX42" s="224"/>
      <c r="BLY42" s="224"/>
      <c r="BLZ42" s="224"/>
      <c r="BMA42" s="224"/>
      <c r="BMB42" s="224"/>
      <c r="BMC42" s="224"/>
      <c r="BMD42" s="224"/>
      <c r="BME42" s="224"/>
      <c r="BMF42" s="224"/>
      <c r="BMG42" s="224"/>
      <c r="BMH42" s="224"/>
      <c r="BMI42" s="224"/>
      <c r="BMJ42" s="224"/>
      <c r="BMK42" s="224"/>
      <c r="BML42" s="224"/>
      <c r="BMM42" s="224"/>
      <c r="BMN42" s="224"/>
      <c r="BMO42" s="224"/>
      <c r="BMP42" s="224"/>
      <c r="BMQ42" s="224"/>
      <c r="BMR42" s="224"/>
      <c r="BMS42" s="224"/>
      <c r="BMT42" s="224"/>
      <c r="BMU42" s="224"/>
      <c r="BMV42" s="224"/>
      <c r="BMW42" s="224"/>
      <c r="BMX42" s="224"/>
      <c r="BMY42" s="224"/>
      <c r="BMZ42" s="224"/>
      <c r="BNA42" s="224"/>
      <c r="BNB42" s="224"/>
      <c r="BNC42" s="224"/>
      <c r="BND42" s="224"/>
      <c r="BNE42" s="224"/>
      <c r="BNF42" s="224"/>
      <c r="BNG42" s="224"/>
      <c r="BNH42" s="224"/>
      <c r="BNI42" s="224"/>
      <c r="BNJ42" s="224"/>
      <c r="BNK42" s="224"/>
      <c r="BNL42" s="224"/>
      <c r="BNM42" s="224"/>
      <c r="BNN42" s="224"/>
      <c r="BNO42" s="224"/>
      <c r="BNP42" s="224"/>
      <c r="BNQ42" s="224"/>
      <c r="BNR42" s="224"/>
      <c r="BNS42" s="224"/>
      <c r="BNT42" s="224"/>
      <c r="BNU42" s="224"/>
      <c r="BNV42" s="224"/>
      <c r="BNW42" s="224"/>
      <c r="BNX42" s="224"/>
      <c r="BNY42" s="224"/>
      <c r="BNZ42" s="224"/>
      <c r="BOA42" s="224"/>
      <c r="BOB42" s="224"/>
      <c r="BOC42" s="224"/>
      <c r="BOD42" s="224"/>
      <c r="BOE42" s="224"/>
      <c r="BOF42" s="224"/>
      <c r="BOG42" s="224"/>
      <c r="BOH42" s="224"/>
      <c r="BOI42" s="224"/>
      <c r="BOJ42" s="224"/>
      <c r="BOK42" s="224"/>
      <c r="BOL42" s="224"/>
      <c r="BOM42" s="224"/>
      <c r="BON42" s="224"/>
      <c r="BOO42" s="224"/>
      <c r="BOP42" s="224"/>
      <c r="BOQ42" s="224"/>
      <c r="BOR42" s="224"/>
      <c r="BOS42" s="224"/>
      <c r="BOT42" s="224"/>
      <c r="BOU42" s="224"/>
      <c r="BOV42" s="224"/>
      <c r="BOW42" s="224"/>
      <c r="BOX42" s="224"/>
      <c r="BOY42" s="224"/>
      <c r="BOZ42" s="224"/>
      <c r="BPA42" s="224"/>
      <c r="BPB42" s="224"/>
      <c r="BPC42" s="224"/>
      <c r="BPD42" s="224"/>
      <c r="BPE42" s="224"/>
      <c r="BPF42" s="224"/>
      <c r="BPG42" s="224"/>
      <c r="BPH42" s="224"/>
      <c r="BPI42" s="224"/>
      <c r="BPJ42" s="224"/>
      <c r="BPK42" s="224"/>
      <c r="BPL42" s="224"/>
      <c r="BPM42" s="224"/>
      <c r="BPN42" s="224"/>
      <c r="BPO42" s="224"/>
      <c r="BPP42" s="224"/>
      <c r="BPQ42" s="224"/>
      <c r="BPR42" s="224"/>
      <c r="BPS42" s="224"/>
      <c r="BPT42" s="224"/>
      <c r="BPU42" s="224"/>
      <c r="BPV42" s="224"/>
      <c r="BPW42" s="224"/>
      <c r="BPX42" s="224"/>
      <c r="BPY42" s="224"/>
      <c r="BPZ42" s="224"/>
      <c r="BQA42" s="224"/>
      <c r="BQB42" s="224"/>
      <c r="BQC42" s="224"/>
      <c r="BQD42" s="224"/>
      <c r="BQE42" s="224"/>
      <c r="BQF42" s="224"/>
      <c r="BQG42" s="224"/>
      <c r="BQH42" s="224"/>
      <c r="BQI42" s="224"/>
      <c r="BQJ42" s="224"/>
      <c r="BQK42" s="224"/>
      <c r="BQL42" s="224"/>
      <c r="BQM42" s="224"/>
      <c r="BQN42" s="224"/>
      <c r="BQO42" s="224"/>
      <c r="BQP42" s="224"/>
      <c r="BQQ42" s="224"/>
      <c r="BQR42" s="224"/>
      <c r="BQS42" s="224"/>
      <c r="BQT42" s="224"/>
      <c r="BQU42" s="224"/>
      <c r="BQV42" s="224"/>
      <c r="BQW42" s="224"/>
      <c r="BQX42" s="224"/>
      <c r="BQY42" s="224"/>
      <c r="BQZ42" s="224"/>
      <c r="BRA42" s="224"/>
      <c r="BRB42" s="224"/>
      <c r="BRC42" s="224"/>
      <c r="BRD42" s="224"/>
      <c r="BRE42" s="224"/>
      <c r="BRF42" s="224"/>
      <c r="BRG42" s="224"/>
      <c r="BRH42" s="224"/>
      <c r="BRI42" s="224"/>
      <c r="BRJ42" s="224"/>
      <c r="BRK42" s="224"/>
      <c r="BRL42" s="224"/>
      <c r="BRM42" s="224"/>
      <c r="BRN42" s="224"/>
      <c r="BRO42" s="224"/>
      <c r="BRP42" s="224"/>
      <c r="BRQ42" s="224"/>
      <c r="BRR42" s="224"/>
      <c r="BRS42" s="224"/>
      <c r="BRT42" s="224"/>
      <c r="BRU42" s="224"/>
      <c r="BRV42" s="224"/>
      <c r="BRW42" s="224"/>
      <c r="BRX42" s="224"/>
      <c r="BRY42" s="224"/>
      <c r="BRZ42" s="224"/>
      <c r="BSA42" s="224"/>
      <c r="BSB42" s="224"/>
      <c r="BSC42" s="224"/>
      <c r="BSD42" s="224"/>
      <c r="BSE42" s="224"/>
      <c r="BSF42" s="224"/>
      <c r="BSG42" s="224"/>
      <c r="BSH42" s="224"/>
      <c r="BSI42" s="224"/>
      <c r="BSJ42" s="224"/>
      <c r="BSK42" s="224"/>
      <c r="BSL42" s="224"/>
      <c r="BSM42" s="224"/>
      <c r="BSN42" s="224"/>
      <c r="BSO42" s="224"/>
      <c r="BSP42" s="224"/>
      <c r="BSQ42" s="224"/>
      <c r="BSR42" s="224"/>
      <c r="BSS42" s="224"/>
      <c r="BST42" s="224"/>
      <c r="BSU42" s="224"/>
      <c r="BSV42" s="224"/>
      <c r="BSW42" s="224"/>
      <c r="BSX42" s="224"/>
      <c r="BSY42" s="224"/>
      <c r="BSZ42" s="224"/>
      <c r="BTA42" s="224"/>
      <c r="BTB42" s="224"/>
      <c r="BTC42" s="224"/>
      <c r="BTD42" s="224"/>
      <c r="BTE42" s="224"/>
      <c r="BTF42" s="224"/>
      <c r="BTG42" s="224"/>
      <c r="BTH42" s="224"/>
      <c r="BTI42" s="224"/>
      <c r="BTJ42" s="224"/>
      <c r="BTK42" s="224"/>
      <c r="BTL42" s="224"/>
      <c r="BTM42" s="224"/>
      <c r="BTN42" s="224"/>
      <c r="BTO42" s="224"/>
      <c r="BTP42" s="224"/>
      <c r="BTQ42" s="224"/>
      <c r="BTR42" s="224"/>
      <c r="BTS42" s="224"/>
      <c r="BTT42" s="224"/>
      <c r="BTU42" s="224"/>
      <c r="BTV42" s="224"/>
      <c r="BTW42" s="224"/>
      <c r="BTX42" s="224"/>
      <c r="BTY42" s="224"/>
      <c r="BTZ42" s="224"/>
      <c r="BUA42" s="224"/>
      <c r="BUB42" s="224"/>
      <c r="BUC42" s="224"/>
      <c r="BUD42" s="224"/>
      <c r="BUE42" s="224"/>
      <c r="BUF42" s="224"/>
      <c r="BUG42" s="224"/>
      <c r="BUH42" s="224"/>
      <c r="BUI42" s="224"/>
      <c r="BUJ42" s="224"/>
      <c r="BUK42" s="224"/>
      <c r="BUL42" s="224"/>
      <c r="BUM42" s="224"/>
      <c r="BUN42" s="224"/>
      <c r="BUO42" s="224"/>
      <c r="BUP42" s="224"/>
      <c r="BUQ42" s="224"/>
      <c r="BUR42" s="224"/>
      <c r="BUS42" s="224"/>
      <c r="BUT42" s="224"/>
      <c r="BUU42" s="224"/>
      <c r="BUV42" s="224"/>
      <c r="BUW42" s="224"/>
      <c r="BUX42" s="224"/>
      <c r="BUY42" s="224"/>
      <c r="BUZ42" s="224"/>
      <c r="BVA42" s="224"/>
      <c r="BVB42" s="224"/>
      <c r="BVC42" s="224"/>
      <c r="BVD42" s="224"/>
      <c r="BVE42" s="224"/>
      <c r="BVF42" s="224"/>
      <c r="BVG42" s="224"/>
      <c r="BVH42" s="224"/>
      <c r="BVI42" s="224"/>
      <c r="BVJ42" s="224"/>
      <c r="BVK42" s="224"/>
      <c r="BVL42" s="224"/>
      <c r="BVM42" s="224"/>
      <c r="BVN42" s="224"/>
      <c r="BVO42" s="224"/>
      <c r="BVP42" s="224"/>
      <c r="BVQ42" s="224"/>
      <c r="BVR42" s="224"/>
      <c r="BVS42" s="224"/>
      <c r="BVT42" s="224"/>
      <c r="BVU42" s="224"/>
      <c r="BVV42" s="224"/>
      <c r="BVW42" s="224"/>
      <c r="BVX42" s="224"/>
      <c r="BVY42" s="224"/>
      <c r="BVZ42" s="224"/>
      <c r="BWA42" s="224"/>
      <c r="BWB42" s="224"/>
      <c r="BWC42" s="224"/>
      <c r="BWD42" s="224"/>
      <c r="BWE42" s="224"/>
      <c r="BWF42" s="224"/>
      <c r="BWG42" s="224"/>
      <c r="BWH42" s="224"/>
      <c r="BWI42" s="224"/>
      <c r="BWJ42" s="224"/>
      <c r="BWK42" s="224"/>
      <c r="BWL42" s="224"/>
      <c r="BWM42" s="224"/>
      <c r="BWN42" s="224"/>
      <c r="BWO42" s="224"/>
      <c r="BWP42" s="224"/>
      <c r="BWQ42" s="224"/>
      <c r="BWR42" s="224"/>
      <c r="BWS42" s="224"/>
      <c r="BWT42" s="224"/>
      <c r="BWU42" s="224"/>
      <c r="BWV42" s="224"/>
      <c r="BWW42" s="224"/>
      <c r="BWX42" s="224"/>
      <c r="BWY42" s="224"/>
      <c r="BWZ42" s="224"/>
      <c r="BXA42" s="224"/>
      <c r="BXB42" s="224"/>
      <c r="BXC42" s="224"/>
      <c r="BXD42" s="224"/>
      <c r="BXE42" s="224"/>
      <c r="BXF42" s="224"/>
      <c r="BXG42" s="224"/>
      <c r="BXH42" s="224"/>
      <c r="BXI42" s="224"/>
      <c r="BXJ42" s="224"/>
      <c r="BXK42" s="224"/>
      <c r="BXL42" s="224"/>
      <c r="BXM42" s="224"/>
      <c r="BXN42" s="224"/>
      <c r="BXO42" s="224"/>
      <c r="BXP42" s="224"/>
      <c r="BXQ42" s="224"/>
      <c r="BXR42" s="224"/>
      <c r="BXS42" s="224"/>
      <c r="BXT42" s="224"/>
      <c r="BXU42" s="224"/>
      <c r="BXV42" s="224"/>
      <c r="BXW42" s="224"/>
      <c r="BXX42" s="224"/>
      <c r="BXY42" s="224"/>
      <c r="BXZ42" s="224"/>
      <c r="BYA42" s="224"/>
      <c r="BYB42" s="224"/>
      <c r="BYC42" s="224"/>
      <c r="BYD42" s="224"/>
      <c r="BYE42" s="224"/>
      <c r="BYF42" s="224"/>
      <c r="BYG42" s="224"/>
    </row>
    <row r="43" spans="1:2009" s="101" customFormat="1" ht="12.75" customHeight="1" thickBot="1" x14ac:dyDescent="0.3">
      <c r="A43" s="98"/>
      <c r="B43" s="129"/>
      <c r="C43" s="175"/>
      <c r="D43" s="175"/>
      <c r="E43" s="175"/>
      <c r="F43" s="175"/>
      <c r="G43" s="175"/>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147" t="s">
        <v>342</v>
      </c>
      <c r="B44" s="473"/>
      <c r="C44" s="474"/>
      <c r="D44" s="474"/>
      <c r="E44" s="474"/>
      <c r="F44" s="475"/>
      <c r="G44" s="476"/>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413"/>
      <c r="B45" s="482" t="s">
        <v>373</v>
      </c>
      <c r="C45" s="512"/>
      <c r="D45" s="512"/>
      <c r="E45" s="484"/>
      <c r="F45" s="485"/>
      <c r="G45" s="486">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13"/>
      <c r="B46" s="482" t="s">
        <v>402</v>
      </c>
      <c r="C46" s="512">
        <v>6993.71</v>
      </c>
      <c r="D46" s="512">
        <v>6408.47</v>
      </c>
      <c r="E46" s="512">
        <f>5895.64+3.46</f>
        <v>5899.1</v>
      </c>
      <c r="F46" s="595"/>
      <c r="G46" s="486">
        <f>ROUND(SUM(C46:F46),5)</f>
        <v>19301.28</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413"/>
      <c r="B47" s="482" t="s">
        <v>320</v>
      </c>
      <c r="C47" s="512"/>
      <c r="D47" s="512"/>
      <c r="E47" s="484"/>
      <c r="F47" s="485"/>
      <c r="G47" s="486">
        <f>ROUND(SUM(C47:F47),5)</f>
        <v>0</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customHeight="1" x14ac:dyDescent="0.25">
      <c r="A48" s="414"/>
      <c r="B48" s="482" t="s">
        <v>403</v>
      </c>
      <c r="C48" s="513">
        <v>4576.1499999999996</v>
      </c>
      <c r="D48" s="513">
        <v>3913.25</v>
      </c>
      <c r="E48" s="513">
        <v>3423.64</v>
      </c>
      <c r="F48" s="487"/>
      <c r="G48" s="488">
        <f>ROUND(SUM(C48:F48),5)</f>
        <v>11913.04</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246" customFormat="1" ht="24.95" customHeight="1" thickBot="1" x14ac:dyDescent="0.3">
      <c r="A49" s="245"/>
      <c r="B49" s="483" t="s">
        <v>222</v>
      </c>
      <c r="C49" s="477">
        <f>SUM(C44:C48)</f>
        <v>11569.86</v>
      </c>
      <c r="D49" s="477">
        <f>SUM(D44:D48)</f>
        <v>10321.720000000001</v>
      </c>
      <c r="E49" s="477">
        <f>SUM(E44:E48)</f>
        <v>9322.74</v>
      </c>
      <c r="F49" s="477"/>
      <c r="G49" s="478">
        <f>ROUND(SUM(C49:F49),5)</f>
        <v>31214.32</v>
      </c>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c r="RB49" s="212"/>
      <c r="RC49" s="212"/>
      <c r="RD49" s="212"/>
      <c r="RE49" s="212"/>
      <c r="RF49" s="212"/>
      <c r="RG49" s="212"/>
      <c r="RH49" s="212"/>
      <c r="RI49" s="212"/>
      <c r="RJ49" s="212"/>
      <c r="RK49" s="212"/>
      <c r="RL49" s="212"/>
      <c r="RM49" s="212"/>
      <c r="RN49" s="212"/>
      <c r="RO49" s="212"/>
      <c r="RP49" s="212"/>
      <c r="RQ49" s="212"/>
      <c r="RR49" s="212"/>
      <c r="RS49" s="212"/>
      <c r="RT49" s="212"/>
      <c r="RU49" s="212"/>
      <c r="RV49" s="212"/>
      <c r="RW49" s="212"/>
      <c r="RX49" s="212"/>
      <c r="RY49" s="212"/>
      <c r="RZ49" s="212"/>
      <c r="SA49" s="212"/>
      <c r="SB49" s="212"/>
      <c r="SC49" s="212"/>
      <c r="SD49" s="212"/>
      <c r="SE49" s="212"/>
      <c r="SF49" s="212"/>
      <c r="SG49" s="212"/>
      <c r="SH49" s="212"/>
      <c r="SI49" s="212"/>
      <c r="SJ49" s="212"/>
      <c r="SK49" s="212"/>
      <c r="SL49" s="212"/>
      <c r="SM49" s="212"/>
      <c r="SN49" s="212"/>
      <c r="SO49" s="212"/>
      <c r="SP49" s="212"/>
      <c r="SQ49" s="212"/>
      <c r="SR49" s="212"/>
      <c r="SS49" s="212"/>
      <c r="ST49" s="212"/>
      <c r="SU49" s="212"/>
      <c r="SV49" s="212"/>
      <c r="SW49" s="212"/>
      <c r="SX49" s="212"/>
      <c r="SY49" s="212"/>
      <c r="SZ49" s="212"/>
      <c r="TA49" s="212"/>
      <c r="TB49" s="212"/>
      <c r="TC49" s="212"/>
      <c r="TD49" s="212"/>
      <c r="TE49" s="212"/>
      <c r="TF49" s="212"/>
      <c r="TG49" s="212"/>
      <c r="TH49" s="212"/>
      <c r="TI49" s="212"/>
      <c r="TJ49" s="212"/>
      <c r="TK49" s="212"/>
      <c r="TL49" s="212"/>
      <c r="TM49" s="212"/>
      <c r="TN49" s="212"/>
      <c r="TO49" s="212"/>
      <c r="TP49" s="212"/>
      <c r="TQ49" s="212"/>
      <c r="TR49" s="212"/>
      <c r="TS49" s="212"/>
      <c r="TT49" s="212"/>
      <c r="TU49" s="212"/>
      <c r="TV49" s="212"/>
      <c r="TW49" s="212"/>
      <c r="TX49" s="212"/>
      <c r="TY49" s="212"/>
      <c r="TZ49" s="212"/>
      <c r="UA49" s="212"/>
      <c r="UB49" s="212"/>
      <c r="UC49" s="212"/>
      <c r="UD49" s="212"/>
      <c r="UE49" s="212"/>
      <c r="UF49" s="212"/>
      <c r="UG49" s="212"/>
      <c r="UH49" s="212"/>
      <c r="UI49" s="212"/>
      <c r="UJ49" s="212"/>
      <c r="UK49" s="212"/>
      <c r="UL49" s="212"/>
      <c r="UM49" s="212"/>
      <c r="UN49" s="212"/>
      <c r="UO49" s="212"/>
      <c r="UP49" s="212"/>
      <c r="UQ49" s="212"/>
      <c r="UR49" s="212"/>
      <c r="US49" s="212"/>
      <c r="UT49" s="212"/>
      <c r="UU49" s="212"/>
      <c r="UV49" s="212"/>
      <c r="UW49" s="212"/>
      <c r="UX49" s="212"/>
      <c r="UY49" s="212"/>
      <c r="UZ49" s="212"/>
      <c r="VA49" s="212"/>
      <c r="VB49" s="212"/>
      <c r="VC49" s="212"/>
      <c r="VD49" s="212"/>
      <c r="VE49" s="212"/>
      <c r="VF49" s="212"/>
      <c r="VG49" s="212"/>
      <c r="VH49" s="212"/>
      <c r="VI49" s="212"/>
      <c r="VJ49" s="212"/>
      <c r="VK49" s="212"/>
      <c r="VL49" s="212"/>
      <c r="VM49" s="212"/>
      <c r="VN49" s="212"/>
      <c r="VO49" s="212"/>
      <c r="VP49" s="212"/>
      <c r="VQ49" s="212"/>
      <c r="VR49" s="212"/>
      <c r="VS49" s="212"/>
      <c r="VT49" s="212"/>
      <c r="VU49" s="212"/>
      <c r="VV49" s="212"/>
      <c r="VW49" s="212"/>
      <c r="VX49" s="212"/>
      <c r="VY49" s="212"/>
      <c r="VZ49" s="212"/>
      <c r="WA49" s="212"/>
      <c r="WB49" s="212"/>
      <c r="WC49" s="212"/>
      <c r="WD49" s="212"/>
      <c r="WE49" s="212"/>
      <c r="WF49" s="212"/>
      <c r="WG49" s="212"/>
      <c r="WH49" s="212"/>
      <c r="WI49" s="212"/>
      <c r="WJ49" s="212"/>
      <c r="WK49" s="212"/>
      <c r="WL49" s="212"/>
      <c r="WM49" s="212"/>
      <c r="WN49" s="212"/>
      <c r="WO49" s="212"/>
      <c r="WP49" s="212"/>
      <c r="WQ49" s="212"/>
      <c r="WR49" s="212"/>
      <c r="WS49" s="212"/>
      <c r="WT49" s="212"/>
      <c r="WU49" s="212"/>
      <c r="WV49" s="212"/>
      <c r="WW49" s="212"/>
      <c r="WX49" s="212"/>
      <c r="WY49" s="212"/>
      <c r="WZ49" s="212"/>
      <c r="XA49" s="212"/>
      <c r="XB49" s="212"/>
      <c r="XC49" s="212"/>
      <c r="XD49" s="212"/>
      <c r="XE49" s="212"/>
      <c r="XF49" s="212"/>
      <c r="XG49" s="212"/>
      <c r="XH49" s="212"/>
      <c r="XI49" s="212"/>
      <c r="XJ49" s="212"/>
      <c r="XK49" s="212"/>
      <c r="XL49" s="212"/>
      <c r="XM49" s="212"/>
      <c r="XN49" s="212"/>
      <c r="XO49" s="212"/>
      <c r="XP49" s="212"/>
      <c r="XQ49" s="212"/>
      <c r="XR49" s="212"/>
      <c r="XS49" s="212"/>
      <c r="XT49" s="212"/>
      <c r="XU49" s="212"/>
      <c r="XV49" s="212"/>
      <c r="XW49" s="212"/>
      <c r="XX49" s="212"/>
      <c r="XY49" s="212"/>
      <c r="XZ49" s="212"/>
      <c r="YA49" s="212"/>
      <c r="YB49" s="212"/>
      <c r="YC49" s="212"/>
      <c r="YD49" s="212"/>
      <c r="YE49" s="212"/>
      <c r="YF49" s="212"/>
      <c r="YG49" s="212"/>
      <c r="YH49" s="212"/>
      <c r="YI49" s="212"/>
      <c r="YJ49" s="212"/>
      <c r="YK49" s="212"/>
      <c r="YL49" s="212"/>
      <c r="YM49" s="212"/>
      <c r="YN49" s="212"/>
      <c r="YO49" s="212"/>
      <c r="YP49" s="212"/>
      <c r="YQ49" s="212"/>
      <c r="YR49" s="212"/>
      <c r="YS49" s="212"/>
      <c r="YT49" s="212"/>
      <c r="YU49" s="212"/>
      <c r="YV49" s="212"/>
      <c r="YW49" s="212"/>
      <c r="YX49" s="212"/>
      <c r="YY49" s="212"/>
      <c r="YZ49" s="212"/>
      <c r="ZA49" s="212"/>
      <c r="ZB49" s="212"/>
      <c r="ZC49" s="212"/>
      <c r="ZD49" s="212"/>
      <c r="ZE49" s="212"/>
      <c r="ZF49" s="212"/>
      <c r="ZG49" s="212"/>
      <c r="ZH49" s="212"/>
      <c r="ZI49" s="212"/>
      <c r="ZJ49" s="212"/>
      <c r="ZK49" s="212"/>
      <c r="ZL49" s="212"/>
      <c r="ZM49" s="212"/>
      <c r="ZN49" s="212"/>
      <c r="ZO49" s="212"/>
      <c r="ZP49" s="212"/>
      <c r="ZQ49" s="212"/>
      <c r="ZR49" s="212"/>
      <c r="ZS49" s="212"/>
      <c r="ZT49" s="212"/>
      <c r="ZU49" s="212"/>
      <c r="ZV49" s="212"/>
      <c r="ZW49" s="212"/>
      <c r="ZX49" s="212"/>
      <c r="ZY49" s="212"/>
      <c r="ZZ49" s="212"/>
      <c r="AAA49" s="212"/>
      <c r="AAB49" s="212"/>
      <c r="AAC49" s="212"/>
      <c r="AAD49" s="212"/>
      <c r="AAE49" s="212"/>
      <c r="AAF49" s="212"/>
      <c r="AAG49" s="212"/>
      <c r="AAH49" s="212"/>
      <c r="AAI49" s="212"/>
      <c r="AAJ49" s="212"/>
      <c r="AAK49" s="212"/>
      <c r="AAL49" s="212"/>
      <c r="AAM49" s="212"/>
      <c r="AAN49" s="212"/>
      <c r="AAO49" s="212"/>
      <c r="AAP49" s="212"/>
      <c r="AAQ49" s="212"/>
      <c r="AAR49" s="212"/>
      <c r="AAS49" s="212"/>
      <c r="AAT49" s="212"/>
      <c r="AAU49" s="212"/>
      <c r="AAV49" s="212"/>
      <c r="AAW49" s="212"/>
      <c r="AAX49" s="212"/>
      <c r="AAY49" s="212"/>
      <c r="AAZ49" s="212"/>
      <c r="ABA49" s="212"/>
      <c r="ABB49" s="212"/>
      <c r="ABC49" s="212"/>
      <c r="ABD49" s="212"/>
      <c r="ABE49" s="212"/>
      <c r="ABF49" s="212"/>
      <c r="ABG49" s="212"/>
      <c r="ABH49" s="212"/>
      <c r="ABI49" s="212"/>
      <c r="ABJ49" s="212"/>
      <c r="ABK49" s="212"/>
      <c r="ABL49" s="212"/>
      <c r="ABM49" s="212"/>
      <c r="ABN49" s="212"/>
      <c r="ABO49" s="212"/>
      <c r="ABP49" s="212"/>
      <c r="ABQ49" s="212"/>
      <c r="ABR49" s="212"/>
      <c r="ABS49" s="212"/>
      <c r="ABT49" s="212"/>
      <c r="ABU49" s="212"/>
      <c r="ABV49" s="212"/>
      <c r="ABW49" s="212"/>
      <c r="ABX49" s="212"/>
      <c r="ABY49" s="212"/>
      <c r="ABZ49" s="212"/>
      <c r="ACA49" s="212"/>
      <c r="ACB49" s="212"/>
      <c r="ACC49" s="212"/>
      <c r="ACD49" s="212"/>
      <c r="ACE49" s="212"/>
      <c r="ACF49" s="212"/>
      <c r="ACG49" s="212"/>
      <c r="ACH49" s="212"/>
      <c r="ACI49" s="212"/>
      <c r="ACJ49" s="212"/>
      <c r="ACK49" s="212"/>
      <c r="ACL49" s="212"/>
      <c r="ACM49" s="212"/>
      <c r="ACN49" s="212"/>
      <c r="ACO49" s="212"/>
      <c r="ACP49" s="212"/>
      <c r="ACQ49" s="212"/>
      <c r="ACR49" s="212"/>
      <c r="ACS49" s="212"/>
      <c r="ACT49" s="212"/>
      <c r="ACU49" s="212"/>
      <c r="ACV49" s="212"/>
      <c r="ACW49" s="212"/>
      <c r="ACX49" s="212"/>
      <c r="ACY49" s="212"/>
      <c r="ACZ49" s="212"/>
      <c r="ADA49" s="212"/>
      <c r="ADB49" s="212"/>
      <c r="ADC49" s="212"/>
      <c r="ADD49" s="212"/>
      <c r="ADE49" s="212"/>
      <c r="ADF49" s="212"/>
      <c r="ADG49" s="212"/>
      <c r="ADH49" s="212"/>
      <c r="ADI49" s="212"/>
      <c r="ADJ49" s="212"/>
      <c r="ADK49" s="212"/>
      <c r="ADL49" s="212"/>
      <c r="ADM49" s="212"/>
      <c r="ADN49" s="212"/>
      <c r="ADO49" s="212"/>
      <c r="ADP49" s="212"/>
      <c r="ADQ49" s="212"/>
      <c r="ADR49" s="212"/>
      <c r="ADS49" s="212"/>
      <c r="ADT49" s="212"/>
      <c r="ADU49" s="212"/>
      <c r="ADV49" s="212"/>
      <c r="ADW49" s="212"/>
      <c r="ADX49" s="212"/>
      <c r="ADY49" s="212"/>
      <c r="ADZ49" s="212"/>
      <c r="AEA49" s="212"/>
      <c r="AEB49" s="212"/>
      <c r="AEC49" s="212"/>
      <c r="AED49" s="212"/>
      <c r="AEE49" s="212"/>
      <c r="AEF49" s="212"/>
      <c r="AEG49" s="212"/>
      <c r="AEH49" s="212"/>
      <c r="AEI49" s="212"/>
      <c r="AEJ49" s="212"/>
      <c r="AEK49" s="212"/>
      <c r="AEL49" s="212"/>
      <c r="AEM49" s="212"/>
      <c r="AEN49" s="212"/>
      <c r="AEO49" s="212"/>
      <c r="AEP49" s="212"/>
      <c r="AEQ49" s="212"/>
      <c r="AER49" s="212"/>
      <c r="AES49" s="212"/>
      <c r="AET49" s="212"/>
      <c r="AEU49" s="212"/>
      <c r="AEV49" s="212"/>
      <c r="AEW49" s="212"/>
      <c r="AEX49" s="212"/>
      <c r="AEY49" s="212"/>
      <c r="AEZ49" s="212"/>
      <c r="AFA49" s="212"/>
      <c r="AFB49" s="212"/>
      <c r="AFC49" s="212"/>
      <c r="AFD49" s="212"/>
      <c r="AFE49" s="212"/>
      <c r="AFF49" s="212"/>
      <c r="AFG49" s="212"/>
      <c r="AFH49" s="212"/>
      <c r="AFI49" s="212"/>
      <c r="AFJ49" s="212"/>
      <c r="AFK49" s="212"/>
      <c r="AFL49" s="212"/>
      <c r="AFM49" s="212"/>
      <c r="AFN49" s="212"/>
      <c r="AFO49" s="212"/>
      <c r="AFP49" s="212"/>
      <c r="AFQ49" s="212"/>
      <c r="AFR49" s="212"/>
      <c r="AFS49" s="212"/>
      <c r="AFT49" s="212"/>
      <c r="AFU49" s="212"/>
      <c r="AFV49" s="212"/>
      <c r="AFW49" s="212"/>
      <c r="AFX49" s="212"/>
      <c r="AFY49" s="212"/>
      <c r="AFZ49" s="212"/>
      <c r="AGA49" s="212"/>
      <c r="AGB49" s="212"/>
      <c r="AGC49" s="212"/>
      <c r="AGD49" s="212"/>
      <c r="AGE49" s="212"/>
      <c r="AGF49" s="212"/>
      <c r="AGG49" s="212"/>
      <c r="AGH49" s="212"/>
      <c r="AGI49" s="212"/>
      <c r="AGJ49" s="212"/>
      <c r="AGK49" s="212"/>
      <c r="AGL49" s="212"/>
      <c r="AGM49" s="212"/>
      <c r="AGN49" s="212"/>
      <c r="AGO49" s="212"/>
      <c r="AGP49" s="212"/>
      <c r="AGQ49" s="212"/>
      <c r="AGR49" s="212"/>
      <c r="AGS49" s="212"/>
      <c r="AGT49" s="212"/>
      <c r="AGU49" s="212"/>
      <c r="AGV49" s="212"/>
      <c r="AGW49" s="212"/>
      <c r="AGX49" s="212"/>
      <c r="AGY49" s="212"/>
      <c r="AGZ49" s="212"/>
      <c r="AHA49" s="212"/>
      <c r="AHB49" s="212"/>
      <c r="AHC49" s="212"/>
      <c r="AHD49" s="212"/>
      <c r="AHE49" s="212"/>
      <c r="AHF49" s="212"/>
      <c r="AHG49" s="212"/>
      <c r="AHH49" s="212"/>
      <c r="AHI49" s="212"/>
      <c r="AHJ49" s="212"/>
      <c r="AHK49" s="212"/>
      <c r="AHL49" s="212"/>
      <c r="AHM49" s="212"/>
      <c r="AHN49" s="212"/>
      <c r="AHO49" s="212"/>
      <c r="AHP49" s="212"/>
      <c r="AHQ49" s="212"/>
      <c r="AHR49" s="212"/>
      <c r="AHS49" s="212"/>
      <c r="AHT49" s="212"/>
      <c r="AHU49" s="212"/>
      <c r="AHV49" s="212"/>
      <c r="AHW49" s="212"/>
      <c r="AHX49" s="212"/>
      <c r="AHY49" s="212"/>
      <c r="AHZ49" s="212"/>
      <c r="AIA49" s="212"/>
      <c r="AIB49" s="212"/>
      <c r="AIC49" s="212"/>
      <c r="AID49" s="212"/>
      <c r="AIE49" s="212"/>
      <c r="AIF49" s="212"/>
      <c r="AIG49" s="212"/>
      <c r="AIH49" s="212"/>
      <c r="AII49" s="212"/>
      <c r="AIJ49" s="212"/>
      <c r="AIK49" s="212"/>
      <c r="AIL49" s="212"/>
      <c r="AIM49" s="212"/>
      <c r="AIN49" s="212"/>
      <c r="AIO49" s="212"/>
      <c r="AIP49" s="212"/>
      <c r="AIQ49" s="212"/>
      <c r="AIR49" s="212"/>
      <c r="AIS49" s="212"/>
      <c r="AIT49" s="212"/>
      <c r="AIU49" s="212"/>
      <c r="AIV49" s="212"/>
      <c r="AIW49" s="212"/>
      <c r="AIX49" s="212"/>
      <c r="AIY49" s="212"/>
      <c r="AIZ49" s="212"/>
      <c r="AJA49" s="212"/>
      <c r="AJB49" s="212"/>
      <c r="AJC49" s="212"/>
      <c r="AJD49" s="212"/>
      <c r="AJE49" s="212"/>
      <c r="AJF49" s="212"/>
      <c r="AJG49" s="212"/>
      <c r="AJH49" s="212"/>
      <c r="AJI49" s="212"/>
      <c r="AJJ49" s="212"/>
      <c r="AJK49" s="212"/>
      <c r="AJL49" s="212"/>
      <c r="AJM49" s="212"/>
      <c r="AJN49" s="212"/>
      <c r="AJO49" s="212"/>
      <c r="AJP49" s="212"/>
      <c r="AJQ49" s="212"/>
      <c r="AJR49" s="212"/>
      <c r="AJS49" s="212"/>
      <c r="AJT49" s="212"/>
      <c r="AJU49" s="212"/>
      <c r="AJV49" s="212"/>
      <c r="AJW49" s="212"/>
      <c r="AJX49" s="212"/>
      <c r="AJY49" s="212"/>
      <c r="AJZ49" s="212"/>
      <c r="AKA49" s="212"/>
      <c r="AKB49" s="212"/>
      <c r="AKC49" s="212"/>
      <c r="AKD49" s="212"/>
      <c r="AKE49" s="212"/>
      <c r="AKF49" s="212"/>
      <c r="AKG49" s="212"/>
      <c r="AKH49" s="212"/>
      <c r="AKI49" s="212"/>
      <c r="AKJ49" s="212"/>
      <c r="AKK49" s="212"/>
      <c r="AKL49" s="212"/>
      <c r="AKM49" s="212"/>
      <c r="AKN49" s="212"/>
      <c r="AKO49" s="212"/>
      <c r="AKP49" s="212"/>
      <c r="AKQ49" s="212"/>
      <c r="AKR49" s="212"/>
      <c r="AKS49" s="212"/>
      <c r="AKT49" s="212"/>
      <c r="AKU49" s="212"/>
      <c r="AKV49" s="212"/>
      <c r="AKW49" s="212"/>
      <c r="AKX49" s="212"/>
      <c r="AKY49" s="212"/>
      <c r="AKZ49" s="212"/>
      <c r="ALA49" s="212"/>
      <c r="ALB49" s="212"/>
      <c r="ALC49" s="212"/>
      <c r="ALD49" s="212"/>
      <c r="ALE49" s="212"/>
      <c r="ALF49" s="212"/>
      <c r="ALG49" s="212"/>
      <c r="ALH49" s="212"/>
      <c r="ALI49" s="212"/>
      <c r="ALJ49" s="212"/>
      <c r="ALK49" s="212"/>
      <c r="ALL49" s="212"/>
      <c r="ALM49" s="212"/>
      <c r="ALN49" s="212"/>
      <c r="ALO49" s="212"/>
      <c r="ALP49" s="212"/>
      <c r="ALQ49" s="212"/>
      <c r="ALR49" s="212"/>
      <c r="ALS49" s="212"/>
      <c r="ALT49" s="212"/>
      <c r="ALU49" s="212"/>
      <c r="ALV49" s="212"/>
      <c r="ALW49" s="212"/>
      <c r="ALX49" s="212"/>
      <c r="ALY49" s="212"/>
      <c r="ALZ49" s="212"/>
      <c r="AMA49" s="212"/>
      <c r="AMB49" s="212"/>
      <c r="AMC49" s="212"/>
      <c r="AMD49" s="212"/>
      <c r="AME49" s="212"/>
      <c r="AMF49" s="212"/>
      <c r="AMG49" s="212"/>
      <c r="AMH49" s="212"/>
      <c r="AMI49" s="212"/>
      <c r="AMJ49" s="212"/>
      <c r="AMK49" s="212"/>
      <c r="AML49" s="212"/>
      <c r="AMM49" s="212"/>
      <c r="AMN49" s="212"/>
      <c r="AMO49" s="212"/>
      <c r="AMP49" s="212"/>
      <c r="AMQ49" s="212"/>
      <c r="AMR49" s="212"/>
      <c r="AMS49" s="212"/>
      <c r="AMT49" s="212"/>
      <c r="AMU49" s="212"/>
      <c r="AMV49" s="212"/>
      <c r="AMW49" s="212"/>
      <c r="AMX49" s="212"/>
      <c r="AMY49" s="212"/>
      <c r="AMZ49" s="212"/>
      <c r="ANA49" s="212"/>
      <c r="ANB49" s="212"/>
      <c r="ANC49" s="212"/>
      <c r="AND49" s="212"/>
      <c r="ANE49" s="212"/>
      <c r="ANF49" s="212"/>
      <c r="ANG49" s="212"/>
      <c r="ANH49" s="212"/>
      <c r="ANI49" s="212"/>
      <c r="ANJ49" s="212"/>
      <c r="ANK49" s="212"/>
      <c r="ANL49" s="212"/>
      <c r="ANM49" s="212"/>
      <c r="ANN49" s="212"/>
      <c r="ANO49" s="212"/>
      <c r="ANP49" s="212"/>
      <c r="ANQ49" s="212"/>
      <c r="ANR49" s="212"/>
      <c r="ANS49" s="212"/>
      <c r="ANT49" s="212"/>
      <c r="ANU49" s="212"/>
      <c r="ANV49" s="212"/>
      <c r="ANW49" s="212"/>
      <c r="ANX49" s="212"/>
      <c r="ANY49" s="212"/>
      <c r="ANZ49" s="212"/>
      <c r="AOA49" s="212"/>
      <c r="AOB49" s="212"/>
      <c r="AOC49" s="212"/>
      <c r="AOD49" s="212"/>
      <c r="AOE49" s="212"/>
      <c r="AOF49" s="212"/>
      <c r="AOG49" s="212"/>
      <c r="AOH49" s="212"/>
      <c r="AOI49" s="212"/>
      <c r="AOJ49" s="212"/>
      <c r="AOK49" s="212"/>
      <c r="AOL49" s="212"/>
      <c r="AOM49" s="212"/>
      <c r="AON49" s="212"/>
      <c r="AOO49" s="212"/>
      <c r="AOP49" s="212"/>
      <c r="AOQ49" s="212"/>
      <c r="AOR49" s="212"/>
      <c r="AOS49" s="212"/>
      <c r="AOT49" s="212"/>
      <c r="AOU49" s="212"/>
      <c r="AOV49" s="212"/>
      <c r="AOW49" s="212"/>
      <c r="AOX49" s="212"/>
      <c r="AOY49" s="212"/>
      <c r="AOZ49" s="212"/>
      <c r="APA49" s="212"/>
      <c r="APB49" s="212"/>
      <c r="APC49" s="212"/>
      <c r="APD49" s="212"/>
      <c r="APE49" s="212"/>
      <c r="APF49" s="212"/>
      <c r="APG49" s="212"/>
      <c r="APH49" s="212"/>
      <c r="API49" s="212"/>
      <c r="APJ49" s="212"/>
      <c r="APK49" s="212"/>
      <c r="APL49" s="212"/>
      <c r="APM49" s="212"/>
      <c r="APN49" s="212"/>
      <c r="APO49" s="212"/>
      <c r="APP49" s="212"/>
      <c r="APQ49" s="212"/>
      <c r="APR49" s="212"/>
      <c r="APS49" s="212"/>
      <c r="APT49" s="212"/>
      <c r="APU49" s="212"/>
      <c r="APV49" s="212"/>
      <c r="APW49" s="212"/>
      <c r="APX49" s="212"/>
      <c r="APY49" s="212"/>
      <c r="APZ49" s="212"/>
      <c r="AQA49" s="212"/>
      <c r="AQB49" s="212"/>
      <c r="AQC49" s="212"/>
      <c r="AQD49" s="212"/>
      <c r="AQE49" s="212"/>
      <c r="AQF49" s="212"/>
      <c r="AQG49" s="212"/>
      <c r="AQH49" s="212"/>
      <c r="AQI49" s="212"/>
      <c r="AQJ49" s="212"/>
      <c r="AQK49" s="212"/>
      <c r="AQL49" s="212"/>
      <c r="AQM49" s="212"/>
      <c r="AQN49" s="212"/>
      <c r="AQO49" s="212"/>
      <c r="AQP49" s="212"/>
      <c r="AQQ49" s="212"/>
      <c r="AQR49" s="212"/>
      <c r="AQS49" s="212"/>
      <c r="AQT49" s="212"/>
      <c r="AQU49" s="212"/>
      <c r="AQV49" s="212"/>
      <c r="AQW49" s="212"/>
      <c r="AQX49" s="212"/>
      <c r="AQY49" s="212"/>
      <c r="AQZ49" s="212"/>
      <c r="ARA49" s="212"/>
      <c r="ARB49" s="212"/>
      <c r="ARC49" s="212"/>
      <c r="ARD49" s="212"/>
      <c r="ARE49" s="212"/>
      <c r="ARF49" s="212"/>
      <c r="ARG49" s="212"/>
      <c r="ARH49" s="212"/>
      <c r="ARI49" s="212"/>
      <c r="ARJ49" s="212"/>
      <c r="ARK49" s="212"/>
      <c r="ARL49" s="212"/>
      <c r="ARM49" s="212"/>
      <c r="ARN49" s="212"/>
      <c r="ARO49" s="212"/>
      <c r="ARP49" s="212"/>
      <c r="ARQ49" s="212"/>
      <c r="ARR49" s="212"/>
      <c r="ARS49" s="212"/>
      <c r="ART49" s="212"/>
      <c r="ARU49" s="212"/>
      <c r="ARV49" s="212"/>
      <c r="ARW49" s="212"/>
      <c r="ARX49" s="212"/>
      <c r="ARY49" s="212"/>
      <c r="ARZ49" s="212"/>
      <c r="ASA49" s="212"/>
      <c r="ASB49" s="212"/>
      <c r="ASC49" s="212"/>
      <c r="ASD49" s="212"/>
      <c r="ASE49" s="212"/>
      <c r="ASF49" s="212"/>
      <c r="ASG49" s="212"/>
      <c r="ASH49" s="212"/>
      <c r="ASI49" s="212"/>
      <c r="ASJ49" s="212"/>
      <c r="ASK49" s="212"/>
      <c r="ASL49" s="212"/>
      <c r="ASM49" s="212"/>
      <c r="ASN49" s="212"/>
      <c r="ASO49" s="212"/>
      <c r="ASP49" s="212"/>
      <c r="ASQ49" s="212"/>
      <c r="ASR49" s="212"/>
      <c r="ASS49" s="212"/>
      <c r="AST49" s="212"/>
      <c r="ASU49" s="212"/>
      <c r="ASV49" s="212"/>
      <c r="ASW49" s="212"/>
      <c r="ASX49" s="212"/>
      <c r="ASY49" s="212"/>
      <c r="ASZ49" s="212"/>
      <c r="ATA49" s="212"/>
      <c r="ATB49" s="212"/>
      <c r="ATC49" s="212"/>
      <c r="ATD49" s="212"/>
      <c r="ATE49" s="212"/>
      <c r="ATF49" s="212"/>
      <c r="ATG49" s="212"/>
      <c r="ATH49" s="212"/>
      <c r="ATI49" s="212"/>
      <c r="ATJ49" s="212"/>
      <c r="ATK49" s="212"/>
      <c r="ATL49" s="212"/>
      <c r="ATM49" s="212"/>
      <c r="ATN49" s="212"/>
      <c r="ATO49" s="212"/>
      <c r="ATP49" s="212"/>
      <c r="ATQ49" s="212"/>
      <c r="ATR49" s="212"/>
      <c r="ATS49" s="212"/>
      <c r="ATT49" s="212"/>
      <c r="ATU49" s="212"/>
      <c r="ATV49" s="212"/>
      <c r="ATW49" s="212"/>
      <c r="ATX49" s="212"/>
      <c r="ATY49" s="212"/>
      <c r="ATZ49" s="212"/>
      <c r="AUA49" s="212"/>
      <c r="AUB49" s="212"/>
      <c r="AUC49" s="212"/>
      <c r="AUD49" s="212"/>
      <c r="AUE49" s="212"/>
      <c r="AUF49" s="212"/>
      <c r="AUG49" s="212"/>
      <c r="AUH49" s="212"/>
      <c r="AUI49" s="212"/>
      <c r="AUJ49" s="212"/>
      <c r="AUK49" s="212"/>
      <c r="AUL49" s="212"/>
      <c r="AUM49" s="212"/>
      <c r="AUN49" s="212"/>
      <c r="AUO49" s="212"/>
      <c r="AUP49" s="212"/>
      <c r="AUQ49" s="212"/>
      <c r="AUR49" s="212"/>
      <c r="AUS49" s="212"/>
      <c r="AUT49" s="212"/>
      <c r="AUU49" s="212"/>
      <c r="AUV49" s="212"/>
      <c r="AUW49" s="212"/>
      <c r="AUX49" s="212"/>
      <c r="AUY49" s="212"/>
      <c r="AUZ49" s="212"/>
      <c r="AVA49" s="212"/>
      <c r="AVB49" s="212"/>
      <c r="AVC49" s="212"/>
      <c r="AVD49" s="212"/>
      <c r="AVE49" s="212"/>
      <c r="AVF49" s="212"/>
      <c r="AVG49" s="212"/>
      <c r="AVH49" s="212"/>
      <c r="AVI49" s="212"/>
      <c r="AVJ49" s="212"/>
      <c r="AVK49" s="212"/>
      <c r="AVL49" s="212"/>
      <c r="AVM49" s="212"/>
      <c r="AVN49" s="212"/>
      <c r="AVO49" s="212"/>
      <c r="AVP49" s="212"/>
      <c r="AVQ49" s="212"/>
      <c r="AVR49" s="212"/>
      <c r="AVS49" s="212"/>
      <c r="AVT49" s="212"/>
      <c r="AVU49" s="212"/>
      <c r="AVV49" s="212"/>
      <c r="AVW49" s="212"/>
      <c r="AVX49" s="212"/>
      <c r="AVY49" s="212"/>
      <c r="AVZ49" s="212"/>
      <c r="AWA49" s="212"/>
      <c r="AWB49" s="212"/>
      <c r="AWC49" s="212"/>
      <c r="AWD49" s="212"/>
      <c r="AWE49" s="212"/>
      <c r="AWF49" s="212"/>
      <c r="AWG49" s="212"/>
      <c r="AWH49" s="212"/>
      <c r="AWI49" s="212"/>
      <c r="AWJ49" s="212"/>
      <c r="AWK49" s="212"/>
      <c r="AWL49" s="212"/>
      <c r="AWM49" s="212"/>
      <c r="AWN49" s="212"/>
      <c r="AWO49" s="212"/>
      <c r="AWP49" s="212"/>
      <c r="AWQ49" s="212"/>
      <c r="AWR49" s="212"/>
      <c r="AWS49" s="212"/>
      <c r="AWT49" s="212"/>
      <c r="AWU49" s="212"/>
      <c r="AWV49" s="212"/>
      <c r="AWW49" s="212"/>
      <c r="AWX49" s="212"/>
      <c r="AWY49" s="212"/>
      <c r="AWZ49" s="212"/>
      <c r="AXA49" s="212"/>
      <c r="AXB49" s="212"/>
      <c r="AXC49" s="212"/>
      <c r="AXD49" s="212"/>
      <c r="AXE49" s="212"/>
      <c r="AXF49" s="212"/>
      <c r="AXG49" s="212"/>
      <c r="AXH49" s="212"/>
      <c r="AXI49" s="212"/>
      <c r="AXJ49" s="212"/>
      <c r="AXK49" s="212"/>
      <c r="AXL49" s="212"/>
      <c r="AXM49" s="212"/>
      <c r="AXN49" s="212"/>
      <c r="AXO49" s="212"/>
      <c r="AXP49" s="212"/>
      <c r="AXQ49" s="212"/>
      <c r="AXR49" s="212"/>
      <c r="AXS49" s="212"/>
      <c r="AXT49" s="212"/>
      <c r="AXU49" s="212"/>
      <c r="AXV49" s="212"/>
      <c r="AXW49" s="212"/>
      <c r="AXX49" s="212"/>
      <c r="AXY49" s="212"/>
      <c r="AXZ49" s="212"/>
      <c r="AYA49" s="212"/>
      <c r="AYB49" s="212"/>
      <c r="AYC49" s="212"/>
      <c r="AYD49" s="212"/>
      <c r="AYE49" s="212"/>
      <c r="AYF49" s="212"/>
      <c r="AYG49" s="212"/>
      <c r="AYH49" s="212"/>
      <c r="AYI49" s="212"/>
      <c r="AYJ49" s="212"/>
      <c r="AYK49" s="212"/>
      <c r="AYL49" s="212"/>
      <c r="AYM49" s="212"/>
      <c r="AYN49" s="212"/>
      <c r="AYO49" s="212"/>
      <c r="AYP49" s="212"/>
      <c r="AYQ49" s="212"/>
      <c r="AYR49" s="212"/>
      <c r="AYS49" s="212"/>
      <c r="AYT49" s="212"/>
      <c r="AYU49" s="212"/>
      <c r="AYV49" s="212"/>
      <c r="AYW49" s="212"/>
      <c r="AYX49" s="212"/>
      <c r="AYY49" s="212"/>
      <c r="AYZ49" s="212"/>
      <c r="AZA49" s="212"/>
      <c r="AZB49" s="212"/>
      <c r="AZC49" s="212"/>
      <c r="AZD49" s="212"/>
      <c r="AZE49" s="212"/>
      <c r="AZF49" s="212"/>
      <c r="AZG49" s="212"/>
      <c r="AZH49" s="212"/>
      <c r="AZI49" s="212"/>
      <c r="AZJ49" s="212"/>
      <c r="AZK49" s="212"/>
      <c r="AZL49" s="212"/>
      <c r="AZM49" s="212"/>
      <c r="AZN49" s="212"/>
      <c r="AZO49" s="212"/>
      <c r="AZP49" s="212"/>
      <c r="AZQ49" s="212"/>
      <c r="AZR49" s="212"/>
      <c r="AZS49" s="212"/>
      <c r="AZT49" s="212"/>
      <c r="AZU49" s="212"/>
      <c r="AZV49" s="212"/>
      <c r="AZW49" s="212"/>
      <c r="AZX49" s="212"/>
      <c r="AZY49" s="212"/>
      <c r="AZZ49" s="212"/>
      <c r="BAA49" s="212"/>
      <c r="BAB49" s="212"/>
      <c r="BAC49" s="212"/>
      <c r="BAD49" s="212"/>
      <c r="BAE49" s="212"/>
      <c r="BAF49" s="212"/>
      <c r="BAG49" s="212"/>
      <c r="BAH49" s="212"/>
      <c r="BAI49" s="212"/>
      <c r="BAJ49" s="212"/>
      <c r="BAK49" s="212"/>
      <c r="BAL49" s="212"/>
      <c r="BAM49" s="212"/>
      <c r="BAN49" s="212"/>
      <c r="BAO49" s="212"/>
      <c r="BAP49" s="212"/>
      <c r="BAQ49" s="212"/>
      <c r="BAR49" s="212"/>
      <c r="BAS49" s="212"/>
      <c r="BAT49" s="212"/>
      <c r="BAU49" s="212"/>
      <c r="BAV49" s="212"/>
      <c r="BAW49" s="212"/>
      <c r="BAX49" s="212"/>
      <c r="BAY49" s="212"/>
      <c r="BAZ49" s="212"/>
      <c r="BBA49" s="212"/>
      <c r="BBB49" s="212"/>
      <c r="BBC49" s="212"/>
      <c r="BBD49" s="212"/>
      <c r="BBE49" s="212"/>
      <c r="BBF49" s="212"/>
      <c r="BBG49" s="212"/>
      <c r="BBH49" s="212"/>
      <c r="BBI49" s="212"/>
      <c r="BBJ49" s="212"/>
      <c r="BBK49" s="212"/>
      <c r="BBL49" s="212"/>
      <c r="BBM49" s="212"/>
      <c r="BBN49" s="212"/>
      <c r="BBO49" s="212"/>
      <c r="BBP49" s="212"/>
      <c r="BBQ49" s="212"/>
      <c r="BBR49" s="212"/>
      <c r="BBS49" s="212"/>
      <c r="BBT49" s="212"/>
      <c r="BBU49" s="212"/>
      <c r="BBV49" s="212"/>
      <c r="BBW49" s="212"/>
      <c r="BBX49" s="212"/>
      <c r="BBY49" s="212"/>
      <c r="BBZ49" s="212"/>
      <c r="BCA49" s="212"/>
      <c r="BCB49" s="212"/>
      <c r="BCC49" s="212"/>
      <c r="BCD49" s="212"/>
      <c r="BCE49" s="212"/>
      <c r="BCF49" s="212"/>
      <c r="BCG49" s="212"/>
      <c r="BCH49" s="212"/>
      <c r="BCI49" s="212"/>
      <c r="BCJ49" s="212"/>
      <c r="BCK49" s="212"/>
      <c r="BCL49" s="212"/>
      <c r="BCM49" s="212"/>
      <c r="BCN49" s="212"/>
      <c r="BCO49" s="212"/>
      <c r="BCP49" s="212"/>
      <c r="BCQ49" s="212"/>
      <c r="BCR49" s="212"/>
      <c r="BCS49" s="212"/>
      <c r="BCT49" s="212"/>
      <c r="BCU49" s="212"/>
      <c r="BCV49" s="212"/>
      <c r="BCW49" s="212"/>
      <c r="BCX49" s="212"/>
      <c r="BCY49" s="212"/>
      <c r="BCZ49" s="212"/>
      <c r="BDA49" s="212"/>
      <c r="BDB49" s="212"/>
      <c r="BDC49" s="212"/>
      <c r="BDD49" s="212"/>
      <c r="BDE49" s="212"/>
      <c r="BDF49" s="212"/>
      <c r="BDG49" s="212"/>
      <c r="BDH49" s="212"/>
      <c r="BDI49" s="212"/>
      <c r="BDJ49" s="212"/>
      <c r="BDK49" s="212"/>
      <c r="BDL49" s="212"/>
      <c r="BDM49" s="212"/>
      <c r="BDN49" s="212"/>
      <c r="BDO49" s="212"/>
      <c r="BDP49" s="212"/>
      <c r="BDQ49" s="212"/>
      <c r="BDR49" s="212"/>
      <c r="BDS49" s="212"/>
      <c r="BDT49" s="212"/>
      <c r="BDU49" s="212"/>
      <c r="BDV49" s="212"/>
      <c r="BDW49" s="212"/>
      <c r="BDX49" s="212"/>
      <c r="BDY49" s="212"/>
      <c r="BDZ49" s="212"/>
      <c r="BEA49" s="212"/>
      <c r="BEB49" s="212"/>
      <c r="BEC49" s="212"/>
      <c r="BED49" s="212"/>
      <c r="BEE49" s="212"/>
      <c r="BEF49" s="212"/>
      <c r="BEG49" s="212"/>
      <c r="BEH49" s="212"/>
      <c r="BEI49" s="212"/>
      <c r="BEJ49" s="212"/>
      <c r="BEK49" s="212"/>
      <c r="BEL49" s="212"/>
      <c r="BEM49" s="212"/>
      <c r="BEN49" s="212"/>
      <c r="BEO49" s="212"/>
      <c r="BEP49" s="212"/>
      <c r="BEQ49" s="212"/>
      <c r="BER49" s="212"/>
      <c r="BES49" s="212"/>
      <c r="BET49" s="212"/>
      <c r="BEU49" s="212"/>
      <c r="BEV49" s="212"/>
      <c r="BEW49" s="212"/>
      <c r="BEX49" s="212"/>
      <c r="BEY49" s="212"/>
      <c r="BEZ49" s="212"/>
      <c r="BFA49" s="212"/>
      <c r="BFB49" s="212"/>
      <c r="BFC49" s="212"/>
      <c r="BFD49" s="212"/>
      <c r="BFE49" s="212"/>
      <c r="BFF49" s="212"/>
      <c r="BFG49" s="212"/>
      <c r="BFH49" s="212"/>
      <c r="BFI49" s="212"/>
      <c r="BFJ49" s="212"/>
      <c r="BFK49" s="212"/>
      <c r="BFL49" s="212"/>
      <c r="BFM49" s="212"/>
      <c r="BFN49" s="212"/>
      <c r="BFO49" s="212"/>
      <c r="BFP49" s="212"/>
      <c r="BFQ49" s="212"/>
      <c r="BFR49" s="212"/>
      <c r="BFS49" s="212"/>
      <c r="BFT49" s="212"/>
      <c r="BFU49" s="212"/>
      <c r="BFV49" s="212"/>
      <c r="BFW49" s="212"/>
      <c r="BFX49" s="212"/>
      <c r="BFY49" s="212"/>
      <c r="BFZ49" s="212"/>
      <c r="BGA49" s="212"/>
      <c r="BGB49" s="212"/>
      <c r="BGC49" s="212"/>
      <c r="BGD49" s="212"/>
      <c r="BGE49" s="212"/>
      <c r="BGF49" s="212"/>
      <c r="BGG49" s="212"/>
      <c r="BGH49" s="212"/>
      <c r="BGI49" s="212"/>
      <c r="BGJ49" s="212"/>
      <c r="BGK49" s="212"/>
      <c r="BGL49" s="212"/>
      <c r="BGM49" s="212"/>
      <c r="BGN49" s="212"/>
      <c r="BGO49" s="212"/>
      <c r="BGP49" s="212"/>
      <c r="BGQ49" s="212"/>
      <c r="BGR49" s="212"/>
      <c r="BGS49" s="212"/>
      <c r="BGT49" s="212"/>
      <c r="BGU49" s="212"/>
      <c r="BGV49" s="212"/>
      <c r="BGW49" s="212"/>
      <c r="BGX49" s="212"/>
      <c r="BGY49" s="212"/>
      <c r="BGZ49" s="212"/>
      <c r="BHA49" s="212"/>
      <c r="BHB49" s="212"/>
      <c r="BHC49" s="212"/>
      <c r="BHD49" s="212"/>
      <c r="BHE49" s="212"/>
      <c r="BHF49" s="212"/>
      <c r="BHG49" s="212"/>
      <c r="BHH49" s="212"/>
      <c r="BHI49" s="212"/>
      <c r="BHJ49" s="212"/>
      <c r="BHK49" s="212"/>
      <c r="BHL49" s="212"/>
      <c r="BHM49" s="212"/>
      <c r="BHN49" s="212"/>
      <c r="BHO49" s="212"/>
      <c r="BHP49" s="212"/>
      <c r="BHQ49" s="212"/>
      <c r="BHR49" s="212"/>
      <c r="BHS49" s="212"/>
      <c r="BHT49" s="212"/>
      <c r="BHU49" s="212"/>
      <c r="BHV49" s="212"/>
      <c r="BHW49" s="212"/>
      <c r="BHX49" s="212"/>
      <c r="BHY49" s="212"/>
      <c r="BHZ49" s="212"/>
      <c r="BIA49" s="212"/>
      <c r="BIB49" s="212"/>
      <c r="BIC49" s="212"/>
      <c r="BID49" s="212"/>
      <c r="BIE49" s="212"/>
      <c r="BIF49" s="212"/>
      <c r="BIG49" s="212"/>
      <c r="BIH49" s="212"/>
      <c r="BII49" s="212"/>
      <c r="BIJ49" s="212"/>
      <c r="BIK49" s="212"/>
      <c r="BIL49" s="212"/>
      <c r="BIM49" s="212"/>
      <c r="BIN49" s="212"/>
      <c r="BIO49" s="212"/>
      <c r="BIP49" s="212"/>
      <c r="BIQ49" s="212"/>
      <c r="BIR49" s="212"/>
      <c r="BIS49" s="212"/>
      <c r="BIT49" s="212"/>
      <c r="BIU49" s="212"/>
      <c r="BIV49" s="212"/>
      <c r="BIW49" s="212"/>
      <c r="BIX49" s="212"/>
      <c r="BIY49" s="212"/>
      <c r="BIZ49" s="212"/>
      <c r="BJA49" s="212"/>
      <c r="BJB49" s="212"/>
      <c r="BJC49" s="212"/>
      <c r="BJD49" s="212"/>
      <c r="BJE49" s="212"/>
      <c r="BJF49" s="212"/>
      <c r="BJG49" s="212"/>
      <c r="BJH49" s="212"/>
      <c r="BJI49" s="212"/>
      <c r="BJJ49" s="212"/>
      <c r="BJK49" s="212"/>
      <c r="BJL49" s="212"/>
      <c r="BJM49" s="212"/>
      <c r="BJN49" s="212"/>
      <c r="BJO49" s="212"/>
      <c r="BJP49" s="212"/>
      <c r="BJQ49" s="212"/>
      <c r="BJR49" s="212"/>
      <c r="BJS49" s="212"/>
      <c r="BJT49" s="212"/>
      <c r="BJU49" s="212"/>
      <c r="BJV49" s="212"/>
      <c r="BJW49" s="212"/>
      <c r="BJX49" s="212"/>
      <c r="BJY49" s="212"/>
      <c r="BJZ49" s="212"/>
      <c r="BKA49" s="212"/>
      <c r="BKB49" s="212"/>
      <c r="BKC49" s="212"/>
      <c r="BKD49" s="212"/>
      <c r="BKE49" s="212"/>
      <c r="BKF49" s="212"/>
      <c r="BKG49" s="212"/>
      <c r="BKH49" s="212"/>
      <c r="BKI49" s="212"/>
      <c r="BKJ49" s="212"/>
      <c r="BKK49" s="212"/>
      <c r="BKL49" s="212"/>
      <c r="BKM49" s="212"/>
      <c r="BKN49" s="212"/>
      <c r="BKO49" s="212"/>
      <c r="BKP49" s="212"/>
      <c r="BKQ49" s="212"/>
      <c r="BKR49" s="212"/>
      <c r="BKS49" s="212"/>
      <c r="BKT49" s="212"/>
      <c r="BKU49" s="212"/>
      <c r="BKV49" s="212"/>
      <c r="BKW49" s="212"/>
      <c r="BKX49" s="212"/>
      <c r="BKY49" s="212"/>
      <c r="BKZ49" s="212"/>
      <c r="BLA49" s="212"/>
      <c r="BLB49" s="212"/>
      <c r="BLC49" s="212"/>
      <c r="BLD49" s="212"/>
      <c r="BLE49" s="212"/>
      <c r="BLF49" s="212"/>
      <c r="BLG49" s="212"/>
      <c r="BLH49" s="212"/>
      <c r="BLI49" s="212"/>
      <c r="BLJ49" s="212"/>
      <c r="BLK49" s="212"/>
      <c r="BLL49" s="212"/>
      <c r="BLM49" s="212"/>
      <c r="BLN49" s="212"/>
      <c r="BLO49" s="212"/>
      <c r="BLP49" s="212"/>
      <c r="BLQ49" s="212"/>
      <c r="BLR49" s="212"/>
      <c r="BLS49" s="212"/>
      <c r="BLT49" s="212"/>
      <c r="BLU49" s="212"/>
      <c r="BLV49" s="212"/>
      <c r="BLW49" s="212"/>
      <c r="BLX49" s="212"/>
      <c r="BLY49" s="212"/>
      <c r="BLZ49" s="212"/>
      <c r="BMA49" s="212"/>
      <c r="BMB49" s="212"/>
      <c r="BMC49" s="212"/>
      <c r="BMD49" s="212"/>
      <c r="BME49" s="212"/>
      <c r="BMF49" s="212"/>
      <c r="BMG49" s="212"/>
      <c r="BMH49" s="212"/>
      <c r="BMI49" s="212"/>
      <c r="BMJ49" s="212"/>
      <c r="BMK49" s="212"/>
      <c r="BML49" s="212"/>
      <c r="BMM49" s="212"/>
      <c r="BMN49" s="212"/>
      <c r="BMO49" s="212"/>
      <c r="BMP49" s="212"/>
      <c r="BMQ49" s="212"/>
      <c r="BMR49" s="212"/>
      <c r="BMS49" s="212"/>
      <c r="BMT49" s="212"/>
      <c r="BMU49" s="212"/>
      <c r="BMV49" s="212"/>
      <c r="BMW49" s="212"/>
      <c r="BMX49" s="212"/>
      <c r="BMY49" s="212"/>
      <c r="BMZ49" s="212"/>
      <c r="BNA49" s="212"/>
      <c r="BNB49" s="212"/>
      <c r="BNC49" s="212"/>
      <c r="BND49" s="212"/>
      <c r="BNE49" s="212"/>
      <c r="BNF49" s="212"/>
      <c r="BNG49" s="212"/>
      <c r="BNH49" s="212"/>
      <c r="BNI49" s="212"/>
      <c r="BNJ49" s="212"/>
      <c r="BNK49" s="212"/>
      <c r="BNL49" s="212"/>
      <c r="BNM49" s="212"/>
      <c r="BNN49" s="212"/>
      <c r="BNO49" s="212"/>
      <c r="BNP49" s="212"/>
      <c r="BNQ49" s="212"/>
      <c r="BNR49" s="212"/>
      <c r="BNS49" s="212"/>
      <c r="BNT49" s="212"/>
      <c r="BNU49" s="212"/>
      <c r="BNV49" s="212"/>
      <c r="BNW49" s="212"/>
      <c r="BNX49" s="212"/>
      <c r="BNY49" s="212"/>
      <c r="BNZ49" s="212"/>
      <c r="BOA49" s="212"/>
      <c r="BOB49" s="212"/>
      <c r="BOC49" s="212"/>
      <c r="BOD49" s="212"/>
      <c r="BOE49" s="212"/>
      <c r="BOF49" s="212"/>
      <c r="BOG49" s="212"/>
      <c r="BOH49" s="212"/>
      <c r="BOI49" s="212"/>
      <c r="BOJ49" s="212"/>
      <c r="BOK49" s="212"/>
      <c r="BOL49" s="212"/>
      <c r="BOM49" s="212"/>
      <c r="BON49" s="212"/>
      <c r="BOO49" s="212"/>
      <c r="BOP49" s="212"/>
      <c r="BOQ49" s="212"/>
      <c r="BOR49" s="212"/>
      <c r="BOS49" s="212"/>
      <c r="BOT49" s="212"/>
      <c r="BOU49" s="212"/>
      <c r="BOV49" s="212"/>
      <c r="BOW49" s="212"/>
      <c r="BOX49" s="212"/>
      <c r="BOY49" s="212"/>
      <c r="BOZ49" s="212"/>
      <c r="BPA49" s="212"/>
      <c r="BPB49" s="212"/>
      <c r="BPC49" s="212"/>
      <c r="BPD49" s="212"/>
      <c r="BPE49" s="212"/>
      <c r="BPF49" s="212"/>
      <c r="BPG49" s="212"/>
      <c r="BPH49" s="212"/>
      <c r="BPI49" s="212"/>
      <c r="BPJ49" s="212"/>
      <c r="BPK49" s="212"/>
      <c r="BPL49" s="212"/>
      <c r="BPM49" s="212"/>
      <c r="BPN49" s="212"/>
      <c r="BPO49" s="212"/>
      <c r="BPP49" s="212"/>
      <c r="BPQ49" s="212"/>
      <c r="BPR49" s="212"/>
      <c r="BPS49" s="212"/>
      <c r="BPT49" s="212"/>
      <c r="BPU49" s="212"/>
      <c r="BPV49" s="212"/>
      <c r="BPW49" s="212"/>
      <c r="BPX49" s="212"/>
      <c r="BPY49" s="212"/>
      <c r="BPZ49" s="212"/>
      <c r="BQA49" s="212"/>
      <c r="BQB49" s="212"/>
      <c r="BQC49" s="212"/>
      <c r="BQD49" s="212"/>
      <c r="BQE49" s="212"/>
      <c r="BQF49" s="212"/>
      <c r="BQG49" s="212"/>
      <c r="BQH49" s="212"/>
      <c r="BQI49" s="212"/>
      <c r="BQJ49" s="212"/>
      <c r="BQK49" s="212"/>
      <c r="BQL49" s="212"/>
      <c r="BQM49" s="212"/>
      <c r="BQN49" s="212"/>
      <c r="BQO49" s="212"/>
      <c r="BQP49" s="212"/>
      <c r="BQQ49" s="212"/>
      <c r="BQR49" s="212"/>
      <c r="BQS49" s="212"/>
      <c r="BQT49" s="212"/>
      <c r="BQU49" s="212"/>
      <c r="BQV49" s="212"/>
      <c r="BQW49" s="212"/>
      <c r="BQX49" s="212"/>
      <c r="BQY49" s="212"/>
      <c r="BQZ49" s="212"/>
      <c r="BRA49" s="212"/>
      <c r="BRB49" s="212"/>
      <c r="BRC49" s="212"/>
      <c r="BRD49" s="212"/>
      <c r="BRE49" s="212"/>
      <c r="BRF49" s="212"/>
      <c r="BRG49" s="212"/>
      <c r="BRH49" s="212"/>
      <c r="BRI49" s="212"/>
      <c r="BRJ49" s="212"/>
      <c r="BRK49" s="212"/>
      <c r="BRL49" s="212"/>
      <c r="BRM49" s="212"/>
      <c r="BRN49" s="212"/>
      <c r="BRO49" s="212"/>
      <c r="BRP49" s="212"/>
      <c r="BRQ49" s="212"/>
      <c r="BRR49" s="212"/>
      <c r="BRS49" s="212"/>
      <c r="BRT49" s="212"/>
      <c r="BRU49" s="212"/>
      <c r="BRV49" s="212"/>
      <c r="BRW49" s="212"/>
      <c r="BRX49" s="212"/>
      <c r="BRY49" s="212"/>
      <c r="BRZ49" s="212"/>
      <c r="BSA49" s="212"/>
      <c r="BSB49" s="212"/>
      <c r="BSC49" s="212"/>
      <c r="BSD49" s="212"/>
      <c r="BSE49" s="212"/>
      <c r="BSF49" s="212"/>
      <c r="BSG49" s="212"/>
      <c r="BSH49" s="212"/>
      <c r="BSI49" s="212"/>
      <c r="BSJ49" s="212"/>
      <c r="BSK49" s="212"/>
      <c r="BSL49" s="212"/>
      <c r="BSM49" s="212"/>
      <c r="BSN49" s="212"/>
      <c r="BSO49" s="212"/>
      <c r="BSP49" s="212"/>
      <c r="BSQ49" s="212"/>
      <c r="BSR49" s="212"/>
      <c r="BSS49" s="212"/>
      <c r="BST49" s="212"/>
      <c r="BSU49" s="212"/>
      <c r="BSV49" s="212"/>
      <c r="BSW49" s="212"/>
      <c r="BSX49" s="212"/>
      <c r="BSY49" s="212"/>
      <c r="BSZ49" s="212"/>
      <c r="BTA49" s="212"/>
      <c r="BTB49" s="212"/>
      <c r="BTC49" s="212"/>
      <c r="BTD49" s="212"/>
      <c r="BTE49" s="212"/>
      <c r="BTF49" s="212"/>
      <c r="BTG49" s="212"/>
      <c r="BTH49" s="212"/>
      <c r="BTI49" s="212"/>
      <c r="BTJ49" s="212"/>
      <c r="BTK49" s="212"/>
      <c r="BTL49" s="212"/>
      <c r="BTM49" s="212"/>
      <c r="BTN49" s="212"/>
      <c r="BTO49" s="212"/>
      <c r="BTP49" s="212"/>
      <c r="BTQ49" s="212"/>
      <c r="BTR49" s="212"/>
      <c r="BTS49" s="212"/>
      <c r="BTT49" s="212"/>
      <c r="BTU49" s="212"/>
      <c r="BTV49" s="212"/>
      <c r="BTW49" s="212"/>
      <c r="BTX49" s="212"/>
      <c r="BTY49" s="212"/>
      <c r="BTZ49" s="212"/>
      <c r="BUA49" s="212"/>
      <c r="BUB49" s="212"/>
      <c r="BUC49" s="212"/>
      <c r="BUD49" s="212"/>
      <c r="BUE49" s="212"/>
      <c r="BUF49" s="212"/>
      <c r="BUG49" s="212"/>
      <c r="BUH49" s="212"/>
      <c r="BUI49" s="212"/>
      <c r="BUJ49" s="212"/>
      <c r="BUK49" s="212"/>
      <c r="BUL49" s="212"/>
      <c r="BUM49" s="212"/>
      <c r="BUN49" s="212"/>
      <c r="BUO49" s="212"/>
      <c r="BUP49" s="212"/>
      <c r="BUQ49" s="212"/>
      <c r="BUR49" s="212"/>
      <c r="BUS49" s="212"/>
      <c r="BUT49" s="212"/>
      <c r="BUU49" s="212"/>
      <c r="BUV49" s="212"/>
      <c r="BUW49" s="212"/>
      <c r="BUX49" s="212"/>
      <c r="BUY49" s="212"/>
      <c r="BUZ49" s="212"/>
      <c r="BVA49" s="212"/>
      <c r="BVB49" s="212"/>
      <c r="BVC49" s="212"/>
      <c r="BVD49" s="212"/>
      <c r="BVE49" s="212"/>
      <c r="BVF49" s="212"/>
      <c r="BVG49" s="212"/>
      <c r="BVH49" s="212"/>
      <c r="BVI49" s="212"/>
      <c r="BVJ49" s="212"/>
      <c r="BVK49" s="212"/>
      <c r="BVL49" s="212"/>
      <c r="BVM49" s="212"/>
      <c r="BVN49" s="212"/>
      <c r="BVO49" s="212"/>
      <c r="BVP49" s="212"/>
      <c r="BVQ49" s="212"/>
      <c r="BVR49" s="212"/>
      <c r="BVS49" s="212"/>
      <c r="BVT49" s="212"/>
      <c r="BVU49" s="212"/>
      <c r="BVV49" s="212"/>
      <c r="BVW49" s="212"/>
      <c r="BVX49" s="212"/>
      <c r="BVY49" s="212"/>
      <c r="BVZ49" s="212"/>
      <c r="BWA49" s="212"/>
      <c r="BWB49" s="212"/>
      <c r="BWC49" s="212"/>
      <c r="BWD49" s="212"/>
      <c r="BWE49" s="212"/>
      <c r="BWF49" s="212"/>
      <c r="BWG49" s="212"/>
      <c r="BWH49" s="212"/>
      <c r="BWI49" s="212"/>
      <c r="BWJ49" s="212"/>
      <c r="BWK49" s="212"/>
      <c r="BWL49" s="212"/>
      <c r="BWM49" s="212"/>
      <c r="BWN49" s="212"/>
      <c r="BWO49" s="212"/>
      <c r="BWP49" s="212"/>
      <c r="BWQ49" s="212"/>
      <c r="BWR49" s="212"/>
      <c r="BWS49" s="212"/>
      <c r="BWT49" s="212"/>
      <c r="BWU49" s="212"/>
      <c r="BWV49" s="212"/>
      <c r="BWW49" s="212"/>
      <c r="BWX49" s="212"/>
      <c r="BWY49" s="212"/>
      <c r="BWZ49" s="212"/>
      <c r="BXA49" s="212"/>
      <c r="BXB49" s="212"/>
      <c r="BXC49" s="212"/>
      <c r="BXD49" s="212"/>
      <c r="BXE49" s="212"/>
      <c r="BXF49" s="212"/>
      <c r="BXG49" s="212"/>
      <c r="BXH49" s="212"/>
      <c r="BXI49" s="212"/>
      <c r="BXJ49" s="212"/>
      <c r="BXK49" s="212"/>
      <c r="BXL49" s="212"/>
      <c r="BXM49" s="212"/>
      <c r="BXN49" s="212"/>
      <c r="BXO49" s="212"/>
      <c r="BXP49" s="212"/>
      <c r="BXQ49" s="212"/>
      <c r="BXR49" s="212"/>
      <c r="BXS49" s="212"/>
      <c r="BXT49" s="212"/>
      <c r="BXU49" s="212"/>
      <c r="BXV49" s="212"/>
      <c r="BXW49" s="212"/>
      <c r="BXX49" s="212"/>
      <c r="BXY49" s="212"/>
      <c r="BXZ49" s="212"/>
      <c r="BYA49" s="212"/>
      <c r="BYB49" s="212"/>
      <c r="BYC49" s="212"/>
      <c r="BYD49" s="212"/>
      <c r="BYE49" s="212"/>
      <c r="BYF49" s="212"/>
      <c r="BYG49" s="212"/>
    </row>
    <row r="50" spans="1:2009" s="96" customFormat="1" ht="12.75" customHeight="1" thickBot="1" x14ac:dyDescent="0.3">
      <c r="A50" s="119"/>
      <c r="B50" s="120"/>
      <c r="C50" s="175"/>
      <c r="D50" s="175"/>
      <c r="E50" s="175"/>
      <c r="F50" s="175"/>
      <c r="G50" s="175"/>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79" t="s">
        <v>199</v>
      </c>
      <c r="B51" s="380"/>
      <c r="C51" s="381"/>
      <c r="D51" s="396"/>
      <c r="E51" s="396"/>
      <c r="F51" s="396"/>
      <c r="G51" s="382"/>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3"/>
      <c r="B52" s="386" t="s">
        <v>253</v>
      </c>
      <c r="C52" s="514">
        <f>750*3</f>
        <v>2250</v>
      </c>
      <c r="D52" s="514"/>
      <c r="E52" s="514"/>
      <c r="F52" s="514"/>
      <c r="G52" s="388">
        <f>SUM(C52:F52)</f>
        <v>2250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x14ac:dyDescent="0.25">
      <c r="A53" s="384"/>
      <c r="B53" s="387" t="s">
        <v>254</v>
      </c>
      <c r="C53" s="515">
        <f>4147.5-2250</f>
        <v>1897.5</v>
      </c>
      <c r="D53" s="515"/>
      <c r="E53" s="515"/>
      <c r="F53" s="515"/>
      <c r="G53" s="389">
        <f>SUM(C53:F53)</f>
        <v>1897.5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customHeight="1" thickBot="1" x14ac:dyDescent="0.3">
      <c r="A54" s="737" t="s">
        <v>200</v>
      </c>
      <c r="B54" s="738"/>
      <c r="C54" s="385">
        <f t="shared" ref="C54" si="2">SUM(C51:C53)</f>
        <v>4147.5</v>
      </c>
      <c r="D54" s="385"/>
      <c r="E54" s="385"/>
      <c r="F54" s="385"/>
      <c r="G54" s="385">
        <f t="shared" ref="G54" si="3">SUM(G51:G53)</f>
        <v>4147.5</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95" customFormat="1" ht="12.75" hidden="1" customHeight="1" thickBot="1" x14ac:dyDescent="0.3">
      <c r="A55" s="111"/>
      <c r="B55" s="111"/>
      <c r="C55" s="182"/>
      <c r="D55" s="182"/>
      <c r="E55" s="182"/>
      <c r="F55" s="182"/>
      <c r="G55" s="182"/>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row>
    <row r="56" spans="1:2009" s="121" customFormat="1" ht="24.95" hidden="1" customHeight="1" thickBot="1" x14ac:dyDescent="0.3">
      <c r="A56" s="523" t="s">
        <v>326</v>
      </c>
      <c r="B56" s="519"/>
      <c r="C56" s="520"/>
      <c r="D56" s="521"/>
      <c r="E56" s="521"/>
      <c r="F56" s="521"/>
      <c r="G56" s="522">
        <f>SUM(C56:F56)</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customHeight="1" thickBot="1" x14ac:dyDescent="0.3">
      <c r="A57" s="111"/>
      <c r="B57" s="111"/>
      <c r="C57" s="182"/>
      <c r="D57" s="182"/>
      <c r="E57" s="182"/>
      <c r="F57" s="182"/>
      <c r="G57" s="182"/>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customHeight="1" thickBot="1" x14ac:dyDescent="0.3">
      <c r="A58" s="577" t="s">
        <v>375</v>
      </c>
      <c r="B58" s="415"/>
      <c r="C58" s="416">
        <f>328+1886.16</f>
        <v>2214.16</v>
      </c>
      <c r="D58" s="417"/>
      <c r="E58" s="416"/>
      <c r="F58" s="417"/>
      <c r="G58" s="418">
        <f>SUM(C58:F58)</f>
        <v>2214.16</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13.5" hidden="1" customHeight="1" thickBot="1" x14ac:dyDescent="0.3">
      <c r="A59" s="111"/>
      <c r="B59" s="111"/>
      <c r="C59" s="489"/>
      <c r="D59" s="182"/>
      <c r="E59" s="182"/>
      <c r="F59" s="182"/>
      <c r="G59" s="489"/>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121" customFormat="1" ht="24.95" hidden="1" customHeight="1" thickBot="1" x14ac:dyDescent="0.3">
      <c r="A60" s="518" t="s">
        <v>231</v>
      </c>
      <c r="B60" s="517"/>
      <c r="C60" s="490"/>
      <c r="D60" s="491"/>
      <c r="E60" s="491"/>
      <c r="F60" s="491"/>
      <c r="G60" s="492">
        <f>SUM(C60:F60)</f>
        <v>0</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96" customFormat="1" ht="12.75" customHeight="1" thickBot="1" x14ac:dyDescent="0.3">
      <c r="A61" s="120"/>
      <c r="B61" s="120"/>
      <c r="C61" s="175"/>
      <c r="D61" s="175"/>
      <c r="E61" s="175"/>
      <c r="F61" s="175"/>
      <c r="G61" s="175"/>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248" customFormat="1" ht="24.95" customHeight="1" thickBot="1" x14ac:dyDescent="0.3">
      <c r="A62" s="247"/>
      <c r="B62" s="516" t="s">
        <v>401</v>
      </c>
      <c r="C62" s="305">
        <f>SUM(C8+C14+C23+C27+C32+C42+C54)+C36+C49+C58+C60+C56</f>
        <v>139160.01999999999</v>
      </c>
      <c r="D62" s="305">
        <f>SUM(D8+D14+D23+D27+D32+D42+D54)+D36+D49+D58+D56</f>
        <v>67114.27</v>
      </c>
      <c r="E62" s="305">
        <f>SUM(E8+E14+E23+E27+E32+E42+E54)+E36+E49+E58</f>
        <v>50562.49</v>
      </c>
      <c r="F62" s="305">
        <f>SUM(F8+F14+F23+F27+F32+F42+F54)+F36+F49+F58</f>
        <v>0</v>
      </c>
      <c r="G62" s="305">
        <f>SUM(G8+G14+G23+G27+G32+G42+G54)+G36+G49+G58+G60+G56</f>
        <v>256836.77999999997</v>
      </c>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c r="RB62" s="212"/>
      <c r="RC62" s="212"/>
      <c r="RD62" s="212"/>
      <c r="RE62" s="212"/>
      <c r="RF62" s="212"/>
      <c r="RG62" s="212"/>
      <c r="RH62" s="212"/>
      <c r="RI62" s="212"/>
      <c r="RJ62" s="212"/>
      <c r="RK62" s="212"/>
      <c r="RL62" s="212"/>
      <c r="RM62" s="212"/>
      <c r="RN62" s="212"/>
      <c r="RO62" s="212"/>
      <c r="RP62" s="212"/>
      <c r="RQ62" s="212"/>
      <c r="RR62" s="212"/>
      <c r="RS62" s="212"/>
      <c r="RT62" s="212"/>
      <c r="RU62" s="212"/>
      <c r="RV62" s="212"/>
      <c r="RW62" s="212"/>
      <c r="RX62" s="212"/>
      <c r="RY62" s="212"/>
      <c r="RZ62" s="212"/>
      <c r="SA62" s="212"/>
      <c r="SB62" s="212"/>
      <c r="SC62" s="212"/>
      <c r="SD62" s="212"/>
      <c r="SE62" s="212"/>
      <c r="SF62" s="212"/>
      <c r="SG62" s="212"/>
      <c r="SH62" s="212"/>
      <c r="SI62" s="212"/>
      <c r="SJ62" s="212"/>
      <c r="SK62" s="212"/>
      <c r="SL62" s="212"/>
      <c r="SM62" s="212"/>
      <c r="SN62" s="212"/>
      <c r="SO62" s="212"/>
      <c r="SP62" s="212"/>
      <c r="SQ62" s="212"/>
      <c r="SR62" s="212"/>
      <c r="SS62" s="212"/>
      <c r="ST62" s="212"/>
      <c r="SU62" s="212"/>
      <c r="SV62" s="212"/>
      <c r="SW62" s="212"/>
      <c r="SX62" s="212"/>
      <c r="SY62" s="212"/>
      <c r="SZ62" s="212"/>
      <c r="TA62" s="212"/>
      <c r="TB62" s="212"/>
      <c r="TC62" s="212"/>
      <c r="TD62" s="212"/>
      <c r="TE62" s="212"/>
      <c r="TF62" s="212"/>
      <c r="TG62" s="212"/>
      <c r="TH62" s="212"/>
      <c r="TI62" s="212"/>
      <c r="TJ62" s="212"/>
      <c r="TK62" s="212"/>
      <c r="TL62" s="212"/>
      <c r="TM62" s="212"/>
      <c r="TN62" s="212"/>
      <c r="TO62" s="212"/>
      <c r="TP62" s="212"/>
      <c r="TQ62" s="212"/>
      <c r="TR62" s="212"/>
      <c r="TS62" s="212"/>
      <c r="TT62" s="212"/>
      <c r="TU62" s="212"/>
      <c r="TV62" s="212"/>
      <c r="TW62" s="212"/>
      <c r="TX62" s="212"/>
      <c r="TY62" s="212"/>
      <c r="TZ62" s="212"/>
      <c r="UA62" s="212"/>
      <c r="UB62" s="212"/>
      <c r="UC62" s="212"/>
      <c r="UD62" s="212"/>
      <c r="UE62" s="212"/>
      <c r="UF62" s="212"/>
      <c r="UG62" s="212"/>
      <c r="UH62" s="212"/>
      <c r="UI62" s="212"/>
      <c r="UJ62" s="212"/>
      <c r="UK62" s="212"/>
      <c r="UL62" s="212"/>
      <c r="UM62" s="212"/>
      <c r="UN62" s="212"/>
      <c r="UO62" s="212"/>
      <c r="UP62" s="212"/>
      <c r="UQ62" s="212"/>
      <c r="UR62" s="212"/>
      <c r="US62" s="212"/>
      <c r="UT62" s="212"/>
      <c r="UU62" s="212"/>
      <c r="UV62" s="212"/>
      <c r="UW62" s="212"/>
      <c r="UX62" s="212"/>
      <c r="UY62" s="212"/>
      <c r="UZ62" s="212"/>
      <c r="VA62" s="212"/>
      <c r="VB62" s="212"/>
      <c r="VC62" s="212"/>
      <c r="VD62" s="212"/>
      <c r="VE62" s="212"/>
      <c r="VF62" s="212"/>
      <c r="VG62" s="212"/>
      <c r="VH62" s="212"/>
      <c r="VI62" s="212"/>
      <c r="VJ62" s="212"/>
      <c r="VK62" s="212"/>
      <c r="VL62" s="212"/>
      <c r="VM62" s="212"/>
      <c r="VN62" s="212"/>
      <c r="VO62" s="212"/>
      <c r="VP62" s="212"/>
      <c r="VQ62" s="212"/>
      <c r="VR62" s="212"/>
      <c r="VS62" s="212"/>
      <c r="VT62" s="212"/>
      <c r="VU62" s="212"/>
      <c r="VV62" s="212"/>
      <c r="VW62" s="212"/>
      <c r="VX62" s="212"/>
      <c r="VY62" s="212"/>
      <c r="VZ62" s="212"/>
      <c r="WA62" s="212"/>
      <c r="WB62" s="212"/>
      <c r="WC62" s="212"/>
      <c r="WD62" s="212"/>
      <c r="WE62" s="212"/>
      <c r="WF62" s="212"/>
      <c r="WG62" s="212"/>
      <c r="WH62" s="212"/>
      <c r="WI62" s="212"/>
      <c r="WJ62" s="212"/>
      <c r="WK62" s="212"/>
      <c r="WL62" s="212"/>
      <c r="WM62" s="212"/>
      <c r="WN62" s="212"/>
      <c r="WO62" s="212"/>
      <c r="WP62" s="212"/>
      <c r="WQ62" s="212"/>
      <c r="WR62" s="212"/>
      <c r="WS62" s="212"/>
      <c r="WT62" s="212"/>
      <c r="WU62" s="212"/>
      <c r="WV62" s="212"/>
      <c r="WW62" s="212"/>
      <c r="WX62" s="212"/>
      <c r="WY62" s="212"/>
      <c r="WZ62" s="212"/>
      <c r="XA62" s="212"/>
      <c r="XB62" s="212"/>
      <c r="XC62" s="212"/>
      <c r="XD62" s="212"/>
      <c r="XE62" s="212"/>
      <c r="XF62" s="212"/>
      <c r="XG62" s="212"/>
      <c r="XH62" s="212"/>
      <c r="XI62" s="212"/>
      <c r="XJ62" s="212"/>
      <c r="XK62" s="212"/>
      <c r="XL62" s="212"/>
      <c r="XM62" s="212"/>
      <c r="XN62" s="212"/>
      <c r="XO62" s="212"/>
      <c r="XP62" s="212"/>
      <c r="XQ62" s="212"/>
      <c r="XR62" s="212"/>
      <c r="XS62" s="212"/>
      <c r="XT62" s="212"/>
      <c r="XU62" s="212"/>
      <c r="XV62" s="212"/>
      <c r="XW62" s="212"/>
      <c r="XX62" s="212"/>
      <c r="XY62" s="212"/>
      <c r="XZ62" s="212"/>
      <c r="YA62" s="212"/>
      <c r="YB62" s="212"/>
      <c r="YC62" s="212"/>
      <c r="YD62" s="212"/>
      <c r="YE62" s="212"/>
      <c r="YF62" s="212"/>
      <c r="YG62" s="212"/>
      <c r="YH62" s="212"/>
      <c r="YI62" s="212"/>
      <c r="YJ62" s="212"/>
      <c r="YK62" s="212"/>
      <c r="YL62" s="212"/>
      <c r="YM62" s="212"/>
      <c r="YN62" s="212"/>
      <c r="YO62" s="212"/>
      <c r="YP62" s="212"/>
      <c r="YQ62" s="212"/>
      <c r="YR62" s="212"/>
      <c r="YS62" s="212"/>
      <c r="YT62" s="212"/>
      <c r="YU62" s="212"/>
      <c r="YV62" s="212"/>
      <c r="YW62" s="212"/>
      <c r="YX62" s="212"/>
      <c r="YY62" s="212"/>
      <c r="YZ62" s="212"/>
      <c r="ZA62" s="212"/>
      <c r="ZB62" s="212"/>
      <c r="ZC62" s="212"/>
      <c r="ZD62" s="212"/>
      <c r="ZE62" s="212"/>
      <c r="ZF62" s="212"/>
      <c r="ZG62" s="212"/>
      <c r="ZH62" s="212"/>
      <c r="ZI62" s="212"/>
      <c r="ZJ62" s="212"/>
      <c r="ZK62" s="212"/>
      <c r="ZL62" s="212"/>
      <c r="ZM62" s="212"/>
      <c r="ZN62" s="212"/>
      <c r="ZO62" s="212"/>
      <c r="ZP62" s="212"/>
      <c r="ZQ62" s="212"/>
      <c r="ZR62" s="212"/>
      <c r="ZS62" s="212"/>
      <c r="ZT62" s="212"/>
      <c r="ZU62" s="212"/>
      <c r="ZV62" s="212"/>
      <c r="ZW62" s="212"/>
      <c r="ZX62" s="212"/>
      <c r="ZY62" s="212"/>
      <c r="ZZ62" s="212"/>
      <c r="AAA62" s="212"/>
      <c r="AAB62" s="212"/>
      <c r="AAC62" s="212"/>
      <c r="AAD62" s="212"/>
      <c r="AAE62" s="212"/>
      <c r="AAF62" s="212"/>
      <c r="AAG62" s="212"/>
      <c r="AAH62" s="212"/>
      <c r="AAI62" s="212"/>
      <c r="AAJ62" s="212"/>
      <c r="AAK62" s="212"/>
      <c r="AAL62" s="212"/>
      <c r="AAM62" s="212"/>
      <c r="AAN62" s="212"/>
      <c r="AAO62" s="212"/>
      <c r="AAP62" s="212"/>
      <c r="AAQ62" s="212"/>
      <c r="AAR62" s="212"/>
      <c r="AAS62" s="212"/>
      <c r="AAT62" s="212"/>
      <c r="AAU62" s="212"/>
      <c r="AAV62" s="212"/>
      <c r="AAW62" s="212"/>
      <c r="AAX62" s="212"/>
      <c r="AAY62" s="212"/>
      <c r="AAZ62" s="212"/>
      <c r="ABA62" s="212"/>
      <c r="ABB62" s="212"/>
      <c r="ABC62" s="212"/>
      <c r="ABD62" s="212"/>
      <c r="ABE62" s="212"/>
      <c r="ABF62" s="212"/>
      <c r="ABG62" s="212"/>
      <c r="ABH62" s="212"/>
      <c r="ABI62" s="212"/>
      <c r="ABJ62" s="212"/>
      <c r="ABK62" s="212"/>
      <c r="ABL62" s="212"/>
      <c r="ABM62" s="212"/>
      <c r="ABN62" s="212"/>
      <c r="ABO62" s="212"/>
      <c r="ABP62" s="212"/>
      <c r="ABQ62" s="212"/>
      <c r="ABR62" s="212"/>
      <c r="ABS62" s="212"/>
      <c r="ABT62" s="212"/>
      <c r="ABU62" s="212"/>
      <c r="ABV62" s="212"/>
      <c r="ABW62" s="212"/>
      <c r="ABX62" s="212"/>
      <c r="ABY62" s="212"/>
      <c r="ABZ62" s="212"/>
      <c r="ACA62" s="212"/>
      <c r="ACB62" s="212"/>
      <c r="ACC62" s="212"/>
      <c r="ACD62" s="212"/>
      <c r="ACE62" s="212"/>
      <c r="ACF62" s="212"/>
      <c r="ACG62" s="212"/>
      <c r="ACH62" s="212"/>
      <c r="ACI62" s="212"/>
      <c r="ACJ62" s="212"/>
      <c r="ACK62" s="212"/>
      <c r="ACL62" s="212"/>
      <c r="ACM62" s="212"/>
      <c r="ACN62" s="212"/>
      <c r="ACO62" s="212"/>
      <c r="ACP62" s="212"/>
      <c r="ACQ62" s="212"/>
      <c r="ACR62" s="212"/>
      <c r="ACS62" s="212"/>
      <c r="ACT62" s="212"/>
      <c r="ACU62" s="212"/>
      <c r="ACV62" s="212"/>
      <c r="ACW62" s="212"/>
      <c r="ACX62" s="212"/>
      <c r="ACY62" s="212"/>
      <c r="ACZ62" s="212"/>
      <c r="ADA62" s="212"/>
      <c r="ADB62" s="212"/>
      <c r="ADC62" s="212"/>
      <c r="ADD62" s="212"/>
      <c r="ADE62" s="212"/>
      <c r="ADF62" s="212"/>
      <c r="ADG62" s="212"/>
      <c r="ADH62" s="212"/>
      <c r="ADI62" s="212"/>
      <c r="ADJ62" s="212"/>
      <c r="ADK62" s="212"/>
      <c r="ADL62" s="212"/>
      <c r="ADM62" s="212"/>
      <c r="ADN62" s="212"/>
      <c r="ADO62" s="212"/>
      <c r="ADP62" s="212"/>
      <c r="ADQ62" s="212"/>
      <c r="ADR62" s="212"/>
      <c r="ADS62" s="212"/>
      <c r="ADT62" s="212"/>
      <c r="ADU62" s="212"/>
      <c r="ADV62" s="212"/>
      <c r="ADW62" s="212"/>
      <c r="ADX62" s="212"/>
      <c r="ADY62" s="212"/>
      <c r="ADZ62" s="212"/>
      <c r="AEA62" s="212"/>
      <c r="AEB62" s="212"/>
      <c r="AEC62" s="212"/>
      <c r="AED62" s="212"/>
      <c r="AEE62" s="212"/>
      <c r="AEF62" s="212"/>
      <c r="AEG62" s="212"/>
      <c r="AEH62" s="212"/>
      <c r="AEI62" s="212"/>
      <c r="AEJ62" s="212"/>
      <c r="AEK62" s="212"/>
      <c r="AEL62" s="212"/>
      <c r="AEM62" s="212"/>
      <c r="AEN62" s="212"/>
      <c r="AEO62" s="212"/>
      <c r="AEP62" s="212"/>
      <c r="AEQ62" s="212"/>
      <c r="AER62" s="212"/>
      <c r="AES62" s="212"/>
      <c r="AET62" s="212"/>
      <c r="AEU62" s="212"/>
      <c r="AEV62" s="212"/>
      <c r="AEW62" s="212"/>
      <c r="AEX62" s="212"/>
      <c r="AEY62" s="212"/>
      <c r="AEZ62" s="212"/>
      <c r="AFA62" s="212"/>
      <c r="AFB62" s="212"/>
      <c r="AFC62" s="212"/>
      <c r="AFD62" s="212"/>
      <c r="AFE62" s="212"/>
      <c r="AFF62" s="212"/>
      <c r="AFG62" s="212"/>
      <c r="AFH62" s="212"/>
      <c r="AFI62" s="212"/>
      <c r="AFJ62" s="212"/>
      <c r="AFK62" s="212"/>
      <c r="AFL62" s="212"/>
      <c r="AFM62" s="212"/>
      <c r="AFN62" s="212"/>
      <c r="AFO62" s="212"/>
      <c r="AFP62" s="212"/>
      <c r="AFQ62" s="212"/>
      <c r="AFR62" s="212"/>
      <c r="AFS62" s="212"/>
      <c r="AFT62" s="212"/>
      <c r="AFU62" s="212"/>
      <c r="AFV62" s="212"/>
      <c r="AFW62" s="212"/>
      <c r="AFX62" s="212"/>
      <c r="AFY62" s="212"/>
      <c r="AFZ62" s="212"/>
      <c r="AGA62" s="212"/>
      <c r="AGB62" s="212"/>
      <c r="AGC62" s="212"/>
      <c r="AGD62" s="212"/>
      <c r="AGE62" s="212"/>
      <c r="AGF62" s="212"/>
      <c r="AGG62" s="212"/>
      <c r="AGH62" s="212"/>
      <c r="AGI62" s="212"/>
      <c r="AGJ62" s="212"/>
      <c r="AGK62" s="212"/>
      <c r="AGL62" s="212"/>
      <c r="AGM62" s="212"/>
      <c r="AGN62" s="212"/>
      <c r="AGO62" s="212"/>
      <c r="AGP62" s="212"/>
      <c r="AGQ62" s="212"/>
      <c r="AGR62" s="212"/>
      <c r="AGS62" s="212"/>
      <c r="AGT62" s="212"/>
      <c r="AGU62" s="212"/>
      <c r="AGV62" s="212"/>
      <c r="AGW62" s="212"/>
      <c r="AGX62" s="212"/>
      <c r="AGY62" s="212"/>
      <c r="AGZ62" s="212"/>
      <c r="AHA62" s="212"/>
      <c r="AHB62" s="212"/>
      <c r="AHC62" s="212"/>
      <c r="AHD62" s="212"/>
      <c r="AHE62" s="212"/>
      <c r="AHF62" s="212"/>
      <c r="AHG62" s="212"/>
      <c r="AHH62" s="212"/>
      <c r="AHI62" s="212"/>
      <c r="AHJ62" s="212"/>
      <c r="AHK62" s="212"/>
      <c r="AHL62" s="212"/>
      <c r="AHM62" s="212"/>
      <c r="AHN62" s="212"/>
      <c r="AHO62" s="212"/>
      <c r="AHP62" s="212"/>
      <c r="AHQ62" s="212"/>
      <c r="AHR62" s="212"/>
      <c r="AHS62" s="212"/>
      <c r="AHT62" s="212"/>
      <c r="AHU62" s="212"/>
      <c r="AHV62" s="212"/>
      <c r="AHW62" s="212"/>
      <c r="AHX62" s="212"/>
      <c r="AHY62" s="212"/>
      <c r="AHZ62" s="212"/>
      <c r="AIA62" s="212"/>
      <c r="AIB62" s="212"/>
      <c r="AIC62" s="212"/>
      <c r="AID62" s="212"/>
      <c r="AIE62" s="212"/>
      <c r="AIF62" s="212"/>
      <c r="AIG62" s="212"/>
      <c r="AIH62" s="212"/>
      <c r="AII62" s="212"/>
      <c r="AIJ62" s="212"/>
      <c r="AIK62" s="212"/>
      <c r="AIL62" s="212"/>
      <c r="AIM62" s="212"/>
      <c r="AIN62" s="212"/>
      <c r="AIO62" s="212"/>
      <c r="AIP62" s="212"/>
      <c r="AIQ62" s="212"/>
      <c r="AIR62" s="212"/>
      <c r="AIS62" s="212"/>
      <c r="AIT62" s="212"/>
      <c r="AIU62" s="212"/>
      <c r="AIV62" s="212"/>
      <c r="AIW62" s="212"/>
      <c r="AIX62" s="212"/>
      <c r="AIY62" s="212"/>
      <c r="AIZ62" s="212"/>
      <c r="AJA62" s="212"/>
      <c r="AJB62" s="212"/>
      <c r="AJC62" s="212"/>
      <c r="AJD62" s="212"/>
      <c r="AJE62" s="212"/>
      <c r="AJF62" s="212"/>
      <c r="AJG62" s="212"/>
      <c r="AJH62" s="212"/>
      <c r="AJI62" s="212"/>
      <c r="AJJ62" s="212"/>
      <c r="AJK62" s="212"/>
      <c r="AJL62" s="212"/>
      <c r="AJM62" s="212"/>
      <c r="AJN62" s="212"/>
      <c r="AJO62" s="212"/>
      <c r="AJP62" s="212"/>
      <c r="AJQ62" s="212"/>
      <c r="AJR62" s="212"/>
      <c r="AJS62" s="212"/>
      <c r="AJT62" s="212"/>
      <c r="AJU62" s="212"/>
      <c r="AJV62" s="212"/>
      <c r="AJW62" s="212"/>
      <c r="AJX62" s="212"/>
      <c r="AJY62" s="212"/>
      <c r="AJZ62" s="212"/>
      <c r="AKA62" s="212"/>
      <c r="AKB62" s="212"/>
      <c r="AKC62" s="212"/>
      <c r="AKD62" s="212"/>
      <c r="AKE62" s="212"/>
      <c r="AKF62" s="212"/>
      <c r="AKG62" s="212"/>
      <c r="AKH62" s="212"/>
      <c r="AKI62" s="212"/>
      <c r="AKJ62" s="212"/>
      <c r="AKK62" s="212"/>
      <c r="AKL62" s="212"/>
      <c r="AKM62" s="212"/>
      <c r="AKN62" s="212"/>
      <c r="AKO62" s="212"/>
      <c r="AKP62" s="212"/>
      <c r="AKQ62" s="212"/>
      <c r="AKR62" s="212"/>
      <c r="AKS62" s="212"/>
      <c r="AKT62" s="212"/>
      <c r="AKU62" s="212"/>
      <c r="AKV62" s="212"/>
      <c r="AKW62" s="212"/>
      <c r="AKX62" s="212"/>
      <c r="AKY62" s="212"/>
      <c r="AKZ62" s="212"/>
      <c r="ALA62" s="212"/>
      <c r="ALB62" s="212"/>
      <c r="ALC62" s="212"/>
      <c r="ALD62" s="212"/>
      <c r="ALE62" s="212"/>
      <c r="ALF62" s="212"/>
      <c r="ALG62" s="212"/>
      <c r="ALH62" s="212"/>
      <c r="ALI62" s="212"/>
      <c r="ALJ62" s="212"/>
      <c r="ALK62" s="212"/>
      <c r="ALL62" s="212"/>
      <c r="ALM62" s="212"/>
      <c r="ALN62" s="212"/>
      <c r="ALO62" s="212"/>
      <c r="ALP62" s="212"/>
      <c r="ALQ62" s="212"/>
      <c r="ALR62" s="212"/>
      <c r="ALS62" s="212"/>
      <c r="ALT62" s="212"/>
      <c r="ALU62" s="212"/>
      <c r="ALV62" s="212"/>
      <c r="ALW62" s="212"/>
      <c r="ALX62" s="212"/>
      <c r="ALY62" s="212"/>
      <c r="ALZ62" s="212"/>
      <c r="AMA62" s="212"/>
      <c r="AMB62" s="212"/>
      <c r="AMC62" s="212"/>
      <c r="AMD62" s="212"/>
      <c r="AME62" s="212"/>
      <c r="AMF62" s="212"/>
      <c r="AMG62" s="212"/>
      <c r="AMH62" s="212"/>
      <c r="AMI62" s="212"/>
      <c r="AMJ62" s="212"/>
      <c r="AMK62" s="212"/>
      <c r="AML62" s="212"/>
      <c r="AMM62" s="212"/>
      <c r="AMN62" s="212"/>
      <c r="AMO62" s="212"/>
      <c r="AMP62" s="212"/>
      <c r="AMQ62" s="212"/>
      <c r="AMR62" s="212"/>
      <c r="AMS62" s="212"/>
      <c r="AMT62" s="212"/>
      <c r="AMU62" s="212"/>
      <c r="AMV62" s="212"/>
      <c r="AMW62" s="212"/>
      <c r="AMX62" s="212"/>
      <c r="AMY62" s="212"/>
      <c r="AMZ62" s="212"/>
      <c r="ANA62" s="212"/>
      <c r="ANB62" s="212"/>
      <c r="ANC62" s="212"/>
      <c r="AND62" s="212"/>
      <c r="ANE62" s="212"/>
      <c r="ANF62" s="212"/>
      <c r="ANG62" s="212"/>
      <c r="ANH62" s="212"/>
      <c r="ANI62" s="212"/>
      <c r="ANJ62" s="212"/>
      <c r="ANK62" s="212"/>
      <c r="ANL62" s="212"/>
      <c r="ANM62" s="212"/>
      <c r="ANN62" s="212"/>
      <c r="ANO62" s="212"/>
      <c r="ANP62" s="212"/>
      <c r="ANQ62" s="212"/>
      <c r="ANR62" s="212"/>
      <c r="ANS62" s="212"/>
      <c r="ANT62" s="212"/>
      <c r="ANU62" s="212"/>
      <c r="ANV62" s="212"/>
      <c r="ANW62" s="212"/>
      <c r="ANX62" s="212"/>
      <c r="ANY62" s="212"/>
      <c r="ANZ62" s="212"/>
      <c r="AOA62" s="212"/>
      <c r="AOB62" s="212"/>
      <c r="AOC62" s="212"/>
      <c r="AOD62" s="212"/>
      <c r="AOE62" s="212"/>
      <c r="AOF62" s="212"/>
      <c r="AOG62" s="212"/>
      <c r="AOH62" s="212"/>
      <c r="AOI62" s="212"/>
      <c r="AOJ62" s="212"/>
      <c r="AOK62" s="212"/>
      <c r="AOL62" s="212"/>
      <c r="AOM62" s="212"/>
      <c r="AON62" s="212"/>
      <c r="AOO62" s="212"/>
      <c r="AOP62" s="212"/>
      <c r="AOQ62" s="212"/>
      <c r="AOR62" s="212"/>
      <c r="AOS62" s="212"/>
      <c r="AOT62" s="212"/>
      <c r="AOU62" s="212"/>
      <c r="AOV62" s="212"/>
      <c r="AOW62" s="212"/>
      <c r="AOX62" s="212"/>
      <c r="AOY62" s="212"/>
      <c r="AOZ62" s="212"/>
      <c r="APA62" s="212"/>
      <c r="APB62" s="212"/>
      <c r="APC62" s="212"/>
      <c r="APD62" s="212"/>
      <c r="APE62" s="212"/>
      <c r="APF62" s="212"/>
      <c r="APG62" s="212"/>
      <c r="APH62" s="212"/>
      <c r="API62" s="212"/>
      <c r="APJ62" s="212"/>
      <c r="APK62" s="212"/>
      <c r="APL62" s="212"/>
      <c r="APM62" s="212"/>
      <c r="APN62" s="212"/>
      <c r="APO62" s="212"/>
      <c r="APP62" s="212"/>
      <c r="APQ62" s="212"/>
      <c r="APR62" s="212"/>
      <c r="APS62" s="212"/>
      <c r="APT62" s="212"/>
      <c r="APU62" s="212"/>
      <c r="APV62" s="212"/>
      <c r="APW62" s="212"/>
      <c r="APX62" s="212"/>
      <c r="APY62" s="212"/>
      <c r="APZ62" s="212"/>
      <c r="AQA62" s="212"/>
      <c r="AQB62" s="212"/>
      <c r="AQC62" s="212"/>
      <c r="AQD62" s="212"/>
      <c r="AQE62" s="212"/>
      <c r="AQF62" s="212"/>
      <c r="AQG62" s="212"/>
      <c r="AQH62" s="212"/>
      <c r="AQI62" s="212"/>
      <c r="AQJ62" s="212"/>
      <c r="AQK62" s="212"/>
      <c r="AQL62" s="212"/>
      <c r="AQM62" s="212"/>
      <c r="AQN62" s="212"/>
      <c r="AQO62" s="212"/>
      <c r="AQP62" s="212"/>
      <c r="AQQ62" s="212"/>
      <c r="AQR62" s="212"/>
      <c r="AQS62" s="212"/>
      <c r="AQT62" s="212"/>
      <c r="AQU62" s="212"/>
      <c r="AQV62" s="212"/>
      <c r="AQW62" s="212"/>
      <c r="AQX62" s="212"/>
      <c r="AQY62" s="212"/>
      <c r="AQZ62" s="212"/>
      <c r="ARA62" s="212"/>
      <c r="ARB62" s="212"/>
      <c r="ARC62" s="212"/>
      <c r="ARD62" s="212"/>
      <c r="ARE62" s="212"/>
      <c r="ARF62" s="212"/>
      <c r="ARG62" s="212"/>
      <c r="ARH62" s="212"/>
      <c r="ARI62" s="212"/>
      <c r="ARJ62" s="212"/>
      <c r="ARK62" s="212"/>
      <c r="ARL62" s="212"/>
      <c r="ARM62" s="212"/>
      <c r="ARN62" s="212"/>
      <c r="ARO62" s="212"/>
      <c r="ARP62" s="212"/>
      <c r="ARQ62" s="212"/>
      <c r="ARR62" s="212"/>
      <c r="ARS62" s="212"/>
      <c r="ART62" s="212"/>
      <c r="ARU62" s="212"/>
      <c r="ARV62" s="212"/>
      <c r="ARW62" s="212"/>
      <c r="ARX62" s="212"/>
      <c r="ARY62" s="212"/>
      <c r="ARZ62" s="212"/>
      <c r="ASA62" s="212"/>
      <c r="ASB62" s="212"/>
      <c r="ASC62" s="212"/>
      <c r="ASD62" s="212"/>
      <c r="ASE62" s="212"/>
      <c r="ASF62" s="212"/>
      <c r="ASG62" s="212"/>
      <c r="ASH62" s="212"/>
      <c r="ASI62" s="212"/>
      <c r="ASJ62" s="212"/>
      <c r="ASK62" s="212"/>
      <c r="ASL62" s="212"/>
      <c r="ASM62" s="212"/>
      <c r="ASN62" s="212"/>
      <c r="ASO62" s="212"/>
      <c r="ASP62" s="212"/>
      <c r="ASQ62" s="212"/>
      <c r="ASR62" s="212"/>
      <c r="ASS62" s="212"/>
      <c r="AST62" s="212"/>
      <c r="ASU62" s="212"/>
      <c r="ASV62" s="212"/>
      <c r="ASW62" s="212"/>
      <c r="ASX62" s="212"/>
      <c r="ASY62" s="212"/>
      <c r="ASZ62" s="212"/>
      <c r="ATA62" s="212"/>
      <c r="ATB62" s="212"/>
      <c r="ATC62" s="212"/>
      <c r="ATD62" s="212"/>
      <c r="ATE62" s="212"/>
      <c r="ATF62" s="212"/>
      <c r="ATG62" s="212"/>
      <c r="ATH62" s="212"/>
      <c r="ATI62" s="212"/>
      <c r="ATJ62" s="212"/>
      <c r="ATK62" s="212"/>
      <c r="ATL62" s="212"/>
      <c r="ATM62" s="212"/>
      <c r="ATN62" s="212"/>
      <c r="ATO62" s="212"/>
      <c r="ATP62" s="212"/>
      <c r="ATQ62" s="212"/>
      <c r="ATR62" s="212"/>
      <c r="ATS62" s="212"/>
      <c r="ATT62" s="212"/>
      <c r="ATU62" s="212"/>
      <c r="ATV62" s="212"/>
      <c r="ATW62" s="212"/>
      <c r="ATX62" s="212"/>
      <c r="ATY62" s="212"/>
      <c r="ATZ62" s="212"/>
      <c r="AUA62" s="212"/>
      <c r="AUB62" s="212"/>
      <c r="AUC62" s="212"/>
      <c r="AUD62" s="212"/>
      <c r="AUE62" s="212"/>
      <c r="AUF62" s="212"/>
      <c r="AUG62" s="212"/>
      <c r="AUH62" s="212"/>
      <c r="AUI62" s="212"/>
      <c r="AUJ62" s="212"/>
      <c r="AUK62" s="212"/>
      <c r="AUL62" s="212"/>
      <c r="AUM62" s="212"/>
      <c r="AUN62" s="212"/>
      <c r="AUO62" s="212"/>
      <c r="AUP62" s="212"/>
      <c r="AUQ62" s="212"/>
      <c r="AUR62" s="212"/>
      <c r="AUS62" s="212"/>
      <c r="AUT62" s="212"/>
      <c r="AUU62" s="212"/>
      <c r="AUV62" s="212"/>
      <c r="AUW62" s="212"/>
      <c r="AUX62" s="212"/>
      <c r="AUY62" s="212"/>
      <c r="AUZ62" s="212"/>
      <c r="AVA62" s="212"/>
      <c r="AVB62" s="212"/>
      <c r="AVC62" s="212"/>
      <c r="AVD62" s="212"/>
      <c r="AVE62" s="212"/>
      <c r="AVF62" s="212"/>
      <c r="AVG62" s="212"/>
      <c r="AVH62" s="212"/>
      <c r="AVI62" s="212"/>
      <c r="AVJ62" s="212"/>
      <c r="AVK62" s="212"/>
      <c r="AVL62" s="212"/>
      <c r="AVM62" s="212"/>
      <c r="AVN62" s="212"/>
      <c r="AVO62" s="212"/>
      <c r="AVP62" s="212"/>
      <c r="AVQ62" s="212"/>
      <c r="AVR62" s="212"/>
      <c r="AVS62" s="212"/>
      <c r="AVT62" s="212"/>
      <c r="AVU62" s="212"/>
      <c r="AVV62" s="212"/>
      <c r="AVW62" s="212"/>
      <c r="AVX62" s="212"/>
      <c r="AVY62" s="212"/>
      <c r="AVZ62" s="212"/>
      <c r="AWA62" s="212"/>
      <c r="AWB62" s="212"/>
      <c r="AWC62" s="212"/>
      <c r="AWD62" s="212"/>
      <c r="AWE62" s="212"/>
      <c r="AWF62" s="212"/>
      <c r="AWG62" s="212"/>
      <c r="AWH62" s="212"/>
      <c r="AWI62" s="212"/>
      <c r="AWJ62" s="212"/>
      <c r="AWK62" s="212"/>
      <c r="AWL62" s="212"/>
      <c r="AWM62" s="212"/>
      <c r="AWN62" s="212"/>
      <c r="AWO62" s="212"/>
      <c r="AWP62" s="212"/>
      <c r="AWQ62" s="212"/>
      <c r="AWR62" s="212"/>
      <c r="AWS62" s="212"/>
      <c r="AWT62" s="212"/>
      <c r="AWU62" s="212"/>
      <c r="AWV62" s="212"/>
      <c r="AWW62" s="212"/>
      <c r="AWX62" s="212"/>
      <c r="AWY62" s="212"/>
      <c r="AWZ62" s="212"/>
      <c r="AXA62" s="212"/>
      <c r="AXB62" s="212"/>
      <c r="AXC62" s="212"/>
      <c r="AXD62" s="212"/>
      <c r="AXE62" s="212"/>
      <c r="AXF62" s="212"/>
      <c r="AXG62" s="212"/>
      <c r="AXH62" s="212"/>
      <c r="AXI62" s="212"/>
      <c r="AXJ62" s="212"/>
      <c r="AXK62" s="212"/>
      <c r="AXL62" s="212"/>
      <c r="AXM62" s="212"/>
      <c r="AXN62" s="212"/>
      <c r="AXO62" s="212"/>
      <c r="AXP62" s="212"/>
      <c r="AXQ62" s="212"/>
      <c r="AXR62" s="212"/>
      <c r="AXS62" s="212"/>
      <c r="AXT62" s="212"/>
      <c r="AXU62" s="212"/>
      <c r="AXV62" s="212"/>
      <c r="AXW62" s="212"/>
      <c r="AXX62" s="212"/>
      <c r="AXY62" s="212"/>
      <c r="AXZ62" s="212"/>
      <c r="AYA62" s="212"/>
      <c r="AYB62" s="212"/>
      <c r="AYC62" s="212"/>
      <c r="AYD62" s="212"/>
      <c r="AYE62" s="212"/>
      <c r="AYF62" s="212"/>
      <c r="AYG62" s="212"/>
      <c r="AYH62" s="212"/>
      <c r="AYI62" s="212"/>
      <c r="AYJ62" s="212"/>
      <c r="AYK62" s="212"/>
      <c r="AYL62" s="212"/>
      <c r="AYM62" s="212"/>
      <c r="AYN62" s="212"/>
      <c r="AYO62" s="212"/>
      <c r="AYP62" s="212"/>
      <c r="AYQ62" s="212"/>
      <c r="AYR62" s="212"/>
      <c r="AYS62" s="212"/>
      <c r="AYT62" s="212"/>
      <c r="AYU62" s="212"/>
      <c r="AYV62" s="212"/>
      <c r="AYW62" s="212"/>
      <c r="AYX62" s="212"/>
      <c r="AYY62" s="212"/>
      <c r="AYZ62" s="212"/>
      <c r="AZA62" s="212"/>
      <c r="AZB62" s="212"/>
      <c r="AZC62" s="212"/>
      <c r="AZD62" s="212"/>
      <c r="AZE62" s="212"/>
      <c r="AZF62" s="212"/>
      <c r="AZG62" s="212"/>
      <c r="AZH62" s="212"/>
      <c r="AZI62" s="212"/>
      <c r="AZJ62" s="212"/>
      <c r="AZK62" s="212"/>
      <c r="AZL62" s="212"/>
      <c r="AZM62" s="212"/>
      <c r="AZN62" s="212"/>
      <c r="AZO62" s="212"/>
      <c r="AZP62" s="212"/>
      <c r="AZQ62" s="212"/>
      <c r="AZR62" s="212"/>
      <c r="AZS62" s="212"/>
      <c r="AZT62" s="212"/>
      <c r="AZU62" s="212"/>
      <c r="AZV62" s="212"/>
      <c r="AZW62" s="212"/>
      <c r="AZX62" s="212"/>
      <c r="AZY62" s="212"/>
      <c r="AZZ62" s="212"/>
      <c r="BAA62" s="212"/>
      <c r="BAB62" s="212"/>
      <c r="BAC62" s="212"/>
      <c r="BAD62" s="212"/>
      <c r="BAE62" s="212"/>
      <c r="BAF62" s="212"/>
      <c r="BAG62" s="212"/>
      <c r="BAH62" s="212"/>
      <c r="BAI62" s="212"/>
      <c r="BAJ62" s="212"/>
      <c r="BAK62" s="212"/>
      <c r="BAL62" s="212"/>
      <c r="BAM62" s="212"/>
      <c r="BAN62" s="212"/>
      <c r="BAO62" s="212"/>
      <c r="BAP62" s="212"/>
      <c r="BAQ62" s="212"/>
      <c r="BAR62" s="212"/>
      <c r="BAS62" s="212"/>
      <c r="BAT62" s="212"/>
      <c r="BAU62" s="212"/>
      <c r="BAV62" s="212"/>
      <c r="BAW62" s="212"/>
      <c r="BAX62" s="212"/>
      <c r="BAY62" s="212"/>
      <c r="BAZ62" s="212"/>
      <c r="BBA62" s="212"/>
      <c r="BBB62" s="212"/>
      <c r="BBC62" s="212"/>
      <c r="BBD62" s="212"/>
      <c r="BBE62" s="212"/>
      <c r="BBF62" s="212"/>
      <c r="BBG62" s="212"/>
      <c r="BBH62" s="212"/>
      <c r="BBI62" s="212"/>
      <c r="BBJ62" s="212"/>
      <c r="BBK62" s="212"/>
      <c r="BBL62" s="212"/>
      <c r="BBM62" s="212"/>
      <c r="BBN62" s="212"/>
      <c r="BBO62" s="212"/>
      <c r="BBP62" s="212"/>
      <c r="BBQ62" s="212"/>
      <c r="BBR62" s="212"/>
      <c r="BBS62" s="212"/>
      <c r="BBT62" s="212"/>
      <c r="BBU62" s="212"/>
      <c r="BBV62" s="212"/>
      <c r="BBW62" s="212"/>
      <c r="BBX62" s="212"/>
      <c r="BBY62" s="212"/>
      <c r="BBZ62" s="212"/>
      <c r="BCA62" s="212"/>
      <c r="BCB62" s="212"/>
      <c r="BCC62" s="212"/>
      <c r="BCD62" s="212"/>
      <c r="BCE62" s="212"/>
      <c r="BCF62" s="212"/>
      <c r="BCG62" s="212"/>
      <c r="BCH62" s="212"/>
      <c r="BCI62" s="212"/>
      <c r="BCJ62" s="212"/>
      <c r="BCK62" s="212"/>
      <c r="BCL62" s="212"/>
      <c r="BCM62" s="212"/>
      <c r="BCN62" s="212"/>
      <c r="BCO62" s="212"/>
      <c r="BCP62" s="212"/>
      <c r="BCQ62" s="212"/>
      <c r="BCR62" s="212"/>
      <c r="BCS62" s="212"/>
      <c r="BCT62" s="212"/>
      <c r="BCU62" s="212"/>
      <c r="BCV62" s="212"/>
      <c r="BCW62" s="212"/>
      <c r="BCX62" s="212"/>
      <c r="BCY62" s="212"/>
      <c r="BCZ62" s="212"/>
      <c r="BDA62" s="212"/>
      <c r="BDB62" s="212"/>
      <c r="BDC62" s="212"/>
      <c r="BDD62" s="212"/>
      <c r="BDE62" s="212"/>
      <c r="BDF62" s="212"/>
      <c r="BDG62" s="212"/>
      <c r="BDH62" s="212"/>
      <c r="BDI62" s="212"/>
      <c r="BDJ62" s="212"/>
      <c r="BDK62" s="212"/>
      <c r="BDL62" s="212"/>
      <c r="BDM62" s="212"/>
      <c r="BDN62" s="212"/>
      <c r="BDO62" s="212"/>
      <c r="BDP62" s="212"/>
      <c r="BDQ62" s="212"/>
      <c r="BDR62" s="212"/>
      <c r="BDS62" s="212"/>
      <c r="BDT62" s="212"/>
      <c r="BDU62" s="212"/>
      <c r="BDV62" s="212"/>
      <c r="BDW62" s="212"/>
      <c r="BDX62" s="212"/>
      <c r="BDY62" s="212"/>
      <c r="BDZ62" s="212"/>
      <c r="BEA62" s="212"/>
      <c r="BEB62" s="212"/>
      <c r="BEC62" s="212"/>
      <c r="BED62" s="212"/>
      <c r="BEE62" s="212"/>
      <c r="BEF62" s="212"/>
      <c r="BEG62" s="212"/>
      <c r="BEH62" s="212"/>
      <c r="BEI62" s="212"/>
      <c r="BEJ62" s="212"/>
      <c r="BEK62" s="212"/>
      <c r="BEL62" s="212"/>
      <c r="BEM62" s="212"/>
      <c r="BEN62" s="212"/>
      <c r="BEO62" s="212"/>
      <c r="BEP62" s="212"/>
      <c r="BEQ62" s="212"/>
      <c r="BER62" s="212"/>
      <c r="BES62" s="212"/>
      <c r="BET62" s="212"/>
      <c r="BEU62" s="212"/>
      <c r="BEV62" s="212"/>
      <c r="BEW62" s="212"/>
      <c r="BEX62" s="212"/>
      <c r="BEY62" s="212"/>
      <c r="BEZ62" s="212"/>
      <c r="BFA62" s="212"/>
      <c r="BFB62" s="212"/>
      <c r="BFC62" s="212"/>
      <c r="BFD62" s="212"/>
      <c r="BFE62" s="212"/>
      <c r="BFF62" s="212"/>
      <c r="BFG62" s="212"/>
      <c r="BFH62" s="212"/>
      <c r="BFI62" s="212"/>
      <c r="BFJ62" s="212"/>
      <c r="BFK62" s="212"/>
      <c r="BFL62" s="212"/>
      <c r="BFM62" s="212"/>
      <c r="BFN62" s="212"/>
      <c r="BFO62" s="212"/>
      <c r="BFP62" s="212"/>
      <c r="BFQ62" s="212"/>
      <c r="BFR62" s="212"/>
      <c r="BFS62" s="212"/>
      <c r="BFT62" s="212"/>
      <c r="BFU62" s="212"/>
      <c r="BFV62" s="212"/>
      <c r="BFW62" s="212"/>
      <c r="BFX62" s="212"/>
      <c r="BFY62" s="212"/>
      <c r="BFZ62" s="212"/>
      <c r="BGA62" s="212"/>
      <c r="BGB62" s="212"/>
      <c r="BGC62" s="212"/>
      <c r="BGD62" s="212"/>
      <c r="BGE62" s="212"/>
      <c r="BGF62" s="212"/>
      <c r="BGG62" s="212"/>
      <c r="BGH62" s="212"/>
      <c r="BGI62" s="212"/>
      <c r="BGJ62" s="212"/>
      <c r="BGK62" s="212"/>
      <c r="BGL62" s="212"/>
      <c r="BGM62" s="212"/>
      <c r="BGN62" s="212"/>
      <c r="BGO62" s="212"/>
      <c r="BGP62" s="212"/>
      <c r="BGQ62" s="212"/>
      <c r="BGR62" s="212"/>
      <c r="BGS62" s="212"/>
      <c r="BGT62" s="212"/>
      <c r="BGU62" s="212"/>
      <c r="BGV62" s="212"/>
      <c r="BGW62" s="212"/>
      <c r="BGX62" s="212"/>
      <c r="BGY62" s="212"/>
      <c r="BGZ62" s="212"/>
      <c r="BHA62" s="212"/>
      <c r="BHB62" s="212"/>
      <c r="BHC62" s="212"/>
      <c r="BHD62" s="212"/>
      <c r="BHE62" s="212"/>
      <c r="BHF62" s="212"/>
      <c r="BHG62" s="212"/>
      <c r="BHH62" s="212"/>
      <c r="BHI62" s="212"/>
      <c r="BHJ62" s="212"/>
      <c r="BHK62" s="212"/>
      <c r="BHL62" s="212"/>
      <c r="BHM62" s="212"/>
      <c r="BHN62" s="212"/>
      <c r="BHO62" s="212"/>
      <c r="BHP62" s="212"/>
      <c r="BHQ62" s="212"/>
      <c r="BHR62" s="212"/>
      <c r="BHS62" s="212"/>
      <c r="BHT62" s="212"/>
      <c r="BHU62" s="212"/>
      <c r="BHV62" s="212"/>
      <c r="BHW62" s="212"/>
      <c r="BHX62" s="212"/>
      <c r="BHY62" s="212"/>
      <c r="BHZ62" s="212"/>
      <c r="BIA62" s="212"/>
      <c r="BIB62" s="212"/>
      <c r="BIC62" s="212"/>
      <c r="BID62" s="212"/>
      <c r="BIE62" s="212"/>
      <c r="BIF62" s="212"/>
      <c r="BIG62" s="212"/>
      <c r="BIH62" s="212"/>
      <c r="BII62" s="212"/>
      <c r="BIJ62" s="212"/>
      <c r="BIK62" s="212"/>
      <c r="BIL62" s="212"/>
      <c r="BIM62" s="212"/>
      <c r="BIN62" s="212"/>
      <c r="BIO62" s="212"/>
      <c r="BIP62" s="212"/>
      <c r="BIQ62" s="212"/>
      <c r="BIR62" s="212"/>
      <c r="BIS62" s="212"/>
      <c r="BIT62" s="212"/>
      <c r="BIU62" s="212"/>
      <c r="BIV62" s="212"/>
      <c r="BIW62" s="212"/>
      <c r="BIX62" s="212"/>
      <c r="BIY62" s="212"/>
      <c r="BIZ62" s="212"/>
      <c r="BJA62" s="212"/>
      <c r="BJB62" s="212"/>
      <c r="BJC62" s="212"/>
      <c r="BJD62" s="212"/>
      <c r="BJE62" s="212"/>
      <c r="BJF62" s="212"/>
      <c r="BJG62" s="212"/>
      <c r="BJH62" s="212"/>
      <c r="BJI62" s="212"/>
      <c r="BJJ62" s="212"/>
      <c r="BJK62" s="212"/>
      <c r="BJL62" s="212"/>
      <c r="BJM62" s="212"/>
      <c r="BJN62" s="212"/>
      <c r="BJO62" s="212"/>
      <c r="BJP62" s="212"/>
      <c r="BJQ62" s="212"/>
      <c r="BJR62" s="212"/>
      <c r="BJS62" s="212"/>
      <c r="BJT62" s="212"/>
      <c r="BJU62" s="212"/>
      <c r="BJV62" s="212"/>
      <c r="BJW62" s="212"/>
      <c r="BJX62" s="212"/>
      <c r="BJY62" s="212"/>
      <c r="BJZ62" s="212"/>
      <c r="BKA62" s="212"/>
      <c r="BKB62" s="212"/>
      <c r="BKC62" s="212"/>
      <c r="BKD62" s="212"/>
      <c r="BKE62" s="212"/>
      <c r="BKF62" s="212"/>
      <c r="BKG62" s="212"/>
      <c r="BKH62" s="212"/>
      <c r="BKI62" s="212"/>
      <c r="BKJ62" s="212"/>
      <c r="BKK62" s="212"/>
      <c r="BKL62" s="212"/>
      <c r="BKM62" s="212"/>
      <c r="BKN62" s="212"/>
      <c r="BKO62" s="212"/>
      <c r="BKP62" s="212"/>
      <c r="BKQ62" s="212"/>
      <c r="BKR62" s="212"/>
      <c r="BKS62" s="212"/>
      <c r="BKT62" s="212"/>
      <c r="BKU62" s="212"/>
      <c r="BKV62" s="212"/>
      <c r="BKW62" s="212"/>
      <c r="BKX62" s="212"/>
      <c r="BKY62" s="212"/>
      <c r="BKZ62" s="212"/>
      <c r="BLA62" s="212"/>
      <c r="BLB62" s="212"/>
      <c r="BLC62" s="212"/>
      <c r="BLD62" s="212"/>
      <c r="BLE62" s="212"/>
      <c r="BLF62" s="212"/>
      <c r="BLG62" s="212"/>
      <c r="BLH62" s="212"/>
      <c r="BLI62" s="212"/>
      <c r="BLJ62" s="212"/>
      <c r="BLK62" s="212"/>
      <c r="BLL62" s="212"/>
      <c r="BLM62" s="212"/>
      <c r="BLN62" s="212"/>
      <c r="BLO62" s="212"/>
      <c r="BLP62" s="212"/>
      <c r="BLQ62" s="212"/>
      <c r="BLR62" s="212"/>
      <c r="BLS62" s="212"/>
      <c r="BLT62" s="212"/>
      <c r="BLU62" s="212"/>
      <c r="BLV62" s="212"/>
      <c r="BLW62" s="212"/>
      <c r="BLX62" s="212"/>
      <c r="BLY62" s="212"/>
      <c r="BLZ62" s="212"/>
      <c r="BMA62" s="212"/>
      <c r="BMB62" s="212"/>
      <c r="BMC62" s="212"/>
      <c r="BMD62" s="212"/>
      <c r="BME62" s="212"/>
      <c r="BMF62" s="212"/>
      <c r="BMG62" s="212"/>
      <c r="BMH62" s="212"/>
      <c r="BMI62" s="212"/>
      <c r="BMJ62" s="212"/>
      <c r="BMK62" s="212"/>
      <c r="BML62" s="212"/>
      <c r="BMM62" s="212"/>
      <c r="BMN62" s="212"/>
      <c r="BMO62" s="212"/>
      <c r="BMP62" s="212"/>
      <c r="BMQ62" s="212"/>
      <c r="BMR62" s="212"/>
      <c r="BMS62" s="212"/>
      <c r="BMT62" s="212"/>
      <c r="BMU62" s="212"/>
      <c r="BMV62" s="212"/>
      <c r="BMW62" s="212"/>
      <c r="BMX62" s="212"/>
      <c r="BMY62" s="212"/>
      <c r="BMZ62" s="212"/>
      <c r="BNA62" s="212"/>
      <c r="BNB62" s="212"/>
      <c r="BNC62" s="212"/>
      <c r="BND62" s="212"/>
      <c r="BNE62" s="212"/>
      <c r="BNF62" s="212"/>
      <c r="BNG62" s="212"/>
      <c r="BNH62" s="212"/>
      <c r="BNI62" s="212"/>
      <c r="BNJ62" s="212"/>
      <c r="BNK62" s="212"/>
      <c r="BNL62" s="212"/>
      <c r="BNM62" s="212"/>
      <c r="BNN62" s="212"/>
      <c r="BNO62" s="212"/>
      <c r="BNP62" s="212"/>
      <c r="BNQ62" s="212"/>
      <c r="BNR62" s="212"/>
      <c r="BNS62" s="212"/>
      <c r="BNT62" s="212"/>
      <c r="BNU62" s="212"/>
      <c r="BNV62" s="212"/>
      <c r="BNW62" s="212"/>
      <c r="BNX62" s="212"/>
      <c r="BNY62" s="212"/>
      <c r="BNZ62" s="212"/>
      <c r="BOA62" s="212"/>
      <c r="BOB62" s="212"/>
      <c r="BOC62" s="212"/>
      <c r="BOD62" s="212"/>
      <c r="BOE62" s="212"/>
      <c r="BOF62" s="212"/>
      <c r="BOG62" s="212"/>
      <c r="BOH62" s="212"/>
      <c r="BOI62" s="212"/>
      <c r="BOJ62" s="212"/>
      <c r="BOK62" s="212"/>
      <c r="BOL62" s="212"/>
      <c r="BOM62" s="212"/>
      <c r="BON62" s="212"/>
      <c r="BOO62" s="212"/>
      <c r="BOP62" s="212"/>
      <c r="BOQ62" s="212"/>
      <c r="BOR62" s="212"/>
      <c r="BOS62" s="212"/>
      <c r="BOT62" s="212"/>
      <c r="BOU62" s="212"/>
      <c r="BOV62" s="212"/>
      <c r="BOW62" s="212"/>
      <c r="BOX62" s="212"/>
      <c r="BOY62" s="212"/>
      <c r="BOZ62" s="212"/>
      <c r="BPA62" s="212"/>
      <c r="BPB62" s="212"/>
      <c r="BPC62" s="212"/>
      <c r="BPD62" s="212"/>
      <c r="BPE62" s="212"/>
      <c r="BPF62" s="212"/>
      <c r="BPG62" s="212"/>
      <c r="BPH62" s="212"/>
      <c r="BPI62" s="212"/>
      <c r="BPJ62" s="212"/>
      <c r="BPK62" s="212"/>
      <c r="BPL62" s="212"/>
      <c r="BPM62" s="212"/>
      <c r="BPN62" s="212"/>
      <c r="BPO62" s="212"/>
      <c r="BPP62" s="212"/>
      <c r="BPQ62" s="212"/>
      <c r="BPR62" s="212"/>
      <c r="BPS62" s="212"/>
      <c r="BPT62" s="212"/>
      <c r="BPU62" s="212"/>
      <c r="BPV62" s="212"/>
      <c r="BPW62" s="212"/>
      <c r="BPX62" s="212"/>
      <c r="BPY62" s="212"/>
      <c r="BPZ62" s="212"/>
      <c r="BQA62" s="212"/>
      <c r="BQB62" s="212"/>
      <c r="BQC62" s="212"/>
      <c r="BQD62" s="212"/>
      <c r="BQE62" s="212"/>
      <c r="BQF62" s="212"/>
      <c r="BQG62" s="212"/>
      <c r="BQH62" s="212"/>
      <c r="BQI62" s="212"/>
      <c r="BQJ62" s="212"/>
      <c r="BQK62" s="212"/>
      <c r="BQL62" s="212"/>
      <c r="BQM62" s="212"/>
      <c r="BQN62" s="212"/>
      <c r="BQO62" s="212"/>
      <c r="BQP62" s="212"/>
      <c r="BQQ62" s="212"/>
      <c r="BQR62" s="212"/>
      <c r="BQS62" s="212"/>
      <c r="BQT62" s="212"/>
      <c r="BQU62" s="212"/>
      <c r="BQV62" s="212"/>
      <c r="BQW62" s="212"/>
      <c r="BQX62" s="212"/>
      <c r="BQY62" s="212"/>
      <c r="BQZ62" s="212"/>
      <c r="BRA62" s="212"/>
      <c r="BRB62" s="212"/>
      <c r="BRC62" s="212"/>
      <c r="BRD62" s="212"/>
      <c r="BRE62" s="212"/>
      <c r="BRF62" s="212"/>
      <c r="BRG62" s="212"/>
      <c r="BRH62" s="212"/>
      <c r="BRI62" s="212"/>
      <c r="BRJ62" s="212"/>
      <c r="BRK62" s="212"/>
      <c r="BRL62" s="212"/>
      <c r="BRM62" s="212"/>
      <c r="BRN62" s="212"/>
      <c r="BRO62" s="212"/>
      <c r="BRP62" s="212"/>
      <c r="BRQ62" s="212"/>
      <c r="BRR62" s="212"/>
      <c r="BRS62" s="212"/>
      <c r="BRT62" s="212"/>
      <c r="BRU62" s="212"/>
      <c r="BRV62" s="212"/>
      <c r="BRW62" s="212"/>
      <c r="BRX62" s="212"/>
      <c r="BRY62" s="212"/>
      <c r="BRZ62" s="212"/>
      <c r="BSA62" s="212"/>
      <c r="BSB62" s="212"/>
      <c r="BSC62" s="212"/>
      <c r="BSD62" s="212"/>
      <c r="BSE62" s="212"/>
      <c r="BSF62" s="212"/>
      <c r="BSG62" s="212"/>
      <c r="BSH62" s="212"/>
      <c r="BSI62" s="212"/>
      <c r="BSJ62" s="212"/>
      <c r="BSK62" s="212"/>
      <c r="BSL62" s="212"/>
      <c r="BSM62" s="212"/>
      <c r="BSN62" s="212"/>
      <c r="BSO62" s="212"/>
      <c r="BSP62" s="212"/>
      <c r="BSQ62" s="212"/>
      <c r="BSR62" s="212"/>
      <c r="BSS62" s="212"/>
      <c r="BST62" s="212"/>
      <c r="BSU62" s="212"/>
      <c r="BSV62" s="212"/>
      <c r="BSW62" s="212"/>
      <c r="BSX62" s="212"/>
      <c r="BSY62" s="212"/>
      <c r="BSZ62" s="212"/>
      <c r="BTA62" s="212"/>
      <c r="BTB62" s="212"/>
      <c r="BTC62" s="212"/>
      <c r="BTD62" s="212"/>
      <c r="BTE62" s="212"/>
      <c r="BTF62" s="212"/>
      <c r="BTG62" s="212"/>
      <c r="BTH62" s="212"/>
      <c r="BTI62" s="212"/>
      <c r="BTJ62" s="212"/>
      <c r="BTK62" s="212"/>
      <c r="BTL62" s="212"/>
      <c r="BTM62" s="212"/>
      <c r="BTN62" s="212"/>
      <c r="BTO62" s="212"/>
      <c r="BTP62" s="212"/>
      <c r="BTQ62" s="212"/>
      <c r="BTR62" s="212"/>
      <c r="BTS62" s="212"/>
      <c r="BTT62" s="212"/>
      <c r="BTU62" s="212"/>
      <c r="BTV62" s="212"/>
      <c r="BTW62" s="212"/>
      <c r="BTX62" s="212"/>
      <c r="BTY62" s="212"/>
      <c r="BTZ62" s="212"/>
      <c r="BUA62" s="212"/>
      <c r="BUB62" s="212"/>
      <c r="BUC62" s="212"/>
      <c r="BUD62" s="212"/>
      <c r="BUE62" s="212"/>
      <c r="BUF62" s="212"/>
      <c r="BUG62" s="212"/>
      <c r="BUH62" s="212"/>
      <c r="BUI62" s="212"/>
      <c r="BUJ62" s="212"/>
      <c r="BUK62" s="212"/>
      <c r="BUL62" s="212"/>
      <c r="BUM62" s="212"/>
      <c r="BUN62" s="212"/>
      <c r="BUO62" s="212"/>
      <c r="BUP62" s="212"/>
      <c r="BUQ62" s="212"/>
      <c r="BUR62" s="212"/>
      <c r="BUS62" s="212"/>
      <c r="BUT62" s="212"/>
      <c r="BUU62" s="212"/>
      <c r="BUV62" s="212"/>
      <c r="BUW62" s="212"/>
      <c r="BUX62" s="212"/>
      <c r="BUY62" s="212"/>
      <c r="BUZ62" s="212"/>
      <c r="BVA62" s="212"/>
      <c r="BVB62" s="212"/>
      <c r="BVC62" s="212"/>
      <c r="BVD62" s="212"/>
      <c r="BVE62" s="212"/>
      <c r="BVF62" s="212"/>
      <c r="BVG62" s="212"/>
      <c r="BVH62" s="212"/>
      <c r="BVI62" s="212"/>
      <c r="BVJ62" s="212"/>
      <c r="BVK62" s="212"/>
      <c r="BVL62" s="212"/>
      <c r="BVM62" s="212"/>
      <c r="BVN62" s="212"/>
      <c r="BVO62" s="212"/>
      <c r="BVP62" s="212"/>
      <c r="BVQ62" s="212"/>
      <c r="BVR62" s="212"/>
      <c r="BVS62" s="212"/>
      <c r="BVT62" s="212"/>
      <c r="BVU62" s="212"/>
      <c r="BVV62" s="212"/>
      <c r="BVW62" s="212"/>
      <c r="BVX62" s="212"/>
      <c r="BVY62" s="212"/>
      <c r="BVZ62" s="212"/>
      <c r="BWA62" s="212"/>
      <c r="BWB62" s="212"/>
      <c r="BWC62" s="212"/>
      <c r="BWD62" s="212"/>
      <c r="BWE62" s="212"/>
      <c r="BWF62" s="212"/>
      <c r="BWG62" s="212"/>
      <c r="BWH62" s="212"/>
      <c r="BWI62" s="212"/>
      <c r="BWJ62" s="212"/>
      <c r="BWK62" s="212"/>
      <c r="BWL62" s="212"/>
      <c r="BWM62" s="212"/>
      <c r="BWN62" s="212"/>
      <c r="BWO62" s="212"/>
      <c r="BWP62" s="212"/>
      <c r="BWQ62" s="212"/>
      <c r="BWR62" s="212"/>
      <c r="BWS62" s="212"/>
      <c r="BWT62" s="212"/>
      <c r="BWU62" s="212"/>
      <c r="BWV62" s="212"/>
      <c r="BWW62" s="212"/>
      <c r="BWX62" s="212"/>
      <c r="BWY62" s="212"/>
      <c r="BWZ62" s="212"/>
      <c r="BXA62" s="212"/>
      <c r="BXB62" s="212"/>
      <c r="BXC62" s="212"/>
      <c r="BXD62" s="212"/>
      <c r="BXE62" s="212"/>
      <c r="BXF62" s="212"/>
      <c r="BXG62" s="212"/>
      <c r="BXH62" s="212"/>
      <c r="BXI62" s="212"/>
      <c r="BXJ62" s="212"/>
      <c r="BXK62" s="212"/>
      <c r="BXL62" s="212"/>
      <c r="BXM62" s="212"/>
      <c r="BXN62" s="212"/>
      <c r="BXO62" s="212"/>
      <c r="BXP62" s="212"/>
      <c r="BXQ62" s="212"/>
      <c r="BXR62" s="212"/>
      <c r="BXS62" s="212"/>
      <c r="BXT62" s="212"/>
      <c r="BXU62" s="212"/>
      <c r="BXV62" s="212"/>
      <c r="BXW62" s="212"/>
      <c r="BXX62" s="212"/>
      <c r="BXY62" s="212"/>
      <c r="BXZ62" s="212"/>
      <c r="BYA62" s="212"/>
      <c r="BYB62" s="212"/>
      <c r="BYC62" s="212"/>
      <c r="BYD62" s="212"/>
      <c r="BYE62" s="212"/>
      <c r="BYF62" s="212"/>
      <c r="BYG62" s="212"/>
    </row>
    <row r="63" spans="1:2009" s="96" customFormat="1" ht="10.5"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0.5" customHeight="1" x14ac:dyDescent="0.25">
      <c r="A65" s="122"/>
      <c r="B65" s="122"/>
      <c r="C65" s="204"/>
      <c r="D65" s="204"/>
      <c r="E65" s="204"/>
      <c r="F65" s="204"/>
      <c r="G65" s="20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ht="15" customHeight="1" x14ac:dyDescent="0.25">
      <c r="A66" s="123"/>
      <c r="B66" s="344" t="s">
        <v>400</v>
      </c>
      <c r="C66" s="205"/>
      <c r="D66" s="205"/>
      <c r="E66" s="205"/>
      <c r="F66" s="205"/>
      <c r="G66" s="205"/>
    </row>
    <row r="67" spans="1:2009" ht="8.25" customHeight="1" x14ac:dyDescent="0.25">
      <c r="A67" s="123"/>
      <c r="B67" s="162"/>
      <c r="C67" s="205"/>
      <c r="D67" s="205"/>
      <c r="E67" s="205"/>
      <c r="F67" s="205"/>
      <c r="G67" s="205"/>
    </row>
    <row r="68" spans="1:2009" ht="14.25" customHeight="1" x14ac:dyDescent="0.25">
      <c r="A68" s="123"/>
      <c r="B68" s="634" t="s">
        <v>51</v>
      </c>
      <c r="C68" s="636">
        <v>9108.65</v>
      </c>
      <c r="D68" s="205"/>
      <c r="E68" s="205"/>
      <c r="F68" s="205"/>
      <c r="G68" s="205"/>
    </row>
    <row r="69" spans="1:2009" ht="14.25" customHeight="1" x14ac:dyDescent="0.25">
      <c r="A69" s="123"/>
      <c r="B69" s="634" t="s">
        <v>424</v>
      </c>
      <c r="C69" s="636">
        <v>9250</v>
      </c>
      <c r="D69" s="205"/>
      <c r="E69" s="205"/>
      <c r="F69" s="205"/>
      <c r="G69" s="205"/>
    </row>
    <row r="70" spans="1:2009" ht="14.25" customHeight="1" x14ac:dyDescent="0.25">
      <c r="A70" s="123"/>
      <c r="B70" s="634" t="s">
        <v>425</v>
      </c>
      <c r="C70" s="636">
        <v>1186.17</v>
      </c>
      <c r="D70" s="205"/>
      <c r="E70" s="205"/>
      <c r="F70" s="205"/>
      <c r="G70" s="205"/>
    </row>
    <row r="71" spans="1:2009" ht="14.25" customHeight="1" x14ac:dyDescent="0.25">
      <c r="A71" s="123"/>
      <c r="B71" s="634" t="s">
        <v>428</v>
      </c>
      <c r="C71" s="636">
        <v>5898.8</v>
      </c>
      <c r="D71" s="205"/>
      <c r="E71" s="205"/>
      <c r="F71" s="205"/>
      <c r="G71" s="205"/>
    </row>
    <row r="72" spans="1:2009" ht="14.25" customHeight="1" x14ac:dyDescent="0.25">
      <c r="A72" s="123"/>
      <c r="B72" s="634" t="s">
        <v>427</v>
      </c>
      <c r="C72" s="636">
        <v>3423.64</v>
      </c>
      <c r="D72" s="205"/>
      <c r="E72" s="205"/>
      <c r="F72" s="205"/>
      <c r="G72" s="205"/>
    </row>
    <row r="73" spans="1:2009" ht="14.25" customHeight="1" x14ac:dyDescent="0.25">
      <c r="A73" s="123"/>
      <c r="B73" s="634" t="s">
        <v>426</v>
      </c>
      <c r="C73" s="636">
        <v>3458.33</v>
      </c>
      <c r="D73" s="205"/>
      <c r="E73" s="205"/>
      <c r="F73" s="205"/>
      <c r="G73" s="205"/>
    </row>
    <row r="74" spans="1:2009" ht="15" x14ac:dyDescent="0.25">
      <c r="A74" s="445"/>
      <c r="B74" s="163" t="s">
        <v>430</v>
      </c>
      <c r="C74" s="391">
        <f>SUM(C67:C73)</f>
        <v>32325.589999999997</v>
      </c>
      <c r="D74" s="206"/>
      <c r="E74" s="206"/>
      <c r="F74" s="206"/>
      <c r="G74" s="206"/>
    </row>
    <row r="75" spans="1:2009" ht="5.25" customHeight="1" x14ac:dyDescent="0.2">
      <c r="C75" s="206"/>
      <c r="D75" s="206"/>
      <c r="E75" s="206"/>
      <c r="F75" s="206"/>
      <c r="G75" s="206"/>
    </row>
    <row r="76" spans="1:2009" ht="15.75" thickBot="1" x14ac:dyDescent="0.3">
      <c r="B76" s="163" t="s">
        <v>429</v>
      </c>
      <c r="C76" s="430">
        <f>G62-C74</f>
        <v>224511.18999999997</v>
      </c>
      <c r="D76" s="206"/>
      <c r="E76" s="206"/>
      <c r="F76" s="206"/>
      <c r="G76" s="206"/>
    </row>
    <row r="77" spans="1:2009" ht="12" customHeight="1" thickTop="1" x14ac:dyDescent="0.2">
      <c r="C77" s="206"/>
      <c r="D77" s="206"/>
      <c r="E77" s="206"/>
      <c r="F77" s="206"/>
      <c r="G77" s="206"/>
    </row>
    <row r="78" spans="1:2009" ht="15.75" x14ac:dyDescent="0.25">
      <c r="B78" s="344" t="s">
        <v>196</v>
      </c>
      <c r="C78" s="206"/>
      <c r="D78" s="206"/>
      <c r="E78" s="206"/>
      <c r="F78" s="206"/>
      <c r="G78" s="206"/>
    </row>
    <row r="79" spans="1:2009" ht="15" hidden="1" x14ac:dyDescent="0.2">
      <c r="B79" s="605" t="s">
        <v>376</v>
      </c>
      <c r="C79" s="206">
        <f>1981.95+200+48</f>
        <v>2229.9499999999998</v>
      </c>
      <c r="D79" s="206"/>
      <c r="E79" s="206"/>
      <c r="F79" s="206"/>
      <c r="G79" s="206"/>
    </row>
    <row r="80" spans="1:2009" ht="15" hidden="1" x14ac:dyDescent="0.2">
      <c r="B80" s="605" t="s">
        <v>378</v>
      </c>
      <c r="C80" s="206">
        <v>79750</v>
      </c>
      <c r="D80" s="206"/>
      <c r="E80" s="206"/>
      <c r="F80" s="206"/>
      <c r="G80" s="206"/>
    </row>
    <row r="81" spans="2:7" ht="15" hidden="1" x14ac:dyDescent="0.2">
      <c r="B81" s="605" t="s">
        <v>379</v>
      </c>
      <c r="C81" s="206">
        <v>22450.84</v>
      </c>
      <c r="D81" s="206"/>
      <c r="E81" s="206"/>
      <c r="F81" s="206"/>
      <c r="G81" s="206"/>
    </row>
    <row r="82" spans="2:7" ht="15" hidden="1" x14ac:dyDescent="0.2">
      <c r="B82" s="605" t="s">
        <v>380</v>
      </c>
      <c r="C82" s="206">
        <v>1825</v>
      </c>
      <c r="D82" s="206"/>
      <c r="E82" s="206"/>
      <c r="F82" s="206"/>
      <c r="G82" s="206"/>
    </row>
    <row r="83" spans="2:7" ht="15" hidden="1" x14ac:dyDescent="0.2">
      <c r="B83" s="605" t="s">
        <v>381</v>
      </c>
      <c r="C83" s="206">
        <v>3350</v>
      </c>
      <c r="D83" s="206"/>
      <c r="E83" s="206"/>
      <c r="F83" s="206"/>
      <c r="G83" s="206"/>
    </row>
    <row r="84" spans="2:7" ht="16.5" customHeight="1" x14ac:dyDescent="0.2">
      <c r="B84" s="635" t="s">
        <v>442</v>
      </c>
      <c r="C84" s="637">
        <v>25000</v>
      </c>
      <c r="D84" s="206"/>
      <c r="E84" s="206"/>
      <c r="F84" s="206"/>
      <c r="G84" s="206"/>
    </row>
    <row r="85" spans="2:7" ht="16.5" customHeight="1" x14ac:dyDescent="0.2">
      <c r="B85" s="635" t="s">
        <v>451</v>
      </c>
      <c r="C85" s="638">
        <v>10000</v>
      </c>
      <c r="D85" s="206"/>
      <c r="E85" s="206"/>
      <c r="F85" s="206"/>
      <c r="G85" s="206"/>
    </row>
    <row r="86" spans="2:7" ht="15" x14ac:dyDescent="0.2">
      <c r="B86" s="605"/>
      <c r="C86" s="206"/>
      <c r="D86" s="206"/>
      <c r="E86" s="206"/>
      <c r="F86" s="206"/>
      <c r="G86" s="206"/>
    </row>
    <row r="87" spans="2:7" hidden="1" x14ac:dyDescent="0.2">
      <c r="B87" s="480"/>
      <c r="C87" s="206"/>
      <c r="D87" s="206"/>
      <c r="E87" s="206"/>
      <c r="F87" s="206"/>
      <c r="G87" s="206"/>
    </row>
    <row r="88" spans="2:7" hidden="1" x14ac:dyDescent="0.2">
      <c r="B88" s="480"/>
      <c r="C88" s="206"/>
      <c r="D88" s="206"/>
      <c r="E88" s="206"/>
      <c r="F88" s="206"/>
      <c r="G88" s="206"/>
    </row>
    <row r="89" spans="2:7" hidden="1" x14ac:dyDescent="0.2">
      <c r="B89" s="480"/>
      <c r="C89" s="206"/>
      <c r="D89" s="206"/>
      <c r="E89" s="206"/>
      <c r="F89" s="206"/>
      <c r="G89" s="206"/>
    </row>
    <row r="90" spans="2:7" hidden="1" x14ac:dyDescent="0.2">
      <c r="B90" s="480"/>
      <c r="C90" s="206"/>
      <c r="D90" s="206"/>
      <c r="E90" s="206"/>
      <c r="F90" s="206"/>
      <c r="G90" s="206"/>
    </row>
    <row r="91" spans="2:7" hidden="1" x14ac:dyDescent="0.2">
      <c r="B91" s="480"/>
      <c r="C91" s="206"/>
      <c r="D91" s="206"/>
      <c r="E91" s="206"/>
      <c r="F91" s="206"/>
      <c r="G91" s="206"/>
    </row>
    <row r="92" spans="2:7" hidden="1" x14ac:dyDescent="0.2">
      <c r="B92" s="480"/>
      <c r="C92" s="398"/>
      <c r="D92" s="206"/>
      <c r="E92" s="206"/>
      <c r="F92" s="206"/>
      <c r="G92" s="206"/>
    </row>
    <row r="93" spans="2:7" hidden="1" x14ac:dyDescent="0.2">
      <c r="B93" s="480"/>
      <c r="C93" s="398"/>
      <c r="D93" s="206"/>
      <c r="E93" s="206"/>
      <c r="F93" s="206"/>
      <c r="G93" s="206"/>
    </row>
    <row r="94" spans="2:7" ht="16.5" customHeight="1" x14ac:dyDescent="0.25">
      <c r="B94" s="493" t="s">
        <v>374</v>
      </c>
      <c r="C94" s="398"/>
      <c r="D94" s="206"/>
      <c r="E94" s="206"/>
      <c r="F94" s="206"/>
      <c r="G94" s="206"/>
    </row>
    <row r="95" spans="2:7" ht="16.5" customHeight="1" x14ac:dyDescent="0.25">
      <c r="B95" s="634" t="s">
        <v>452</v>
      </c>
      <c r="C95" s="206">
        <v>1684.63</v>
      </c>
      <c r="D95" s="206"/>
      <c r="E95" s="206"/>
      <c r="F95" s="206"/>
      <c r="G95" s="206"/>
    </row>
    <row r="96" spans="2:7" ht="16.5" customHeight="1" x14ac:dyDescent="0.2">
      <c r="B96" s="306" t="s">
        <v>453</v>
      </c>
      <c r="C96" s="206">
        <v>7752.47</v>
      </c>
      <c r="D96" s="206"/>
      <c r="E96" s="206"/>
      <c r="F96" s="206"/>
      <c r="G96" s="206"/>
    </row>
    <row r="97" spans="2:7" ht="16.5" customHeight="1" x14ac:dyDescent="0.2">
      <c r="B97" s="306" t="s">
        <v>454</v>
      </c>
      <c r="C97" s="206">
        <v>26977.21</v>
      </c>
      <c r="D97" s="206"/>
      <c r="E97" s="206"/>
      <c r="F97" s="206"/>
      <c r="G97" s="206"/>
    </row>
    <row r="98" spans="2:7" ht="12" customHeight="1" x14ac:dyDescent="0.2">
      <c r="B98" s="306" t="s">
        <v>459</v>
      </c>
      <c r="C98" s="206">
        <f>E31</f>
        <v>24082.35</v>
      </c>
      <c r="D98" s="206"/>
      <c r="E98" s="206"/>
      <c r="F98" s="206"/>
      <c r="G98" s="206"/>
    </row>
    <row r="99" spans="2:7" ht="12" customHeight="1" x14ac:dyDescent="0.2">
      <c r="C99" s="206"/>
      <c r="D99" s="206"/>
      <c r="E99" s="206"/>
      <c r="F99" s="206"/>
      <c r="G99" s="206"/>
    </row>
    <row r="100" spans="2:7" ht="12" customHeight="1" x14ac:dyDescent="0.2">
      <c r="C100" s="206"/>
      <c r="D100" s="206"/>
      <c r="E100" s="206"/>
      <c r="F100" s="206"/>
      <c r="G100" s="206"/>
    </row>
    <row r="101" spans="2:7" ht="12" customHeight="1" x14ac:dyDescent="0.2">
      <c r="C101" s="206"/>
      <c r="D101" s="206"/>
      <c r="E101" s="206"/>
      <c r="F101" s="206"/>
      <c r="G101" s="206"/>
    </row>
    <row r="102" spans="2:7" ht="12" customHeight="1" x14ac:dyDescent="0.2">
      <c r="C102" s="206"/>
      <c r="D102" s="206"/>
      <c r="E102" s="206"/>
      <c r="F102" s="206"/>
      <c r="G102" s="206"/>
    </row>
    <row r="103" spans="2:7" ht="12" customHeight="1" x14ac:dyDescent="0.2">
      <c r="C103" s="206"/>
      <c r="D103" s="206"/>
      <c r="E103" s="206"/>
      <c r="F103" s="206"/>
      <c r="G103" s="206"/>
    </row>
    <row r="104" spans="2:7" ht="12" customHeight="1" x14ac:dyDescent="0.2">
      <c r="C104" s="206"/>
      <c r="D104" s="206"/>
      <c r="E104" s="206"/>
      <c r="F104" s="206"/>
      <c r="G104" s="206"/>
    </row>
    <row r="105" spans="2:7" ht="12" customHeight="1" x14ac:dyDescent="0.2">
      <c r="C105" s="206"/>
      <c r="D105" s="206"/>
      <c r="E105" s="206"/>
      <c r="F105" s="206"/>
      <c r="G105" s="206"/>
    </row>
    <row r="106" spans="2:7" ht="12" customHeight="1" x14ac:dyDescent="0.2">
      <c r="C106" s="206"/>
      <c r="D106" s="206"/>
      <c r="E106" s="206"/>
      <c r="F106" s="206"/>
      <c r="G106" s="206"/>
    </row>
    <row r="107" spans="2:7" ht="12" customHeight="1" x14ac:dyDescent="0.2">
      <c r="C107" s="206"/>
      <c r="D107" s="206"/>
      <c r="E107" s="206"/>
      <c r="F107" s="206"/>
      <c r="G107" s="206"/>
    </row>
    <row r="108" spans="2:7" ht="12" customHeight="1" x14ac:dyDescent="0.2">
      <c r="C108" s="206"/>
      <c r="D108" s="206"/>
      <c r="E108" s="206"/>
      <c r="F108" s="206"/>
      <c r="G108" s="206"/>
    </row>
    <row r="109" spans="2:7" ht="12" customHeight="1" x14ac:dyDescent="0.2">
      <c r="C109" s="206"/>
      <c r="D109" s="206"/>
      <c r="E109" s="206"/>
      <c r="F109" s="206"/>
      <c r="G109" s="206"/>
    </row>
    <row r="110" spans="2:7" ht="12" customHeight="1" x14ac:dyDescent="0.2">
      <c r="C110" s="206"/>
      <c r="D110" s="206"/>
      <c r="E110" s="206"/>
      <c r="F110" s="206"/>
      <c r="G110" s="206"/>
    </row>
    <row r="111" spans="2:7" ht="12" customHeight="1" x14ac:dyDescent="0.2">
      <c r="C111" s="206"/>
      <c r="D111" s="206"/>
      <c r="E111" s="206"/>
      <c r="F111" s="206"/>
      <c r="G111" s="206"/>
    </row>
    <row r="112" spans="2: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3:7" ht="12" customHeight="1" x14ac:dyDescent="0.2">
      <c r="C145" s="206"/>
      <c r="D145" s="206"/>
      <c r="E145" s="206"/>
      <c r="F145" s="206"/>
      <c r="G145" s="206"/>
    </row>
    <row r="146" spans="3:7" ht="12" customHeight="1" x14ac:dyDescent="0.2">
      <c r="C146" s="206"/>
      <c r="D146" s="206"/>
      <c r="E146" s="206"/>
      <c r="F146" s="206"/>
      <c r="G146" s="206"/>
    </row>
    <row r="147" spans="3:7" ht="12" customHeight="1" x14ac:dyDescent="0.2">
      <c r="C147" s="206"/>
      <c r="D147" s="206"/>
      <c r="E147" s="206"/>
      <c r="F147" s="206"/>
      <c r="G147" s="206"/>
    </row>
    <row r="148" spans="3:7" ht="12" customHeight="1" x14ac:dyDescent="0.2">
      <c r="C148" s="206"/>
      <c r="D148" s="206"/>
      <c r="E148" s="206"/>
      <c r="F148" s="206"/>
      <c r="G148" s="206"/>
    </row>
    <row r="149" spans="3:7" ht="12" customHeight="1" x14ac:dyDescent="0.2">
      <c r="C149" s="206"/>
      <c r="D149" s="206"/>
      <c r="E149" s="206"/>
      <c r="F149" s="206"/>
      <c r="G149" s="206"/>
    </row>
    <row r="150" spans="3:7" ht="12" customHeight="1" x14ac:dyDescent="0.2">
      <c r="C150" s="206"/>
      <c r="D150" s="206"/>
      <c r="E150" s="206"/>
      <c r="F150" s="206"/>
      <c r="G150" s="206"/>
    </row>
    <row r="151" spans="3:7" ht="12" customHeight="1" x14ac:dyDescent="0.2">
      <c r="C151" s="206"/>
      <c r="D151" s="206"/>
      <c r="E151" s="206"/>
      <c r="F151" s="206"/>
      <c r="G151" s="206"/>
    </row>
    <row r="152" spans="3:7" ht="12" customHeight="1" x14ac:dyDescent="0.2">
      <c r="C152" s="206"/>
      <c r="D152" s="206"/>
      <c r="E152" s="206"/>
      <c r="F152" s="206"/>
      <c r="G152" s="206"/>
    </row>
    <row r="153" spans="3:7" ht="12" customHeight="1" x14ac:dyDescent="0.2">
      <c r="C153" s="206"/>
      <c r="D153" s="206"/>
      <c r="E153" s="206"/>
      <c r="F153" s="206"/>
      <c r="G153" s="206"/>
    </row>
    <row r="154" spans="3:7" ht="12" customHeight="1" x14ac:dyDescent="0.2">
      <c r="C154" s="206"/>
      <c r="D154" s="206"/>
      <c r="E154" s="206"/>
      <c r="F154" s="206"/>
      <c r="G154" s="206"/>
    </row>
    <row r="155" spans="3:7" ht="12" customHeight="1" x14ac:dyDescent="0.2">
      <c r="C155" s="206"/>
      <c r="D155" s="206"/>
      <c r="E155" s="206"/>
      <c r="F155" s="206"/>
      <c r="G155" s="206"/>
    </row>
    <row r="156" spans="3:7" ht="12" customHeight="1" x14ac:dyDescent="0.2">
      <c r="C156" s="206"/>
      <c r="D156" s="206"/>
      <c r="E156" s="206"/>
      <c r="F156" s="206"/>
      <c r="G156" s="206"/>
    </row>
    <row r="157" spans="3:7" ht="12" customHeight="1" x14ac:dyDescent="0.2">
      <c r="C157" s="206"/>
      <c r="D157" s="206"/>
      <c r="E157" s="206"/>
      <c r="F157" s="206"/>
      <c r="G157" s="206"/>
    </row>
    <row r="158" spans="3:7" ht="12" customHeight="1" x14ac:dyDescent="0.2">
      <c r="C158" s="206"/>
      <c r="D158" s="206"/>
      <c r="E158" s="206"/>
      <c r="F158" s="206"/>
      <c r="G158" s="206"/>
    </row>
    <row r="159" spans="3:7" ht="12" customHeight="1" x14ac:dyDescent="0.2">
      <c r="C159" s="206"/>
      <c r="D159" s="206"/>
      <c r="E159" s="206"/>
      <c r="F159" s="206"/>
      <c r="G159" s="206"/>
    </row>
    <row r="160" spans="3:7" ht="12" customHeight="1" x14ac:dyDescent="0.2">
      <c r="C160" s="206"/>
      <c r="D160" s="206"/>
      <c r="E160" s="206"/>
      <c r="F160" s="206"/>
      <c r="G160" s="206"/>
    </row>
    <row r="161" spans="2:14" ht="12" customHeight="1" x14ac:dyDescent="0.2">
      <c r="C161" s="206"/>
      <c r="D161" s="206"/>
      <c r="E161" s="206"/>
      <c r="F161" s="206"/>
      <c r="G161" s="206"/>
    </row>
    <row r="162" spans="2:14" ht="14.25" customHeight="1" x14ac:dyDescent="0.2"/>
    <row r="163" spans="2:14" ht="15.75" hidden="1" x14ac:dyDescent="0.25">
      <c r="B163" s="390"/>
      <c r="C163" s="249"/>
    </row>
    <row r="164" spans="2:14" ht="15" hidden="1" x14ac:dyDescent="0.25">
      <c r="B164" s="345"/>
      <c r="C164" s="392"/>
    </row>
    <row r="165" spans="2:14" ht="15" hidden="1" x14ac:dyDescent="0.25">
      <c r="B165" s="345"/>
      <c r="C165" s="398"/>
    </row>
    <row r="166" spans="2:14" ht="15" hidden="1" x14ac:dyDescent="0.25">
      <c r="B166" s="345"/>
      <c r="C166" s="206"/>
    </row>
    <row r="167" spans="2:14" hidden="1" x14ac:dyDescent="0.2">
      <c r="B167" s="306"/>
    </row>
    <row r="168" spans="2:14" hidden="1" x14ac:dyDescent="0.2">
      <c r="B168" s="306"/>
    </row>
    <row r="169" spans="2:14" hidden="1" x14ac:dyDescent="0.2">
      <c r="B169" s="306"/>
    </row>
    <row r="170" spans="2:14" hidden="1" x14ac:dyDescent="0.2"/>
    <row r="171" spans="2:14" hidden="1" x14ac:dyDescent="0.2"/>
    <row r="172" spans="2:14" hidden="1" x14ac:dyDescent="0.2">
      <c r="C172" s="342">
        <v>41698</v>
      </c>
      <c r="D172" s="342">
        <v>41609</v>
      </c>
      <c r="E172" s="342">
        <v>41548</v>
      </c>
      <c r="F172" s="342">
        <v>41487</v>
      </c>
      <c r="G172" s="342">
        <v>41426</v>
      </c>
      <c r="H172" s="342">
        <v>41365</v>
      </c>
      <c r="I172" s="342">
        <v>41306</v>
      </c>
      <c r="J172" s="342">
        <v>41274</v>
      </c>
      <c r="K172" s="342">
        <v>41213</v>
      </c>
      <c r="L172" s="342">
        <v>41152</v>
      </c>
      <c r="M172" s="343">
        <v>41090</v>
      </c>
      <c r="N172" s="342">
        <v>41029</v>
      </c>
    </row>
    <row r="173" spans="2:14" hidden="1" x14ac:dyDescent="0.2">
      <c r="B173" s="58" t="s">
        <v>143</v>
      </c>
      <c r="C173" s="249">
        <f>C62</f>
        <v>139160.01999999999</v>
      </c>
      <c r="D173" s="249">
        <f>105452.64+311868.06-305987</f>
        <v>111333.70000000001</v>
      </c>
      <c r="E173" s="249">
        <v>85798.300000000017</v>
      </c>
      <c r="F173" s="206">
        <f>53253.08+18642.89</f>
        <v>71895.97</v>
      </c>
      <c r="G173" s="206">
        <v>126315</v>
      </c>
      <c r="H173" s="206">
        <v>69404</v>
      </c>
      <c r="I173" s="206">
        <v>75744</v>
      </c>
      <c r="J173" s="206">
        <v>119840.47</v>
      </c>
      <c r="K173" s="206">
        <v>120024</v>
      </c>
      <c r="L173" s="206">
        <v>109142</v>
      </c>
      <c r="M173" s="341">
        <v>142216.66</v>
      </c>
      <c r="N173" s="206">
        <v>104785.62</v>
      </c>
    </row>
    <row r="174" spans="2:14" hidden="1" x14ac:dyDescent="0.2">
      <c r="B174" s="58" t="s">
        <v>144</v>
      </c>
      <c r="C174" s="249">
        <f>D62</f>
        <v>67114.27</v>
      </c>
      <c r="D174" s="249">
        <f>74767.18-13600.56</f>
        <v>61166.619999999995</v>
      </c>
      <c r="E174" s="249">
        <v>86248.31</v>
      </c>
      <c r="F174" s="206">
        <v>43187.16</v>
      </c>
      <c r="G174" s="206">
        <v>60049</v>
      </c>
      <c r="H174" s="206">
        <v>101941</v>
      </c>
      <c r="I174" s="206">
        <v>43152</v>
      </c>
      <c r="J174" s="206">
        <v>58938.2</v>
      </c>
      <c r="K174" s="206">
        <v>85767</v>
      </c>
      <c r="L174" s="206">
        <v>119436</v>
      </c>
      <c r="M174" s="341">
        <v>73223.850000000006</v>
      </c>
      <c r="N174" s="206">
        <v>86907.23</v>
      </c>
    </row>
    <row r="175" spans="2:14" hidden="1" x14ac:dyDescent="0.2">
      <c r="B175" s="58" t="s">
        <v>145</v>
      </c>
      <c r="C175" s="249">
        <f>E62</f>
        <v>50562.49</v>
      </c>
      <c r="D175" s="249">
        <f>66720.93-13675.33</f>
        <v>53045.599999999991</v>
      </c>
      <c r="E175" s="249">
        <v>32950.589999999997</v>
      </c>
      <c r="F175" s="206">
        <v>65970.55</v>
      </c>
      <c r="G175" s="206">
        <v>18719</v>
      </c>
      <c r="H175" s="206">
        <v>3668</v>
      </c>
      <c r="I175" s="206">
        <v>50430</v>
      </c>
      <c r="J175" s="206">
        <v>88408.17</v>
      </c>
      <c r="K175" s="206">
        <v>26680</v>
      </c>
      <c r="L175" s="206">
        <v>51922</v>
      </c>
      <c r="M175" s="341">
        <v>77261.37</v>
      </c>
      <c r="N175" s="206">
        <v>11021.67</v>
      </c>
    </row>
    <row r="176" spans="2:14" hidden="1" x14ac:dyDescent="0.2">
      <c r="B176" s="58" t="s">
        <v>146</v>
      </c>
      <c r="C176" s="249">
        <f>F62</f>
        <v>0</v>
      </c>
      <c r="D176" s="249">
        <v>86322.43</v>
      </c>
      <c r="E176" s="249">
        <v>66109.450000000012</v>
      </c>
      <c r="F176" s="206">
        <v>56011.13</v>
      </c>
      <c r="G176" s="206">
        <v>1250</v>
      </c>
      <c r="H176" s="206">
        <v>0</v>
      </c>
      <c r="I176" s="206">
        <v>9959</v>
      </c>
      <c r="J176" s="206">
        <v>18374.45</v>
      </c>
      <c r="K176" s="206">
        <v>22103</v>
      </c>
      <c r="L176" s="206">
        <v>71168</v>
      </c>
      <c r="M176" s="341">
        <v>55167.87</v>
      </c>
      <c r="N176" s="206"/>
    </row>
    <row r="177" spans="3:14" hidden="1" x14ac:dyDescent="0.2">
      <c r="C177" s="249">
        <f>SUM(C173:C176)</f>
        <v>256836.77999999997</v>
      </c>
      <c r="D177" s="249">
        <f>SUM(D173:D176)</f>
        <v>311868.34999999998</v>
      </c>
      <c r="E177" s="249">
        <v>271106.65000000002</v>
      </c>
      <c r="F177" s="206">
        <f>SUM(F173:F176)</f>
        <v>237064.81</v>
      </c>
      <c r="G177" s="206">
        <f t="shared" ref="G177:N177" si="4">SUM(G173:G176)</f>
        <v>206333</v>
      </c>
      <c r="H177" s="206">
        <f t="shared" si="4"/>
        <v>175013</v>
      </c>
      <c r="I177" s="206">
        <f t="shared" si="4"/>
        <v>179285</v>
      </c>
      <c r="J177" s="206">
        <f t="shared" si="4"/>
        <v>285561.28999999998</v>
      </c>
      <c r="K177" s="206">
        <f t="shared" si="4"/>
        <v>254574</v>
      </c>
      <c r="L177" s="206">
        <f t="shared" si="4"/>
        <v>351668</v>
      </c>
      <c r="M177" s="206">
        <f t="shared" si="4"/>
        <v>347869.75</v>
      </c>
      <c r="N177" s="206">
        <f t="shared" si="4"/>
        <v>202714.52</v>
      </c>
    </row>
    <row r="178" spans="3:14" hidden="1" x14ac:dyDescent="0.2">
      <c r="D178" s="206"/>
      <c r="E178" s="206"/>
      <c r="F178" s="206"/>
      <c r="G178" s="206"/>
      <c r="H178" s="206"/>
      <c r="I178" s="206"/>
      <c r="J178" s="206"/>
      <c r="K178" s="206"/>
      <c r="L178" s="341"/>
    </row>
    <row r="179" spans="3:14" hidden="1" x14ac:dyDescent="0.2">
      <c r="C179" s="206"/>
      <c r="D179" s="206"/>
      <c r="E179" s="206"/>
      <c r="F179" s="206"/>
      <c r="G179" s="206"/>
      <c r="H179" s="341"/>
      <c r="I179" s="341"/>
      <c r="J179" s="341"/>
      <c r="K179" s="341"/>
    </row>
    <row r="180" spans="3:14" hidden="1" x14ac:dyDescent="0.2">
      <c r="C180" s="206"/>
      <c r="D180" s="206"/>
      <c r="E180" s="206"/>
      <c r="F180" s="206"/>
      <c r="G180" s="206"/>
      <c r="H180" s="341"/>
      <c r="I180" s="341"/>
      <c r="J180" s="341"/>
      <c r="K180" s="341"/>
    </row>
    <row r="181" spans="3:14" hidden="1" x14ac:dyDescent="0.2"/>
    <row r="182" spans="3:14" hidden="1" x14ac:dyDescent="0.2"/>
    <row r="183" spans="3:14" hidden="1" x14ac:dyDescent="0.2"/>
    <row r="184" spans="3:14" hidden="1" x14ac:dyDescent="0.2"/>
    <row r="185" spans="3:14" hidden="1" x14ac:dyDescent="0.2"/>
    <row r="186" spans="3:14" hidden="1" x14ac:dyDescent="0.2"/>
    <row r="187" spans="3:14" hidden="1" x14ac:dyDescent="0.2"/>
    <row r="188" spans="3:14" hidden="1" x14ac:dyDescent="0.2"/>
    <row r="189" spans="3:14" hidden="1" x14ac:dyDescent="0.2"/>
    <row r="190" spans="3:14" hidden="1" x14ac:dyDescent="0.2"/>
    <row r="191" spans="3:14" hidden="1" x14ac:dyDescent="0.2"/>
    <row r="192" spans="3:14"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sheetData>
  <sortState ref="A82:J85">
    <sortCondition ref="A82:A85"/>
  </sortState>
  <mergeCells count="2">
    <mergeCell ref="A5:B5"/>
    <mergeCell ref="A54:B54"/>
  </mergeCells>
  <pageMargins left="0.7" right="0.25" top="0.25" bottom="0.25" header="0.3" footer="0.3"/>
  <pageSetup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zoomScale="75" zoomScaleNormal="75" workbookViewId="0">
      <selection activeCell="R15" sqref="R15"/>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 style="18" customWidth="1"/>
    <col min="11" max="11" width="1.25" style="18" hidden="1" customWidth="1"/>
    <col min="12" max="12" width="24" style="18" hidden="1" customWidth="1"/>
    <col min="13" max="13" width="1.25" style="18" hidden="1" customWidth="1"/>
    <col min="14" max="14" width="24" style="18" hidden="1" customWidth="1"/>
    <col min="15" max="17" width="9" style="18"/>
    <col min="18" max="18" width="12.5" style="18" bestFit="1" customWidth="1"/>
    <col min="19"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103</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188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35.1" hidden="1" customHeight="1" x14ac:dyDescent="0.4">
      <c r="A4" s="59" t="s">
        <v>54</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7.75" thickTop="1" thickBot="1" x14ac:dyDescent="0.25">
      <c r="A6" s="65" t="s">
        <v>55</v>
      </c>
      <c r="B6" s="65"/>
      <c r="C6" s="65"/>
      <c r="D6" s="65"/>
      <c r="E6" s="65"/>
      <c r="F6" s="65"/>
      <c r="G6" s="263"/>
      <c r="H6" s="263"/>
      <c r="I6" s="263" t="s">
        <v>56</v>
      </c>
      <c r="J6" s="263"/>
      <c r="K6" s="263"/>
      <c r="L6" s="263"/>
      <c r="M6" s="263"/>
      <c r="N6" s="26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row>
    <row r="8" spans="1:130" s="73" customFormat="1" ht="21" thickBot="1" x14ac:dyDescent="0.35">
      <c r="A8" s="70"/>
      <c r="B8" s="155" t="s">
        <v>57</v>
      </c>
      <c r="C8" s="155"/>
      <c r="D8" s="155"/>
      <c r="E8" s="155"/>
      <c r="F8" s="155"/>
      <c r="G8" s="357"/>
      <c r="H8" s="308">
        <v>43100</v>
      </c>
      <c r="I8" s="308"/>
      <c r="J8" s="308">
        <v>42735</v>
      </c>
      <c r="K8" s="72"/>
      <c r="L8" s="308">
        <v>42674</v>
      </c>
      <c r="M8" s="72"/>
      <c r="N8" s="308">
        <f>J8-366</f>
        <v>42369</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74" t="s">
        <v>58</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8" customFormat="1" ht="20.25" hidden="1" x14ac:dyDescent="0.2">
      <c r="A11" s="76"/>
      <c r="B11" s="76"/>
      <c r="C11" s="76"/>
      <c r="D11" s="76" t="s">
        <v>85</v>
      </c>
      <c r="E11" s="76"/>
      <c r="F11" s="76"/>
      <c r="G11" s="287"/>
      <c r="H11" s="287" t="s">
        <v>109</v>
      </c>
      <c r="I11" s="287"/>
      <c r="J11" s="287" t="s">
        <v>109</v>
      </c>
      <c r="K11" s="77"/>
      <c r="L11" s="287" t="s">
        <v>109</v>
      </c>
      <c r="M11" s="77"/>
      <c r="N11" s="287" t="s">
        <v>109</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1:130" s="78" customFormat="1" ht="20.25" hidden="1" x14ac:dyDescent="0.2">
      <c r="A12" s="76"/>
      <c r="B12" s="76"/>
      <c r="C12" s="76"/>
      <c r="D12" s="76" t="s">
        <v>86</v>
      </c>
      <c r="E12" s="76"/>
      <c r="F12" s="76"/>
      <c r="G12" s="287"/>
      <c r="H12" s="287" t="s">
        <v>109</v>
      </c>
      <c r="I12" s="287"/>
      <c r="J12" s="287" t="s">
        <v>109</v>
      </c>
      <c r="K12" s="77"/>
      <c r="L12" s="287" t="s">
        <v>109</v>
      </c>
      <c r="M12" s="77"/>
      <c r="N12" s="287" t="s">
        <v>109</v>
      </c>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row>
    <row r="13" spans="1:130" s="78" customFormat="1" ht="20.25" x14ac:dyDescent="0.2">
      <c r="A13" s="76"/>
      <c r="B13" s="76"/>
      <c r="C13" s="76"/>
      <c r="D13" s="76" t="s">
        <v>205</v>
      </c>
      <c r="E13" s="76"/>
      <c r="F13" s="76"/>
      <c r="G13" s="267"/>
      <c r="H13" s="267">
        <v>282558.58</v>
      </c>
      <c r="I13" s="267"/>
      <c r="J13" s="267">
        <v>354814.33</v>
      </c>
      <c r="K13" s="77"/>
      <c r="L13" s="267">
        <v>350571.59</v>
      </c>
      <c r="M13" s="77"/>
      <c r="N13" s="267">
        <v>423731.75</v>
      </c>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130" s="78" customFormat="1" ht="20.25" x14ac:dyDescent="0.2">
      <c r="A14" s="76"/>
      <c r="B14" s="76"/>
      <c r="C14" s="76"/>
      <c r="D14" s="76" t="s">
        <v>206</v>
      </c>
      <c r="E14" s="76"/>
      <c r="F14" s="76"/>
      <c r="G14" s="256"/>
      <c r="H14" s="256">
        <v>939.98</v>
      </c>
      <c r="I14" s="256"/>
      <c r="J14" s="256">
        <v>960.29</v>
      </c>
      <c r="K14" s="77"/>
      <c r="L14" s="256">
        <v>35997.360000000001</v>
      </c>
      <c r="M14" s="77"/>
      <c r="N14" s="256">
        <v>217.69</v>
      </c>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row>
    <row r="15" spans="1:130" s="78" customFormat="1" ht="20.25" x14ac:dyDescent="0.2">
      <c r="A15" s="76"/>
      <c r="B15" s="76"/>
      <c r="C15" s="79"/>
      <c r="D15" s="79" t="s">
        <v>87</v>
      </c>
      <c r="E15" s="79"/>
      <c r="F15" s="79"/>
      <c r="G15" s="254"/>
      <c r="H15" s="257">
        <v>200</v>
      </c>
      <c r="I15" s="254"/>
      <c r="J15" s="257">
        <v>200</v>
      </c>
      <c r="K15" s="77"/>
      <c r="L15" s="257">
        <v>200</v>
      </c>
      <c r="M15" s="77"/>
      <c r="N15" s="257">
        <v>200</v>
      </c>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row>
    <row r="16" spans="1:130" s="75" customFormat="1" ht="20.25" x14ac:dyDescent="0.2">
      <c r="A16" s="74"/>
      <c r="B16" s="74"/>
      <c r="C16" s="74" t="s">
        <v>59</v>
      </c>
      <c r="D16" s="74"/>
      <c r="E16" s="74"/>
      <c r="F16" s="74"/>
      <c r="G16" s="258"/>
      <c r="H16" s="258">
        <f>ROUND(SUM(H10:H15),5)</f>
        <v>283698.56</v>
      </c>
      <c r="I16" s="258"/>
      <c r="J16" s="258">
        <f>ROUND(SUM(J10:J15),5)</f>
        <v>355974.62</v>
      </c>
      <c r="K16" s="69"/>
      <c r="L16" s="258">
        <f>ROUND(SUM(L10:L15),5)</f>
        <v>386768.95</v>
      </c>
      <c r="M16" s="69"/>
      <c r="N16" s="258">
        <f>ROUND(SUM(N10:N15),5)</f>
        <v>424149.44</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14.25" customHeight="1" x14ac:dyDescent="0.2">
      <c r="A17" s="74"/>
      <c r="B17" s="74"/>
      <c r="C17" s="74"/>
      <c r="D17" s="74"/>
      <c r="E17" s="74"/>
      <c r="F17" s="74"/>
      <c r="G17" s="256"/>
      <c r="H17" s="256"/>
      <c r="I17" s="256"/>
      <c r="J17" s="256"/>
      <c r="K17" s="69"/>
      <c r="L17" s="256"/>
      <c r="M17" s="69"/>
      <c r="N17" s="256"/>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74" t="s">
        <v>61</v>
      </c>
      <c r="D18" s="74"/>
      <c r="E18" s="74"/>
      <c r="F18" s="74"/>
      <c r="G18" s="256"/>
      <c r="H18" s="256"/>
      <c r="I18" s="256"/>
      <c r="J18" s="256"/>
      <c r="K18" s="69"/>
      <c r="L18" s="256"/>
      <c r="M18" s="69"/>
      <c r="N18" s="256"/>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8" customFormat="1" ht="20.25" x14ac:dyDescent="0.2">
      <c r="A19" s="76"/>
      <c r="B19" s="76"/>
      <c r="C19" s="80"/>
      <c r="D19" s="80" t="s">
        <v>162</v>
      </c>
      <c r="E19" s="80"/>
      <c r="F19" s="80"/>
      <c r="G19" s="307"/>
      <c r="H19" s="307">
        <f>'December''17 AR Aging '!G62</f>
        <v>256836.77999999997</v>
      </c>
      <c r="I19" s="307"/>
      <c r="J19" s="307">
        <f>249839.51-32</f>
        <v>249807.51</v>
      </c>
      <c r="K19" s="270"/>
      <c r="L19" s="307">
        <v>247104.37</v>
      </c>
      <c r="M19" s="77"/>
      <c r="N19" s="256">
        <v>224005.57</v>
      </c>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row>
    <row r="20" spans="1:63" s="78" customFormat="1" ht="20.25" x14ac:dyDescent="0.2">
      <c r="A20" s="436"/>
      <c r="B20" s="439"/>
      <c r="C20" s="80"/>
      <c r="D20" s="80" t="s">
        <v>179</v>
      </c>
      <c r="E20" s="80"/>
      <c r="F20" s="80"/>
      <c r="G20" s="307"/>
      <c r="H20" s="254">
        <v>0</v>
      </c>
      <c r="I20" s="307"/>
      <c r="J20" s="307">
        <v>189.97</v>
      </c>
      <c r="K20" s="270"/>
      <c r="L20" s="307">
        <v>480.95</v>
      </c>
      <c r="M20" s="77"/>
      <c r="N20" s="256"/>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row>
    <row r="21" spans="1:63" s="78" customFormat="1" ht="20.25" x14ac:dyDescent="0.2">
      <c r="A21" s="76"/>
      <c r="B21" s="439"/>
      <c r="C21" s="76"/>
      <c r="D21" s="76" t="s">
        <v>256</v>
      </c>
      <c r="E21" s="76"/>
      <c r="F21" s="76"/>
      <c r="G21" s="256"/>
      <c r="H21" s="256">
        <v>164937.87</v>
      </c>
      <c r="I21" s="256"/>
      <c r="J21" s="256">
        <v>154533.13</v>
      </c>
      <c r="K21" s="270"/>
      <c r="L21" s="256">
        <v>152036.04</v>
      </c>
      <c r="M21" s="77"/>
      <c r="N21" s="256">
        <v>31011.08</v>
      </c>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row>
    <row r="22" spans="1:63" s="78" customFormat="1" ht="20.25" x14ac:dyDescent="0.2">
      <c r="A22" s="76"/>
      <c r="B22" s="439"/>
      <c r="C22" s="79"/>
      <c r="D22" s="79" t="s">
        <v>88</v>
      </c>
      <c r="E22" s="79"/>
      <c r="F22" s="79"/>
      <c r="G22" s="254"/>
      <c r="H22" s="257">
        <f>8145.25+1337.21</f>
        <v>9482.4599999999991</v>
      </c>
      <c r="I22" s="254"/>
      <c r="J22" s="446">
        <f>5218.52+1485.69</f>
        <v>6704.2100000000009</v>
      </c>
      <c r="K22" s="270"/>
      <c r="L22" s="257">
        <f>5648.76+1485.69</f>
        <v>7134.4500000000007</v>
      </c>
      <c r="M22" s="77"/>
      <c r="N22" s="257">
        <f>5721.86+1124.15</f>
        <v>6846.01</v>
      </c>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row>
    <row r="23" spans="1:63" s="75" customFormat="1" ht="20.25" x14ac:dyDescent="0.2">
      <c r="A23" s="74"/>
      <c r="B23" s="68"/>
      <c r="C23" s="68" t="s">
        <v>62</v>
      </c>
      <c r="D23" s="68"/>
      <c r="E23" s="68"/>
      <c r="F23" s="68"/>
      <c r="G23" s="259"/>
      <c r="H23" s="259">
        <f>SUM(H19:H22)</f>
        <v>431257.11</v>
      </c>
      <c r="I23" s="259"/>
      <c r="J23" s="259">
        <f>SUM(J19:J22)</f>
        <v>411234.82</v>
      </c>
      <c r="K23" s="288"/>
      <c r="L23" s="259">
        <f>SUM(L19:L22)</f>
        <v>406755.81</v>
      </c>
      <c r="M23" s="69"/>
      <c r="N23" s="259">
        <f>SUM(N19:N22)</f>
        <v>261862.66000000003</v>
      </c>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0.25" x14ac:dyDescent="0.2">
      <c r="A24" s="74"/>
      <c r="B24" s="68"/>
      <c r="C24" s="68"/>
      <c r="D24" s="68"/>
      <c r="E24" s="68"/>
      <c r="F24" s="68"/>
      <c r="G24" s="254"/>
      <c r="H24" s="254"/>
      <c r="I24" s="254"/>
      <c r="J24" s="254"/>
      <c r="K24" s="69"/>
      <c r="L24" s="254"/>
      <c r="M24" s="69"/>
      <c r="N24" s="254"/>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75" customFormat="1" ht="21" thickBot="1" x14ac:dyDescent="0.25">
      <c r="A25" s="74"/>
      <c r="B25" s="81" t="s">
        <v>63</v>
      </c>
      <c r="C25" s="81"/>
      <c r="D25" s="81"/>
      <c r="E25" s="81"/>
      <c r="F25" s="81"/>
      <c r="G25" s="259"/>
      <c r="H25" s="260">
        <f>H16+H23</f>
        <v>714955.66999999993</v>
      </c>
      <c r="I25" s="259"/>
      <c r="J25" s="260">
        <f>J16+J23</f>
        <v>767209.44</v>
      </c>
      <c r="K25" s="69"/>
      <c r="L25" s="260">
        <f>L16+L23</f>
        <v>793524.76</v>
      </c>
      <c r="M25" s="69"/>
      <c r="N25" s="260">
        <f>N16+N23</f>
        <v>686012.10000000009</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row>
    <row r="26" spans="1:63" s="75" customFormat="1" ht="21" thickTop="1" x14ac:dyDescent="0.2">
      <c r="A26" s="74"/>
      <c r="B26" s="74"/>
      <c r="C26" s="74"/>
      <c r="D26" s="74"/>
      <c r="E26" s="74"/>
      <c r="F26" s="74"/>
      <c r="G26" s="259"/>
      <c r="H26" s="258"/>
      <c r="I26" s="259"/>
      <c r="J26" s="258"/>
      <c r="K26" s="69"/>
      <c r="L26" s="258"/>
      <c r="M26" s="69"/>
      <c r="N26" s="25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row>
    <row r="27" spans="1:63" s="73" customFormat="1" ht="20.25" x14ac:dyDescent="0.3">
      <c r="A27" s="70"/>
      <c r="B27" s="71" t="s">
        <v>64</v>
      </c>
      <c r="C27" s="71"/>
      <c r="D27" s="71"/>
      <c r="E27" s="71"/>
      <c r="F27" s="71"/>
      <c r="G27" s="293"/>
      <c r="H27" s="261"/>
      <c r="I27" s="293"/>
      <c r="J27" s="261"/>
      <c r="K27" s="72"/>
      <c r="L27" s="261"/>
      <c r="M27" s="72"/>
      <c r="N27" s="261"/>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row>
    <row r="28" spans="1:63" s="78" customFormat="1" ht="20.25" x14ac:dyDescent="0.2">
      <c r="A28" s="76"/>
      <c r="B28" s="439"/>
      <c r="C28" s="76"/>
      <c r="D28" s="76" t="s">
        <v>89</v>
      </c>
      <c r="E28" s="76"/>
      <c r="F28" s="76"/>
      <c r="G28" s="254"/>
      <c r="H28" s="256">
        <v>192474.47</v>
      </c>
      <c r="I28" s="254"/>
      <c r="J28" s="256">
        <v>192474.47</v>
      </c>
      <c r="K28" s="270"/>
      <c r="L28" s="256">
        <v>191049.17</v>
      </c>
      <c r="M28" s="77"/>
      <c r="N28" s="256">
        <v>183923.03</v>
      </c>
      <c r="O28" s="77"/>
      <c r="P28" s="77"/>
      <c r="Q28" s="77"/>
      <c r="R28" s="270"/>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3" s="78" customFormat="1" ht="20.25" x14ac:dyDescent="0.2">
      <c r="A29" s="76"/>
      <c r="B29" s="439"/>
      <c r="C29" s="76"/>
      <c r="D29" s="76" t="s">
        <v>90</v>
      </c>
      <c r="E29" s="76"/>
      <c r="F29" s="76"/>
      <c r="G29" s="254"/>
      <c r="H29" s="256">
        <v>49562</v>
      </c>
      <c r="I29" s="254"/>
      <c r="J29" s="256">
        <v>49562</v>
      </c>
      <c r="K29" s="270"/>
      <c r="L29" s="256">
        <v>49562</v>
      </c>
      <c r="M29" s="77"/>
      <c r="N29" s="256">
        <v>49562</v>
      </c>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row>
    <row r="30" spans="1:63" s="78" customFormat="1" ht="20.25" x14ac:dyDescent="0.2">
      <c r="A30" s="76"/>
      <c r="B30" s="439"/>
      <c r="C30" s="76"/>
      <c r="D30" s="76" t="s">
        <v>91</v>
      </c>
      <c r="E30" s="76"/>
      <c r="F30" s="76"/>
      <c r="G30" s="254"/>
      <c r="H30" s="256">
        <v>158464.06</v>
      </c>
      <c r="I30" s="254"/>
      <c r="J30" s="256">
        <v>142411.66</v>
      </c>
      <c r="K30" s="270"/>
      <c r="L30" s="256">
        <f>170125.66-27714</f>
        <v>142411.66</v>
      </c>
      <c r="M30" s="77"/>
      <c r="N30" s="256">
        <v>142411.66</v>
      </c>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row>
    <row r="31" spans="1:63" s="78" customFormat="1" ht="20.25" x14ac:dyDescent="0.2">
      <c r="A31" s="76"/>
      <c r="B31" s="80"/>
      <c r="C31" s="80"/>
      <c r="D31" s="80" t="s">
        <v>92</v>
      </c>
      <c r="E31" s="80"/>
      <c r="F31" s="80"/>
      <c r="G31" s="254"/>
      <c r="H31" s="254">
        <v>-285865.03999999998</v>
      </c>
      <c r="I31" s="254"/>
      <c r="J31" s="254">
        <f>-280776.04</f>
        <v>-280776.03999999998</v>
      </c>
      <c r="K31" s="270"/>
      <c r="L31" s="254">
        <f>-273841.7</f>
        <v>-273841.7</v>
      </c>
      <c r="M31" s="77"/>
      <c r="N31" s="254">
        <f>-234067</f>
        <v>-234067</v>
      </c>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row>
    <row r="32" spans="1:63" s="75" customFormat="1" ht="20.25" x14ac:dyDescent="0.2">
      <c r="A32" s="74"/>
      <c r="B32" s="81" t="s">
        <v>65</v>
      </c>
      <c r="C32" s="81"/>
      <c r="D32" s="81"/>
      <c r="E32" s="81"/>
      <c r="F32" s="81"/>
      <c r="G32" s="259"/>
      <c r="H32" s="262">
        <f>SUM(H28:H31)</f>
        <v>114635.49000000005</v>
      </c>
      <c r="I32" s="259"/>
      <c r="J32" s="262">
        <f>SUM(J28:J31)</f>
        <v>103672.09000000003</v>
      </c>
      <c r="K32" s="69"/>
      <c r="L32" s="262">
        <f>SUM(L28:L31)</f>
        <v>109181.13</v>
      </c>
      <c r="M32" s="69"/>
      <c r="N32" s="262">
        <f>SUM(N28:N31)</f>
        <v>141829.69</v>
      </c>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row>
    <row r="33" spans="1:63" s="75" customFormat="1" ht="7.5" customHeight="1" x14ac:dyDescent="0.2">
      <c r="A33" s="74"/>
      <c r="B33" s="74"/>
      <c r="C33" s="74"/>
      <c r="D33" s="74"/>
      <c r="E33" s="74"/>
      <c r="F33" s="74"/>
      <c r="G33" s="259"/>
      <c r="H33" s="258"/>
      <c r="I33" s="259"/>
      <c r="J33" s="258"/>
      <c r="K33" s="69"/>
      <c r="L33" s="258"/>
      <c r="M33" s="69"/>
      <c r="N33" s="258"/>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63" s="75" customFormat="1" ht="12.75" customHeight="1" thickBot="1" x14ac:dyDescent="0.25">
      <c r="A34" s="74"/>
      <c r="B34" s="74"/>
      <c r="C34" s="74"/>
      <c r="D34" s="74"/>
      <c r="E34" s="74"/>
      <c r="F34" s="74"/>
      <c r="G34" s="254"/>
      <c r="H34" s="254"/>
      <c r="I34" s="254"/>
      <c r="J34" s="254"/>
      <c r="K34" s="69"/>
      <c r="L34" s="254"/>
      <c r="M34" s="69"/>
      <c r="N34" s="254"/>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63" s="84" customFormat="1" ht="27.75" thickTop="1" thickBot="1" x14ac:dyDescent="0.25">
      <c r="A35" s="82" t="s">
        <v>66</v>
      </c>
      <c r="B35" s="82"/>
      <c r="C35" s="82"/>
      <c r="D35" s="82"/>
      <c r="E35" s="82"/>
      <c r="F35" s="82"/>
      <c r="G35" s="295"/>
      <c r="H35" s="268">
        <f>H25+H32</f>
        <v>829591.15999999992</v>
      </c>
      <c r="I35" s="295"/>
      <c r="J35" s="268">
        <f>J25+J32</f>
        <v>870881.53</v>
      </c>
      <c r="K35" s="83"/>
      <c r="L35" s="268">
        <f>L25+L32</f>
        <v>902705.89</v>
      </c>
      <c r="M35" s="83"/>
      <c r="N35" s="268">
        <f>N25+N32</f>
        <v>827841.79</v>
      </c>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row>
    <row r="36" spans="1:63" s="86" customFormat="1" ht="33" customHeight="1" thickTop="1" thickBot="1" x14ac:dyDescent="0.25">
      <c r="A36" s="74"/>
      <c r="B36" s="74"/>
      <c r="C36" s="74"/>
      <c r="D36" s="74"/>
      <c r="E36" s="74"/>
      <c r="F36" s="74"/>
      <c r="G36" s="359"/>
      <c r="H36" s="259"/>
      <c r="I36" s="259"/>
      <c r="J36" s="259"/>
      <c r="K36" s="85"/>
      <c r="L36" s="259"/>
      <c r="M36" s="85"/>
      <c r="N36" s="359"/>
      <c r="O36" s="85"/>
      <c r="P36" s="85"/>
      <c r="Q36" s="85"/>
      <c r="R36" s="450"/>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row>
    <row r="37" spans="1:63" s="67" customFormat="1" ht="27.75" thickTop="1" thickBot="1" x14ac:dyDescent="0.25">
      <c r="A37" s="65" t="s">
        <v>67</v>
      </c>
      <c r="B37" s="65"/>
      <c r="C37" s="65"/>
      <c r="D37" s="65"/>
      <c r="E37" s="65"/>
      <c r="F37" s="65"/>
      <c r="G37" s="358"/>
      <c r="H37" s="263"/>
      <c r="I37" s="263"/>
      <c r="J37" s="263"/>
      <c r="K37" s="66"/>
      <c r="L37" s="263"/>
      <c r="M37" s="66"/>
      <c r="N37" s="263"/>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row>
    <row r="38" spans="1:63" s="75" customFormat="1" ht="12.75" customHeight="1" thickTop="1" x14ac:dyDescent="0.2">
      <c r="A38" s="74"/>
      <c r="B38" s="74"/>
      <c r="C38" s="74"/>
      <c r="D38" s="74"/>
      <c r="E38" s="74"/>
      <c r="F38" s="74"/>
      <c r="G38" s="256"/>
      <c r="H38" s="256"/>
      <c r="I38" s="254"/>
      <c r="J38" s="256"/>
      <c r="K38" s="69"/>
      <c r="L38" s="256"/>
      <c r="M38" s="69"/>
      <c r="N38" s="256"/>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63" s="75" customFormat="1" ht="24" thickBot="1" x14ac:dyDescent="0.25">
      <c r="A39" s="74"/>
      <c r="B39" s="87" t="s">
        <v>68</v>
      </c>
      <c r="C39" s="88"/>
      <c r="D39" s="88"/>
      <c r="E39" s="88"/>
      <c r="F39" s="88"/>
      <c r="G39" s="264"/>
      <c r="H39" s="264"/>
      <c r="I39" s="264"/>
      <c r="J39" s="264"/>
      <c r="K39" s="69"/>
      <c r="L39" s="264"/>
      <c r="M39" s="69"/>
      <c r="N39" s="264"/>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63" s="75" customFormat="1" ht="9" customHeight="1" x14ac:dyDescent="0.2">
      <c r="A40" s="74"/>
      <c r="B40" s="74"/>
      <c r="C40" s="74"/>
      <c r="D40" s="74"/>
      <c r="E40" s="74"/>
      <c r="F40" s="74"/>
      <c r="G40" s="254"/>
      <c r="H40" s="256"/>
      <c r="I40" s="254"/>
      <c r="J40" s="256"/>
      <c r="K40" s="69"/>
      <c r="L40" s="256"/>
      <c r="M40" s="69"/>
      <c r="N40" s="256"/>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63" s="73" customFormat="1" ht="21" thickBot="1" x14ac:dyDescent="0.35">
      <c r="A41" s="70"/>
      <c r="B41" s="155" t="s">
        <v>69</v>
      </c>
      <c r="C41" s="156"/>
      <c r="D41" s="155"/>
      <c r="E41" s="155"/>
      <c r="F41" s="155"/>
      <c r="G41" s="293"/>
      <c r="H41" s="255"/>
      <c r="I41" s="293"/>
      <c r="J41" s="255"/>
      <c r="K41" s="72"/>
      <c r="L41" s="255"/>
      <c r="M41" s="72"/>
      <c r="N41" s="255"/>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row>
    <row r="42" spans="1:63" s="78" customFormat="1" ht="20.25" x14ac:dyDescent="0.2">
      <c r="A42" s="76"/>
      <c r="B42" s="76"/>
      <c r="C42" s="76"/>
      <c r="D42" s="76" t="s">
        <v>163</v>
      </c>
      <c r="F42" s="76"/>
      <c r="G42" s="269"/>
      <c r="H42" s="269">
        <f>6889.23+566.49+1684.63+1090.94+32+4700.32</f>
        <v>14963.609999999999</v>
      </c>
      <c r="I42" s="269"/>
      <c r="J42" s="269">
        <f>19102.77+1920.21+10973.24+6624</f>
        <v>38620.22</v>
      </c>
      <c r="K42" s="425"/>
      <c r="L42" s="269">
        <f>27363.35+3420.21+6108.79+5439.74</f>
        <v>42332.09</v>
      </c>
      <c r="M42" s="77"/>
      <c r="N42" s="269">
        <f>13465.67+4920.21+2843.14+3705.99</f>
        <v>24935.010000000002</v>
      </c>
      <c r="O42" s="77"/>
      <c r="P42" s="425"/>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row>
    <row r="43" spans="1:63" s="78" customFormat="1" ht="20.25" x14ac:dyDescent="0.2">
      <c r="A43" s="76"/>
      <c r="B43" s="76"/>
      <c r="C43" s="76"/>
      <c r="D43" s="76" t="s">
        <v>105</v>
      </c>
      <c r="F43" s="76"/>
      <c r="G43" s="254"/>
      <c r="H43" s="254">
        <v>100.9</v>
      </c>
      <c r="I43" s="254"/>
      <c r="J43" s="254">
        <v>205.55</v>
      </c>
      <c r="K43" s="77"/>
      <c r="L43" s="254">
        <v>821.95</v>
      </c>
      <c r="M43" s="77"/>
      <c r="N43" s="254">
        <v>91.58</v>
      </c>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row>
    <row r="44" spans="1:63" s="78" customFormat="1" ht="20.25" x14ac:dyDescent="0.2">
      <c r="A44" s="76"/>
      <c r="B44" s="76"/>
      <c r="C44" s="76"/>
      <c r="D44" s="80" t="s">
        <v>93</v>
      </c>
      <c r="F44" s="76"/>
      <c r="G44" s="254"/>
      <c r="H44" s="256">
        <f>24648+2350-500</f>
        <v>26498</v>
      </c>
      <c r="I44" s="256"/>
      <c r="J44" s="256">
        <v>20672.88</v>
      </c>
      <c r="K44" s="77"/>
      <c r="L44" s="256">
        <v>1287</v>
      </c>
      <c r="M44" s="77"/>
      <c r="N44" s="256">
        <v>375</v>
      </c>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row>
    <row r="45" spans="1:63" s="78" customFormat="1" ht="20.25" hidden="1" x14ac:dyDescent="0.2">
      <c r="A45" s="76"/>
      <c r="B45" s="76"/>
      <c r="C45" s="76"/>
      <c r="D45" s="80" t="s">
        <v>171</v>
      </c>
      <c r="F45" s="76"/>
      <c r="G45" s="254"/>
      <c r="H45" s="256">
        <v>0</v>
      </c>
      <c r="I45" s="256"/>
      <c r="J45" s="256">
        <v>0</v>
      </c>
      <c r="K45" s="77"/>
      <c r="L45" s="256">
        <v>0</v>
      </c>
      <c r="M45" s="77"/>
      <c r="N45" s="256">
        <v>0</v>
      </c>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row>
    <row r="46" spans="1:63" s="78" customFormat="1" ht="20.25" x14ac:dyDescent="0.2">
      <c r="A46" s="76"/>
      <c r="B46" s="76"/>
      <c r="C46" s="76"/>
      <c r="D46" s="79" t="s">
        <v>104</v>
      </c>
      <c r="E46" s="154"/>
      <c r="F46" s="79"/>
      <c r="G46" s="254"/>
      <c r="H46" s="256">
        <f>'December''17 Revenues &amp; Expenses'!L44</f>
        <v>79775.59</v>
      </c>
      <c r="I46" s="356"/>
      <c r="J46" s="256">
        <f>115023.48</f>
        <v>115023.48</v>
      </c>
      <c r="K46" s="270"/>
      <c r="L46" s="256">
        <v>144155.41</v>
      </c>
      <c r="M46" s="77"/>
      <c r="N46" s="256">
        <v>124099.25</v>
      </c>
      <c r="O46" s="77"/>
      <c r="P46" s="77"/>
      <c r="Q46" s="77"/>
      <c r="R46" s="270"/>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row>
    <row r="47" spans="1:63" s="78" customFormat="1" ht="20.25" x14ac:dyDescent="0.2">
      <c r="A47" s="76"/>
      <c r="B47" s="76"/>
      <c r="C47" s="81" t="s">
        <v>80</v>
      </c>
      <c r="D47" s="76"/>
      <c r="F47" s="76"/>
      <c r="G47" s="254"/>
      <c r="H47" s="265">
        <f>SUM(H42:H46)</f>
        <v>121338.09999999999</v>
      </c>
      <c r="I47" s="356"/>
      <c r="J47" s="265">
        <f>SUM(J42:J46)</f>
        <v>174522.13</v>
      </c>
      <c r="K47" s="77"/>
      <c r="L47" s="265">
        <f>SUM(L42:L46)</f>
        <v>188596.45</v>
      </c>
      <c r="M47" s="77"/>
      <c r="N47" s="265">
        <f>SUM(N42:N46)</f>
        <v>149500.84</v>
      </c>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row>
    <row r="48" spans="1:63" s="78" customFormat="1" ht="9.75" customHeight="1" x14ac:dyDescent="0.2">
      <c r="A48" s="76"/>
      <c r="B48" s="76"/>
      <c r="C48" s="76"/>
      <c r="D48" s="76"/>
      <c r="E48" s="76"/>
      <c r="F48" s="76"/>
      <c r="G48" s="254"/>
      <c r="H48" s="256"/>
      <c r="I48" s="356"/>
      <c r="J48" s="256"/>
      <c r="K48" s="77"/>
      <c r="L48" s="256"/>
      <c r="M48" s="77"/>
      <c r="N48" s="256"/>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row>
    <row r="49" spans="1:63" s="78" customFormat="1" ht="20.25" x14ac:dyDescent="0.2">
      <c r="A49" s="76"/>
      <c r="B49" s="76"/>
      <c r="C49" s="89" t="s">
        <v>82</v>
      </c>
      <c r="D49" s="89"/>
      <c r="E49" s="154"/>
      <c r="F49" s="154"/>
      <c r="G49" s="254"/>
      <c r="H49" s="257"/>
      <c r="I49" s="356"/>
      <c r="J49" s="257"/>
      <c r="K49" s="77"/>
      <c r="L49" s="257"/>
      <c r="M49" s="77"/>
      <c r="N49" s="25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row>
    <row r="50" spans="1:63" s="78" customFormat="1" ht="20.25" x14ac:dyDescent="0.2">
      <c r="A50" s="76"/>
      <c r="B50" s="76"/>
      <c r="C50" s="76"/>
      <c r="D50" s="76" t="s">
        <v>96</v>
      </c>
      <c r="E50" s="76"/>
      <c r="F50" s="76"/>
      <c r="G50" s="254"/>
      <c r="H50" s="254">
        <f>18236.49+4216.9-H52-H53</f>
        <v>19256.169999999998</v>
      </c>
      <c r="I50" s="356"/>
      <c r="J50" s="254">
        <f>18326.9+4317.56-J52-J53</f>
        <v>20316.520000000004</v>
      </c>
      <c r="K50" s="77"/>
      <c r="L50" s="254">
        <f>41163.81+1529.27-L52-L53</f>
        <v>41653.219999999994</v>
      </c>
      <c r="M50" s="77"/>
      <c r="N50" s="254">
        <f>37974.5+3228.59-N52-N53</f>
        <v>38695.399999999994</v>
      </c>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row>
    <row r="51" spans="1:63" s="78" customFormat="1" ht="20.25" x14ac:dyDescent="0.2">
      <c r="A51" s="76"/>
      <c r="B51" s="76"/>
      <c r="C51" s="76"/>
      <c r="D51" s="76" t="s">
        <v>97</v>
      </c>
      <c r="E51" s="76"/>
      <c r="F51" s="76"/>
      <c r="G51" s="254"/>
      <c r="H51" s="254">
        <v>23212.11</v>
      </c>
      <c r="I51" s="356"/>
      <c r="J51" s="254">
        <v>23272.95</v>
      </c>
      <c r="K51" s="77"/>
      <c r="L51" s="254">
        <v>26485.02</v>
      </c>
      <c r="M51" s="77"/>
      <c r="N51" s="254">
        <v>25383.93</v>
      </c>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row>
    <row r="52" spans="1:63" s="78" customFormat="1" ht="20.25" x14ac:dyDescent="0.2">
      <c r="A52" s="76"/>
      <c r="B52" s="76"/>
      <c r="C52" s="76"/>
      <c r="D52" s="76" t="s">
        <v>98</v>
      </c>
      <c r="E52" s="76"/>
      <c r="F52" s="76"/>
      <c r="G52" s="254"/>
      <c r="H52" s="256">
        <v>2958</v>
      </c>
      <c r="I52" s="356"/>
      <c r="J52" s="256">
        <v>2043.68</v>
      </c>
      <c r="K52" s="77"/>
      <c r="L52" s="256">
        <v>793.4</v>
      </c>
      <c r="M52" s="77"/>
      <c r="N52" s="256">
        <v>2229.41</v>
      </c>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row>
    <row r="53" spans="1:63" s="78" customFormat="1" ht="20.25" x14ac:dyDescent="0.2">
      <c r="A53" s="76"/>
      <c r="B53" s="76"/>
      <c r="C53" s="76"/>
      <c r="D53" s="76" t="s">
        <v>99</v>
      </c>
      <c r="E53" s="76"/>
      <c r="F53" s="76"/>
      <c r="G53" s="254"/>
      <c r="H53" s="257">
        <v>239.22</v>
      </c>
      <c r="I53" s="356"/>
      <c r="J53" s="257">
        <v>284.26</v>
      </c>
      <c r="K53" s="77"/>
      <c r="L53" s="257">
        <v>246.46</v>
      </c>
      <c r="M53" s="77"/>
      <c r="N53" s="257">
        <v>278.27999999999997</v>
      </c>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row>
    <row r="54" spans="1:63" s="78" customFormat="1" ht="20.25" x14ac:dyDescent="0.2">
      <c r="A54" s="76"/>
      <c r="B54" s="76"/>
      <c r="C54" s="68" t="s">
        <v>81</v>
      </c>
      <c r="D54" s="76"/>
      <c r="F54" s="80"/>
      <c r="G54" s="254"/>
      <c r="H54" s="254">
        <f>ROUND(SUM(H49:H53),5)</f>
        <v>45665.5</v>
      </c>
      <c r="I54" s="356"/>
      <c r="J54" s="254">
        <f>ROUND(SUM(J49:J53),5)</f>
        <v>45917.41</v>
      </c>
      <c r="K54" s="77"/>
      <c r="L54" s="254">
        <f>ROUND(SUM(L49:L53),5)</f>
        <v>69178.100000000006</v>
      </c>
      <c r="M54" s="77"/>
      <c r="N54" s="254">
        <f>ROUND(SUM(N49:N53),5)</f>
        <v>66587.02</v>
      </c>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row>
    <row r="55" spans="1:63" s="78" customFormat="1" ht="7.5" customHeight="1" x14ac:dyDescent="0.2">
      <c r="A55" s="76"/>
      <c r="B55" s="76"/>
      <c r="C55" s="79"/>
      <c r="D55" s="79"/>
      <c r="E55" s="79"/>
      <c r="F55" s="79"/>
      <c r="G55" s="254"/>
      <c r="H55" s="257"/>
      <c r="I55" s="356"/>
      <c r="J55" s="257"/>
      <c r="K55" s="77"/>
      <c r="L55" s="257"/>
      <c r="M55" s="77"/>
      <c r="N55" s="25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row>
    <row r="56" spans="1:63" s="75" customFormat="1" ht="20.25" x14ac:dyDescent="0.2">
      <c r="A56" s="74"/>
      <c r="B56" s="74"/>
      <c r="C56" s="74" t="s">
        <v>83</v>
      </c>
      <c r="D56" s="74"/>
      <c r="E56" s="74"/>
      <c r="F56" s="74"/>
      <c r="G56" s="259"/>
      <c r="H56" s="258">
        <f>H47+H54</f>
        <v>167003.59999999998</v>
      </c>
      <c r="I56" s="431"/>
      <c r="J56" s="258">
        <f>J47+J54</f>
        <v>220439.54</v>
      </c>
      <c r="K56" s="288"/>
      <c r="L56" s="258">
        <f>L47+L54</f>
        <v>257774.55000000002</v>
      </c>
      <c r="M56" s="69"/>
      <c r="N56" s="258">
        <f>N47+N54</f>
        <v>216087.86</v>
      </c>
      <c r="O56" s="69"/>
      <c r="P56" s="69"/>
      <c r="Q56" s="69"/>
      <c r="R56" s="377"/>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row>
    <row r="57" spans="1:63" s="75" customFormat="1" ht="18.75" customHeight="1" x14ac:dyDescent="0.2">
      <c r="A57" s="74"/>
      <c r="B57" s="74"/>
      <c r="C57" s="74"/>
      <c r="D57" s="74"/>
      <c r="E57" s="74"/>
      <c r="F57" s="74"/>
      <c r="G57" s="259"/>
      <c r="H57" s="258"/>
      <c r="I57" s="431"/>
      <c r="M57" s="69"/>
      <c r="N57" s="258"/>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row>
    <row r="58" spans="1:63" s="75" customFormat="1" ht="24" thickBot="1" x14ac:dyDescent="0.25">
      <c r="A58" s="74"/>
      <c r="B58" s="87" t="s">
        <v>70</v>
      </c>
      <c r="C58" s="88"/>
      <c r="D58" s="88"/>
      <c r="E58" s="88"/>
      <c r="F58" s="88"/>
      <c r="G58" s="254"/>
      <c r="H58" s="264"/>
      <c r="I58" s="356"/>
      <c r="J58" s="264"/>
      <c r="K58" s="69"/>
      <c r="L58" s="264"/>
      <c r="M58" s="69"/>
      <c r="N58" s="264"/>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row>
    <row r="59" spans="1:63" s="78" customFormat="1" ht="20.25" x14ac:dyDescent="0.2">
      <c r="A59" s="76"/>
      <c r="B59" s="76"/>
      <c r="D59" s="76" t="s">
        <v>94</v>
      </c>
      <c r="E59" s="76"/>
      <c r="F59" s="76"/>
      <c r="G59" s="254"/>
      <c r="H59" s="256">
        <f>J59+J61</f>
        <v>617788</v>
      </c>
      <c r="I59" s="356"/>
      <c r="J59" s="256">
        <f>617788-J61</f>
        <v>570399.89</v>
      </c>
      <c r="K59" s="270"/>
      <c r="L59" s="256">
        <f>J59</f>
        <v>570399.89</v>
      </c>
      <c r="M59" s="77"/>
      <c r="N59" s="256">
        <f>L59</f>
        <v>570399.89</v>
      </c>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row>
    <row r="60" spans="1:63" s="78" customFormat="1" ht="20.25" x14ac:dyDescent="0.2">
      <c r="A60" s="76"/>
      <c r="B60" s="76"/>
      <c r="D60" s="76" t="s">
        <v>100</v>
      </c>
      <c r="E60" s="76"/>
      <c r="F60" s="76"/>
      <c r="G60" s="254"/>
      <c r="H60" s="256">
        <f>'December''17 Revenues &amp; Expenses'!L65</f>
        <v>38838.770000000004</v>
      </c>
      <c r="I60" s="356"/>
      <c r="J60" s="256">
        <v>32653.98</v>
      </c>
      <c r="K60" s="270"/>
      <c r="L60" s="256">
        <v>36799.03</v>
      </c>
      <c r="M60" s="77"/>
      <c r="N60" s="256">
        <v>52844.79</v>
      </c>
      <c r="O60" s="77"/>
      <c r="P60" s="77"/>
      <c r="Q60" s="270"/>
      <c r="R60" s="270"/>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row>
    <row r="61" spans="1:63" s="75" customFormat="1" ht="21" thickBot="1" x14ac:dyDescent="0.25">
      <c r="A61" s="74"/>
      <c r="B61" s="74"/>
      <c r="D61" s="76" t="s">
        <v>139</v>
      </c>
      <c r="E61" s="74"/>
      <c r="F61" s="88"/>
      <c r="G61" s="356"/>
      <c r="H61" s="264">
        <f>'December''17 State of Activities'!G58</f>
        <v>5960.6299999998882</v>
      </c>
      <c r="I61" s="356"/>
      <c r="J61" s="264">
        <f>47420.11-32</f>
        <v>47388.11</v>
      </c>
      <c r="K61" s="69"/>
      <c r="L61" s="264">
        <f>'December''17 State of Activities'!J58</f>
        <v>45494.910000000149</v>
      </c>
      <c r="M61" s="69"/>
      <c r="N61" s="264">
        <f>'December''17 State of Activities'!J58</f>
        <v>45494.910000000149</v>
      </c>
      <c r="O61" s="69"/>
      <c r="P61" s="69"/>
      <c r="Q61" s="69"/>
      <c r="R61" s="435"/>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row>
    <row r="62" spans="1:63" s="75" customFormat="1" ht="23.25" x14ac:dyDescent="0.2">
      <c r="A62" s="74"/>
      <c r="B62" s="90" t="s">
        <v>71</v>
      </c>
      <c r="C62" s="91"/>
      <c r="D62" s="91"/>
      <c r="E62" s="91"/>
      <c r="F62" s="68"/>
      <c r="G62" s="431"/>
      <c r="H62" s="259">
        <f>ROUND(SUM(H58:H61),5)</f>
        <v>662587.4</v>
      </c>
      <c r="I62" s="431"/>
      <c r="J62" s="259">
        <f>ROUND(SUM(J58:J61),5)</f>
        <v>650441.98</v>
      </c>
      <c r="K62" s="69"/>
      <c r="L62" s="259">
        <f>ROUND(SUM(L58:L61),5)</f>
        <v>652693.82999999996</v>
      </c>
      <c r="M62" s="69"/>
      <c r="N62" s="259">
        <f>ROUND(SUM(N58:N61),5)</f>
        <v>668739.59</v>
      </c>
      <c r="O62" s="69"/>
      <c r="P62" s="69"/>
      <c r="Q62" s="69"/>
      <c r="R62" s="435"/>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63" s="75" customFormat="1" ht="12.75" customHeight="1" x14ac:dyDescent="0.2">
      <c r="A63" s="74"/>
      <c r="B63" s="74"/>
      <c r="C63" s="74"/>
      <c r="D63" s="74"/>
      <c r="E63" s="74"/>
      <c r="F63" s="74"/>
      <c r="G63" s="356"/>
      <c r="H63" s="257"/>
      <c r="I63" s="356"/>
      <c r="J63" s="257"/>
      <c r="K63" s="69"/>
      <c r="L63" s="257"/>
      <c r="M63" s="69"/>
      <c r="N63" s="257"/>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63" s="92" customFormat="1" ht="27" thickBot="1" x14ac:dyDescent="0.25">
      <c r="A64" s="82" t="s">
        <v>72</v>
      </c>
      <c r="B64" s="82"/>
      <c r="C64" s="82"/>
      <c r="D64" s="82"/>
      <c r="E64" s="82"/>
      <c r="F64" s="82"/>
      <c r="G64" s="432"/>
      <c r="H64" s="393">
        <f>SUM(H56+H62)</f>
        <v>829591</v>
      </c>
      <c r="I64" s="432"/>
      <c r="J64" s="393">
        <f>SUM(J56+J62)</f>
        <v>870881.52</v>
      </c>
      <c r="K64" s="83"/>
      <c r="L64" s="393">
        <f>SUM(L56+L62)</f>
        <v>910468.38</v>
      </c>
      <c r="M64" s="83"/>
      <c r="N64" s="393">
        <f>SUM(N56+N62)</f>
        <v>884827.45</v>
      </c>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row>
    <row r="65" spans="3:14" ht="15" thickTop="1" x14ac:dyDescent="0.2">
      <c r="D65" s="378"/>
      <c r="G65" s="1"/>
      <c r="I65" s="1"/>
    </row>
    <row r="66" spans="3:14" hidden="1" x14ac:dyDescent="0.2">
      <c r="G66" s="433"/>
      <c r="H66" s="273"/>
      <c r="I66" s="273"/>
      <c r="J66" s="273"/>
      <c r="L66" s="273"/>
      <c r="N66" s="273"/>
    </row>
    <row r="67" spans="3:14" ht="14.25" customHeight="1" x14ac:dyDescent="0.2">
      <c r="C67" s="739" t="s">
        <v>229</v>
      </c>
      <c r="D67" s="739"/>
      <c r="E67" s="739"/>
      <c r="F67" s="739"/>
      <c r="G67" s="1"/>
      <c r="H67" s="495">
        <f>(H19+H16)/H56</f>
        <v>3.2366687903733813</v>
      </c>
      <c r="J67" s="495">
        <f>(J19+J16)/J56</f>
        <v>2.7480647528115871</v>
      </c>
      <c r="K67" s="288"/>
      <c r="L67" s="495">
        <f>(L19+L16)/L56</f>
        <v>2.459022118358853</v>
      </c>
      <c r="N67" s="495">
        <f>(N19+N16)/N56</f>
        <v>2.9994975654810041</v>
      </c>
    </row>
    <row r="70" spans="3:14" x14ac:dyDescent="0.2">
      <c r="G70" s="298"/>
      <c r="H70" s="273">
        <f>H64-H35</f>
        <v>-0.15999999991618097</v>
      </c>
      <c r="I70" s="298"/>
      <c r="J70" s="273">
        <f>J64-J35</f>
        <v>-1.0000000009313226E-2</v>
      </c>
    </row>
    <row r="75" spans="3:14" x14ac:dyDescent="0.2">
      <c r="H75" s="298"/>
    </row>
  </sheetData>
  <mergeCells count="1">
    <mergeCell ref="C67:F67"/>
  </mergeCells>
  <pageMargins left="0.7" right="0.45" top="0.25" bottom="0" header="0.3" footer="0"/>
  <pageSetup scale="6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topLeftCell="D1" zoomScale="75" zoomScaleNormal="75" workbookViewId="0">
      <selection activeCell="H14" sqref="H14"/>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23.125" style="18" customWidth="1"/>
    <col min="9" max="9" width="1.625" style="18" hidden="1" customWidth="1"/>
    <col min="10" max="10" width="23" style="18" hidden="1" customWidth="1"/>
    <col min="11" max="11" width="1.875" style="410" customWidth="1"/>
    <col min="12" max="12" width="17.25" style="18" customWidth="1"/>
    <col min="13" max="13" width="10" style="18" customWidth="1"/>
    <col min="14" max="14" width="26.75" style="614"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103</v>
      </c>
      <c r="B1" s="60"/>
      <c r="C1" s="61"/>
      <c r="D1" s="61"/>
      <c r="E1" s="61"/>
      <c r="F1" s="60"/>
      <c r="G1" s="252"/>
      <c r="H1" s="60"/>
      <c r="I1" s="60"/>
      <c r="J1" s="60"/>
      <c r="K1" s="402"/>
      <c r="L1" s="60"/>
      <c r="M1" s="60"/>
      <c r="N1" s="606"/>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189</v>
      </c>
      <c r="B2" s="60"/>
      <c r="C2" s="61"/>
      <c r="D2" s="61"/>
      <c r="E2" s="61"/>
      <c r="F2" s="60"/>
      <c r="G2" s="252"/>
      <c r="H2" s="60"/>
      <c r="I2" s="60"/>
      <c r="J2" s="60"/>
      <c r="K2" s="402"/>
      <c r="L2" s="60"/>
      <c r="M2" s="60"/>
      <c r="N2" s="606"/>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445</v>
      </c>
      <c r="B3" s="60"/>
      <c r="C3" s="61"/>
      <c r="D3" s="61"/>
      <c r="E3" s="61"/>
      <c r="F3" s="60"/>
      <c r="G3" s="252"/>
      <c r="H3" s="60"/>
      <c r="I3" s="60"/>
      <c r="J3" s="60"/>
      <c r="K3" s="402"/>
      <c r="L3" s="60"/>
      <c r="M3" s="60"/>
      <c r="N3" s="606"/>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hidden="1" customHeight="1" x14ac:dyDescent="0.4">
      <c r="A4" s="59" t="s">
        <v>389</v>
      </c>
      <c r="B4" s="60"/>
      <c r="C4" s="61"/>
      <c r="D4" s="61"/>
      <c r="E4" s="61"/>
      <c r="F4" s="60"/>
      <c r="G4" s="252"/>
      <c r="H4" s="60"/>
      <c r="I4" s="60"/>
      <c r="J4" s="60"/>
      <c r="K4" s="402"/>
      <c r="L4" s="60"/>
      <c r="M4" s="60"/>
      <c r="N4" s="606"/>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53"/>
      <c r="H5" s="63"/>
      <c r="I5" s="63"/>
      <c r="J5" s="63"/>
      <c r="K5" s="403"/>
      <c r="L5" s="63"/>
      <c r="M5" s="63"/>
      <c r="N5" s="607"/>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118</v>
      </c>
      <c r="B6" s="65"/>
      <c r="C6" s="65"/>
      <c r="D6" s="65"/>
      <c r="E6" s="65"/>
      <c r="F6" s="65"/>
      <c r="G6" s="741" t="s">
        <v>56</v>
      </c>
      <c r="H6" s="741"/>
      <c r="I6" s="741"/>
      <c r="J6" s="741"/>
      <c r="K6" s="404"/>
      <c r="L6" s="466" t="s">
        <v>210</v>
      </c>
      <c r="M6" s="463" t="s">
        <v>223</v>
      </c>
      <c r="N6" s="608"/>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54"/>
      <c r="K7" s="405"/>
      <c r="N7" s="608"/>
    </row>
    <row r="8" spans="1:113" s="73" customFormat="1" ht="21" thickBot="1" x14ac:dyDescent="0.35">
      <c r="A8" s="70"/>
      <c r="B8" s="155" t="s">
        <v>110</v>
      </c>
      <c r="C8" s="155"/>
      <c r="D8" s="155"/>
      <c r="E8" s="155"/>
      <c r="F8" s="155"/>
      <c r="G8" s="308">
        <f>'December''17 Financial Position'!H8</f>
        <v>43100</v>
      </c>
      <c r="H8" s="308">
        <v>42735</v>
      </c>
      <c r="I8" s="357"/>
      <c r="J8" s="308">
        <f>G8-365</f>
        <v>42735</v>
      </c>
      <c r="K8" s="406"/>
      <c r="L8" s="740" t="s">
        <v>455</v>
      </c>
      <c r="M8" s="740"/>
      <c r="N8" s="609" t="s">
        <v>209</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111</v>
      </c>
      <c r="D9" s="76"/>
      <c r="E9" s="76"/>
      <c r="F9" s="74"/>
      <c r="G9" s="289">
        <v>952828.08</v>
      </c>
      <c r="H9" s="289">
        <v>1033661.42</v>
      </c>
      <c r="I9" s="360"/>
      <c r="J9" s="289">
        <v>878359.93</v>
      </c>
      <c r="K9" s="405"/>
      <c r="L9" s="424">
        <f t="shared" ref="L9:L28" si="0">G9-H9</f>
        <v>-80833.340000000084</v>
      </c>
      <c r="M9" s="496">
        <f>L9/H9</f>
        <v>-7.8200983838595889E-2</v>
      </c>
      <c r="N9" s="608" t="s">
        <v>466</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195</v>
      </c>
      <c r="D10" s="76"/>
      <c r="E10" s="76"/>
      <c r="F10" s="74"/>
      <c r="G10" s="290">
        <v>11258.31</v>
      </c>
      <c r="H10" s="290">
        <v>14248.21</v>
      </c>
      <c r="I10" s="356"/>
      <c r="J10" s="290">
        <v>12397</v>
      </c>
      <c r="K10" s="405"/>
      <c r="L10" s="301">
        <f t="shared" si="0"/>
        <v>-2989.8999999999996</v>
      </c>
      <c r="M10" s="496">
        <f>L10/H10</f>
        <v>-0.20984390319906851</v>
      </c>
      <c r="N10" s="608"/>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40"/>
      <c r="C11" s="76" t="s">
        <v>164</v>
      </c>
      <c r="D11" s="76"/>
      <c r="E11" s="76"/>
      <c r="F11" s="74"/>
      <c r="G11" s="290">
        <v>157028.54999999999</v>
      </c>
      <c r="H11" s="290">
        <f>191128.4-32</f>
        <v>191096.4</v>
      </c>
      <c r="I11" s="356"/>
      <c r="J11" s="290">
        <v>165893.57</v>
      </c>
      <c r="K11" s="405"/>
      <c r="L11" s="301">
        <f t="shared" si="0"/>
        <v>-34067.850000000006</v>
      </c>
      <c r="M11" s="496">
        <f>L11/H11</f>
        <v>-0.17827572889913157</v>
      </c>
      <c r="N11" s="608" t="s">
        <v>467</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40"/>
      <c r="C12" s="76" t="s">
        <v>208</v>
      </c>
      <c r="D12" s="76"/>
      <c r="E12" s="76"/>
      <c r="F12" s="74"/>
      <c r="G12" s="290">
        <v>41803.1</v>
      </c>
      <c r="H12" s="290">
        <v>41517.599999999999</v>
      </c>
      <c r="I12" s="356"/>
      <c r="J12" s="290">
        <v>35106.03</v>
      </c>
      <c r="K12" s="405"/>
      <c r="L12" s="301">
        <f t="shared" si="0"/>
        <v>285.5</v>
      </c>
      <c r="M12" s="496">
        <f>L12/H12</f>
        <v>6.8766017303505018E-3</v>
      </c>
      <c r="N12" s="608"/>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40"/>
      <c r="C13" s="76" t="s">
        <v>112</v>
      </c>
      <c r="D13" s="76"/>
      <c r="E13" s="76"/>
      <c r="F13" s="74"/>
      <c r="G13" s="290"/>
      <c r="H13" s="290"/>
      <c r="I13" s="356"/>
      <c r="J13" s="290"/>
      <c r="K13" s="405"/>
      <c r="L13" s="301">
        <f t="shared" si="0"/>
        <v>0</v>
      </c>
      <c r="M13" s="496"/>
      <c r="N13" s="60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40"/>
      <c r="C14" s="78"/>
      <c r="D14" s="76" t="s">
        <v>153</v>
      </c>
      <c r="E14" s="76"/>
      <c r="F14" s="74"/>
      <c r="G14" s="290">
        <v>159733.15</v>
      </c>
      <c r="H14" s="290">
        <v>136318.39000000001</v>
      </c>
      <c r="I14" s="356"/>
      <c r="J14" s="290">
        <v>108880.49</v>
      </c>
      <c r="K14" s="405"/>
      <c r="L14" s="301">
        <f t="shared" si="0"/>
        <v>23414.75999999998</v>
      </c>
      <c r="M14" s="496">
        <f t="shared" ref="M14:M24" si="1">L14/H14</f>
        <v>0.17176523284936079</v>
      </c>
      <c r="N14" s="608" t="s">
        <v>462</v>
      </c>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40"/>
      <c r="C15" s="78"/>
      <c r="D15" s="76" t="s">
        <v>175</v>
      </c>
      <c r="E15" s="76"/>
      <c r="F15" s="74"/>
      <c r="G15" s="290">
        <v>11860</v>
      </c>
      <c r="H15" s="290">
        <v>10920.9</v>
      </c>
      <c r="I15" s="356"/>
      <c r="J15" s="290">
        <v>8240.9</v>
      </c>
      <c r="K15" s="405"/>
      <c r="L15" s="301">
        <f t="shared" si="0"/>
        <v>939.10000000000036</v>
      </c>
      <c r="M15" s="496">
        <f t="shared" si="1"/>
        <v>8.5991081321136573E-2</v>
      </c>
      <c r="N15" s="60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40"/>
      <c r="C16" s="78"/>
      <c r="D16" s="742" t="s">
        <v>257</v>
      </c>
      <c r="E16" s="742"/>
      <c r="F16" s="742"/>
      <c r="G16" s="290">
        <v>0</v>
      </c>
      <c r="H16" s="290">
        <v>633.91999999999996</v>
      </c>
      <c r="I16" s="356"/>
      <c r="J16" s="290">
        <v>633.91999999999996</v>
      </c>
      <c r="K16" s="405"/>
      <c r="L16" s="301">
        <f t="shared" si="0"/>
        <v>-633.91999999999996</v>
      </c>
      <c r="M16" s="496">
        <f t="shared" si="1"/>
        <v>-1</v>
      </c>
      <c r="N16" s="608"/>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40"/>
      <c r="C17" s="472" t="s">
        <v>326</v>
      </c>
      <c r="D17" s="559"/>
      <c r="E17" s="559"/>
      <c r="F17" s="559"/>
      <c r="G17" s="290">
        <v>2020</v>
      </c>
      <c r="H17" s="290">
        <f>6000+1400</f>
        <v>7400</v>
      </c>
      <c r="I17" s="356"/>
      <c r="J17" s="290">
        <f>6000+471+106+106+221+221</f>
        <v>7125</v>
      </c>
      <c r="K17" s="405"/>
      <c r="L17" s="301">
        <f t="shared" si="0"/>
        <v>-5380</v>
      </c>
      <c r="M17" s="496">
        <f t="shared" si="1"/>
        <v>-0.72702702702702704</v>
      </c>
      <c r="N17" s="608" t="s">
        <v>357</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40"/>
      <c r="C18" s="76" t="s">
        <v>113</v>
      </c>
      <c r="D18" s="76"/>
      <c r="E18" s="76"/>
      <c r="F18" s="74"/>
      <c r="G18" s="290">
        <f>'December''17 Revenues &amp; Expenses'!J56</f>
        <v>13675.25</v>
      </c>
      <c r="H18" s="290">
        <v>9721.94</v>
      </c>
      <c r="I18" s="356"/>
      <c r="J18" s="290">
        <v>7377.34</v>
      </c>
      <c r="K18" s="405"/>
      <c r="L18" s="301">
        <f t="shared" si="0"/>
        <v>3953.3099999999995</v>
      </c>
      <c r="M18" s="496">
        <f t="shared" si="1"/>
        <v>0.40663797554809011</v>
      </c>
      <c r="N18" s="608" t="s">
        <v>463</v>
      </c>
      <c r="O18" s="69"/>
      <c r="P18" s="69"/>
      <c r="Q18" s="288"/>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40"/>
      <c r="C19" s="436" t="s">
        <v>180</v>
      </c>
      <c r="D19" s="436"/>
      <c r="E19" s="436"/>
      <c r="F19" s="74"/>
      <c r="G19" s="290">
        <v>197.5</v>
      </c>
      <c r="H19" s="290">
        <v>150</v>
      </c>
      <c r="I19" s="356"/>
      <c r="J19" s="290">
        <v>150</v>
      </c>
      <c r="K19" s="405"/>
      <c r="L19" s="301">
        <f t="shared" si="0"/>
        <v>47.5</v>
      </c>
      <c r="M19" s="496">
        <f t="shared" si="1"/>
        <v>0.31666666666666665</v>
      </c>
      <c r="N19" s="610"/>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40"/>
      <c r="C20" s="76" t="s">
        <v>120</v>
      </c>
      <c r="D20" s="76"/>
      <c r="E20" s="76"/>
      <c r="F20" s="74"/>
      <c r="G20" s="290">
        <v>1213.8399999999999</v>
      </c>
      <c r="H20" s="290">
        <v>1251.8699999999999</v>
      </c>
      <c r="I20" s="356"/>
      <c r="J20" s="290">
        <v>1032.3900000000001</v>
      </c>
      <c r="K20" s="405"/>
      <c r="L20" s="301">
        <f t="shared" si="0"/>
        <v>-38.029999999999973</v>
      </c>
      <c r="M20" s="496">
        <f t="shared" si="1"/>
        <v>-3.0378553683689181E-2</v>
      </c>
      <c r="N20" s="608"/>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40"/>
      <c r="C21" s="436" t="s">
        <v>289</v>
      </c>
      <c r="D21" s="436"/>
      <c r="E21" s="436"/>
      <c r="F21" s="74"/>
      <c r="G21" s="290">
        <v>4345.8599999999997</v>
      </c>
      <c r="H21" s="290">
        <f>365.07+9.54-4+35.57+53.88+113.52-10+142.31+163.2+182.91-10+1188.99</f>
        <v>2230.9900000000002</v>
      </c>
      <c r="I21" s="356"/>
      <c r="J21" s="290">
        <v>869.09</v>
      </c>
      <c r="K21" s="405"/>
      <c r="L21" s="301">
        <f t="shared" si="0"/>
        <v>2114.8699999999994</v>
      </c>
      <c r="M21" s="496">
        <f t="shared" si="1"/>
        <v>0.94795135791733676</v>
      </c>
      <c r="N21" s="608" t="s">
        <v>446</v>
      </c>
      <c r="O21" s="69"/>
      <c r="P21" s="69"/>
      <c r="Q21" s="288"/>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40"/>
      <c r="C22" s="76" t="s">
        <v>390</v>
      </c>
      <c r="D22" s="76"/>
      <c r="E22" s="76"/>
      <c r="F22" s="74"/>
      <c r="G22" s="290">
        <v>6058.88</v>
      </c>
      <c r="H22" s="290">
        <v>1631.49</v>
      </c>
      <c r="I22" s="356"/>
      <c r="J22" s="290">
        <v>496.3</v>
      </c>
      <c r="K22" s="405"/>
      <c r="L22" s="301">
        <f t="shared" si="0"/>
        <v>4427.3900000000003</v>
      </c>
      <c r="M22" s="496">
        <f t="shared" si="1"/>
        <v>2.7137095538434193</v>
      </c>
      <c r="N22" s="608" t="s">
        <v>446</v>
      </c>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40"/>
      <c r="C23" s="76" t="s">
        <v>290</v>
      </c>
      <c r="D23" s="76"/>
      <c r="E23" s="76"/>
      <c r="F23" s="74"/>
      <c r="G23" s="290">
        <v>47536.01</v>
      </c>
      <c r="H23" s="290">
        <v>73212.7</v>
      </c>
      <c r="I23" s="356"/>
      <c r="J23" s="290">
        <v>63652.31</v>
      </c>
      <c r="K23" s="405"/>
      <c r="L23" s="301">
        <f t="shared" si="0"/>
        <v>-25676.689999999995</v>
      </c>
      <c r="M23" s="496">
        <f t="shared" si="1"/>
        <v>-0.35071360569955756</v>
      </c>
      <c r="N23" s="608" t="s">
        <v>464</v>
      </c>
      <c r="O23" s="69"/>
      <c r="P23" s="69"/>
      <c r="Q23" s="288"/>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40"/>
      <c r="C24" s="76" t="s">
        <v>159</v>
      </c>
      <c r="D24" s="76"/>
      <c r="E24" s="76"/>
      <c r="F24" s="74"/>
      <c r="G24" s="290">
        <f>4009.26-G17</f>
        <v>1989.2600000000002</v>
      </c>
      <c r="H24" s="290">
        <f>11519.02-7400-1793.77</f>
        <v>2325.2500000000005</v>
      </c>
      <c r="I24" s="356"/>
      <c r="J24" s="290">
        <f>7556.48-J17</f>
        <v>431.47999999999956</v>
      </c>
      <c r="K24" s="405"/>
      <c r="L24" s="301">
        <f t="shared" si="0"/>
        <v>-335.99000000000024</v>
      </c>
      <c r="M24" s="496">
        <f t="shared" si="1"/>
        <v>-0.14449629072142789</v>
      </c>
      <c r="N24" s="610"/>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0.25" x14ac:dyDescent="0.2">
      <c r="A25" s="74"/>
      <c r="B25" s="440"/>
      <c r="C25" s="76" t="s">
        <v>184</v>
      </c>
      <c r="D25" s="76"/>
      <c r="E25" s="76"/>
      <c r="F25" s="74"/>
      <c r="G25" s="290">
        <v>5175</v>
      </c>
      <c r="H25" s="290">
        <v>0</v>
      </c>
      <c r="I25" s="356"/>
      <c r="J25" s="290">
        <v>0</v>
      </c>
      <c r="K25" s="405"/>
      <c r="L25" s="301">
        <f t="shared" si="0"/>
        <v>5175</v>
      </c>
      <c r="M25" s="496">
        <v>1</v>
      </c>
      <c r="N25" s="608" t="s">
        <v>382</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1" thickBot="1" x14ac:dyDescent="0.25">
      <c r="A26" s="74"/>
      <c r="B26" s="440"/>
      <c r="C26" s="76" t="s">
        <v>119</v>
      </c>
      <c r="D26" s="76"/>
      <c r="E26" s="76"/>
      <c r="F26" s="74"/>
      <c r="G26" s="291">
        <v>46575</v>
      </c>
      <c r="H26" s="291">
        <v>46575</v>
      </c>
      <c r="I26" s="356"/>
      <c r="J26" s="291">
        <f>G26</f>
        <v>46575</v>
      </c>
      <c r="K26" s="405"/>
      <c r="L26" s="423">
        <f t="shared" si="0"/>
        <v>0</v>
      </c>
      <c r="M26" s="526">
        <f>L26/H26</f>
        <v>0</v>
      </c>
      <c r="N26" s="60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0.25" x14ac:dyDescent="0.2">
      <c r="A27" s="74"/>
      <c r="B27" s="440"/>
      <c r="C27" s="76"/>
      <c r="D27" s="74" t="s">
        <v>115</v>
      </c>
      <c r="E27" s="76"/>
      <c r="F27" s="74"/>
      <c r="G27" s="256">
        <f>SUM(G9:G26)</f>
        <v>1463297.79</v>
      </c>
      <c r="H27" s="256">
        <f>SUM(H9:H26)</f>
        <v>1572896.0799999998</v>
      </c>
      <c r="I27" s="254"/>
      <c r="J27" s="256">
        <f>SUM(J9:J26)</f>
        <v>1337220.75</v>
      </c>
      <c r="K27" s="405"/>
      <c r="L27" s="256">
        <f t="shared" si="0"/>
        <v>-109598.2899999998</v>
      </c>
      <c r="M27" s="496">
        <f>L27/H27</f>
        <v>-6.9679295023737237E-2</v>
      </c>
      <c r="N27" s="608"/>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1" thickBot="1" x14ac:dyDescent="0.25">
      <c r="A28" s="74"/>
      <c r="B28" s="440"/>
      <c r="C28" s="74" t="s">
        <v>116</v>
      </c>
      <c r="D28" s="76"/>
      <c r="E28" s="76"/>
      <c r="F28" s="74"/>
      <c r="G28" s="264">
        <v>85323.47</v>
      </c>
      <c r="H28" s="264">
        <v>95122.27</v>
      </c>
      <c r="I28" s="254"/>
      <c r="J28" s="264">
        <v>77206.320000000007</v>
      </c>
      <c r="K28" s="405"/>
      <c r="L28" s="264">
        <f t="shared" si="0"/>
        <v>-9798.8000000000029</v>
      </c>
      <c r="M28" s="526">
        <f>L28/H28</f>
        <v>-0.10301268041647874</v>
      </c>
      <c r="N28" s="610" t="s">
        <v>391</v>
      </c>
      <c r="O28" s="69"/>
      <c r="P28" s="69"/>
      <c r="Q28" s="37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20.25" x14ac:dyDescent="0.2">
      <c r="A29" s="74"/>
      <c r="B29" s="440"/>
      <c r="C29" s="76"/>
      <c r="D29" s="74" t="s">
        <v>117</v>
      </c>
      <c r="E29" s="76"/>
      <c r="F29" s="74"/>
      <c r="G29" s="256">
        <f>SUM(G27:G28)</f>
        <v>1548621.26</v>
      </c>
      <c r="H29" s="256">
        <f>SUM(H27:H28)</f>
        <v>1668018.3499999999</v>
      </c>
      <c r="I29" s="254"/>
      <c r="J29" s="256">
        <f>SUM(J27:J28)</f>
        <v>1414427.07</v>
      </c>
      <c r="K29" s="288"/>
      <c r="L29" s="256">
        <f>SUM(L27:L28)</f>
        <v>-119397.08999999981</v>
      </c>
      <c r="M29" s="496">
        <f>L29/H29</f>
        <v>-7.1580201740586255E-2</v>
      </c>
      <c r="N29" s="610"/>
      <c r="O29" s="288"/>
      <c r="P29" s="69"/>
      <c r="Q29" s="377"/>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6" customHeight="1" x14ac:dyDescent="0.2">
      <c r="A30" s="74"/>
      <c r="B30" s="440"/>
      <c r="C30" s="76"/>
      <c r="D30" s="74"/>
      <c r="E30" s="76"/>
      <c r="F30" s="74"/>
      <c r="G30" s="256"/>
      <c r="H30" s="256"/>
      <c r="I30" s="254"/>
      <c r="J30" s="256"/>
      <c r="K30" s="405"/>
      <c r="L30" s="452"/>
      <c r="M30" s="592"/>
      <c r="N30" s="608"/>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75" customFormat="1" ht="21" thickBot="1" x14ac:dyDescent="0.25">
      <c r="A31" s="74"/>
      <c r="B31" s="441" t="s">
        <v>121</v>
      </c>
      <c r="C31" s="88"/>
      <c r="D31" s="88"/>
      <c r="E31" s="88"/>
      <c r="F31" s="88"/>
      <c r="G31" s="264"/>
      <c r="H31" s="264"/>
      <c r="I31" s="69"/>
      <c r="J31" s="69"/>
      <c r="K31" s="405"/>
      <c r="L31" s="452"/>
      <c r="M31" s="592"/>
      <c r="N31" s="610"/>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row>
    <row r="32" spans="1:46" s="69" customFormat="1" ht="20.25" x14ac:dyDescent="0.2">
      <c r="A32" s="68"/>
      <c r="B32" s="442"/>
      <c r="C32" s="80" t="s">
        <v>122</v>
      </c>
      <c r="D32" s="80"/>
      <c r="E32" s="80"/>
      <c r="F32" s="80"/>
      <c r="G32" s="254">
        <v>887011.74</v>
      </c>
      <c r="H32" s="254">
        <v>898643.55</v>
      </c>
      <c r="I32" s="301"/>
      <c r="J32" s="447">
        <v>746945.86</v>
      </c>
      <c r="K32" s="405"/>
      <c r="L32" s="301">
        <f t="shared" ref="L32:L54" si="2">G32-H32</f>
        <v>-11631.810000000056</v>
      </c>
      <c r="M32" s="496">
        <f t="shared" ref="M32:M53" si="3">L32/H32</f>
        <v>-1.2943741709379715E-2</v>
      </c>
      <c r="N32" s="610" t="s">
        <v>383</v>
      </c>
    </row>
    <row r="33" spans="1:16" s="69" customFormat="1" ht="20.25" x14ac:dyDescent="0.2">
      <c r="A33" s="68"/>
      <c r="B33" s="442"/>
      <c r="C33" s="80" t="s">
        <v>123</v>
      </c>
      <c r="D33" s="80"/>
      <c r="E33" s="80"/>
      <c r="F33" s="80"/>
      <c r="G33" s="254">
        <v>177605.77</v>
      </c>
      <c r="H33" s="254">
        <v>186308.17</v>
      </c>
      <c r="I33" s="301"/>
      <c r="J33" s="447">
        <v>142541.37</v>
      </c>
      <c r="K33" s="405"/>
      <c r="L33" s="301">
        <f t="shared" si="2"/>
        <v>-8702.4000000000233</v>
      </c>
      <c r="M33" s="496">
        <f t="shared" si="3"/>
        <v>-4.670970682606148E-2</v>
      </c>
      <c r="N33" s="610" t="s">
        <v>392</v>
      </c>
    </row>
    <row r="34" spans="1:16" s="69" customFormat="1" ht="20.25" x14ac:dyDescent="0.2">
      <c r="A34" s="68"/>
      <c r="B34" s="442"/>
      <c r="C34" s="80" t="s">
        <v>124</v>
      </c>
      <c r="D34" s="80"/>
      <c r="E34" s="80"/>
      <c r="F34" s="80"/>
      <c r="G34" s="254">
        <f>48831-G26</f>
        <v>2256</v>
      </c>
      <c r="H34" s="254">
        <f>49061-H26</f>
        <v>2486</v>
      </c>
      <c r="I34" s="301"/>
      <c r="J34" s="301">
        <f>40542.5-J35-230</f>
        <v>-6262.5</v>
      </c>
      <c r="K34" s="405"/>
      <c r="L34" s="301">
        <f t="shared" si="2"/>
        <v>-230</v>
      </c>
      <c r="M34" s="496">
        <f t="shared" si="3"/>
        <v>-9.2518101367658895E-2</v>
      </c>
      <c r="N34" s="608"/>
    </row>
    <row r="35" spans="1:16" s="69" customFormat="1" ht="20.25" x14ac:dyDescent="0.2">
      <c r="A35" s="68"/>
      <c r="B35" s="442"/>
      <c r="C35" s="80" t="s">
        <v>114</v>
      </c>
      <c r="D35" s="80"/>
      <c r="E35" s="80"/>
      <c r="F35" s="80"/>
      <c r="G35" s="254">
        <f>G26</f>
        <v>46575</v>
      </c>
      <c r="H35" s="254">
        <f>H26</f>
        <v>46575</v>
      </c>
      <c r="I35" s="301"/>
      <c r="J35" s="301">
        <f>J26</f>
        <v>46575</v>
      </c>
      <c r="K35" s="405"/>
      <c r="L35" s="301">
        <f t="shared" si="2"/>
        <v>0</v>
      </c>
      <c r="M35" s="496">
        <f t="shared" si="3"/>
        <v>0</v>
      </c>
      <c r="N35" s="608"/>
    </row>
    <row r="36" spans="1:16" s="69" customFormat="1" ht="20.25" x14ac:dyDescent="0.2">
      <c r="A36" s="68"/>
      <c r="B36" s="442"/>
      <c r="C36" s="80" t="s">
        <v>125</v>
      </c>
      <c r="D36" s="80"/>
      <c r="E36" s="80"/>
      <c r="F36" s="80"/>
      <c r="G36" s="254">
        <v>15159.8</v>
      </c>
      <c r="H36" s="254">
        <v>13855.69</v>
      </c>
      <c r="I36" s="301"/>
      <c r="J36" s="301">
        <v>11605.82</v>
      </c>
      <c r="K36" s="405"/>
      <c r="L36" s="301">
        <f t="shared" si="2"/>
        <v>1304.1099999999988</v>
      </c>
      <c r="M36" s="496">
        <f t="shared" si="3"/>
        <v>9.4120899067458838E-2</v>
      </c>
      <c r="N36" s="608" t="s">
        <v>461</v>
      </c>
    </row>
    <row r="37" spans="1:16" s="69" customFormat="1" ht="20.25" x14ac:dyDescent="0.2">
      <c r="A37" s="68"/>
      <c r="B37" s="442"/>
      <c r="C37" s="80" t="s">
        <v>126</v>
      </c>
      <c r="D37" s="80"/>
      <c r="E37" s="80"/>
      <c r="F37" s="80"/>
      <c r="G37" s="254">
        <v>3574.98</v>
      </c>
      <c r="H37" s="254">
        <v>3281.1</v>
      </c>
      <c r="I37" s="301"/>
      <c r="J37" s="301">
        <v>2829.28</v>
      </c>
      <c r="K37" s="405"/>
      <c r="L37" s="301">
        <f t="shared" si="2"/>
        <v>293.88000000000011</v>
      </c>
      <c r="M37" s="496">
        <f t="shared" si="3"/>
        <v>8.9567523086769713E-2</v>
      </c>
      <c r="N37" s="608"/>
    </row>
    <row r="38" spans="1:16" s="69" customFormat="1" ht="20.25" x14ac:dyDescent="0.2">
      <c r="A38" s="68"/>
      <c r="B38" s="442"/>
      <c r="C38" s="80" t="s">
        <v>127</v>
      </c>
      <c r="D38" s="80"/>
      <c r="E38" s="80"/>
      <c r="F38" s="80"/>
      <c r="G38" s="254">
        <v>6468.46</v>
      </c>
      <c r="H38" s="254">
        <v>6781.22</v>
      </c>
      <c r="I38" s="301"/>
      <c r="J38" s="301">
        <v>5971.84</v>
      </c>
      <c r="K38" s="405"/>
      <c r="L38" s="301">
        <f t="shared" si="2"/>
        <v>-312.76000000000022</v>
      </c>
      <c r="M38" s="496">
        <f t="shared" si="3"/>
        <v>-4.6121494362371403E-2</v>
      </c>
      <c r="N38" s="608"/>
    </row>
    <row r="39" spans="1:16" s="69" customFormat="1" ht="20.25" x14ac:dyDescent="0.2">
      <c r="A39" s="68"/>
      <c r="B39" s="442"/>
      <c r="C39" s="80" t="s">
        <v>128</v>
      </c>
      <c r="D39" s="80"/>
      <c r="E39" s="80"/>
      <c r="F39" s="80"/>
      <c r="G39" s="254">
        <v>4059.63</v>
      </c>
      <c r="H39" s="254">
        <v>12515.18</v>
      </c>
      <c r="I39" s="301"/>
      <c r="J39" s="301">
        <v>11556.73</v>
      </c>
      <c r="K39" s="405"/>
      <c r="L39" s="301">
        <f t="shared" si="2"/>
        <v>-8455.5499999999993</v>
      </c>
      <c r="M39" s="496">
        <f t="shared" si="3"/>
        <v>-0.67562352279391902</v>
      </c>
      <c r="N39" s="608" t="s">
        <v>393</v>
      </c>
    </row>
    <row r="40" spans="1:16" s="69" customFormat="1" ht="20.25" x14ac:dyDescent="0.2">
      <c r="A40" s="68"/>
      <c r="B40" s="442"/>
      <c r="C40" s="80" t="s">
        <v>129</v>
      </c>
      <c r="D40" s="80"/>
      <c r="E40" s="80"/>
      <c r="F40" s="80"/>
      <c r="G40" s="254">
        <f>24136.86+11152.44</f>
        <v>35289.300000000003</v>
      </c>
      <c r="H40" s="254">
        <f>26975.95+11407.95</f>
        <v>38383.9</v>
      </c>
      <c r="I40" s="301"/>
      <c r="J40" s="301">
        <f>23051.28+9748.46+231</f>
        <v>33030.74</v>
      </c>
      <c r="K40" s="405"/>
      <c r="L40" s="301">
        <f t="shared" si="2"/>
        <v>-3094.5999999999985</v>
      </c>
      <c r="M40" s="496">
        <f t="shared" si="3"/>
        <v>-8.0622344264131535E-2</v>
      </c>
      <c r="N40" s="608"/>
    </row>
    <row r="41" spans="1:16" s="69" customFormat="1" ht="20.25" x14ac:dyDescent="0.2">
      <c r="A41" s="68"/>
      <c r="B41" s="442"/>
      <c r="C41" s="80" t="s">
        <v>130</v>
      </c>
      <c r="D41" s="80"/>
      <c r="E41" s="80"/>
      <c r="F41" s="80"/>
      <c r="G41" s="254">
        <v>4915.07</v>
      </c>
      <c r="H41" s="254">
        <v>6251.1</v>
      </c>
      <c r="I41" s="301"/>
      <c r="J41" s="301">
        <v>5717.49</v>
      </c>
      <c r="K41" s="405"/>
      <c r="L41" s="301">
        <f t="shared" si="2"/>
        <v>-1336.0300000000007</v>
      </c>
      <c r="M41" s="496">
        <f t="shared" si="3"/>
        <v>-0.21372718401561333</v>
      </c>
      <c r="N41" s="608"/>
    </row>
    <row r="42" spans="1:16" s="69" customFormat="1" ht="20.25" x14ac:dyDescent="0.2">
      <c r="A42" s="68"/>
      <c r="B42" s="442"/>
      <c r="C42" s="80" t="s">
        <v>131</v>
      </c>
      <c r="D42" s="80"/>
      <c r="E42" s="80"/>
      <c r="F42" s="80"/>
      <c r="G42" s="254">
        <v>1693</v>
      </c>
      <c r="H42" s="254">
        <v>1329.5</v>
      </c>
      <c r="I42" s="301"/>
      <c r="J42" s="301">
        <v>1154.5</v>
      </c>
      <c r="K42" s="405"/>
      <c r="L42" s="301">
        <f t="shared" si="2"/>
        <v>363.5</v>
      </c>
      <c r="M42" s="496">
        <f t="shared" si="3"/>
        <v>0.27341105678826627</v>
      </c>
      <c r="N42" s="608"/>
    </row>
    <row r="43" spans="1:16" s="69" customFormat="1" ht="20.25" x14ac:dyDescent="0.2">
      <c r="A43" s="68"/>
      <c r="B43" s="442"/>
      <c r="C43" s="80" t="s">
        <v>186</v>
      </c>
      <c r="D43" s="80"/>
      <c r="E43" s="80"/>
      <c r="F43" s="80"/>
      <c r="G43" s="254">
        <f>11199+2350</f>
        <v>13549</v>
      </c>
      <c r="H43" s="254">
        <v>12865</v>
      </c>
      <c r="I43" s="301"/>
      <c r="J43" s="301">
        <v>10513</v>
      </c>
      <c r="K43" s="405"/>
      <c r="L43" s="301">
        <f t="shared" si="2"/>
        <v>684</v>
      </c>
      <c r="M43" s="496">
        <f t="shared" si="3"/>
        <v>5.316750874465604E-2</v>
      </c>
      <c r="N43" s="608"/>
    </row>
    <row r="44" spans="1:16" s="77" customFormat="1" ht="20.25" x14ac:dyDescent="0.2">
      <c r="A44" s="80"/>
      <c r="B44" s="438"/>
      <c r="C44" s="80" t="s">
        <v>132</v>
      </c>
      <c r="D44" s="80"/>
      <c r="E44" s="80"/>
      <c r="F44" s="80"/>
      <c r="G44" s="356">
        <v>15421.71</v>
      </c>
      <c r="H44" s="356">
        <v>13248.87</v>
      </c>
      <c r="I44" s="448"/>
      <c r="J44" s="448">
        <v>14248.91</v>
      </c>
      <c r="K44" s="407"/>
      <c r="L44" s="301">
        <f t="shared" si="2"/>
        <v>2172.8399999999983</v>
      </c>
      <c r="M44" s="496">
        <f t="shared" si="3"/>
        <v>0.16400191110638102</v>
      </c>
      <c r="N44" s="608"/>
    </row>
    <row r="45" spans="1:16" s="77" customFormat="1" ht="20.25" x14ac:dyDescent="0.2">
      <c r="A45" s="80"/>
      <c r="B45" s="438"/>
      <c r="C45" s="80" t="s">
        <v>133</v>
      </c>
      <c r="D45" s="80"/>
      <c r="E45" s="80"/>
      <c r="F45" s="80"/>
      <c r="G45" s="254">
        <v>13766.09</v>
      </c>
      <c r="H45" s="254">
        <v>12343.85</v>
      </c>
      <c r="I45" s="254"/>
      <c r="J45" s="356">
        <v>10285.91</v>
      </c>
      <c r="K45" s="407"/>
      <c r="L45" s="301">
        <f t="shared" si="2"/>
        <v>1422.2399999999998</v>
      </c>
      <c r="M45" s="496">
        <f t="shared" si="3"/>
        <v>0.11521850962220051</v>
      </c>
      <c r="N45" s="608"/>
    </row>
    <row r="46" spans="1:16" s="77" customFormat="1" ht="20.25" x14ac:dyDescent="0.2">
      <c r="A46" s="80"/>
      <c r="B46" s="438"/>
      <c r="C46" s="80" t="s">
        <v>142</v>
      </c>
      <c r="D46" s="80"/>
      <c r="E46" s="80"/>
      <c r="F46" s="80"/>
      <c r="G46" s="254">
        <f>379+237</f>
        <v>616</v>
      </c>
      <c r="H46" s="254">
        <f>2673+293.93</f>
        <v>2966.93</v>
      </c>
      <c r="I46" s="254"/>
      <c r="J46" s="356">
        <f>2672+202.28</f>
        <v>2874.28</v>
      </c>
      <c r="K46" s="407"/>
      <c r="L46" s="301">
        <f t="shared" si="2"/>
        <v>-2350.9299999999998</v>
      </c>
      <c r="M46" s="496">
        <f t="shared" si="3"/>
        <v>-0.79237797993211834</v>
      </c>
      <c r="N46" s="611" t="s">
        <v>384</v>
      </c>
      <c r="P46" s="270"/>
    </row>
    <row r="47" spans="1:16" s="77" customFormat="1" ht="20.25" x14ac:dyDescent="0.2">
      <c r="A47" s="80"/>
      <c r="B47" s="438"/>
      <c r="C47" s="80" t="s">
        <v>134</v>
      </c>
      <c r="D47" s="80"/>
      <c r="E47" s="80"/>
      <c r="F47" s="80"/>
      <c r="G47" s="356">
        <f>1584.72+10342.45</f>
        <v>11927.17</v>
      </c>
      <c r="H47" s="356">
        <f>3067.88+8008.83</f>
        <v>11076.71</v>
      </c>
      <c r="I47" s="254"/>
      <c r="J47" s="254">
        <f>3067.88+7936.73</f>
        <v>11004.61</v>
      </c>
      <c r="K47" s="407"/>
      <c r="L47" s="301">
        <f t="shared" si="2"/>
        <v>850.46000000000095</v>
      </c>
      <c r="M47" s="496">
        <f t="shared" si="3"/>
        <v>7.6779115820491919E-2</v>
      </c>
      <c r="N47" s="610"/>
      <c r="P47" s="270"/>
    </row>
    <row r="48" spans="1:16" s="69" customFormat="1" ht="20.25" x14ac:dyDescent="0.2">
      <c r="A48" s="68"/>
      <c r="B48" s="442"/>
      <c r="C48" s="80" t="s">
        <v>230</v>
      </c>
      <c r="D48" s="80"/>
      <c r="E48" s="80"/>
      <c r="F48" s="80"/>
      <c r="G48" s="254">
        <v>17465.759999999998</v>
      </c>
      <c r="H48" s="254">
        <v>16151.01</v>
      </c>
      <c r="I48" s="254"/>
      <c r="J48" s="254">
        <v>12797.92</v>
      </c>
      <c r="K48" s="405"/>
      <c r="L48" s="301">
        <f t="shared" si="2"/>
        <v>1314.7499999999982</v>
      </c>
      <c r="M48" s="496">
        <f t="shared" si="3"/>
        <v>8.1403577856740739E-2</v>
      </c>
      <c r="N48" s="608"/>
    </row>
    <row r="49" spans="1:18" s="77" customFormat="1" ht="20.25" x14ac:dyDescent="0.2">
      <c r="A49" s="80"/>
      <c r="B49" s="438"/>
      <c r="C49" s="80" t="s">
        <v>135</v>
      </c>
      <c r="D49" s="80"/>
      <c r="E49" s="80"/>
      <c r="F49" s="80"/>
      <c r="G49" s="356">
        <v>38084</v>
      </c>
      <c r="H49" s="356">
        <v>40262.04</v>
      </c>
      <c r="I49" s="254"/>
      <c r="J49" s="254">
        <v>33327.699999999997</v>
      </c>
      <c r="K49" s="407"/>
      <c r="L49" s="301">
        <f t="shared" si="2"/>
        <v>-2178.0400000000009</v>
      </c>
      <c r="M49" s="496">
        <f t="shared" si="3"/>
        <v>-5.409661308766274E-2</v>
      </c>
      <c r="N49" s="608"/>
    </row>
    <row r="50" spans="1:18" s="77" customFormat="1" ht="20.25" x14ac:dyDescent="0.2">
      <c r="A50" s="80"/>
      <c r="B50" s="438"/>
      <c r="C50" s="80" t="s">
        <v>136</v>
      </c>
      <c r="D50" s="80"/>
      <c r="E50" s="80"/>
      <c r="F50" s="80"/>
      <c r="G50" s="356">
        <f>1870+7831.36+18685.5</f>
        <v>28386.86</v>
      </c>
      <c r="H50" s="356">
        <f>3570+4675.64+36132.18</f>
        <v>44377.82</v>
      </c>
      <c r="I50" s="254"/>
      <c r="J50" s="254">
        <f>1800+3681.48+30831.15</f>
        <v>36312.630000000005</v>
      </c>
      <c r="K50" s="407"/>
      <c r="L50" s="301">
        <f t="shared" si="2"/>
        <v>-15990.96</v>
      </c>
      <c r="M50" s="496">
        <f t="shared" si="3"/>
        <v>-0.36033676282431176</v>
      </c>
      <c r="N50" s="608" t="s">
        <v>394</v>
      </c>
    </row>
    <row r="51" spans="1:18" s="77" customFormat="1" ht="20.25" x14ac:dyDescent="0.2">
      <c r="A51" s="80"/>
      <c r="B51" s="438"/>
      <c r="C51" s="80" t="s">
        <v>187</v>
      </c>
      <c r="D51" s="80"/>
      <c r="E51" s="80"/>
      <c r="F51" s="80"/>
      <c r="G51" s="254">
        <v>26257.759999999998</v>
      </c>
      <c r="H51" s="254">
        <v>35478.5</v>
      </c>
      <c r="I51" s="254"/>
      <c r="J51" s="254">
        <v>29429.79</v>
      </c>
      <c r="K51" s="407"/>
      <c r="L51" s="301">
        <f t="shared" si="2"/>
        <v>-9220.7400000000016</v>
      </c>
      <c r="M51" s="496">
        <f t="shared" si="3"/>
        <v>-0.25989655706977471</v>
      </c>
      <c r="N51" s="608" t="s">
        <v>355</v>
      </c>
    </row>
    <row r="52" spans="1:18" s="77" customFormat="1" ht="20.25" x14ac:dyDescent="0.2">
      <c r="A52" s="80"/>
      <c r="B52" s="438"/>
      <c r="C52" s="80" t="s">
        <v>185</v>
      </c>
      <c r="D52" s="80"/>
      <c r="E52" s="80"/>
      <c r="F52" s="80"/>
      <c r="G52" s="254">
        <f>49047.74+4700.32-500</f>
        <v>53248.06</v>
      </c>
      <c r="H52" s="254">
        <v>46701.55</v>
      </c>
      <c r="I52" s="254"/>
      <c r="J52" s="254">
        <v>39228.870000000003</v>
      </c>
      <c r="K52" s="407"/>
      <c r="L52" s="301">
        <f t="shared" si="2"/>
        <v>6546.5099999999948</v>
      </c>
      <c r="M52" s="496">
        <f t="shared" si="3"/>
        <v>0.14017757440598855</v>
      </c>
      <c r="N52" s="608"/>
    </row>
    <row r="53" spans="1:18" s="77" customFormat="1" ht="20.25" x14ac:dyDescent="0.2">
      <c r="A53" s="80"/>
      <c r="B53" s="438"/>
      <c r="C53" s="80" t="s">
        <v>137</v>
      </c>
      <c r="D53" s="80"/>
      <c r="E53" s="80"/>
      <c r="F53" s="80"/>
      <c r="G53" s="254">
        <f>3919.04+135380.43</f>
        <v>139299.47</v>
      </c>
      <c r="H53" s="254">
        <f>2604.31+166143.24</f>
        <v>168747.55</v>
      </c>
      <c r="I53" s="254"/>
      <c r="J53" s="254">
        <f>165183.16+2037.25</f>
        <v>167220.41</v>
      </c>
      <c r="K53" s="407"/>
      <c r="L53" s="301">
        <f t="shared" si="2"/>
        <v>-29448.079999999987</v>
      </c>
      <c r="M53" s="496">
        <f t="shared" si="3"/>
        <v>-0.17450967436267958</v>
      </c>
      <c r="N53" s="608" t="s">
        <v>465</v>
      </c>
    </row>
    <row r="54" spans="1:18" s="77" customFormat="1" ht="21" thickBot="1" x14ac:dyDescent="0.25">
      <c r="A54" s="80"/>
      <c r="B54" s="438"/>
      <c r="C54" s="80" t="s">
        <v>327</v>
      </c>
      <c r="D54" s="80"/>
      <c r="E54" s="80"/>
      <c r="F54" s="80"/>
      <c r="G54" s="264">
        <v>30</v>
      </c>
      <c r="H54" s="264"/>
      <c r="I54" s="264"/>
      <c r="J54" s="264">
        <v>22</v>
      </c>
      <c r="K54" s="639"/>
      <c r="L54" s="423">
        <f t="shared" si="2"/>
        <v>30</v>
      </c>
      <c r="M54" s="526"/>
      <c r="N54" s="608"/>
    </row>
    <row r="55" spans="1:18" s="77" customFormat="1" ht="21" hidden="1" thickBot="1" x14ac:dyDescent="0.25">
      <c r="A55" s="80"/>
      <c r="B55" s="438"/>
      <c r="C55" s="80"/>
      <c r="D55" s="80"/>
      <c r="E55" s="80"/>
      <c r="F55" s="80"/>
      <c r="G55" s="264"/>
      <c r="H55" s="264"/>
      <c r="I55" s="254"/>
      <c r="J55" s="264"/>
      <c r="K55" s="407"/>
      <c r="L55" s="423"/>
      <c r="M55" s="526"/>
      <c r="N55" s="608"/>
    </row>
    <row r="56" spans="1:18" s="69" customFormat="1" ht="20.25" x14ac:dyDescent="0.2">
      <c r="A56" s="68"/>
      <c r="B56" s="442"/>
      <c r="C56" s="68"/>
      <c r="D56" s="74" t="s">
        <v>138</v>
      </c>
      <c r="E56" s="68"/>
      <c r="F56" s="68"/>
      <c r="G56" s="259">
        <f>SUM(G32:G54)</f>
        <v>1542660.6300000001</v>
      </c>
      <c r="H56" s="259">
        <f>SUM(H32:H54)</f>
        <v>1620630.2400000002</v>
      </c>
      <c r="I56" s="254"/>
      <c r="J56" s="259">
        <f>SUM(J32:J54)</f>
        <v>1368932.16</v>
      </c>
      <c r="K56" s="405"/>
      <c r="L56" s="256">
        <f>SUM(L32:L54)</f>
        <v>-77969.610000000073</v>
      </c>
      <c r="M56" s="496">
        <f>L56/H56</f>
        <v>-4.8110672055582566E-2</v>
      </c>
      <c r="N56" s="612"/>
    </row>
    <row r="57" spans="1:18" s="69" customFormat="1" ht="10.5" customHeight="1" thickBot="1" x14ac:dyDescent="0.25">
      <c r="A57" s="68"/>
      <c r="B57" s="442"/>
      <c r="C57" s="68"/>
      <c r="D57" s="74"/>
      <c r="E57" s="68"/>
      <c r="F57" s="68"/>
      <c r="G57" s="264"/>
      <c r="H57" s="264"/>
      <c r="I57" s="254"/>
      <c r="J57" s="264"/>
      <c r="K57" s="405"/>
      <c r="L57" s="454"/>
      <c r="M57" s="593"/>
      <c r="N57" s="612"/>
    </row>
    <row r="58" spans="1:18" s="69" customFormat="1" ht="21" thickBot="1" x14ac:dyDescent="0.25">
      <c r="A58" s="68"/>
      <c r="B58" s="442"/>
      <c r="C58" s="68"/>
      <c r="D58" s="68" t="s">
        <v>139</v>
      </c>
      <c r="E58" s="68"/>
      <c r="F58" s="68"/>
      <c r="G58" s="264">
        <f>G29-G56</f>
        <v>5960.6299999998882</v>
      </c>
      <c r="H58" s="264">
        <f>H29-H56</f>
        <v>47388.109999999637</v>
      </c>
      <c r="I58" s="254"/>
      <c r="J58" s="264">
        <f>J29-J56</f>
        <v>45494.910000000149</v>
      </c>
      <c r="K58" s="405"/>
      <c r="L58" s="264">
        <f>L29-L56</f>
        <v>-41427.479999999734</v>
      </c>
      <c r="M58" s="587">
        <f>L58/H58</f>
        <v>-0.87421676028016415</v>
      </c>
      <c r="N58" s="612"/>
    </row>
    <row r="59" spans="1:18" s="69" customFormat="1" ht="11.25" customHeight="1" x14ac:dyDescent="0.2">
      <c r="A59" s="68"/>
      <c r="B59" s="442"/>
      <c r="C59" s="68"/>
      <c r="D59" s="68"/>
      <c r="E59" s="68"/>
      <c r="F59" s="68"/>
      <c r="G59" s="254"/>
      <c r="H59" s="254"/>
      <c r="I59" s="254"/>
      <c r="J59" s="254"/>
      <c r="K59" s="405"/>
      <c r="L59" s="452"/>
      <c r="M59" s="592"/>
      <c r="N59" s="608"/>
    </row>
    <row r="60" spans="1:18" s="77" customFormat="1" ht="21" thickBot="1" x14ac:dyDescent="0.25">
      <c r="A60" s="80"/>
      <c r="B60" s="441" t="s">
        <v>140</v>
      </c>
      <c r="C60" s="88"/>
      <c r="D60" s="88"/>
      <c r="E60" s="88"/>
      <c r="F60" s="88"/>
      <c r="G60" s="451"/>
      <c r="H60" s="254"/>
      <c r="I60" s="254"/>
      <c r="J60" s="254"/>
      <c r="K60" s="407"/>
      <c r="L60" s="452"/>
      <c r="M60" s="592"/>
      <c r="N60" s="608"/>
    </row>
    <row r="61" spans="1:18" s="77" customFormat="1" ht="20.25" x14ac:dyDescent="0.2">
      <c r="A61" s="80"/>
      <c r="B61" s="442"/>
      <c r="C61" s="68"/>
      <c r="D61" s="68" t="s">
        <v>155</v>
      </c>
      <c r="E61" s="68"/>
      <c r="F61" s="68"/>
      <c r="G61" s="254"/>
      <c r="H61" s="254"/>
      <c r="I61" s="254"/>
      <c r="J61" s="254"/>
      <c r="K61" s="407"/>
      <c r="L61" s="452"/>
      <c r="M61" s="592"/>
      <c r="N61" s="608"/>
    </row>
    <row r="62" spans="1:18" s="77" customFormat="1" ht="20.25" x14ac:dyDescent="0.2">
      <c r="A62" s="80"/>
      <c r="B62" s="442"/>
      <c r="C62" s="68"/>
      <c r="D62" s="68"/>
      <c r="E62" s="80" t="s">
        <v>156</v>
      </c>
      <c r="F62" s="68"/>
      <c r="G62" s="254">
        <v>49000</v>
      </c>
      <c r="H62" s="254">
        <v>49000</v>
      </c>
      <c r="I62" s="254"/>
      <c r="J62" s="254">
        <f>G62</f>
        <v>49000</v>
      </c>
      <c r="K62" s="407"/>
      <c r="L62" s="301">
        <f>G62-H62</f>
        <v>0</v>
      </c>
      <c r="M62" s="496">
        <f>L62/H62</f>
        <v>0</v>
      </c>
      <c r="N62" s="608"/>
      <c r="R62" s="270"/>
    </row>
    <row r="63" spans="1:18" s="77" customFormat="1" ht="20.25" x14ac:dyDescent="0.2">
      <c r="A63" s="80"/>
      <c r="B63" s="442"/>
      <c r="C63" s="68"/>
      <c r="D63" s="68"/>
      <c r="E63" s="80" t="s">
        <v>190</v>
      </c>
      <c r="F63" s="68"/>
      <c r="G63" s="254">
        <v>19000</v>
      </c>
      <c r="H63" s="254">
        <v>19000</v>
      </c>
      <c r="I63" s="254"/>
      <c r="J63" s="254">
        <f>G63</f>
        <v>19000</v>
      </c>
      <c r="K63" s="407"/>
      <c r="L63" s="301">
        <f>G63-H63</f>
        <v>0</v>
      </c>
      <c r="M63" s="496">
        <f>L63/H63</f>
        <v>0</v>
      </c>
      <c r="N63" s="608"/>
    </row>
    <row r="64" spans="1:18" s="77" customFormat="1" ht="20.25" x14ac:dyDescent="0.2">
      <c r="A64" s="80"/>
      <c r="B64" s="442"/>
      <c r="C64" s="68"/>
      <c r="D64" s="68"/>
      <c r="E64" s="80" t="s">
        <v>154</v>
      </c>
      <c r="F64" s="68"/>
      <c r="G64" s="254">
        <f>'December''17 Revenues &amp; Expenses'!H58+'December''17 Revenues &amp; Expenses'!H59+'December''17 Revenues &amp; Expenses'!H57</f>
        <v>23508.260000000002</v>
      </c>
      <c r="H64" s="254">
        <f>88930-H62-H63</f>
        <v>20930</v>
      </c>
      <c r="I64" s="254"/>
      <c r="J64" s="254">
        <f>3730.71+3477.95-50-1</f>
        <v>7157.66</v>
      </c>
      <c r="K64" s="407"/>
      <c r="L64" s="301">
        <f>G64-H64</f>
        <v>2578.260000000002</v>
      </c>
      <c r="M64" s="496">
        <f>L64/H64</f>
        <v>0.12318490205446737</v>
      </c>
      <c r="N64" s="608"/>
    </row>
    <row r="65" spans="1:14" s="77" customFormat="1" ht="21" thickBot="1" x14ac:dyDescent="0.25">
      <c r="A65" s="80"/>
      <c r="B65" s="442"/>
      <c r="C65" s="68"/>
      <c r="D65" s="68" t="s">
        <v>116</v>
      </c>
      <c r="E65" s="68"/>
      <c r="F65" s="68"/>
      <c r="G65" s="264">
        <f>-G28</f>
        <v>-85323.47</v>
      </c>
      <c r="H65" s="264">
        <f>-H28</f>
        <v>-95122.27</v>
      </c>
      <c r="I65" s="254"/>
      <c r="J65" s="264">
        <f>-J28</f>
        <v>-77206.320000000007</v>
      </c>
      <c r="K65" s="407"/>
      <c r="L65" s="423">
        <f>G65-H65</f>
        <v>9798.8000000000029</v>
      </c>
      <c r="M65" s="526">
        <f>L65/H65</f>
        <v>-0.10301268041647874</v>
      </c>
      <c r="N65" s="608"/>
    </row>
    <row r="66" spans="1:14" s="77" customFormat="1" ht="21" thickBot="1" x14ac:dyDescent="0.25">
      <c r="A66" s="80"/>
      <c r="B66" s="442"/>
      <c r="C66" s="68"/>
      <c r="D66" s="68"/>
      <c r="E66" s="68" t="s">
        <v>141</v>
      </c>
      <c r="F66" s="68"/>
      <c r="G66" s="264">
        <f>SUM(G61:G65)</f>
        <v>6184.7900000000081</v>
      </c>
      <c r="H66" s="264">
        <f>SUM(H61:H65)</f>
        <v>-6192.2700000000041</v>
      </c>
      <c r="I66" s="254"/>
      <c r="J66" s="264">
        <f>SUM(J61:J65)</f>
        <v>-2048.6600000000035</v>
      </c>
      <c r="K66" s="407"/>
      <c r="L66" s="264">
        <f>SUM(L62:L65)</f>
        <v>12377.060000000005</v>
      </c>
      <c r="M66" s="526">
        <f>L66/H66</f>
        <v>-1.9987920423366548</v>
      </c>
      <c r="N66" s="608"/>
    </row>
    <row r="67" spans="1:14" s="69" customFormat="1" ht="7.5" customHeight="1" x14ac:dyDescent="0.2">
      <c r="A67" s="68"/>
      <c r="B67" s="442"/>
      <c r="C67" s="68"/>
      <c r="D67" s="68"/>
      <c r="E67" s="68"/>
      <c r="F67" s="68"/>
      <c r="G67" s="299"/>
      <c r="H67" s="299"/>
      <c r="I67" s="299"/>
      <c r="J67" s="299"/>
      <c r="K67" s="405"/>
      <c r="L67" s="452"/>
      <c r="M67" s="452"/>
      <c r="N67" s="608"/>
    </row>
    <row r="68" spans="1:14" s="69" customFormat="1" ht="20.25" x14ac:dyDescent="0.2">
      <c r="A68" s="68"/>
      <c r="B68" s="442"/>
      <c r="C68" s="68"/>
      <c r="D68" s="68"/>
      <c r="E68" s="68" t="s">
        <v>95</v>
      </c>
      <c r="F68" s="68"/>
      <c r="G68" s="259">
        <f>G58+G66</f>
        <v>12145.419999999896</v>
      </c>
      <c r="H68" s="259">
        <f>H58+H66</f>
        <v>41195.839999999633</v>
      </c>
      <c r="I68" s="259"/>
      <c r="J68" s="259">
        <f>J58+J66</f>
        <v>43446.250000000146</v>
      </c>
      <c r="K68" s="405"/>
      <c r="L68" s="259">
        <f>L58+L66</f>
        <v>-29050.419999999729</v>
      </c>
      <c r="M68" s="259"/>
      <c r="N68" s="608"/>
    </row>
    <row r="69" spans="1:14" s="69" customFormat="1" ht="8.25" customHeight="1" x14ac:dyDescent="0.2">
      <c r="A69" s="68"/>
      <c r="B69" s="442"/>
      <c r="C69" s="68"/>
      <c r="D69" s="68"/>
      <c r="E69" s="68"/>
      <c r="F69" s="68"/>
      <c r="G69" s="254"/>
      <c r="H69" s="254"/>
      <c r="I69" s="254"/>
      <c r="J69" s="254"/>
      <c r="K69" s="405"/>
      <c r="L69" s="452"/>
      <c r="M69" s="452"/>
      <c r="N69" s="608"/>
    </row>
    <row r="70" spans="1:14" s="83" customFormat="1" ht="26.25" x14ac:dyDescent="0.2">
      <c r="A70" s="294"/>
      <c r="B70" s="443"/>
      <c r="C70" s="68"/>
      <c r="D70" s="68" t="s">
        <v>158</v>
      </c>
      <c r="E70" s="68"/>
      <c r="F70" s="68"/>
      <c r="G70" s="259">
        <f>H71</f>
        <v>650442</v>
      </c>
      <c r="H70" s="259">
        <v>609247</v>
      </c>
      <c r="I70" s="259"/>
      <c r="J70" s="259">
        <f>H70</f>
        <v>609247</v>
      </c>
      <c r="K70" s="408"/>
      <c r="L70" s="453"/>
      <c r="M70" s="453"/>
      <c r="N70" s="613"/>
    </row>
    <row r="71" spans="1:14" s="85" customFormat="1" ht="21" thickBot="1" x14ac:dyDescent="0.25">
      <c r="A71" s="68"/>
      <c r="B71" s="442"/>
      <c r="C71" s="68"/>
      <c r="E71" s="68" t="s">
        <v>157</v>
      </c>
      <c r="F71" s="68"/>
      <c r="G71" s="355">
        <f>G68+G70</f>
        <v>662587.41999999993</v>
      </c>
      <c r="H71" s="355">
        <v>650442</v>
      </c>
      <c r="I71" s="299"/>
      <c r="J71" s="355">
        <f t="shared" ref="J71" si="4">J68+J70</f>
        <v>652693.25000000012</v>
      </c>
      <c r="K71" s="409"/>
      <c r="L71" s="299"/>
      <c r="M71" s="453"/>
      <c r="N71" s="613"/>
    </row>
    <row r="72" spans="1:14" s="66" customFormat="1" ht="6.75" customHeight="1" thickTop="1" x14ac:dyDescent="0.2">
      <c r="A72" s="294"/>
      <c r="B72" s="443"/>
      <c r="C72" s="68"/>
      <c r="D72" s="294"/>
      <c r="E72" s="294"/>
      <c r="F72" s="294"/>
      <c r="G72" s="296"/>
      <c r="H72" s="254"/>
      <c r="I72" s="254"/>
      <c r="J72" s="254"/>
      <c r="K72" s="404"/>
      <c r="L72" s="452"/>
      <c r="M72" s="452"/>
      <c r="N72" s="608"/>
    </row>
    <row r="73" spans="1:14" s="69" customFormat="1" ht="16.5" customHeight="1" x14ac:dyDescent="0.2">
      <c r="A73" s="68"/>
      <c r="B73" s="442"/>
      <c r="D73" s="378"/>
      <c r="E73" s="68"/>
      <c r="G73" s="254"/>
      <c r="H73" s="254"/>
      <c r="I73" s="254"/>
      <c r="J73" s="254"/>
      <c r="K73" s="405"/>
      <c r="L73" s="452"/>
      <c r="M73" s="452"/>
      <c r="N73" s="608"/>
    </row>
    <row r="74" spans="1:14" s="69" customFormat="1" ht="23.25" x14ac:dyDescent="0.2">
      <c r="A74" s="68"/>
      <c r="B74" s="444"/>
      <c r="C74" s="68"/>
      <c r="D74" s="68"/>
      <c r="E74" s="68"/>
      <c r="F74" s="68"/>
      <c r="G74" s="254"/>
      <c r="H74" s="254"/>
      <c r="I74" s="254"/>
      <c r="J74" s="254"/>
      <c r="K74" s="405"/>
      <c r="L74" s="452"/>
      <c r="M74" s="452"/>
      <c r="N74" s="608"/>
    </row>
    <row r="75" spans="1:14" s="69" customFormat="1" ht="20.25" x14ac:dyDescent="0.2">
      <c r="A75" s="68"/>
      <c r="B75" s="442"/>
      <c r="C75" s="68"/>
      <c r="D75" s="68"/>
      <c r="E75" s="68"/>
      <c r="F75" s="68"/>
      <c r="G75" s="254"/>
      <c r="H75" s="254"/>
      <c r="I75" s="254"/>
      <c r="J75" s="254"/>
      <c r="K75" s="405"/>
      <c r="L75" s="452"/>
      <c r="M75" s="452"/>
      <c r="N75" s="608"/>
    </row>
    <row r="76" spans="1:14" s="77" customFormat="1" ht="20.25" x14ac:dyDescent="0.2">
      <c r="A76" s="80"/>
      <c r="B76" s="438"/>
      <c r="C76" s="80"/>
      <c r="D76" s="80"/>
      <c r="F76" s="80"/>
      <c r="G76" s="269"/>
      <c r="H76" s="254"/>
      <c r="I76" s="254"/>
      <c r="J76" s="254"/>
      <c r="K76" s="407"/>
      <c r="L76" s="452"/>
      <c r="M76" s="452"/>
      <c r="N76" s="608"/>
    </row>
    <row r="77" spans="1:14" s="77" customFormat="1" ht="20.25" x14ac:dyDescent="0.2">
      <c r="A77" s="80"/>
      <c r="B77" s="438"/>
      <c r="C77" s="80"/>
      <c r="D77" s="80"/>
      <c r="F77" s="80"/>
      <c r="G77" s="254"/>
      <c r="H77" s="254"/>
      <c r="I77" s="254"/>
      <c r="J77" s="254"/>
      <c r="K77" s="407"/>
      <c r="L77" s="452"/>
      <c r="M77" s="452"/>
      <c r="N77" s="608"/>
    </row>
    <row r="78" spans="1:14" s="77" customFormat="1" ht="20.25" x14ac:dyDescent="0.2">
      <c r="A78" s="80"/>
      <c r="B78" s="438"/>
      <c r="C78" s="80"/>
      <c r="D78" s="80"/>
      <c r="F78" s="80"/>
      <c r="G78" s="254"/>
      <c r="H78" s="254"/>
      <c r="I78" s="254"/>
      <c r="J78" s="254"/>
      <c r="K78" s="407"/>
      <c r="L78" s="452"/>
      <c r="M78" s="452"/>
      <c r="N78" s="608"/>
    </row>
    <row r="79" spans="1:14" s="77" customFormat="1" ht="20.25" x14ac:dyDescent="0.2">
      <c r="A79" s="80"/>
      <c r="B79" s="80"/>
      <c r="C79" s="80"/>
      <c r="D79" s="80"/>
      <c r="F79" s="80"/>
      <c r="G79" s="254"/>
      <c r="H79" s="254"/>
      <c r="I79" s="254"/>
      <c r="J79" s="254"/>
      <c r="K79" s="407"/>
      <c r="L79" s="452"/>
      <c r="M79" s="452"/>
      <c r="N79" s="608"/>
    </row>
    <row r="80" spans="1:14" s="77" customFormat="1" ht="20.25" x14ac:dyDescent="0.2">
      <c r="A80" s="80"/>
      <c r="B80" s="80"/>
      <c r="C80" s="80"/>
      <c r="D80" s="80"/>
      <c r="F80" s="80"/>
      <c r="G80" s="254"/>
      <c r="H80" s="254"/>
      <c r="I80" s="254"/>
      <c r="J80" s="254"/>
      <c r="K80" s="407"/>
      <c r="L80" s="452"/>
      <c r="M80" s="452"/>
      <c r="N80" s="608"/>
    </row>
    <row r="81" spans="1:14" s="77" customFormat="1" ht="20.25" x14ac:dyDescent="0.2">
      <c r="A81" s="80"/>
      <c r="B81" s="80"/>
      <c r="C81" s="80"/>
      <c r="D81" s="80"/>
      <c r="F81" s="80"/>
      <c r="G81" s="254"/>
      <c r="H81" s="254"/>
      <c r="I81" s="254"/>
      <c r="J81" s="254"/>
      <c r="K81" s="407"/>
      <c r="L81" s="452"/>
      <c r="M81" s="452"/>
      <c r="N81" s="608"/>
    </row>
    <row r="82" spans="1:14" s="77" customFormat="1" ht="20.25" x14ac:dyDescent="0.2">
      <c r="A82" s="80"/>
      <c r="B82" s="80"/>
      <c r="C82" s="68"/>
      <c r="D82" s="80"/>
      <c r="F82" s="80"/>
      <c r="G82" s="254"/>
      <c r="H82" s="254"/>
      <c r="I82" s="254"/>
      <c r="J82" s="254"/>
      <c r="K82" s="407"/>
      <c r="L82" s="452"/>
      <c r="M82" s="452"/>
      <c r="N82" s="608"/>
    </row>
    <row r="83" spans="1:14" s="77" customFormat="1" ht="20.25" x14ac:dyDescent="0.2">
      <c r="A83" s="80"/>
      <c r="B83" s="80"/>
      <c r="C83" s="80"/>
      <c r="D83" s="80"/>
      <c r="E83" s="80"/>
      <c r="F83" s="80"/>
      <c r="G83" s="254"/>
      <c r="H83" s="254"/>
      <c r="I83" s="254"/>
      <c r="J83" s="254"/>
      <c r="K83" s="407"/>
      <c r="L83" s="452"/>
      <c r="M83" s="452"/>
      <c r="N83" s="608"/>
    </row>
    <row r="84" spans="1:14" s="77" customFormat="1" ht="20.25" x14ac:dyDescent="0.2">
      <c r="A84" s="80"/>
      <c r="B84" s="80"/>
      <c r="C84" s="68"/>
      <c r="D84" s="68"/>
      <c r="G84" s="254"/>
      <c r="H84" s="254"/>
      <c r="I84" s="254"/>
      <c r="J84" s="254"/>
      <c r="K84" s="407"/>
      <c r="L84" s="452"/>
      <c r="M84" s="452"/>
      <c r="N84" s="608"/>
    </row>
    <row r="85" spans="1:14" s="77" customFormat="1" ht="20.25" x14ac:dyDescent="0.2">
      <c r="A85" s="80"/>
      <c r="B85" s="80"/>
      <c r="C85" s="80"/>
      <c r="D85" s="80"/>
      <c r="E85" s="80"/>
      <c r="F85" s="80"/>
      <c r="G85" s="254"/>
      <c r="H85" s="254"/>
      <c r="I85" s="254"/>
      <c r="J85" s="254"/>
      <c r="K85" s="407"/>
      <c r="L85" s="452"/>
      <c r="M85" s="452"/>
      <c r="N85" s="608"/>
    </row>
    <row r="86" spans="1:14" s="77" customFormat="1" ht="20.25" x14ac:dyDescent="0.2">
      <c r="A86" s="80"/>
      <c r="B86" s="80"/>
      <c r="C86" s="80"/>
      <c r="D86" s="80"/>
      <c r="E86" s="80"/>
      <c r="F86" s="80"/>
      <c r="G86" s="254"/>
      <c r="H86" s="254"/>
      <c r="I86" s="254"/>
      <c r="J86" s="254"/>
      <c r="K86" s="407"/>
      <c r="L86" s="452"/>
      <c r="M86" s="452"/>
      <c r="N86" s="608"/>
    </row>
    <row r="87" spans="1:14" s="77" customFormat="1" ht="20.25" x14ac:dyDescent="0.2">
      <c r="A87" s="80"/>
      <c r="B87" s="80"/>
      <c r="C87" s="80"/>
      <c r="D87" s="80"/>
      <c r="E87" s="80"/>
      <c r="F87" s="80"/>
      <c r="G87" s="254"/>
      <c r="H87" s="254"/>
      <c r="I87" s="254"/>
      <c r="J87" s="254"/>
      <c r="K87" s="407"/>
      <c r="L87" s="452"/>
      <c r="M87" s="452"/>
      <c r="N87" s="608"/>
    </row>
    <row r="88" spans="1:14" s="77" customFormat="1" ht="20.25" x14ac:dyDescent="0.2">
      <c r="A88" s="80"/>
      <c r="B88" s="80"/>
      <c r="C88" s="80"/>
      <c r="D88" s="80"/>
      <c r="E88" s="80"/>
      <c r="F88" s="80"/>
      <c r="G88" s="254"/>
      <c r="H88" s="254"/>
      <c r="I88" s="254"/>
      <c r="J88" s="254"/>
      <c r="K88" s="407"/>
      <c r="L88" s="452"/>
      <c r="M88" s="452"/>
      <c r="N88" s="608"/>
    </row>
    <row r="89" spans="1:14" s="77" customFormat="1" ht="20.25" x14ac:dyDescent="0.2">
      <c r="A89" s="80"/>
      <c r="B89" s="80"/>
      <c r="C89" s="68"/>
      <c r="D89" s="80"/>
      <c r="F89" s="80"/>
      <c r="G89" s="254"/>
      <c r="H89" s="254"/>
      <c r="I89" s="254"/>
      <c r="J89" s="254"/>
      <c r="K89" s="407"/>
      <c r="L89" s="452"/>
      <c r="M89" s="452"/>
      <c r="N89" s="608"/>
    </row>
    <row r="90" spans="1:14" s="77" customFormat="1" ht="20.25" x14ac:dyDescent="0.2">
      <c r="A90" s="80"/>
      <c r="B90" s="80"/>
      <c r="C90" s="80"/>
      <c r="D90" s="80"/>
      <c r="E90" s="80"/>
      <c r="F90" s="80"/>
      <c r="G90" s="254"/>
      <c r="H90" s="254"/>
      <c r="I90" s="254"/>
      <c r="J90" s="254"/>
      <c r="K90" s="407"/>
      <c r="L90" s="452"/>
      <c r="M90" s="452"/>
      <c r="N90" s="608"/>
    </row>
    <row r="91" spans="1:14" s="69" customFormat="1" ht="20.25" x14ac:dyDescent="0.2">
      <c r="A91" s="68"/>
      <c r="B91" s="68"/>
      <c r="C91" s="68"/>
      <c r="D91" s="68"/>
      <c r="E91" s="68"/>
      <c r="F91" s="68"/>
      <c r="G91" s="259"/>
      <c r="H91" s="259"/>
      <c r="I91" s="259"/>
      <c r="J91" s="259"/>
      <c r="K91" s="405"/>
      <c r="N91" s="608"/>
    </row>
    <row r="92" spans="1:14" s="69" customFormat="1" ht="20.25" x14ac:dyDescent="0.2">
      <c r="A92" s="68"/>
      <c r="B92" s="68"/>
      <c r="C92" s="68"/>
      <c r="D92" s="68"/>
      <c r="E92" s="68"/>
      <c r="F92" s="68"/>
      <c r="G92" s="259"/>
      <c r="H92" s="259"/>
      <c r="I92" s="259"/>
      <c r="J92" s="259"/>
      <c r="K92" s="405"/>
      <c r="N92" s="608"/>
    </row>
    <row r="93" spans="1:14" s="69" customFormat="1" ht="23.25" x14ac:dyDescent="0.2">
      <c r="A93" s="68"/>
      <c r="B93" s="297"/>
      <c r="C93" s="68"/>
      <c r="D93" s="68"/>
      <c r="E93" s="68"/>
      <c r="F93" s="68"/>
      <c r="G93" s="254"/>
      <c r="H93" s="254"/>
      <c r="I93" s="254"/>
      <c r="J93" s="254"/>
      <c r="K93" s="405"/>
      <c r="N93" s="608"/>
    </row>
    <row r="94" spans="1:14" s="77" customFormat="1" ht="20.25" x14ac:dyDescent="0.2">
      <c r="A94" s="80"/>
      <c r="B94" s="80"/>
      <c r="D94" s="80"/>
      <c r="E94" s="80"/>
      <c r="F94" s="80"/>
      <c r="G94" s="254"/>
      <c r="H94" s="254"/>
      <c r="I94" s="254"/>
      <c r="J94" s="254"/>
      <c r="K94" s="407"/>
      <c r="N94" s="608"/>
    </row>
    <row r="95" spans="1:14" s="77" customFormat="1" ht="20.25" x14ac:dyDescent="0.2">
      <c r="A95" s="80"/>
      <c r="B95" s="80"/>
      <c r="D95" s="80"/>
      <c r="E95" s="80"/>
      <c r="F95" s="80"/>
      <c r="G95" s="254"/>
      <c r="H95" s="254"/>
      <c r="I95" s="254"/>
      <c r="J95" s="254"/>
      <c r="K95" s="407"/>
      <c r="N95" s="608"/>
    </row>
    <row r="96" spans="1:14" s="69" customFormat="1" ht="20.25" x14ac:dyDescent="0.2">
      <c r="A96" s="68"/>
      <c r="B96" s="68"/>
      <c r="D96" s="80"/>
      <c r="E96" s="68"/>
      <c r="F96" s="68"/>
      <c r="G96" s="254"/>
      <c r="H96" s="254"/>
      <c r="I96" s="254"/>
      <c r="J96" s="254"/>
      <c r="K96" s="405"/>
      <c r="N96" s="608"/>
    </row>
    <row r="97" spans="1:14" s="69" customFormat="1" ht="23.25" x14ac:dyDescent="0.2">
      <c r="A97" s="68"/>
      <c r="B97" s="297"/>
      <c r="C97" s="68"/>
      <c r="D97" s="68"/>
      <c r="E97" s="68"/>
      <c r="F97" s="68"/>
      <c r="G97" s="259"/>
      <c r="H97" s="259"/>
      <c r="I97" s="259"/>
      <c r="J97" s="259"/>
      <c r="K97" s="405"/>
      <c r="N97" s="608"/>
    </row>
    <row r="98" spans="1:14" s="69" customFormat="1" ht="20.25" x14ac:dyDescent="0.2">
      <c r="A98" s="68"/>
      <c r="B98" s="68"/>
      <c r="C98" s="68"/>
      <c r="D98" s="68"/>
      <c r="E98" s="68"/>
      <c r="F98" s="68"/>
      <c r="G98" s="254"/>
      <c r="H98" s="254"/>
      <c r="I98" s="254"/>
      <c r="J98" s="254"/>
      <c r="K98" s="405"/>
      <c r="N98" s="608"/>
    </row>
    <row r="99" spans="1:14" s="83" customFormat="1" ht="26.25" x14ac:dyDescent="0.2">
      <c r="A99" s="294"/>
      <c r="B99" s="294"/>
      <c r="C99" s="294"/>
      <c r="D99" s="294"/>
      <c r="E99" s="294"/>
      <c r="F99" s="294"/>
      <c r="G99" s="295"/>
      <c r="H99" s="259"/>
      <c r="I99" s="259"/>
      <c r="J99" s="259"/>
      <c r="K99" s="408"/>
      <c r="N99" s="613"/>
    </row>
    <row r="100" spans="1:14" s="18" customFormat="1" ht="20.25" x14ac:dyDescent="0.3">
      <c r="A100" s="123"/>
      <c r="B100" s="123"/>
      <c r="C100" s="123"/>
      <c r="D100" s="123"/>
      <c r="E100" s="123"/>
      <c r="F100" s="123"/>
      <c r="G100" s="298"/>
      <c r="H100" s="303"/>
      <c r="I100" s="303"/>
      <c r="J100" s="303"/>
      <c r="K100" s="410"/>
      <c r="N100" s="614"/>
    </row>
    <row r="101" spans="1:14" ht="20.25" x14ac:dyDescent="0.3">
      <c r="H101" s="303"/>
      <c r="I101" s="303"/>
      <c r="J101" s="303"/>
    </row>
    <row r="102" spans="1:14" ht="20.25" x14ac:dyDescent="0.3">
      <c r="H102" s="303"/>
      <c r="I102" s="303"/>
      <c r="J102" s="303"/>
    </row>
    <row r="103" spans="1:14" ht="20.25" x14ac:dyDescent="0.3">
      <c r="H103" s="300"/>
      <c r="I103" s="300"/>
      <c r="J103" s="300"/>
    </row>
  </sheetData>
  <mergeCells count="3">
    <mergeCell ref="L8:M8"/>
    <mergeCell ref="G6:J6"/>
    <mergeCell ref="D16:F16"/>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80"/>
  <sheetViews>
    <sheetView zoomScale="75" zoomScaleNormal="75" workbookViewId="0">
      <selection activeCell="F9" sqref="F9"/>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266" hidden="1" customWidth="1"/>
    <col min="8" max="8" width="23.125" style="18" hidden="1" customWidth="1"/>
    <col min="9" max="9" width="1.625" style="18" hidden="1" customWidth="1"/>
    <col min="10" max="10" width="26.875" style="18" customWidth="1"/>
    <col min="11" max="11" width="22.625" style="18" customWidth="1"/>
    <col min="12" max="12" width="1.625" style="18" customWidth="1"/>
    <col min="13" max="13" width="23.125" style="18" hidden="1" customWidth="1"/>
    <col min="14" max="14" width="2.125" style="18" hidden="1" customWidth="1"/>
    <col min="15" max="15" width="21.625" style="18" hidden="1" customWidth="1"/>
    <col min="16" max="16" width="1.75" style="18" hidden="1" customWidth="1"/>
    <col min="17" max="17" width="15.25" style="18" bestFit="1" customWidth="1"/>
    <col min="18" max="18" width="10.625" style="18" customWidth="1"/>
    <col min="19" max="19" width="9" style="18"/>
    <col min="20" max="20" width="16.875" style="18" bestFit="1" customWidth="1"/>
    <col min="21" max="21" width="10" style="18" bestFit="1" customWidth="1"/>
    <col min="22"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103</v>
      </c>
      <c r="B1" s="60"/>
      <c r="C1" s="61"/>
      <c r="D1" s="61"/>
      <c r="E1" s="61"/>
      <c r="F1" s="60"/>
      <c r="G1" s="252"/>
      <c r="H1" s="60"/>
      <c r="I1" s="60"/>
      <c r="J1" s="60"/>
      <c r="K1" s="60"/>
      <c r="L1" s="52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258</v>
      </c>
      <c r="B2" s="60"/>
      <c r="C2" s="61"/>
      <c r="D2" s="61"/>
      <c r="E2" s="61"/>
      <c r="F2" s="60"/>
      <c r="G2" s="252"/>
      <c r="H2" s="60"/>
      <c r="I2" s="60"/>
      <c r="J2" s="60"/>
      <c r="K2" s="60"/>
      <c r="L2" s="52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75" customHeight="1" x14ac:dyDescent="0.4">
      <c r="A3" s="59" t="str">
        <f>'December''17 State of Activities'!A3</f>
        <v>Twelve Months Ended December 31 2017 &amp; 2016</v>
      </c>
      <c r="B3" s="60"/>
      <c r="C3" s="61"/>
      <c r="D3" s="61"/>
      <c r="E3" s="61"/>
      <c r="F3" s="60"/>
      <c r="G3" s="252"/>
      <c r="H3" s="60"/>
      <c r="I3" s="60"/>
      <c r="J3" s="60"/>
      <c r="K3" s="60"/>
      <c r="L3" s="52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22.5" hidden="1" customHeight="1" x14ac:dyDescent="0.4">
      <c r="A4" s="59" t="str">
        <f>'December''17 State of Activities'!A4</f>
        <v>Ten Months Ended October 31, 2017 and 2016</v>
      </c>
      <c r="B4" s="60"/>
      <c r="C4" s="61"/>
      <c r="D4" s="61"/>
      <c r="E4" s="61"/>
      <c r="F4" s="60"/>
      <c r="G4" s="252"/>
      <c r="H4" s="60"/>
      <c r="I4" s="60"/>
      <c r="J4" s="60"/>
      <c r="K4" s="60"/>
      <c r="L4" s="525"/>
      <c r="M4" s="60"/>
      <c r="N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25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4.75" customHeight="1" thickTop="1" thickBot="1" x14ac:dyDescent="0.25">
      <c r="A6" s="65" t="s">
        <v>118</v>
      </c>
      <c r="B6" s="65"/>
      <c r="C6" s="65"/>
      <c r="D6" s="65"/>
      <c r="E6" s="65"/>
      <c r="F6" s="65"/>
      <c r="G6" s="585"/>
      <c r="H6" s="263" t="s">
        <v>56</v>
      </c>
      <c r="I6" s="263"/>
      <c r="J6" s="741" t="s">
        <v>56</v>
      </c>
      <c r="K6" s="741"/>
      <c r="L6" s="741"/>
      <c r="M6" s="741"/>
      <c r="P6" s="66"/>
      <c r="Q6" s="466" t="s">
        <v>210</v>
      </c>
      <c r="R6" s="463" t="s">
        <v>223</v>
      </c>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c r="G7" s="254"/>
    </row>
    <row r="8" spans="1:130" s="73" customFormat="1" ht="21" thickBot="1" x14ac:dyDescent="0.35">
      <c r="A8" s="70"/>
      <c r="B8" s="155" t="s">
        <v>110</v>
      </c>
      <c r="C8" s="155"/>
      <c r="D8" s="155"/>
      <c r="E8" s="155"/>
      <c r="F8" s="155"/>
      <c r="G8" s="308">
        <v>41090</v>
      </c>
      <c r="H8" s="308">
        <v>41274</v>
      </c>
      <c r="I8" s="357"/>
      <c r="J8" s="308">
        <f>'December''17 State of Activities'!G8</f>
        <v>43100</v>
      </c>
      <c r="K8" s="528">
        <v>42735</v>
      </c>
      <c r="L8" s="357"/>
      <c r="M8" s="308">
        <f>'December''17 State of Activities'!J8</f>
        <v>42735</v>
      </c>
      <c r="N8" s="72"/>
      <c r="O8" s="308">
        <v>42369</v>
      </c>
      <c r="P8" s="72"/>
      <c r="Q8" s="740" t="s">
        <v>455</v>
      </c>
      <c r="R8" s="740"/>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20.25" x14ac:dyDescent="0.2">
      <c r="A9" s="74"/>
      <c r="B9" s="74"/>
      <c r="C9" s="472" t="s">
        <v>164</v>
      </c>
      <c r="D9" s="472"/>
      <c r="E9" s="472"/>
      <c r="F9" s="74"/>
      <c r="G9" s="290">
        <v>127719</v>
      </c>
      <c r="H9" s="290">
        <v>67566.5</v>
      </c>
      <c r="I9" s="356"/>
      <c r="J9" s="360">
        <f>'December''17 State of Activities'!G11</f>
        <v>157028.54999999999</v>
      </c>
      <c r="K9" s="360">
        <v>191095.92</v>
      </c>
      <c r="L9" s="360"/>
      <c r="M9" s="360">
        <f>'December''17 State of Activities'!J11</f>
        <v>165893.57</v>
      </c>
      <c r="N9" s="561"/>
      <c r="O9" s="360">
        <v>156115.99</v>
      </c>
      <c r="P9" s="69"/>
      <c r="Q9" s="424">
        <f>J9-K9</f>
        <v>-34067.370000000024</v>
      </c>
      <c r="R9" s="464">
        <f>Q9/K9</f>
        <v>-0.17827366486945415</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472" t="s">
        <v>259</v>
      </c>
      <c r="D10" s="472"/>
      <c r="E10" s="472"/>
      <c r="F10" s="74"/>
      <c r="G10" s="289">
        <v>875436</v>
      </c>
      <c r="H10" s="289">
        <v>372424.1</v>
      </c>
      <c r="I10" s="360"/>
      <c r="J10" s="356">
        <f>(2435.19+1402.42)*1.14+4437.21</f>
        <v>8812.0853999999999</v>
      </c>
      <c r="K10" s="356">
        <v>20748.673000000003</v>
      </c>
      <c r="L10" s="360"/>
      <c r="M10" s="356">
        <f>(5456.28+3526.25)*1.14+7940</f>
        <v>18180.084199999998</v>
      </c>
      <c r="N10" s="412"/>
      <c r="O10" s="356">
        <v>19926.495000000003</v>
      </c>
      <c r="P10" s="69"/>
      <c r="Q10" s="588">
        <f>J10-K10</f>
        <v>-11936.587600000003</v>
      </c>
      <c r="R10" s="496">
        <f>Q10/K10</f>
        <v>-0.57529402482751557</v>
      </c>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472" t="s">
        <v>112</v>
      </c>
      <c r="D11" s="472"/>
      <c r="E11" s="472"/>
      <c r="F11" s="74"/>
      <c r="G11" s="290"/>
      <c r="H11" s="290"/>
      <c r="I11" s="356"/>
      <c r="J11" s="356"/>
      <c r="K11" s="356"/>
      <c r="L11" s="356"/>
      <c r="M11" s="356"/>
      <c r="N11" s="412"/>
      <c r="O11" s="356"/>
      <c r="P11" s="69"/>
      <c r="Q11" s="588"/>
      <c r="R11" s="47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c r="C12" s="78"/>
      <c r="D12" s="472" t="s">
        <v>260</v>
      </c>
      <c r="E12" s="472"/>
      <c r="F12" s="74"/>
      <c r="G12" s="290">
        <v>94235.25</v>
      </c>
      <c r="H12" s="290">
        <v>37190.379999999997</v>
      </c>
      <c r="I12" s="356"/>
      <c r="J12" s="356">
        <f>41500/12*12</f>
        <v>41500</v>
      </c>
      <c r="K12" s="356">
        <v>40000</v>
      </c>
      <c r="L12" s="356"/>
      <c r="M12" s="356">
        <f>3333*10</f>
        <v>33330</v>
      </c>
      <c r="N12" s="412"/>
      <c r="O12" s="356">
        <v>30000</v>
      </c>
      <c r="P12" s="69"/>
      <c r="Q12" s="588">
        <f t="shared" ref="Q12:Q17" si="0">J12-K12</f>
        <v>1500</v>
      </c>
      <c r="R12" s="496">
        <f>Q12/K12</f>
        <v>3.7499999999999999E-2</v>
      </c>
      <c r="S12" s="69"/>
      <c r="T12" s="532"/>
      <c r="U12" s="533"/>
      <c r="V12" s="532"/>
      <c r="W12" s="532"/>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0.25" x14ac:dyDescent="0.2">
      <c r="A13" s="74"/>
      <c r="B13" s="74"/>
      <c r="C13" s="78"/>
      <c r="D13" s="472" t="s">
        <v>175</v>
      </c>
      <c r="E13" s="472"/>
      <c r="F13" s="74"/>
      <c r="G13" s="290"/>
      <c r="H13" s="290"/>
      <c r="I13" s="356"/>
      <c r="J13" s="356">
        <f>750*12</f>
        <v>9000</v>
      </c>
      <c r="K13" s="356">
        <v>6500</v>
      </c>
      <c r="L13" s="356"/>
      <c r="M13" s="356">
        <f>540+540+545+540+540+545+540+540+545+540</f>
        <v>5415</v>
      </c>
      <c r="N13" s="412"/>
      <c r="O13" s="356">
        <v>5416.6666666666661</v>
      </c>
      <c r="P13" s="69"/>
      <c r="Q13" s="588">
        <f t="shared" si="0"/>
        <v>2500</v>
      </c>
      <c r="R13" s="496">
        <f t="shared" ref="R13:R15" si="1">Q13/K13</f>
        <v>0.38461538461538464</v>
      </c>
      <c r="S13" s="69"/>
      <c r="T13" s="69"/>
      <c r="U13" s="434"/>
      <c r="V13" s="534"/>
      <c r="W13" s="405"/>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472" t="s">
        <v>113</v>
      </c>
      <c r="D14" s="472"/>
      <c r="E14" s="472"/>
      <c r="F14" s="74"/>
      <c r="G14" s="290">
        <v>0</v>
      </c>
      <c r="H14" s="290">
        <v>3517</v>
      </c>
      <c r="I14" s="356"/>
      <c r="J14" s="356">
        <f>'December''17 State of Activities'!G18</f>
        <v>13675.25</v>
      </c>
      <c r="K14" s="356">
        <v>9721.94</v>
      </c>
      <c r="L14" s="356"/>
      <c r="M14" s="356">
        <f>'December''17 State of Activities'!J18</f>
        <v>7377.34</v>
      </c>
      <c r="N14" s="412"/>
      <c r="O14" s="356">
        <v>7518.43</v>
      </c>
      <c r="P14" s="69"/>
      <c r="Q14" s="588">
        <f t="shared" si="0"/>
        <v>3953.3099999999995</v>
      </c>
      <c r="R14" s="496">
        <f t="shared" si="1"/>
        <v>0.40663797554809011</v>
      </c>
      <c r="S14" s="69"/>
      <c r="T14" s="69"/>
      <c r="U14" s="434"/>
      <c r="V14" s="534"/>
      <c r="W14" s="405"/>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472" t="s">
        <v>261</v>
      </c>
      <c r="D15" s="472"/>
      <c r="E15" s="472"/>
      <c r="F15" s="74"/>
      <c r="G15" s="290">
        <v>31459</v>
      </c>
      <c r="H15" s="290">
        <v>13920.35</v>
      </c>
      <c r="I15" s="356"/>
      <c r="J15" s="356">
        <f>'December''17 Revenues &amp; Expenses'!H36</f>
        <v>25000</v>
      </c>
      <c r="K15" s="356">
        <v>25000</v>
      </c>
      <c r="L15" s="356"/>
      <c r="M15" s="356">
        <v>20098.099999999999</v>
      </c>
      <c r="N15" s="412"/>
      <c r="O15" s="356">
        <v>21179.81</v>
      </c>
      <c r="P15" s="69"/>
      <c r="Q15" s="588">
        <f t="shared" si="0"/>
        <v>0</v>
      </c>
      <c r="R15" s="496">
        <f t="shared" si="1"/>
        <v>0</v>
      </c>
      <c r="S15" s="69"/>
      <c r="T15" s="69"/>
      <c r="U15" s="434"/>
      <c r="V15" s="534"/>
      <c r="W15" s="405"/>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472" t="s">
        <v>281</v>
      </c>
      <c r="D16" s="472"/>
      <c r="E16" s="472"/>
      <c r="F16" s="74"/>
      <c r="G16" s="290">
        <v>1125</v>
      </c>
      <c r="H16" s="290">
        <v>6050</v>
      </c>
      <c r="I16" s="356"/>
      <c r="J16" s="356">
        <f>'December''17 State of Activities'!G25</f>
        <v>5175</v>
      </c>
      <c r="K16" s="356"/>
      <c r="L16" s="356"/>
      <c r="M16" s="356">
        <v>0</v>
      </c>
      <c r="N16" s="412"/>
      <c r="O16" s="356">
        <v>-6085</v>
      </c>
      <c r="P16" s="69"/>
      <c r="Q16" s="588">
        <f t="shared" si="0"/>
        <v>5175</v>
      </c>
      <c r="R16" s="496">
        <v>1</v>
      </c>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1" thickBot="1" x14ac:dyDescent="0.25">
      <c r="A17" s="74"/>
      <c r="B17" s="74"/>
      <c r="C17" s="472" t="s">
        <v>262</v>
      </c>
      <c r="D17" s="472"/>
      <c r="E17" s="472"/>
      <c r="F17" s="74"/>
      <c r="G17" s="291">
        <v>31250</v>
      </c>
      <c r="H17" s="291">
        <v>15624.98</v>
      </c>
      <c r="I17" s="356"/>
      <c r="J17" s="291">
        <f>'December''17 State of Activities'!G26*0.2</f>
        <v>9315</v>
      </c>
      <c r="K17" s="291">
        <v>9315</v>
      </c>
      <c r="L17" s="356"/>
      <c r="M17" s="291">
        <f>'December''17 State of Activities'!J26*0.2</f>
        <v>9315</v>
      </c>
      <c r="N17" s="412"/>
      <c r="O17" s="291">
        <v>9315</v>
      </c>
      <c r="P17" s="69"/>
      <c r="Q17" s="589">
        <f t="shared" si="0"/>
        <v>0</v>
      </c>
      <c r="R17" s="465">
        <v>0</v>
      </c>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472"/>
      <c r="D18" s="74" t="s">
        <v>115</v>
      </c>
      <c r="E18" s="472"/>
      <c r="F18" s="74"/>
      <c r="G18" s="256">
        <v>1161224.25</v>
      </c>
      <c r="H18" s="256">
        <v>516293.30999999994</v>
      </c>
      <c r="I18" s="254"/>
      <c r="J18" s="290">
        <f>SUM(J9:J17)</f>
        <v>269505.88540000003</v>
      </c>
      <c r="K18" s="290">
        <f>SUM(K9:K17)</f>
        <v>302381.533</v>
      </c>
      <c r="L18" s="356"/>
      <c r="M18" s="290">
        <f>SUM(M9:M17)</f>
        <v>259609.09419999999</v>
      </c>
      <c r="N18" s="412"/>
      <c r="O18" s="290">
        <v>293387.3916666666</v>
      </c>
      <c r="P18" s="69"/>
      <c r="Q18" s="301">
        <f>SUM(Q9:Q17)</f>
        <v>-32875.647600000026</v>
      </c>
      <c r="R18" s="496">
        <f>Q18/K18</f>
        <v>-0.10872240534609641</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t="s">
        <v>263</v>
      </c>
      <c r="D19" s="472"/>
      <c r="E19" s="472"/>
      <c r="F19" s="74"/>
      <c r="G19" s="264">
        <v>150176</v>
      </c>
      <c r="H19" s="264">
        <v>47700.27</v>
      </c>
      <c r="I19" s="254"/>
      <c r="J19" s="356">
        <f>19000/12*12</f>
        <v>19000</v>
      </c>
      <c r="K19" s="356">
        <v>19000</v>
      </c>
      <c r="L19" s="356"/>
      <c r="M19" s="356">
        <f>J19</f>
        <v>19000</v>
      </c>
      <c r="N19" s="412"/>
      <c r="O19" s="556">
        <v>15833.333333333332</v>
      </c>
      <c r="P19" s="69"/>
      <c r="Q19" s="588">
        <f>J19-K19</f>
        <v>0</v>
      </c>
      <c r="R19" s="464">
        <f>Q19/K19</f>
        <v>0</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1" thickBot="1" x14ac:dyDescent="0.25">
      <c r="A20" s="74"/>
      <c r="B20" s="74"/>
      <c r="C20" s="74" t="s">
        <v>264</v>
      </c>
      <c r="D20" s="472"/>
      <c r="E20" s="472"/>
      <c r="F20" s="74"/>
      <c r="G20" s="254"/>
      <c r="H20" s="254"/>
      <c r="I20" s="254"/>
      <c r="J20" s="291">
        <v>33410.949999999997</v>
      </c>
      <c r="K20" s="291">
        <v>35496.31</v>
      </c>
      <c r="L20" s="356"/>
      <c r="M20" s="291">
        <v>29244.98</v>
      </c>
      <c r="N20" s="412"/>
      <c r="O20" s="291">
        <v>29553.69</v>
      </c>
      <c r="P20" s="69"/>
      <c r="Q20" s="423">
        <f>J20-K20</f>
        <v>-2085.3600000000006</v>
      </c>
      <c r="R20" s="526">
        <f>Q20/K20</f>
        <v>-5.8748641760228058E-2</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472"/>
      <c r="D21" s="74" t="s">
        <v>117</v>
      </c>
      <c r="E21" s="472"/>
      <c r="F21" s="74"/>
      <c r="G21" s="256">
        <v>1311400.25</v>
      </c>
      <c r="H21" s="256">
        <v>563993.57999999996</v>
      </c>
      <c r="I21" s="254"/>
      <c r="J21" s="290">
        <f>SUM(J18:J20)</f>
        <v>321916.83540000004</v>
      </c>
      <c r="K21" s="290">
        <f>SUM(K18:K20)</f>
        <v>356877.84299999999</v>
      </c>
      <c r="L21" s="356"/>
      <c r="M21" s="290">
        <f>SUM(M18:M20)</f>
        <v>307854.07419999997</v>
      </c>
      <c r="N21" s="412"/>
      <c r="O21" s="290">
        <v>338774.41499999992</v>
      </c>
      <c r="P21" s="69"/>
      <c r="Q21" s="301">
        <f>J21-K21</f>
        <v>-34961.007599999954</v>
      </c>
      <c r="R21" s="496">
        <f>Q21/K21</f>
        <v>-9.7963514086807438E-2</v>
      </c>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472"/>
      <c r="D22" s="74"/>
      <c r="E22" s="472"/>
      <c r="F22" s="74"/>
      <c r="G22" s="256"/>
      <c r="H22" s="256"/>
      <c r="I22" s="254"/>
      <c r="J22" s="356"/>
      <c r="K22" s="356"/>
      <c r="L22" s="356"/>
      <c r="M22" s="356"/>
      <c r="N22" s="412"/>
      <c r="O22" s="356"/>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1" thickBot="1" x14ac:dyDescent="0.25">
      <c r="A23" s="74"/>
      <c r="B23" s="88" t="s">
        <v>121</v>
      </c>
      <c r="C23" s="88"/>
      <c r="D23" s="88"/>
      <c r="E23" s="88"/>
      <c r="F23" s="88"/>
      <c r="G23" s="264"/>
      <c r="H23" s="69"/>
      <c r="I23" s="69"/>
      <c r="J23" s="356"/>
      <c r="K23" s="412"/>
      <c r="L23" s="412"/>
      <c r="M23" s="412"/>
      <c r="N23" s="412"/>
      <c r="O23" s="412"/>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69" customFormat="1" ht="20.25" x14ac:dyDescent="0.2">
      <c r="A24" s="68"/>
      <c r="B24" s="68"/>
      <c r="C24" s="80" t="s">
        <v>265</v>
      </c>
      <c r="D24" s="80"/>
      <c r="E24" s="80"/>
      <c r="F24" s="80"/>
      <c r="G24" s="254">
        <v>733747.79999999993</v>
      </c>
      <c r="H24" s="301">
        <v>361976</v>
      </c>
      <c r="I24" s="301"/>
      <c r="J24" s="356"/>
      <c r="K24" s="447"/>
      <c r="L24" s="447"/>
      <c r="M24" s="447"/>
      <c r="N24" s="412"/>
      <c r="O24" s="447"/>
    </row>
    <row r="25" spans="1:63" s="69" customFormat="1" ht="20.25" x14ac:dyDescent="0.2">
      <c r="A25" s="68"/>
      <c r="B25" s="68"/>
      <c r="C25" s="80"/>
      <c r="D25" s="743" t="s">
        <v>266</v>
      </c>
      <c r="E25" s="743"/>
      <c r="F25" s="743"/>
      <c r="G25" s="254"/>
      <c r="H25" s="301"/>
      <c r="I25" s="301"/>
      <c r="J25" s="356">
        <v>127641.57</v>
      </c>
      <c r="K25" s="447">
        <v>138470.71</v>
      </c>
      <c r="L25" s="447"/>
      <c r="M25" s="447">
        <v>116980.8</v>
      </c>
      <c r="N25" s="412"/>
      <c r="O25" s="447">
        <v>107250.37</v>
      </c>
      <c r="Q25" s="301">
        <f t="shared" ref="Q25:Q46" si="2">J25-K25</f>
        <v>-10829.139999999985</v>
      </c>
      <c r="R25" s="496">
        <f>Q25/K25</f>
        <v>-7.8205275325012674E-2</v>
      </c>
    </row>
    <row r="26" spans="1:63" s="69" customFormat="1" ht="20.25" x14ac:dyDescent="0.2">
      <c r="A26" s="68"/>
      <c r="B26" s="68"/>
      <c r="C26" s="80"/>
      <c r="D26" s="743" t="s">
        <v>267</v>
      </c>
      <c r="E26" s="743"/>
      <c r="F26" s="743"/>
      <c r="G26" s="254"/>
      <c r="H26" s="301"/>
      <c r="I26" s="301"/>
      <c r="J26" s="356">
        <f>34924.35+22312.7+586+303</f>
        <v>58126.05</v>
      </c>
      <c r="K26" s="447">
        <v>57547.01</v>
      </c>
      <c r="L26" s="447"/>
      <c r="M26" s="447">
        <f>27882.6+18177.39+404.67+982.26+289</f>
        <v>47735.92</v>
      </c>
      <c r="N26" s="412"/>
      <c r="O26" s="447">
        <v>45647.57</v>
      </c>
      <c r="Q26" s="301">
        <f t="shared" si="2"/>
        <v>579.04000000000087</v>
      </c>
      <c r="R26" s="496">
        <f t="shared" ref="R26:R43" si="3">Q26/K26</f>
        <v>1.0062034500141726E-2</v>
      </c>
      <c r="T26" s="288"/>
    </row>
    <row r="27" spans="1:63" s="69" customFormat="1" ht="20.25" x14ac:dyDescent="0.2">
      <c r="A27" s="68"/>
      <c r="B27" s="68"/>
      <c r="C27" s="80"/>
      <c r="D27" s="743" t="s">
        <v>123</v>
      </c>
      <c r="E27" s="743"/>
      <c r="F27" s="743"/>
      <c r="G27" s="254"/>
      <c r="H27" s="301"/>
      <c r="I27" s="301"/>
      <c r="J27" s="356">
        <f>(J25+J26)*0.215</f>
        <v>39940.0383</v>
      </c>
      <c r="K27" s="447">
        <v>41163.7212</v>
      </c>
      <c r="L27" s="447"/>
      <c r="M27" s="356">
        <f>(M25+M26)*0.22</f>
        <v>36237.678399999997</v>
      </c>
      <c r="N27" s="412"/>
      <c r="O27" s="447">
        <v>32108.5674</v>
      </c>
      <c r="Q27" s="301">
        <f t="shared" si="2"/>
        <v>-1223.6828999999998</v>
      </c>
      <c r="R27" s="496">
        <f t="shared" si="3"/>
        <v>-2.9727217664665354E-2</v>
      </c>
    </row>
    <row r="28" spans="1:63" s="69" customFormat="1" ht="20.25" x14ac:dyDescent="0.2">
      <c r="A28" s="68"/>
      <c r="B28" s="68"/>
      <c r="C28" s="80" t="s">
        <v>395</v>
      </c>
      <c r="D28" s="80"/>
      <c r="E28" s="80"/>
      <c r="F28" s="80"/>
      <c r="G28" s="254">
        <v>44745.18</v>
      </c>
      <c r="H28" s="254">
        <v>20974.21</v>
      </c>
      <c r="I28" s="254"/>
      <c r="J28" s="356"/>
      <c r="K28" s="356"/>
      <c r="L28" s="356"/>
      <c r="M28" s="356"/>
      <c r="N28" s="412"/>
      <c r="O28" s="356"/>
      <c r="Q28" s="301">
        <f t="shared" si="2"/>
        <v>0</v>
      </c>
      <c r="R28" s="496"/>
    </row>
    <row r="29" spans="1:63" s="69" customFormat="1" ht="20.25" x14ac:dyDescent="0.2">
      <c r="A29" s="68"/>
      <c r="B29" s="68"/>
      <c r="C29" s="80"/>
      <c r="D29" s="743" t="s">
        <v>268</v>
      </c>
      <c r="E29" s="743"/>
      <c r="F29" s="743"/>
      <c r="G29" s="254"/>
      <c r="H29" s="254"/>
      <c r="I29" s="254"/>
      <c r="J29" s="356">
        <f>21360.73-630</f>
        <v>20730.73</v>
      </c>
      <c r="K29" s="356">
        <v>18398.63</v>
      </c>
      <c r="L29" s="356"/>
      <c r="M29" s="356">
        <v>15508.64</v>
      </c>
      <c r="N29" s="412"/>
      <c r="O29" s="356">
        <v>15165.56</v>
      </c>
      <c r="Q29" s="301">
        <f t="shared" si="2"/>
        <v>2332.0999999999985</v>
      </c>
      <c r="R29" s="496">
        <f t="shared" si="3"/>
        <v>0.12675400287956215</v>
      </c>
    </row>
    <row r="30" spans="1:63" s="69" customFormat="1" ht="20.25" x14ac:dyDescent="0.2">
      <c r="A30" s="68"/>
      <c r="B30" s="68"/>
      <c r="C30" s="80"/>
      <c r="D30" s="743" t="s">
        <v>269</v>
      </c>
      <c r="E30" s="743"/>
      <c r="F30" s="743"/>
      <c r="G30" s="254"/>
      <c r="H30" s="254"/>
      <c r="I30" s="254"/>
      <c r="J30" s="356">
        <v>13639.75</v>
      </c>
      <c r="K30" s="356">
        <v>13843.42</v>
      </c>
      <c r="L30" s="356"/>
      <c r="M30" s="356">
        <v>11574.22</v>
      </c>
      <c r="N30" s="412"/>
      <c r="O30" s="356">
        <v>12730.77</v>
      </c>
      <c r="Q30" s="301">
        <f t="shared" si="2"/>
        <v>-203.67000000000007</v>
      </c>
      <c r="R30" s="496">
        <f t="shared" si="3"/>
        <v>-1.4712404882608493E-2</v>
      </c>
    </row>
    <row r="31" spans="1:63" s="69" customFormat="1" ht="20.25" x14ac:dyDescent="0.2">
      <c r="A31" s="68"/>
      <c r="B31" s="68"/>
      <c r="C31" s="80"/>
      <c r="D31" s="743" t="s">
        <v>270</v>
      </c>
      <c r="E31" s="743"/>
      <c r="F31" s="743"/>
      <c r="G31" s="254"/>
      <c r="H31" s="254"/>
      <c r="I31" s="254"/>
      <c r="J31" s="356">
        <f>11816.76+4700.32-500</f>
        <v>16017.080000000002</v>
      </c>
      <c r="K31" s="356">
        <v>7312.22</v>
      </c>
      <c r="L31" s="356"/>
      <c r="M31" s="356">
        <v>6545.01</v>
      </c>
      <c r="N31" s="412"/>
      <c r="O31" s="356">
        <v>6887.16</v>
      </c>
      <c r="Q31" s="301">
        <f t="shared" si="2"/>
        <v>8704.86</v>
      </c>
      <c r="R31" s="496">
        <f t="shared" si="3"/>
        <v>1.1904537883159971</v>
      </c>
    </row>
    <row r="32" spans="1:63" s="69" customFormat="1" ht="20.25" x14ac:dyDescent="0.2">
      <c r="A32" s="68"/>
      <c r="B32" s="68"/>
      <c r="C32" s="80"/>
      <c r="D32" s="743" t="s">
        <v>271</v>
      </c>
      <c r="E32" s="743"/>
      <c r="F32" s="743"/>
      <c r="G32" s="254"/>
      <c r="H32" s="254"/>
      <c r="I32" s="254"/>
      <c r="J32" s="356">
        <v>1100</v>
      </c>
      <c r="K32" s="356">
        <v>6600</v>
      </c>
      <c r="L32" s="356"/>
      <c r="M32" s="356">
        <v>5500</v>
      </c>
      <c r="N32" s="412"/>
      <c r="O32" s="356">
        <v>5500</v>
      </c>
      <c r="Q32" s="301">
        <f t="shared" si="2"/>
        <v>-5500</v>
      </c>
      <c r="R32" s="496">
        <f t="shared" si="3"/>
        <v>-0.83333333333333337</v>
      </c>
    </row>
    <row r="33" spans="1:18" s="69" customFormat="1" ht="20.25" x14ac:dyDescent="0.2">
      <c r="A33" s="68"/>
      <c r="B33" s="68"/>
      <c r="C33" s="80"/>
      <c r="D33" s="743" t="s">
        <v>272</v>
      </c>
      <c r="E33" s="743"/>
      <c r="F33" s="743"/>
      <c r="G33" s="254"/>
      <c r="H33" s="254"/>
      <c r="I33" s="254"/>
      <c r="J33" s="356">
        <v>1130.5</v>
      </c>
      <c r="K33" s="356">
        <v>112</v>
      </c>
      <c r="L33" s="356"/>
      <c r="M33" s="356">
        <v>101</v>
      </c>
      <c r="N33" s="412"/>
      <c r="O33" s="356">
        <v>491.5</v>
      </c>
      <c r="Q33" s="301">
        <f t="shared" si="2"/>
        <v>1018.5</v>
      </c>
      <c r="R33" s="496">
        <f t="shared" si="3"/>
        <v>9.09375</v>
      </c>
    </row>
    <row r="34" spans="1:18" s="69" customFormat="1" ht="20.25" x14ac:dyDescent="0.2">
      <c r="A34" s="68"/>
      <c r="B34" s="68"/>
      <c r="C34" s="80" t="s">
        <v>273</v>
      </c>
      <c r="D34" s="80"/>
      <c r="E34" s="80"/>
      <c r="F34" s="80"/>
      <c r="G34" s="254">
        <v>27200</v>
      </c>
      <c r="H34" s="254">
        <v>11327</v>
      </c>
      <c r="I34" s="254"/>
      <c r="J34" s="356">
        <f>1862.04+21745.96</f>
        <v>23608</v>
      </c>
      <c r="K34" s="356">
        <v>24566.04</v>
      </c>
      <c r="L34" s="356"/>
      <c r="M34" s="356">
        <f>1315.8+19155.9</f>
        <v>20471.7</v>
      </c>
      <c r="N34" s="412"/>
      <c r="O34" s="356">
        <v>19880</v>
      </c>
      <c r="Q34" s="301">
        <f t="shared" si="2"/>
        <v>-958.04000000000087</v>
      </c>
      <c r="R34" s="496">
        <f t="shared" si="3"/>
        <v>-3.8998552473251728E-2</v>
      </c>
    </row>
    <row r="35" spans="1:18" s="69" customFormat="1" ht="20.25" x14ac:dyDescent="0.2">
      <c r="A35" s="68"/>
      <c r="B35" s="68"/>
      <c r="C35" s="80" t="s">
        <v>114</v>
      </c>
      <c r="D35" s="80"/>
      <c r="E35" s="80"/>
      <c r="F35" s="80"/>
      <c r="G35" s="254">
        <v>150176</v>
      </c>
      <c r="H35" s="301">
        <v>47700.27</v>
      </c>
      <c r="I35" s="301"/>
      <c r="J35" s="356">
        <f>J17</f>
        <v>9315</v>
      </c>
      <c r="K35" s="447">
        <v>9315</v>
      </c>
      <c r="L35" s="447"/>
      <c r="M35" s="447">
        <f>M17</f>
        <v>9315</v>
      </c>
      <c r="N35" s="412"/>
      <c r="O35" s="447">
        <v>9315</v>
      </c>
      <c r="Q35" s="301">
        <f t="shared" si="2"/>
        <v>0</v>
      </c>
      <c r="R35" s="496">
        <f t="shared" si="3"/>
        <v>0</v>
      </c>
    </row>
    <row r="36" spans="1:18" s="69" customFormat="1" ht="20.25" x14ac:dyDescent="0.2">
      <c r="A36" s="68"/>
      <c r="B36" s="68"/>
      <c r="C36" s="80" t="s">
        <v>280</v>
      </c>
      <c r="D36" s="80"/>
      <c r="E36" s="80"/>
      <c r="F36" s="80"/>
      <c r="G36" s="254"/>
      <c r="H36" s="301"/>
      <c r="I36" s="301"/>
      <c r="J36" s="356">
        <f>296.04+3688.96</f>
        <v>3985</v>
      </c>
      <c r="K36" s="447">
        <v>3335</v>
      </c>
      <c r="L36" s="447"/>
      <c r="M36" s="447">
        <v>2676</v>
      </c>
      <c r="N36" s="412"/>
      <c r="O36" s="447"/>
      <c r="Q36" s="301">
        <f t="shared" si="2"/>
        <v>650</v>
      </c>
      <c r="R36" s="496">
        <f t="shared" si="3"/>
        <v>0.19490254872563717</v>
      </c>
    </row>
    <row r="37" spans="1:18" s="69" customFormat="1" ht="20.25" x14ac:dyDescent="0.2">
      <c r="A37" s="68"/>
      <c r="B37" s="68"/>
      <c r="C37" s="80" t="s">
        <v>274</v>
      </c>
      <c r="D37" s="80"/>
      <c r="E37" s="80"/>
      <c r="F37" s="80"/>
      <c r="G37" s="254"/>
      <c r="H37" s="301"/>
      <c r="I37" s="301"/>
      <c r="J37" s="356">
        <v>665</v>
      </c>
      <c r="K37" s="447">
        <v>471.15</v>
      </c>
      <c r="L37" s="447"/>
      <c r="M37" s="447">
        <f>38+433.15</f>
        <v>471.15</v>
      </c>
      <c r="N37" s="412"/>
      <c r="O37" s="447">
        <v>1454.17</v>
      </c>
      <c r="Q37" s="301">
        <f t="shared" si="2"/>
        <v>193.85000000000002</v>
      </c>
      <c r="R37" s="496">
        <f t="shared" si="3"/>
        <v>0.4114400933885175</v>
      </c>
    </row>
    <row r="38" spans="1:18" s="69" customFormat="1" ht="20.25" x14ac:dyDescent="0.2">
      <c r="A38" s="68"/>
      <c r="B38" s="68"/>
      <c r="C38" s="80" t="s">
        <v>125</v>
      </c>
      <c r="D38" s="80"/>
      <c r="E38" s="80"/>
      <c r="F38" s="80"/>
      <c r="G38" s="254">
        <v>10993.12</v>
      </c>
      <c r="H38" s="301">
        <v>4904.57</v>
      </c>
      <c r="I38" s="301"/>
      <c r="J38" s="356">
        <f>52.41+2480.43</f>
        <v>2532.8399999999997</v>
      </c>
      <c r="K38" s="447">
        <v>2515.2600000000002</v>
      </c>
      <c r="L38" s="447"/>
      <c r="M38" s="447">
        <f>41.45+2055.88</f>
        <v>2097.33</v>
      </c>
      <c r="N38" s="412"/>
      <c r="O38" s="447">
        <v>2085.69</v>
      </c>
      <c r="Q38" s="301">
        <f t="shared" si="2"/>
        <v>17.579999999999472</v>
      </c>
      <c r="R38" s="496">
        <f t="shared" si="3"/>
        <v>6.9893370864242549E-3</v>
      </c>
    </row>
    <row r="39" spans="1:18" s="69" customFormat="1" ht="20.25" x14ac:dyDescent="0.2">
      <c r="A39" s="68"/>
      <c r="B39" s="68"/>
      <c r="C39" s="80" t="s">
        <v>275</v>
      </c>
      <c r="D39" s="80"/>
      <c r="E39" s="80"/>
      <c r="F39" s="80"/>
      <c r="G39" s="254">
        <v>10250.949999999999</v>
      </c>
      <c r="H39" s="301">
        <v>3982.99</v>
      </c>
      <c r="I39" s="301"/>
      <c r="J39" s="356">
        <f>51.1+541.91</f>
        <v>593.01</v>
      </c>
      <c r="K39" s="447">
        <v>616.14</v>
      </c>
      <c r="L39" s="447"/>
      <c r="M39" s="447">
        <f>39.89+341.42+57.3+6.8</f>
        <v>445.41</v>
      </c>
      <c r="N39" s="412"/>
      <c r="O39" s="447">
        <v>701.85</v>
      </c>
      <c r="Q39" s="301">
        <f t="shared" si="2"/>
        <v>-23.129999999999995</v>
      </c>
      <c r="R39" s="496">
        <f t="shared" si="3"/>
        <v>-3.7540169442009927E-2</v>
      </c>
    </row>
    <row r="40" spans="1:18" s="69" customFormat="1" ht="20.25" x14ac:dyDescent="0.2">
      <c r="A40" s="68"/>
      <c r="B40" s="68"/>
      <c r="C40" s="80" t="s">
        <v>132</v>
      </c>
      <c r="D40" s="80"/>
      <c r="E40" s="80"/>
      <c r="F40" s="80"/>
      <c r="G40" s="254">
        <v>4412.53</v>
      </c>
      <c r="H40" s="302">
        <v>5667</v>
      </c>
      <c r="I40" s="302"/>
      <c r="J40" s="356">
        <f>269.31+701.29</f>
        <v>970.59999999999991</v>
      </c>
      <c r="K40" s="448">
        <v>1097.4100000000001</v>
      </c>
      <c r="L40" s="448"/>
      <c r="M40" s="448">
        <f>111.32+986.09</f>
        <v>1097.4100000000001</v>
      </c>
      <c r="N40" s="412"/>
      <c r="O40" s="356">
        <v>904.99</v>
      </c>
      <c r="Q40" s="301">
        <f t="shared" si="2"/>
        <v>-126.81000000000017</v>
      </c>
      <c r="R40" s="496">
        <f t="shared" si="3"/>
        <v>-0.11555389508023452</v>
      </c>
    </row>
    <row r="41" spans="1:18" s="69" customFormat="1" ht="20.25" x14ac:dyDescent="0.2">
      <c r="A41" s="68"/>
      <c r="B41" s="68"/>
      <c r="C41" s="80" t="s">
        <v>130</v>
      </c>
      <c r="D41" s="80"/>
      <c r="E41" s="80"/>
      <c r="F41" s="80"/>
      <c r="G41" s="254">
        <v>7901</v>
      </c>
      <c r="H41" s="301">
        <v>4149.6000000000004</v>
      </c>
      <c r="I41" s="301"/>
      <c r="J41" s="356">
        <f>4.1+426.89</f>
        <v>430.99</v>
      </c>
      <c r="K41" s="447">
        <v>389.77</v>
      </c>
      <c r="L41" s="447"/>
      <c r="M41" s="447">
        <f>68.56+310.4</f>
        <v>378.96</v>
      </c>
      <c r="N41" s="412"/>
      <c r="O41" s="447">
        <v>587.55999999999995</v>
      </c>
      <c r="Q41" s="301">
        <f t="shared" si="2"/>
        <v>41.220000000000027</v>
      </c>
      <c r="R41" s="496">
        <f t="shared" si="3"/>
        <v>0.10575467583446656</v>
      </c>
    </row>
    <row r="42" spans="1:18" s="69" customFormat="1" ht="20.25" x14ac:dyDescent="0.2">
      <c r="A42" s="68"/>
      <c r="B42" s="68"/>
      <c r="C42" s="80" t="s">
        <v>276</v>
      </c>
      <c r="D42" s="80"/>
      <c r="E42" s="80"/>
      <c r="F42" s="80"/>
      <c r="G42" s="254"/>
      <c r="H42" s="301"/>
      <c r="I42" s="301"/>
      <c r="J42" s="356"/>
      <c r="K42" s="447">
        <v>105.52</v>
      </c>
      <c r="L42" s="447"/>
      <c r="M42" s="447">
        <v>0</v>
      </c>
      <c r="N42" s="412"/>
      <c r="O42" s="447">
        <v>570</v>
      </c>
      <c r="Q42" s="301">
        <f t="shared" si="2"/>
        <v>-105.52</v>
      </c>
      <c r="R42" s="496">
        <f t="shared" si="3"/>
        <v>-1</v>
      </c>
    </row>
    <row r="43" spans="1:18" s="77" customFormat="1" ht="20.25" x14ac:dyDescent="0.2">
      <c r="A43" s="80"/>
      <c r="B43" s="80"/>
      <c r="C43" s="80" t="s">
        <v>126</v>
      </c>
      <c r="D43" s="80"/>
      <c r="E43" s="80"/>
      <c r="F43" s="80"/>
      <c r="G43" s="254">
        <v>5428.37</v>
      </c>
      <c r="H43" s="301">
        <v>2024.52</v>
      </c>
      <c r="I43" s="301"/>
      <c r="J43" s="356">
        <v>209.23</v>
      </c>
      <c r="K43" s="447">
        <v>191.15</v>
      </c>
      <c r="L43" s="447"/>
      <c r="M43" s="447">
        <v>179.55</v>
      </c>
      <c r="N43" s="411"/>
      <c r="O43" s="447">
        <v>90.95</v>
      </c>
      <c r="Q43" s="301">
        <f t="shared" si="2"/>
        <v>18.079999999999984</v>
      </c>
      <c r="R43" s="496">
        <f t="shared" si="3"/>
        <v>9.4585404132879858E-2</v>
      </c>
    </row>
    <row r="44" spans="1:18" s="77" customFormat="1" ht="20.25" x14ac:dyDescent="0.2">
      <c r="A44" s="80"/>
      <c r="B44" s="80"/>
      <c r="C44" s="80" t="s">
        <v>277</v>
      </c>
      <c r="D44" s="80"/>
      <c r="E44" s="80"/>
      <c r="F44" s="80"/>
      <c r="G44" s="254">
        <v>83462.91</v>
      </c>
      <c r="H44" s="254">
        <v>18995.71</v>
      </c>
      <c r="I44" s="254"/>
      <c r="J44" s="446">
        <f>10.7+280.5+25.7</f>
        <v>316.89999999999998</v>
      </c>
      <c r="K44" s="356">
        <v>43.1</v>
      </c>
      <c r="L44" s="356"/>
      <c r="M44" s="356">
        <v>43.1</v>
      </c>
      <c r="N44" s="411"/>
      <c r="O44" s="356">
        <v>18</v>
      </c>
      <c r="Q44" s="591">
        <f t="shared" si="2"/>
        <v>273.79999999999995</v>
      </c>
      <c r="R44" s="590">
        <f>Q44/K44</f>
        <v>6.3526682134570756</v>
      </c>
    </row>
    <row r="45" spans="1:18" s="69" customFormat="1" ht="21" thickBot="1" x14ac:dyDescent="0.25">
      <c r="A45" s="68"/>
      <c r="B45" s="68"/>
      <c r="C45" s="68"/>
      <c r="D45" s="74" t="s">
        <v>138</v>
      </c>
      <c r="E45" s="68"/>
      <c r="F45" s="68"/>
      <c r="G45" s="264">
        <v>1078317.8599999999</v>
      </c>
      <c r="H45" s="264">
        <v>481701.87000000005</v>
      </c>
      <c r="I45" s="254"/>
      <c r="J45" s="529">
        <f>SUM(J25:J44)</f>
        <v>320952.28830000001</v>
      </c>
      <c r="K45" s="529">
        <v>326093.2512</v>
      </c>
      <c r="L45" s="356"/>
      <c r="M45" s="529">
        <f>SUM(M25:M44)</f>
        <v>277358.87839999999</v>
      </c>
      <c r="N45" s="412"/>
      <c r="O45" s="529">
        <v>261389.70740000001</v>
      </c>
      <c r="Q45" s="529">
        <f t="shared" si="2"/>
        <v>-5140.9628999999841</v>
      </c>
      <c r="R45" s="526">
        <f>Q45/K45</f>
        <v>-1.5765315231399624E-2</v>
      </c>
    </row>
    <row r="46" spans="1:18" s="69" customFormat="1" ht="21" thickBot="1" x14ac:dyDescent="0.25">
      <c r="A46" s="68"/>
      <c r="B46" s="68"/>
      <c r="C46" s="68"/>
      <c r="D46" s="68" t="s">
        <v>139</v>
      </c>
      <c r="E46" s="68"/>
      <c r="F46" s="68"/>
      <c r="G46" s="264">
        <v>233082.39000000013</v>
      </c>
      <c r="H46" s="264">
        <v>82291.709999999905</v>
      </c>
      <c r="I46" s="254"/>
      <c r="J46" s="530">
        <f>J21-J45</f>
        <v>964.54710000002524</v>
      </c>
      <c r="K46" s="530">
        <f>K21-K45</f>
        <v>30784.591799999995</v>
      </c>
      <c r="L46" s="356"/>
      <c r="M46" s="530">
        <f>M21-M45</f>
        <v>30495.195799999987</v>
      </c>
      <c r="N46" s="412"/>
      <c r="O46" s="530">
        <v>77384.707599999907</v>
      </c>
      <c r="Q46" s="423">
        <f t="shared" si="2"/>
        <v>-29820.044699999969</v>
      </c>
      <c r="R46" s="526">
        <f>Q46/K46</f>
        <v>-0.96866786130326321</v>
      </c>
    </row>
    <row r="47" spans="1:18" s="69" customFormat="1" ht="20.25" x14ac:dyDescent="0.2">
      <c r="A47" s="68"/>
      <c r="B47" s="68"/>
      <c r="C47" s="68"/>
      <c r="D47" s="68"/>
      <c r="E47" s="68"/>
      <c r="F47" s="68"/>
      <c r="G47" s="254"/>
      <c r="H47" s="254"/>
      <c r="I47" s="254"/>
      <c r="J47" s="356"/>
      <c r="K47" s="356"/>
      <c r="L47" s="356"/>
      <c r="M47" s="356"/>
      <c r="N47" s="412"/>
      <c r="O47" s="356"/>
    </row>
    <row r="48" spans="1:18" s="66" customFormat="1" ht="26.25" x14ac:dyDescent="0.2">
      <c r="A48" s="294"/>
      <c r="B48" s="294"/>
      <c r="C48" s="80" t="s">
        <v>338</v>
      </c>
      <c r="E48" s="80"/>
      <c r="F48" s="80"/>
      <c r="G48" s="296"/>
      <c r="H48" s="254"/>
      <c r="I48" s="254"/>
      <c r="J48" s="356">
        <v>-49047.4</v>
      </c>
      <c r="K48" s="356"/>
      <c r="L48" s="356"/>
      <c r="M48" s="356"/>
      <c r="N48" s="562"/>
      <c r="O48" s="356">
        <v>-50000</v>
      </c>
      <c r="Q48" s="301">
        <f>J48-K48</f>
        <v>-49047.4</v>
      </c>
      <c r="R48" s="464"/>
    </row>
    <row r="49" spans="1:18" s="69" customFormat="1" ht="20.25" x14ac:dyDescent="0.2">
      <c r="A49" s="68"/>
      <c r="B49" s="68"/>
      <c r="C49" s="80" t="s">
        <v>278</v>
      </c>
      <c r="E49" s="68"/>
      <c r="G49" s="254"/>
      <c r="H49" s="254"/>
      <c r="I49" s="254"/>
      <c r="J49" s="356">
        <f>J34</f>
        <v>23608</v>
      </c>
      <c r="K49" s="356">
        <v>24566.04</v>
      </c>
      <c r="L49" s="356"/>
      <c r="M49" s="356">
        <f>M34</f>
        <v>20471.7</v>
      </c>
      <c r="N49" s="412"/>
      <c r="O49" s="356">
        <v>19880</v>
      </c>
      <c r="Q49" s="301">
        <f>J49-K49</f>
        <v>-958.04000000000087</v>
      </c>
      <c r="R49" s="464">
        <v>3.5414486921529216E-2</v>
      </c>
    </row>
    <row r="50" spans="1:18" s="69" customFormat="1" ht="24" thickBot="1" x14ac:dyDescent="0.25">
      <c r="A50" s="68"/>
      <c r="B50" s="444"/>
      <c r="C50" s="68"/>
      <c r="D50" s="744" t="s">
        <v>279</v>
      </c>
      <c r="E50" s="744"/>
      <c r="F50" s="744"/>
      <c r="G50" s="254"/>
      <c r="H50" s="254"/>
      <c r="I50" s="254"/>
      <c r="J50" s="531">
        <f>J46+J48+J49</f>
        <v>-24474.852899999976</v>
      </c>
      <c r="K50" s="531">
        <v>55350.631799999996</v>
      </c>
      <c r="L50" s="360"/>
      <c r="M50" s="531">
        <f>M46+M48+M49</f>
        <v>50966.895799999984</v>
      </c>
      <c r="N50" s="561"/>
      <c r="O50" s="531">
        <v>47264.707599999907</v>
      </c>
      <c r="P50" s="434"/>
      <c r="Q50" s="527">
        <f>J50-K50</f>
        <v>-79825.484699999972</v>
      </c>
      <c r="R50" s="579">
        <v>2.1062768618503362E-2</v>
      </c>
    </row>
    <row r="51" spans="1:18" s="69" customFormat="1" ht="21" thickTop="1" x14ac:dyDescent="0.2">
      <c r="A51" s="68"/>
      <c r="B51" s="68"/>
      <c r="C51" s="68"/>
      <c r="D51" s="68"/>
      <c r="E51" s="68"/>
      <c r="F51" s="68"/>
      <c r="G51" s="254"/>
      <c r="H51" s="254"/>
      <c r="I51" s="254"/>
      <c r="J51" s="356"/>
      <c r="K51" s="254"/>
      <c r="L51" s="254"/>
      <c r="M51" s="254"/>
      <c r="O51" s="254"/>
    </row>
    <row r="52" spans="1:18" s="72" customFormat="1" ht="20.25" x14ac:dyDescent="0.3">
      <c r="A52" s="292"/>
      <c r="B52" s="292"/>
      <c r="D52" s="292"/>
      <c r="E52" s="292"/>
      <c r="F52" s="292"/>
      <c r="G52" s="293"/>
      <c r="H52" s="293"/>
      <c r="I52" s="293"/>
      <c r="J52" s="293"/>
      <c r="K52" s="293"/>
      <c r="L52" s="293"/>
      <c r="M52" s="293"/>
      <c r="O52" s="254"/>
    </row>
    <row r="53" spans="1:18" s="77" customFormat="1" ht="20.25" x14ac:dyDescent="0.2">
      <c r="A53" s="80"/>
      <c r="B53" s="80"/>
      <c r="C53" s="80"/>
      <c r="D53" s="80"/>
      <c r="F53" s="80"/>
      <c r="G53" s="269"/>
      <c r="H53" s="254"/>
      <c r="I53" s="254"/>
      <c r="J53" s="254"/>
      <c r="K53" s="254"/>
      <c r="L53" s="254"/>
      <c r="M53" s="254"/>
    </row>
    <row r="54" spans="1:18" s="77" customFormat="1" ht="20.25" x14ac:dyDescent="0.2">
      <c r="A54" s="80"/>
      <c r="B54" s="80"/>
      <c r="C54" s="80"/>
      <c r="D54" s="80"/>
      <c r="F54" s="80"/>
      <c r="G54" s="254"/>
      <c r="H54" s="254"/>
      <c r="I54" s="254"/>
      <c r="J54" s="254"/>
      <c r="K54" s="254"/>
      <c r="L54" s="254"/>
      <c r="M54" s="254"/>
    </row>
    <row r="55" spans="1:18" s="77" customFormat="1" ht="20.25" x14ac:dyDescent="0.2">
      <c r="A55" s="80"/>
      <c r="B55" s="80"/>
      <c r="C55" s="80"/>
      <c r="D55" s="80"/>
      <c r="F55" s="80"/>
      <c r="G55" s="254"/>
      <c r="H55" s="254"/>
      <c r="I55" s="254"/>
      <c r="J55" s="254"/>
      <c r="K55" s="254"/>
      <c r="L55" s="254"/>
      <c r="M55" s="254"/>
    </row>
    <row r="56" spans="1:18" s="77" customFormat="1" ht="20.25" x14ac:dyDescent="0.2">
      <c r="A56" s="80"/>
      <c r="B56" s="80"/>
      <c r="C56" s="80"/>
      <c r="D56" s="80"/>
      <c r="F56" s="80"/>
      <c r="G56" s="254"/>
      <c r="H56" s="254"/>
      <c r="I56" s="254"/>
      <c r="J56" s="254"/>
      <c r="K56" s="254"/>
      <c r="L56" s="254"/>
      <c r="M56" s="254"/>
    </row>
    <row r="57" spans="1:18" s="77" customFormat="1" ht="20.25" x14ac:dyDescent="0.2">
      <c r="A57" s="80"/>
      <c r="B57" s="80"/>
      <c r="C57" s="80"/>
      <c r="D57" s="80"/>
      <c r="F57" s="80"/>
      <c r="G57" s="254"/>
      <c r="H57" s="254"/>
      <c r="I57" s="254"/>
      <c r="J57" s="254"/>
      <c r="K57" s="254"/>
      <c r="L57" s="254"/>
      <c r="M57" s="254"/>
    </row>
    <row r="58" spans="1:18" s="77" customFormat="1" ht="20.25" x14ac:dyDescent="0.2">
      <c r="A58" s="80"/>
      <c r="B58" s="80"/>
      <c r="C58" s="80"/>
      <c r="D58" s="80"/>
      <c r="F58" s="80"/>
      <c r="G58" s="254"/>
      <c r="H58" s="254"/>
      <c r="I58" s="254"/>
      <c r="J58" s="254"/>
      <c r="K58" s="254"/>
      <c r="L58" s="254"/>
      <c r="M58" s="254"/>
    </row>
    <row r="59" spans="1:18" s="77" customFormat="1" ht="20.25" x14ac:dyDescent="0.2">
      <c r="A59" s="80"/>
      <c r="B59" s="80"/>
      <c r="C59" s="68"/>
      <c r="D59" s="80"/>
      <c r="F59" s="80"/>
      <c r="G59" s="254"/>
      <c r="H59" s="254"/>
      <c r="I59" s="254"/>
      <c r="J59" s="254"/>
      <c r="K59" s="254"/>
      <c r="L59" s="254"/>
      <c r="M59" s="254"/>
    </row>
    <row r="60" spans="1:18" s="77" customFormat="1" ht="20.25" x14ac:dyDescent="0.2">
      <c r="A60" s="80"/>
      <c r="B60" s="80"/>
      <c r="C60" s="80"/>
      <c r="D60" s="80"/>
      <c r="E60" s="80"/>
      <c r="F60" s="80"/>
      <c r="G60" s="254"/>
      <c r="H60" s="254"/>
      <c r="I60" s="254"/>
      <c r="J60" s="254"/>
      <c r="K60" s="254"/>
      <c r="L60" s="254"/>
      <c r="M60" s="254"/>
    </row>
    <row r="61" spans="1:18" s="77" customFormat="1" ht="20.25" x14ac:dyDescent="0.2">
      <c r="A61" s="80"/>
      <c r="B61" s="80"/>
      <c r="C61" s="68"/>
      <c r="D61" s="68"/>
      <c r="G61" s="254"/>
      <c r="H61" s="254"/>
      <c r="I61" s="254"/>
      <c r="J61" s="254"/>
      <c r="K61" s="254"/>
      <c r="L61" s="254"/>
      <c r="M61" s="254"/>
    </row>
    <row r="62" spans="1:18" s="77" customFormat="1" ht="20.25" x14ac:dyDescent="0.2">
      <c r="A62" s="80"/>
      <c r="B62" s="80"/>
      <c r="C62" s="80"/>
      <c r="D62" s="80"/>
      <c r="E62" s="80"/>
      <c r="F62" s="80"/>
      <c r="G62" s="254"/>
      <c r="H62" s="254"/>
      <c r="I62" s="254"/>
      <c r="J62" s="254"/>
      <c r="K62" s="254"/>
      <c r="L62" s="254"/>
      <c r="M62" s="254"/>
    </row>
    <row r="63" spans="1:18" s="77" customFormat="1" ht="20.25" x14ac:dyDescent="0.2">
      <c r="A63" s="80"/>
      <c r="B63" s="80"/>
      <c r="C63" s="80"/>
      <c r="D63" s="80"/>
      <c r="E63" s="80"/>
      <c r="F63" s="80"/>
      <c r="G63" s="254"/>
      <c r="H63" s="254"/>
      <c r="I63" s="254"/>
      <c r="J63" s="254"/>
      <c r="K63" s="254"/>
      <c r="L63" s="254"/>
      <c r="M63" s="254"/>
    </row>
    <row r="64" spans="1:18" s="77" customFormat="1" ht="20.25" x14ac:dyDescent="0.2">
      <c r="A64" s="80"/>
      <c r="B64" s="80"/>
      <c r="C64" s="80"/>
      <c r="D64" s="80"/>
      <c r="E64" s="80"/>
      <c r="F64" s="80"/>
      <c r="G64" s="254"/>
      <c r="H64" s="254"/>
      <c r="I64" s="254"/>
      <c r="J64" s="254"/>
      <c r="K64" s="254"/>
      <c r="L64" s="254"/>
      <c r="M64" s="254"/>
    </row>
    <row r="65" spans="1:13" s="77" customFormat="1" ht="20.25" x14ac:dyDescent="0.2">
      <c r="A65" s="80"/>
      <c r="B65" s="80"/>
      <c r="C65" s="80"/>
      <c r="D65" s="80"/>
      <c r="E65" s="80"/>
      <c r="F65" s="80"/>
      <c r="G65" s="254"/>
      <c r="H65" s="254"/>
      <c r="I65" s="254"/>
      <c r="J65" s="254"/>
      <c r="K65" s="254"/>
      <c r="L65" s="254"/>
      <c r="M65" s="254"/>
    </row>
    <row r="66" spans="1:13" s="77" customFormat="1" ht="20.25" x14ac:dyDescent="0.2">
      <c r="A66" s="80"/>
      <c r="B66" s="80"/>
      <c r="C66" s="68"/>
      <c r="D66" s="80"/>
      <c r="F66" s="80"/>
      <c r="G66" s="254"/>
      <c r="H66" s="254"/>
      <c r="I66" s="254"/>
      <c r="J66" s="254"/>
      <c r="K66" s="254"/>
      <c r="L66" s="254"/>
      <c r="M66" s="254"/>
    </row>
    <row r="67" spans="1:13" s="77" customFormat="1" ht="20.25" x14ac:dyDescent="0.2">
      <c r="A67" s="80"/>
      <c r="B67" s="80"/>
      <c r="C67" s="80"/>
      <c r="D67" s="80"/>
      <c r="E67" s="80"/>
      <c r="F67" s="80"/>
      <c r="G67" s="254"/>
      <c r="H67" s="254"/>
      <c r="I67" s="254"/>
      <c r="J67" s="254"/>
      <c r="K67" s="254"/>
      <c r="L67" s="254"/>
      <c r="M67" s="254"/>
    </row>
    <row r="68" spans="1:13" s="69" customFormat="1" ht="20.25" x14ac:dyDescent="0.2">
      <c r="A68" s="68"/>
      <c r="B68" s="68"/>
      <c r="C68" s="68"/>
      <c r="D68" s="68"/>
      <c r="E68" s="68"/>
      <c r="F68" s="68"/>
      <c r="G68" s="259"/>
      <c r="H68" s="259"/>
      <c r="I68" s="259"/>
      <c r="J68" s="259"/>
      <c r="K68" s="259"/>
      <c r="L68" s="259"/>
      <c r="M68" s="259"/>
    </row>
    <row r="69" spans="1:13" s="69" customFormat="1" ht="20.25" x14ac:dyDescent="0.2">
      <c r="A69" s="68"/>
      <c r="B69" s="68"/>
      <c r="C69" s="68"/>
      <c r="D69" s="68"/>
      <c r="E69" s="68"/>
      <c r="F69" s="68"/>
      <c r="G69" s="259"/>
      <c r="H69" s="259"/>
      <c r="I69" s="259"/>
      <c r="J69" s="259"/>
      <c r="K69" s="259"/>
      <c r="L69" s="259"/>
      <c r="M69" s="259"/>
    </row>
    <row r="70" spans="1:13" s="69" customFormat="1" ht="23.25" x14ac:dyDescent="0.2">
      <c r="A70" s="68"/>
      <c r="B70" s="297"/>
      <c r="C70" s="68"/>
      <c r="D70" s="68"/>
      <c r="E70" s="68"/>
      <c r="F70" s="68"/>
      <c r="G70" s="254"/>
      <c r="H70" s="254"/>
      <c r="I70" s="254"/>
      <c r="J70" s="254"/>
      <c r="K70" s="254"/>
      <c r="L70" s="254"/>
      <c r="M70" s="254"/>
    </row>
    <row r="71" spans="1:13" s="77" customFormat="1" ht="20.25" x14ac:dyDescent="0.2">
      <c r="A71" s="80"/>
      <c r="B71" s="80"/>
      <c r="D71" s="80"/>
      <c r="E71" s="80"/>
      <c r="F71" s="80"/>
      <c r="G71" s="254"/>
      <c r="H71" s="254"/>
      <c r="I71" s="254"/>
      <c r="J71" s="254"/>
      <c r="K71" s="254"/>
      <c r="L71" s="254"/>
      <c r="M71" s="254"/>
    </row>
    <row r="72" spans="1:13" s="77" customFormat="1" ht="20.25" x14ac:dyDescent="0.2">
      <c r="A72" s="80"/>
      <c r="B72" s="80"/>
      <c r="D72" s="80"/>
      <c r="E72" s="80"/>
      <c r="F72" s="80"/>
      <c r="G72" s="254"/>
      <c r="H72" s="254"/>
      <c r="I72" s="254"/>
      <c r="J72" s="254"/>
      <c r="K72" s="254"/>
      <c r="L72" s="254"/>
      <c r="M72" s="254"/>
    </row>
    <row r="73" spans="1:13" s="69" customFormat="1" ht="20.25" x14ac:dyDescent="0.2">
      <c r="A73" s="68"/>
      <c r="B73" s="68"/>
      <c r="D73" s="80"/>
      <c r="E73" s="68"/>
      <c r="F73" s="68"/>
      <c r="G73" s="254"/>
      <c r="H73" s="254"/>
      <c r="I73" s="254"/>
      <c r="J73" s="254"/>
      <c r="K73" s="254"/>
      <c r="L73" s="254"/>
      <c r="M73" s="254"/>
    </row>
    <row r="74" spans="1:13" s="69" customFormat="1" ht="23.25" x14ac:dyDescent="0.2">
      <c r="A74" s="68"/>
      <c r="B74" s="297"/>
      <c r="C74" s="68"/>
      <c r="D74" s="68"/>
      <c r="E74" s="68"/>
      <c r="F74" s="68"/>
      <c r="G74" s="259"/>
      <c r="H74" s="259"/>
      <c r="I74" s="259"/>
      <c r="J74" s="259"/>
      <c r="K74" s="259"/>
      <c r="L74" s="259"/>
      <c r="M74" s="259"/>
    </row>
    <row r="75" spans="1:13" s="69" customFormat="1" ht="20.25" x14ac:dyDescent="0.2">
      <c r="A75" s="68"/>
      <c r="B75" s="68"/>
      <c r="C75" s="68"/>
      <c r="D75" s="68"/>
      <c r="E75" s="68"/>
      <c r="F75" s="68"/>
      <c r="G75" s="254"/>
      <c r="H75" s="254"/>
      <c r="I75" s="254"/>
      <c r="J75" s="254"/>
      <c r="K75" s="254"/>
      <c r="L75" s="254"/>
      <c r="M75" s="254"/>
    </row>
    <row r="76" spans="1:13" s="83" customFormat="1" ht="26.25" x14ac:dyDescent="0.2">
      <c r="A76" s="294"/>
      <c r="B76" s="294"/>
      <c r="C76" s="294"/>
      <c r="D76" s="294"/>
      <c r="E76" s="294"/>
      <c r="F76" s="294"/>
      <c r="G76" s="295"/>
      <c r="H76" s="259"/>
      <c r="I76" s="259"/>
      <c r="J76" s="259"/>
      <c r="K76" s="259"/>
      <c r="L76" s="259"/>
      <c r="M76" s="259"/>
    </row>
    <row r="77" spans="1:13" s="18" customFormat="1" ht="20.25" x14ac:dyDescent="0.3">
      <c r="A77" s="123"/>
      <c r="B77" s="123"/>
      <c r="C77" s="123"/>
      <c r="D77" s="123"/>
      <c r="E77" s="123"/>
      <c r="F77" s="123"/>
      <c r="G77" s="298"/>
      <c r="H77" s="303"/>
      <c r="I77" s="303"/>
      <c r="J77" s="303"/>
      <c r="K77" s="303"/>
      <c r="L77" s="303"/>
      <c r="M77" s="303"/>
    </row>
    <row r="78" spans="1:13" ht="20.25" x14ac:dyDescent="0.3">
      <c r="H78" s="303"/>
      <c r="I78" s="303"/>
      <c r="J78" s="303"/>
      <c r="K78" s="303"/>
      <c r="L78" s="303"/>
      <c r="M78" s="303"/>
    </row>
    <row r="79" spans="1:13" ht="20.25" x14ac:dyDescent="0.3">
      <c r="H79" s="303"/>
      <c r="I79" s="303"/>
      <c r="J79" s="303"/>
      <c r="K79" s="303"/>
      <c r="L79" s="303"/>
      <c r="M79" s="303"/>
    </row>
    <row r="80" spans="1:13" ht="20.25" x14ac:dyDescent="0.3">
      <c r="H80" s="300"/>
      <c r="I80" s="300"/>
      <c r="J80" s="300"/>
      <c r="K80" s="300"/>
      <c r="L80" s="300"/>
      <c r="M80" s="300"/>
    </row>
  </sheetData>
  <mergeCells count="11">
    <mergeCell ref="D50:F50"/>
    <mergeCell ref="Q8:R8"/>
    <mergeCell ref="D25:F25"/>
    <mergeCell ref="D26:F26"/>
    <mergeCell ref="D27:F27"/>
    <mergeCell ref="D29:F29"/>
    <mergeCell ref="J6:M6"/>
    <mergeCell ref="D30:F30"/>
    <mergeCell ref="D31:F31"/>
    <mergeCell ref="D32:F32"/>
    <mergeCell ref="D33:F33"/>
  </mergeCells>
  <pageMargins left="0.2" right="0" top="0.5" bottom="0.5" header="0.3" footer="0.3"/>
  <pageSetup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646" hidden="1" customWidth="1"/>
    <col min="4" max="7" width="15" customWidth="1"/>
    <col min="8" max="8" width="14.625" customWidth="1"/>
  </cols>
  <sheetData>
    <row r="1" spans="1:130" ht="21" x14ac:dyDescent="0.35">
      <c r="A1" s="692" t="s">
        <v>103</v>
      </c>
      <c r="B1" s="60"/>
      <c r="C1" s="61"/>
      <c r="D1" s="61"/>
      <c r="E1" s="61"/>
      <c r="F1" s="60"/>
      <c r="G1" s="252"/>
      <c r="H1" s="60"/>
      <c r="I1" s="60"/>
      <c r="J1" s="60"/>
      <c r="K1" s="60"/>
      <c r="L1" s="52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92" t="s">
        <v>460</v>
      </c>
      <c r="B2" s="60"/>
      <c r="C2" s="61"/>
      <c r="D2" s="61"/>
      <c r="E2" s="61"/>
      <c r="F2" s="60"/>
      <c r="G2" s="252"/>
      <c r="H2" s="60"/>
      <c r="I2" s="60"/>
      <c r="J2" s="60"/>
      <c r="K2" s="60"/>
      <c r="L2" s="52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92" t="str">
        <f>'December''17 State of Activities'!A3</f>
        <v>Twelve Months Ended December 31 2017 &amp; 2016</v>
      </c>
      <c r="B3" s="60"/>
      <c r="C3" s="61"/>
      <c r="D3" s="61"/>
      <c r="E3" s="61"/>
      <c r="F3" s="60"/>
      <c r="G3" s="252"/>
      <c r="H3" s="60"/>
      <c r="I3" s="60"/>
      <c r="J3" s="60"/>
      <c r="K3" s="60"/>
      <c r="L3" s="52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745" t="s">
        <v>404</v>
      </c>
      <c r="B5" s="746"/>
      <c r="C5" s="746"/>
      <c r="D5" s="746"/>
      <c r="E5" s="746"/>
      <c r="F5" s="746"/>
      <c r="G5" s="746"/>
      <c r="H5" s="747"/>
    </row>
    <row r="6" spans="1:130" ht="7.5" customHeight="1" thickBot="1" x14ac:dyDescent="0.25">
      <c r="E6" s="647"/>
      <c r="F6" s="647"/>
      <c r="G6" s="647"/>
    </row>
    <row r="7" spans="1:130" ht="15.75" x14ac:dyDescent="0.25">
      <c r="A7" s="648" t="s">
        <v>405</v>
      </c>
      <c r="B7" s="649" t="s">
        <v>406</v>
      </c>
      <c r="C7" s="649" t="s">
        <v>407</v>
      </c>
      <c r="D7" s="649" t="s">
        <v>408</v>
      </c>
      <c r="E7" s="649" t="s">
        <v>409</v>
      </c>
      <c r="F7" s="649" t="s">
        <v>410</v>
      </c>
      <c r="G7" s="649" t="s">
        <v>411</v>
      </c>
      <c r="H7" s="648" t="s">
        <v>412</v>
      </c>
    </row>
    <row r="8" spans="1:130" ht="16.5" thickBot="1" x14ac:dyDescent="0.3">
      <c r="A8" s="650"/>
      <c r="B8" s="651" t="s">
        <v>413</v>
      </c>
      <c r="C8" s="651" t="s">
        <v>413</v>
      </c>
      <c r="D8" s="651" t="s">
        <v>413</v>
      </c>
      <c r="E8" s="651" t="s">
        <v>413</v>
      </c>
      <c r="F8" s="651" t="s">
        <v>413</v>
      </c>
      <c r="G8" s="651" t="s">
        <v>413</v>
      </c>
      <c r="H8" s="652" t="s">
        <v>414</v>
      </c>
    </row>
    <row r="9" spans="1:130" x14ac:dyDescent="0.2">
      <c r="A9" s="653">
        <v>42741</v>
      </c>
      <c r="B9" s="654">
        <v>1059.72</v>
      </c>
      <c r="C9" s="655">
        <f>6123.86-3246.88</f>
        <v>2876.9799999999996</v>
      </c>
      <c r="D9" s="654">
        <f>160.4+1401.46</f>
        <v>1561.8600000000001</v>
      </c>
      <c r="E9" s="654">
        <f>2007.36+883.16</f>
        <v>2890.52</v>
      </c>
      <c r="F9" s="654">
        <v>4174.08</v>
      </c>
      <c r="G9" s="654">
        <v>3187.95</v>
      </c>
      <c r="H9" s="654">
        <f>G9-F9</f>
        <v>-986.13000000000011</v>
      </c>
    </row>
    <row r="10" spans="1:130" x14ac:dyDescent="0.2">
      <c r="A10" s="656">
        <v>42748</v>
      </c>
      <c r="B10" s="657">
        <v>1351.72</v>
      </c>
      <c r="C10" s="658">
        <f>7232.22-3246.88</f>
        <v>3985.34</v>
      </c>
      <c r="D10" s="657">
        <v>3927.82</v>
      </c>
      <c r="E10" s="657">
        <v>3364.16</v>
      </c>
      <c r="F10" s="654">
        <v>4643.2299999999996</v>
      </c>
      <c r="G10" s="654">
        <v>3858.57</v>
      </c>
      <c r="H10" s="654">
        <f t="shared" ref="H10:H21" si="0">G10-F10</f>
        <v>-784.6599999999994</v>
      </c>
    </row>
    <row r="11" spans="1:130" x14ac:dyDescent="0.2">
      <c r="A11" s="656">
        <v>42755</v>
      </c>
      <c r="B11" s="657">
        <v>1237.58</v>
      </c>
      <c r="C11" s="659">
        <f>5493.18-2496.78</f>
        <v>2996.4</v>
      </c>
      <c r="D11" s="657">
        <v>3463.28</v>
      </c>
      <c r="E11" s="657">
        <v>3723.22</v>
      </c>
      <c r="F11" s="654">
        <v>3257.98</v>
      </c>
      <c r="G11" s="654">
        <v>2816.13</v>
      </c>
      <c r="H11" s="654">
        <f t="shared" si="0"/>
        <v>-441.84999999999991</v>
      </c>
    </row>
    <row r="12" spans="1:130" x14ac:dyDescent="0.2">
      <c r="A12" s="656">
        <v>42762</v>
      </c>
      <c r="B12" s="657">
        <v>1829.66</v>
      </c>
      <c r="C12" s="659">
        <f>6125.18-2535</f>
        <v>3590.1800000000003</v>
      </c>
      <c r="D12" s="657">
        <v>2947.54</v>
      </c>
      <c r="E12" s="657">
        <v>3026.63</v>
      </c>
      <c r="F12" s="654">
        <v>3503.82</v>
      </c>
      <c r="G12" s="654">
        <v>2957.14</v>
      </c>
      <c r="H12" s="654">
        <f t="shared" si="0"/>
        <v>-546.68000000000029</v>
      </c>
    </row>
    <row r="13" spans="1:130" x14ac:dyDescent="0.2">
      <c r="A13" s="656">
        <v>42769</v>
      </c>
      <c r="B13" s="657">
        <v>2363.12</v>
      </c>
      <c r="C13" s="659">
        <f>-3488.68+8424.94</f>
        <v>4936.26</v>
      </c>
      <c r="D13" s="657">
        <v>3434.46</v>
      </c>
      <c r="E13" s="657">
        <v>2986.58</v>
      </c>
      <c r="F13" s="654">
        <v>4063.43</v>
      </c>
      <c r="G13" s="654">
        <v>3878.62</v>
      </c>
      <c r="H13" s="654">
        <f t="shared" si="0"/>
        <v>-184.80999999999995</v>
      </c>
    </row>
    <row r="14" spans="1:130" x14ac:dyDescent="0.2">
      <c r="A14" s="656">
        <v>42776</v>
      </c>
      <c r="B14" s="657">
        <v>1902.16</v>
      </c>
      <c r="C14" s="659">
        <f>-2931.5+7254.06</f>
        <v>4322.5600000000004</v>
      </c>
      <c r="D14" s="657">
        <v>2818.82</v>
      </c>
      <c r="E14" s="657">
        <f>2800.67</f>
        <v>2800.67</v>
      </c>
      <c r="F14" s="654">
        <v>4002.46</v>
      </c>
      <c r="G14" s="654">
        <v>2987.96</v>
      </c>
      <c r="H14" s="654">
        <f t="shared" si="0"/>
        <v>-1014.5</v>
      </c>
    </row>
    <row r="15" spans="1:130" x14ac:dyDescent="0.2">
      <c r="A15" s="656">
        <v>42783</v>
      </c>
      <c r="B15" s="657">
        <v>2134.56</v>
      </c>
      <c r="C15" s="659">
        <f>-3653.28+8329.5-700</f>
        <v>3976.2199999999993</v>
      </c>
      <c r="D15" s="657">
        <v>2157.96</v>
      </c>
      <c r="E15" s="657">
        <v>2584.04</v>
      </c>
      <c r="F15" s="654">
        <v>2886.61</v>
      </c>
      <c r="G15" s="654">
        <v>3373.08</v>
      </c>
      <c r="H15" s="654">
        <f t="shared" si="0"/>
        <v>486.4699999999998</v>
      </c>
    </row>
    <row r="16" spans="1:130" x14ac:dyDescent="0.2">
      <c r="A16" s="656">
        <v>42790</v>
      </c>
      <c r="B16" s="657">
        <v>1676.08</v>
      </c>
      <c r="C16" s="659">
        <f>-2869.88+6693.6</f>
        <v>3823.7200000000003</v>
      </c>
      <c r="D16" s="657">
        <v>3063.52</v>
      </c>
      <c r="E16" s="657">
        <v>3161.19</v>
      </c>
      <c r="F16" s="654">
        <v>3994.7</v>
      </c>
      <c r="G16" s="654">
        <v>3335.8</v>
      </c>
      <c r="H16" s="654">
        <f t="shared" si="0"/>
        <v>-658.89999999999964</v>
      </c>
    </row>
    <row r="17" spans="1:8" x14ac:dyDescent="0.2">
      <c r="A17" s="656">
        <v>42797</v>
      </c>
      <c r="B17" s="657">
        <v>1418.9</v>
      </c>
      <c r="C17" s="659">
        <f>-3427.32+8141.08</f>
        <v>4713.76</v>
      </c>
      <c r="D17" s="657">
        <v>4534.3</v>
      </c>
      <c r="E17" s="657">
        <v>3860.23</v>
      </c>
      <c r="F17" s="654">
        <v>4172.5600000000004</v>
      </c>
      <c r="G17" s="654">
        <v>2335.96</v>
      </c>
      <c r="H17" s="654">
        <f t="shared" si="0"/>
        <v>-1836.6000000000004</v>
      </c>
    </row>
    <row r="18" spans="1:8" x14ac:dyDescent="0.2">
      <c r="A18" s="656">
        <v>42804</v>
      </c>
      <c r="B18" s="657">
        <v>1013.74</v>
      </c>
      <c r="C18" s="659">
        <f>-2919.8+6449.26</f>
        <v>3529.46</v>
      </c>
      <c r="D18" s="657">
        <v>3673.88</v>
      </c>
      <c r="E18" s="657">
        <v>4004</v>
      </c>
      <c r="F18" s="654">
        <v>3762.8</v>
      </c>
      <c r="G18" s="654">
        <v>1711.94</v>
      </c>
      <c r="H18" s="654">
        <f t="shared" si="0"/>
        <v>-2050.86</v>
      </c>
    </row>
    <row r="19" spans="1:8" x14ac:dyDescent="0.2">
      <c r="A19" s="656">
        <v>42811</v>
      </c>
      <c r="B19" s="660">
        <v>3629.96</v>
      </c>
      <c r="C19" s="659">
        <f>-3708.38+7621.78</f>
        <v>3913.3999999999996</v>
      </c>
      <c r="D19" s="657">
        <v>4030.4</v>
      </c>
      <c r="E19" s="657">
        <v>3222.03</v>
      </c>
      <c r="F19" s="654">
        <v>4340.3</v>
      </c>
      <c r="G19" s="654">
        <v>942.16</v>
      </c>
      <c r="H19" s="654">
        <f t="shared" si="0"/>
        <v>-3398.1400000000003</v>
      </c>
    </row>
    <row r="20" spans="1:8" x14ac:dyDescent="0.2">
      <c r="A20" s="656">
        <v>42818</v>
      </c>
      <c r="B20" s="660">
        <v>3364</v>
      </c>
      <c r="C20" s="659">
        <f>-3726.84+7846.28</f>
        <v>4119.4399999999996</v>
      </c>
      <c r="D20" s="657">
        <v>3975.2</v>
      </c>
      <c r="E20" s="657">
        <v>3684.17</v>
      </c>
      <c r="F20" s="654">
        <v>3849.95</v>
      </c>
      <c r="G20" s="654">
        <v>1706.08</v>
      </c>
      <c r="H20" s="654">
        <f t="shared" si="0"/>
        <v>-2143.87</v>
      </c>
    </row>
    <row r="21" spans="1:8" ht="15" thickBot="1" x14ac:dyDescent="0.25">
      <c r="A21" s="656">
        <v>42825</v>
      </c>
      <c r="B21" s="660">
        <v>3587</v>
      </c>
      <c r="C21" s="659">
        <f>-3329.82+7562.9</f>
        <v>4233.08</v>
      </c>
      <c r="D21" s="657">
        <v>4280.8</v>
      </c>
      <c r="E21" s="660">
        <v>4118.96</v>
      </c>
      <c r="F21" s="661">
        <v>4082.74</v>
      </c>
      <c r="G21" s="661">
        <v>2002.52</v>
      </c>
      <c r="H21" s="654">
        <f t="shared" si="0"/>
        <v>-2080.2199999999998</v>
      </c>
    </row>
    <row r="22" spans="1:8" ht="16.5" thickBot="1" x14ac:dyDescent="0.25">
      <c r="A22" s="662" t="s">
        <v>415</v>
      </c>
      <c r="B22" s="663">
        <f t="shared" ref="B22:H22" si="1">SUM(B9:B21)</f>
        <v>26568.2</v>
      </c>
      <c r="C22" s="663">
        <f t="shared" si="1"/>
        <v>51016.80000000001</v>
      </c>
      <c r="D22" s="663">
        <f t="shared" si="1"/>
        <v>43869.84</v>
      </c>
      <c r="E22" s="663">
        <f t="shared" si="1"/>
        <v>43426.399999999994</v>
      </c>
      <c r="F22" s="663">
        <f t="shared" si="1"/>
        <v>50734.659999999996</v>
      </c>
      <c r="G22" s="663">
        <f t="shared" si="1"/>
        <v>35093.909999999989</v>
      </c>
      <c r="H22" s="663">
        <f t="shared" si="1"/>
        <v>-15640.749999999998</v>
      </c>
    </row>
    <row r="23" spans="1:8" x14ac:dyDescent="0.2">
      <c r="A23" s="664">
        <v>42832</v>
      </c>
      <c r="B23" s="657">
        <v>3525.02</v>
      </c>
      <c r="C23" s="654">
        <v>4517.8999999999996</v>
      </c>
      <c r="D23" s="654">
        <v>4162.12</v>
      </c>
      <c r="E23" s="654">
        <v>4043.7</v>
      </c>
      <c r="F23" s="654">
        <v>3768.69</v>
      </c>
      <c r="G23" s="654">
        <v>2018.44</v>
      </c>
      <c r="H23" s="654">
        <f>G23-F23</f>
        <v>-1750.25</v>
      </c>
    </row>
    <row r="24" spans="1:8" x14ac:dyDescent="0.2">
      <c r="A24" s="664">
        <v>42839</v>
      </c>
      <c r="B24" s="657">
        <v>3842.84</v>
      </c>
      <c r="C24" s="654">
        <v>4554.42</v>
      </c>
      <c r="D24" s="657">
        <v>4616</v>
      </c>
      <c r="E24" s="657">
        <v>4136.18</v>
      </c>
      <c r="F24" s="654">
        <v>4345.16</v>
      </c>
      <c r="G24" s="654">
        <v>5284.52</v>
      </c>
      <c r="H24" s="654">
        <f t="shared" ref="H24:H63" si="2">G24-F24</f>
        <v>939.36000000000058</v>
      </c>
    </row>
    <row r="25" spans="1:8" x14ac:dyDescent="0.2">
      <c r="A25" s="664">
        <v>42846</v>
      </c>
      <c r="B25" s="657">
        <v>5337.82</v>
      </c>
      <c r="C25" s="657">
        <v>4041.14</v>
      </c>
      <c r="D25" s="657">
        <v>3729.1</v>
      </c>
      <c r="E25" s="657">
        <v>4132.83</v>
      </c>
      <c r="F25" s="654">
        <v>4267.46</v>
      </c>
      <c r="G25" s="654">
        <v>4715.9799999999996</v>
      </c>
      <c r="H25" s="654">
        <f t="shared" si="2"/>
        <v>448.51999999999953</v>
      </c>
    </row>
    <row r="26" spans="1:8" x14ac:dyDescent="0.2">
      <c r="A26" s="664">
        <v>42853</v>
      </c>
      <c r="B26" s="657">
        <v>4973.68</v>
      </c>
      <c r="C26" s="657">
        <v>4321.8599999999997</v>
      </c>
      <c r="D26" s="657">
        <v>3706.08</v>
      </c>
      <c r="E26" s="657">
        <v>4536.74</v>
      </c>
      <c r="F26" s="654">
        <v>3953.61</v>
      </c>
      <c r="G26" s="654">
        <v>4499.7</v>
      </c>
      <c r="H26" s="654">
        <f t="shared" si="2"/>
        <v>546.08999999999969</v>
      </c>
    </row>
    <row r="27" spans="1:8" x14ac:dyDescent="0.2">
      <c r="A27" s="664">
        <v>42860</v>
      </c>
      <c r="B27" s="657">
        <v>3187.22</v>
      </c>
      <c r="C27" s="657">
        <v>4732.8999999999996</v>
      </c>
      <c r="D27" s="657">
        <v>3421.72</v>
      </c>
      <c r="E27" s="657">
        <f>3478.64+72+758.56</f>
        <v>4309.2</v>
      </c>
      <c r="F27" s="654">
        <v>4192.32</v>
      </c>
      <c r="G27" s="654">
        <v>4204.16</v>
      </c>
      <c r="H27" s="654">
        <f t="shared" si="2"/>
        <v>11.840000000000146</v>
      </c>
    </row>
    <row r="28" spans="1:8" x14ac:dyDescent="0.2">
      <c r="A28" s="664">
        <v>42867</v>
      </c>
      <c r="B28" s="657">
        <v>2237.2399999999998</v>
      </c>
      <c r="C28" s="657">
        <v>4138.8999999999996</v>
      </c>
      <c r="D28" s="657">
        <v>3907.94</v>
      </c>
      <c r="E28" s="657">
        <f>4050.94+212.76</f>
        <v>4263.7</v>
      </c>
      <c r="F28" s="654">
        <v>4361.47</v>
      </c>
      <c r="G28" s="654">
        <v>4571.82</v>
      </c>
      <c r="H28" s="654">
        <f t="shared" si="2"/>
        <v>210.34999999999945</v>
      </c>
    </row>
    <row r="29" spans="1:8" x14ac:dyDescent="0.2">
      <c r="A29" s="664">
        <v>42874</v>
      </c>
      <c r="B29" s="657">
        <v>3446.22</v>
      </c>
      <c r="C29" s="657">
        <v>5447.82</v>
      </c>
      <c r="D29" s="657">
        <f>3359.74+70.28</f>
        <v>3430.02</v>
      </c>
      <c r="E29" s="657">
        <v>3958.56</v>
      </c>
      <c r="F29" s="654">
        <v>3957.78</v>
      </c>
      <c r="G29" s="654">
        <v>4089.18</v>
      </c>
      <c r="H29" s="654">
        <f t="shared" si="2"/>
        <v>131.39999999999964</v>
      </c>
    </row>
    <row r="30" spans="1:8" x14ac:dyDescent="0.2">
      <c r="A30" s="664">
        <v>42881</v>
      </c>
      <c r="B30" s="657">
        <v>3507.94</v>
      </c>
      <c r="C30" s="657">
        <v>4315.03</v>
      </c>
      <c r="D30" s="657">
        <v>3880.8</v>
      </c>
      <c r="E30" s="657">
        <v>4314.9799999999996</v>
      </c>
      <c r="F30" s="654">
        <v>3634.01</v>
      </c>
      <c r="G30" s="654">
        <v>3993.63</v>
      </c>
      <c r="H30" s="654">
        <f t="shared" si="2"/>
        <v>359.61999999999989</v>
      </c>
    </row>
    <row r="31" spans="1:8" x14ac:dyDescent="0.2">
      <c r="A31" s="664">
        <v>42888</v>
      </c>
      <c r="B31" s="657">
        <v>3609.72</v>
      </c>
      <c r="C31" s="657">
        <v>3053.8</v>
      </c>
      <c r="D31" s="657">
        <v>2686.82</v>
      </c>
      <c r="E31" s="657">
        <v>2987.04</v>
      </c>
      <c r="F31" s="654">
        <v>2684.24</v>
      </c>
      <c r="G31" s="654">
        <v>2384.3200000000002</v>
      </c>
      <c r="H31" s="654">
        <f t="shared" si="2"/>
        <v>-299.91999999999962</v>
      </c>
    </row>
    <row r="32" spans="1:8" x14ac:dyDescent="0.2">
      <c r="A32" s="664">
        <v>42895</v>
      </c>
      <c r="B32" s="657">
        <v>2033.76</v>
      </c>
      <c r="C32" s="657">
        <v>4194.8599999999997</v>
      </c>
      <c r="D32" s="657">
        <v>3006.14</v>
      </c>
      <c r="E32" s="657">
        <v>3675.8</v>
      </c>
      <c r="F32" s="654">
        <v>3674.42</v>
      </c>
      <c r="G32" s="654">
        <v>3297.66</v>
      </c>
      <c r="H32" s="654">
        <f t="shared" si="2"/>
        <v>-376.76000000000022</v>
      </c>
    </row>
    <row r="33" spans="1:8" x14ac:dyDescent="0.2">
      <c r="A33" s="664">
        <v>42902</v>
      </c>
      <c r="B33" s="657">
        <v>2786.98</v>
      </c>
      <c r="C33" s="657">
        <v>3980.08</v>
      </c>
      <c r="D33" s="657">
        <v>3579.53</v>
      </c>
      <c r="E33" s="657">
        <v>4147.8999999999996</v>
      </c>
      <c r="F33" s="654">
        <v>4182.5200000000004</v>
      </c>
      <c r="G33" s="654">
        <v>3252.16</v>
      </c>
      <c r="H33" s="654">
        <f t="shared" si="2"/>
        <v>-930.36000000000058</v>
      </c>
    </row>
    <row r="34" spans="1:8" x14ac:dyDescent="0.2">
      <c r="A34" s="664">
        <v>42909</v>
      </c>
      <c r="B34" s="660">
        <v>2436.9</v>
      </c>
      <c r="C34" s="657">
        <v>4001.26</v>
      </c>
      <c r="D34" s="657">
        <v>3401.21</v>
      </c>
      <c r="E34" s="657">
        <v>3774.82</v>
      </c>
      <c r="F34" s="654">
        <v>3596.56</v>
      </c>
      <c r="G34" s="654">
        <v>3139.68</v>
      </c>
      <c r="H34" s="654">
        <f t="shared" si="2"/>
        <v>-456.88000000000011</v>
      </c>
    </row>
    <row r="35" spans="1:8" ht="15" thickBot="1" x14ac:dyDescent="0.25">
      <c r="A35" s="664">
        <v>42916</v>
      </c>
      <c r="B35" s="660">
        <v>2410.56</v>
      </c>
      <c r="C35" s="657">
        <v>3928.74</v>
      </c>
      <c r="D35" s="660">
        <v>3288.01</v>
      </c>
      <c r="E35" s="660">
        <v>3466.07</v>
      </c>
      <c r="F35" s="661">
        <v>3867.92</v>
      </c>
      <c r="G35" s="661">
        <v>3368.72</v>
      </c>
      <c r="H35" s="654">
        <f t="shared" si="2"/>
        <v>-499.20000000000027</v>
      </c>
    </row>
    <row r="36" spans="1:8" ht="16.5" thickBot="1" x14ac:dyDescent="0.25">
      <c r="A36" s="662" t="s">
        <v>416</v>
      </c>
      <c r="B36" s="663">
        <f t="shared" ref="B36:H36" si="3">SUM(B23:B35)</f>
        <v>43335.9</v>
      </c>
      <c r="C36" s="663">
        <f t="shared" si="3"/>
        <v>55228.710000000006</v>
      </c>
      <c r="D36" s="663">
        <f t="shared" si="3"/>
        <v>46815.49</v>
      </c>
      <c r="E36" s="663">
        <f t="shared" si="3"/>
        <v>51747.520000000004</v>
      </c>
      <c r="F36" s="663">
        <f t="shared" si="3"/>
        <v>50486.159999999989</v>
      </c>
      <c r="G36" s="663">
        <f t="shared" si="3"/>
        <v>48819.970000000008</v>
      </c>
      <c r="H36" s="663">
        <f t="shared" si="3"/>
        <v>-1666.1900000000019</v>
      </c>
    </row>
    <row r="37" spans="1:8" x14ac:dyDescent="0.2">
      <c r="A37" s="664">
        <v>42923</v>
      </c>
      <c r="B37" s="654">
        <f>899.92+2410.56</f>
        <v>3310.48</v>
      </c>
      <c r="C37" s="654">
        <v>3059.59</v>
      </c>
      <c r="D37" s="654">
        <f>952.56+2445.69</f>
        <v>3398.25</v>
      </c>
      <c r="E37" s="654">
        <f>1313.52+1315.48</f>
        <v>2629</v>
      </c>
      <c r="F37" s="654">
        <v>3092.18</v>
      </c>
      <c r="G37" s="654">
        <v>2501.6799999999998</v>
      </c>
      <c r="H37" s="654">
        <f t="shared" si="2"/>
        <v>-590.5</v>
      </c>
    </row>
    <row r="38" spans="1:8" x14ac:dyDescent="0.2">
      <c r="A38" s="656">
        <v>42930</v>
      </c>
      <c r="B38" s="654">
        <v>2613.8200000000002</v>
      </c>
      <c r="C38" s="654">
        <v>4164.28</v>
      </c>
      <c r="D38" s="657">
        <v>3621.49</v>
      </c>
      <c r="E38" s="657">
        <v>3328.78</v>
      </c>
      <c r="F38" s="654">
        <v>4363</v>
      </c>
      <c r="G38" s="654">
        <v>3463.97</v>
      </c>
      <c r="H38" s="654">
        <f t="shared" si="2"/>
        <v>-899.0300000000002</v>
      </c>
    </row>
    <row r="39" spans="1:8" x14ac:dyDescent="0.2">
      <c r="A39" s="656">
        <v>42937</v>
      </c>
      <c r="B39" s="657">
        <v>2285.09</v>
      </c>
      <c r="C39" s="657">
        <v>3698.36</v>
      </c>
      <c r="D39" s="657">
        <v>3478.53</v>
      </c>
      <c r="E39" s="657">
        <v>4114.08</v>
      </c>
      <c r="F39" s="654">
        <v>3936.33</v>
      </c>
      <c r="G39" s="654">
        <v>3416.66</v>
      </c>
      <c r="H39" s="654">
        <f t="shared" si="2"/>
        <v>-519.67000000000007</v>
      </c>
    </row>
    <row r="40" spans="1:8" x14ac:dyDescent="0.2">
      <c r="A40" s="656">
        <v>42944</v>
      </c>
      <c r="B40" s="657">
        <v>1982.06</v>
      </c>
      <c r="C40" s="657">
        <v>3907.78</v>
      </c>
      <c r="D40" s="657">
        <v>3713.11</v>
      </c>
      <c r="E40" s="657">
        <v>4010.57</v>
      </c>
      <c r="F40" s="654">
        <v>3962.85</v>
      </c>
      <c r="G40" s="654">
        <v>3139.68</v>
      </c>
      <c r="H40" s="654">
        <f t="shared" si="2"/>
        <v>-823.17000000000007</v>
      </c>
    </row>
    <row r="41" spans="1:8" x14ac:dyDescent="0.2">
      <c r="A41" s="656">
        <v>42951</v>
      </c>
      <c r="B41" s="657">
        <v>2442</v>
      </c>
      <c r="C41" s="657">
        <v>3807.12</v>
      </c>
      <c r="D41" s="657">
        <v>3318.21</v>
      </c>
      <c r="E41" s="657">
        <v>3520.16</v>
      </c>
      <c r="F41" s="654">
        <v>3810.8</v>
      </c>
      <c r="G41" s="654">
        <v>3171.9</v>
      </c>
      <c r="H41" s="654">
        <f t="shared" si="2"/>
        <v>-638.90000000000009</v>
      </c>
    </row>
    <row r="42" spans="1:8" x14ac:dyDescent="0.2">
      <c r="A42" s="656">
        <v>42958</v>
      </c>
      <c r="B42" s="657">
        <v>2003.68</v>
      </c>
      <c r="C42" s="657">
        <v>3636.64</v>
      </c>
      <c r="D42" s="657">
        <v>2999.63</v>
      </c>
      <c r="E42" s="657">
        <v>3150.64</v>
      </c>
      <c r="F42" s="654">
        <v>3905.08</v>
      </c>
      <c r="G42" s="654">
        <v>3339.76</v>
      </c>
      <c r="H42" s="654">
        <f t="shared" si="2"/>
        <v>-565.31999999999971</v>
      </c>
    </row>
    <row r="43" spans="1:8" x14ac:dyDescent="0.2">
      <c r="A43" s="656">
        <v>42965</v>
      </c>
      <c r="B43" s="657">
        <v>1971.38</v>
      </c>
      <c r="C43" s="657">
        <v>3658.28</v>
      </c>
      <c r="D43" s="657">
        <v>4080.16</v>
      </c>
      <c r="E43" s="657">
        <v>3780.2</v>
      </c>
      <c r="F43" s="654">
        <v>3747.05</v>
      </c>
      <c r="G43" s="654">
        <v>3333.42</v>
      </c>
      <c r="H43" s="654">
        <f t="shared" si="2"/>
        <v>-413.63000000000011</v>
      </c>
    </row>
    <row r="44" spans="1:8" x14ac:dyDescent="0.2">
      <c r="A44" s="656">
        <v>42972</v>
      </c>
      <c r="B44" s="657">
        <v>2725.14</v>
      </c>
      <c r="C44" s="657">
        <v>4096.0200000000004</v>
      </c>
      <c r="D44" s="657">
        <v>4309.82</v>
      </c>
      <c r="E44" s="657">
        <v>3361.86</v>
      </c>
      <c r="F44" s="654">
        <v>3788.4</v>
      </c>
      <c r="G44" s="654">
        <v>3772.14</v>
      </c>
      <c r="H44" s="654">
        <f t="shared" si="2"/>
        <v>-16.260000000000218</v>
      </c>
    </row>
    <row r="45" spans="1:8" x14ac:dyDescent="0.2">
      <c r="A45" s="656">
        <v>42979</v>
      </c>
      <c r="B45" s="657">
        <v>2749.96</v>
      </c>
      <c r="C45" s="657">
        <v>3825.18</v>
      </c>
      <c r="D45" s="657">
        <v>3712.48</v>
      </c>
      <c r="E45" s="657">
        <v>3605.07</v>
      </c>
      <c r="F45" s="654">
        <v>3858.34</v>
      </c>
      <c r="G45" s="654">
        <v>3206</v>
      </c>
      <c r="H45" s="654">
        <f t="shared" si="2"/>
        <v>-652.34000000000015</v>
      </c>
    </row>
    <row r="46" spans="1:8" x14ac:dyDescent="0.2">
      <c r="A46" s="656">
        <v>42986</v>
      </c>
      <c r="B46" s="657">
        <v>2323.9</v>
      </c>
      <c r="C46" s="657">
        <v>2717.46</v>
      </c>
      <c r="D46" s="657">
        <v>3072.96</v>
      </c>
      <c r="E46" s="657">
        <f>753.86+2730.15</f>
        <v>3484.01</v>
      </c>
      <c r="F46" s="654">
        <v>3265.99</v>
      </c>
      <c r="G46" s="654">
        <v>2271.2199999999998</v>
      </c>
      <c r="H46" s="654">
        <f t="shared" si="2"/>
        <v>-994.77</v>
      </c>
    </row>
    <row r="47" spans="1:8" x14ac:dyDescent="0.2">
      <c r="A47" s="656">
        <v>42993</v>
      </c>
      <c r="B47" s="657">
        <v>2621.61</v>
      </c>
      <c r="C47" s="657">
        <v>3748.38</v>
      </c>
      <c r="D47" s="657">
        <v>3926.25</v>
      </c>
      <c r="E47" s="657">
        <v>3212.96</v>
      </c>
      <c r="F47" s="654">
        <v>3712.16</v>
      </c>
      <c r="G47" s="654">
        <v>2688.36</v>
      </c>
      <c r="H47" s="654">
        <f t="shared" si="2"/>
        <v>-1023.7999999999997</v>
      </c>
    </row>
    <row r="48" spans="1:8" x14ac:dyDescent="0.2">
      <c r="A48" s="656">
        <v>43000</v>
      </c>
      <c r="B48" s="657">
        <v>2394.14</v>
      </c>
      <c r="C48" s="657">
        <v>3766.8</v>
      </c>
      <c r="D48" s="657">
        <v>4164.1899999999996</v>
      </c>
      <c r="E48" s="657">
        <v>4004.92</v>
      </c>
      <c r="F48" s="654">
        <v>3509.17</v>
      </c>
      <c r="G48" s="654">
        <v>3180.04</v>
      </c>
      <c r="H48" s="654">
        <f t="shared" si="2"/>
        <v>-329.13000000000011</v>
      </c>
    </row>
    <row r="49" spans="1:8" ht="15" thickBot="1" x14ac:dyDescent="0.25">
      <c r="A49" s="656">
        <v>43007</v>
      </c>
      <c r="B49" s="660">
        <v>2669.64</v>
      </c>
      <c r="C49" s="660">
        <v>4136.58</v>
      </c>
      <c r="D49" s="660">
        <v>3566.31</v>
      </c>
      <c r="E49" s="660">
        <v>3837.41</v>
      </c>
      <c r="F49" s="661">
        <v>3803.3</v>
      </c>
      <c r="G49" s="661">
        <v>2437.88</v>
      </c>
      <c r="H49" s="654">
        <f t="shared" si="2"/>
        <v>-1365.42</v>
      </c>
    </row>
    <row r="50" spans="1:8" ht="16.5" thickBot="1" x14ac:dyDescent="0.25">
      <c r="A50" s="662" t="s">
        <v>417</v>
      </c>
      <c r="B50" s="663">
        <f>SUM(B37:B49)</f>
        <v>32092.899999999998</v>
      </c>
      <c r="C50" s="663">
        <f>SUM(C37:C49)</f>
        <v>48222.47</v>
      </c>
      <c r="D50" s="663">
        <f>SUM(D37:D49)</f>
        <v>47361.39</v>
      </c>
      <c r="E50" s="663">
        <f>SUM(E37:E49)</f>
        <v>46039.66</v>
      </c>
      <c r="F50" s="663">
        <f t="shared" ref="F50:H50" si="4">SUM(F37:F49)</f>
        <v>48754.649999999994</v>
      </c>
      <c r="G50" s="663">
        <f t="shared" si="4"/>
        <v>39922.71</v>
      </c>
      <c r="H50" s="663">
        <f t="shared" si="4"/>
        <v>-8831.9399999999987</v>
      </c>
    </row>
    <row r="51" spans="1:8" x14ac:dyDescent="0.2">
      <c r="A51" s="664">
        <v>43014</v>
      </c>
      <c r="B51" s="654">
        <v>3051.16</v>
      </c>
      <c r="C51" s="654">
        <v>4721</v>
      </c>
      <c r="D51" s="654">
        <f>1531.24+2227.04</f>
        <v>3758.2799999999997</v>
      </c>
      <c r="E51" s="654">
        <v>3921.83</v>
      </c>
      <c r="F51" s="654">
        <v>3911.96</v>
      </c>
      <c r="G51" s="654">
        <v>3047.82</v>
      </c>
      <c r="H51" s="654">
        <f t="shared" si="2"/>
        <v>-864.13999999999987</v>
      </c>
    </row>
    <row r="52" spans="1:8" x14ac:dyDescent="0.2">
      <c r="A52" s="656">
        <v>43021</v>
      </c>
      <c r="B52" s="657">
        <v>2579.96</v>
      </c>
      <c r="C52" s="657">
        <v>4035.24</v>
      </c>
      <c r="D52" s="657">
        <v>4232.92</v>
      </c>
      <c r="E52" s="657">
        <v>3403.46</v>
      </c>
      <c r="F52" s="654">
        <v>3093.5</v>
      </c>
      <c r="G52" s="654">
        <v>2010.94</v>
      </c>
      <c r="H52" s="654">
        <f t="shared" si="2"/>
        <v>-1082.56</v>
      </c>
    </row>
    <row r="53" spans="1:8" x14ac:dyDescent="0.2">
      <c r="A53" s="656">
        <v>43028</v>
      </c>
      <c r="B53" s="657">
        <v>3119.16</v>
      </c>
      <c r="C53" s="657">
        <v>2972.08</v>
      </c>
      <c r="D53" s="657">
        <v>3057.22</v>
      </c>
      <c r="E53" s="657">
        <v>3116.16</v>
      </c>
      <c r="F53" s="654">
        <v>4261.32</v>
      </c>
      <c r="G53" s="654">
        <v>3314.5</v>
      </c>
      <c r="H53" s="654">
        <f t="shared" si="2"/>
        <v>-946.81999999999971</v>
      </c>
    </row>
    <row r="54" spans="1:8" x14ac:dyDescent="0.2">
      <c r="A54" s="656">
        <v>43035</v>
      </c>
      <c r="B54" s="657">
        <v>2378.1999999999998</v>
      </c>
      <c r="C54" s="657">
        <v>3341.66</v>
      </c>
      <c r="D54" s="657">
        <v>3745.65</v>
      </c>
      <c r="E54" s="657">
        <v>3664.58</v>
      </c>
      <c r="F54" s="654">
        <v>3860.55</v>
      </c>
      <c r="G54" s="654">
        <v>2905</v>
      </c>
      <c r="H54" s="654">
        <f t="shared" si="2"/>
        <v>-955.55000000000018</v>
      </c>
    </row>
    <row r="55" spans="1:8" x14ac:dyDescent="0.2">
      <c r="A55" s="656">
        <v>43042</v>
      </c>
      <c r="B55" s="657">
        <v>2153.36</v>
      </c>
      <c r="C55" s="657">
        <v>3165.08</v>
      </c>
      <c r="D55" s="657">
        <f>3171.04+47.44+30.24</f>
        <v>3248.72</v>
      </c>
      <c r="E55" s="657">
        <v>3792.71</v>
      </c>
      <c r="F55" s="654">
        <v>3942.48</v>
      </c>
      <c r="G55" s="654">
        <v>3169.18</v>
      </c>
      <c r="H55" s="654">
        <f t="shared" si="2"/>
        <v>-773.30000000000018</v>
      </c>
    </row>
    <row r="56" spans="1:8" x14ac:dyDescent="0.2">
      <c r="A56" s="656">
        <v>43049</v>
      </c>
      <c r="B56" s="657">
        <v>1549.7</v>
      </c>
      <c r="C56" s="657">
        <v>3024.18</v>
      </c>
      <c r="D56" s="657">
        <v>3967.37</v>
      </c>
      <c r="E56" s="657">
        <v>3804.52</v>
      </c>
      <c r="F56" s="654">
        <v>3933.48</v>
      </c>
      <c r="G56" s="654">
        <v>2670.04</v>
      </c>
      <c r="H56" s="654">
        <f t="shared" si="2"/>
        <v>-1263.44</v>
      </c>
    </row>
    <row r="57" spans="1:8" x14ac:dyDescent="0.2">
      <c r="A57" s="656">
        <v>43056</v>
      </c>
      <c r="B57" s="657">
        <f>(5311.2-178.1)*0.5</f>
        <v>2566.5499999999997</v>
      </c>
      <c r="C57" s="657">
        <v>3500.86</v>
      </c>
      <c r="D57" s="657">
        <v>4007.55</v>
      </c>
      <c r="E57" s="657">
        <v>3693.64</v>
      </c>
      <c r="F57" s="654">
        <v>3860.4</v>
      </c>
      <c r="G57" s="654">
        <v>2400.7199999999998</v>
      </c>
      <c r="H57" s="654">
        <f t="shared" si="2"/>
        <v>-1459.6800000000003</v>
      </c>
    </row>
    <row r="58" spans="1:8" x14ac:dyDescent="0.2">
      <c r="A58" s="656">
        <v>43063</v>
      </c>
      <c r="B58" s="657">
        <f>(5311.2-178.1)*0.5</f>
        <v>2566.5499999999997</v>
      </c>
      <c r="C58" s="657">
        <v>4015.8</v>
      </c>
      <c r="D58" s="657">
        <v>4445.62</v>
      </c>
      <c r="E58" s="657">
        <v>3499.88</v>
      </c>
      <c r="F58" s="654">
        <v>1675.8</v>
      </c>
      <c r="G58" s="654">
        <v>1268.44</v>
      </c>
      <c r="H58" s="654">
        <f t="shared" si="2"/>
        <v>-407.3599999999999</v>
      </c>
    </row>
    <row r="59" spans="1:8" x14ac:dyDescent="0.2">
      <c r="A59" s="656">
        <v>43070</v>
      </c>
      <c r="B59" s="657">
        <v>3577.34</v>
      </c>
      <c r="C59" s="657">
        <v>2434.3200000000002</v>
      </c>
      <c r="D59" s="657">
        <v>1953.09</v>
      </c>
      <c r="E59" s="657">
        <v>2000.54</v>
      </c>
      <c r="F59" s="654">
        <v>3669.06</v>
      </c>
      <c r="G59" s="654">
        <v>2816.72</v>
      </c>
      <c r="H59" s="654">
        <f t="shared" si="2"/>
        <v>-852.34000000000015</v>
      </c>
    </row>
    <row r="60" spans="1:8" x14ac:dyDescent="0.2">
      <c r="A60" s="656">
        <v>43077</v>
      </c>
      <c r="B60" s="657">
        <v>3486.12</v>
      </c>
      <c r="C60" s="657">
        <v>3291.9</v>
      </c>
      <c r="D60" s="657">
        <v>3710.06</v>
      </c>
      <c r="E60" s="657">
        <f>2372.46+627.88</f>
        <v>3000.34</v>
      </c>
      <c r="F60" s="654">
        <v>3225.52</v>
      </c>
      <c r="G60" s="654">
        <v>2427</v>
      </c>
      <c r="H60" s="654">
        <f t="shared" si="2"/>
        <v>-798.52</v>
      </c>
    </row>
    <row r="61" spans="1:8" x14ac:dyDescent="0.2">
      <c r="A61" s="656">
        <v>43084</v>
      </c>
      <c r="B61" s="657">
        <v>3539.16</v>
      </c>
      <c r="C61" s="657">
        <v>4047.94</v>
      </c>
      <c r="D61" s="657">
        <v>3873.59</v>
      </c>
      <c r="E61" s="657">
        <v>4104.09</v>
      </c>
      <c r="F61" s="654">
        <v>2933.78</v>
      </c>
      <c r="G61" s="654">
        <v>2427</v>
      </c>
      <c r="H61" s="654">
        <f t="shared" si="2"/>
        <v>-506.7800000000002</v>
      </c>
    </row>
    <row r="62" spans="1:8" x14ac:dyDescent="0.2">
      <c r="A62" s="656">
        <v>43091</v>
      </c>
      <c r="B62" s="657">
        <v>1609.64</v>
      </c>
      <c r="C62" s="657">
        <v>3903.54</v>
      </c>
      <c r="D62" s="657">
        <v>3580.24</v>
      </c>
      <c r="E62" s="657">
        <v>3625.1</v>
      </c>
      <c r="F62" s="654">
        <v>3555.5</v>
      </c>
      <c r="G62" s="654">
        <v>2649.12</v>
      </c>
      <c r="H62" s="654">
        <f t="shared" si="2"/>
        <v>-906.38000000000011</v>
      </c>
    </row>
    <row r="63" spans="1:8" ht="15" thickBot="1" x14ac:dyDescent="0.25">
      <c r="A63" s="665">
        <v>43098</v>
      </c>
      <c r="B63" s="666">
        <v>5154.84</v>
      </c>
      <c r="C63" s="666">
        <v>2331.48</v>
      </c>
      <c r="D63" s="666">
        <v>2383.63</v>
      </c>
      <c r="E63" s="666">
        <v>2256.69</v>
      </c>
      <c r="F63" s="667">
        <v>2486.06</v>
      </c>
      <c r="G63" s="667">
        <v>2088.3000000000002</v>
      </c>
      <c r="H63" s="654">
        <f t="shared" si="2"/>
        <v>-397.75999999999976</v>
      </c>
    </row>
    <row r="64" spans="1:8" ht="16.5" thickBot="1" x14ac:dyDescent="0.25">
      <c r="A64" s="662" t="s">
        <v>418</v>
      </c>
      <c r="B64" s="663">
        <f>SUM(B51:B63)</f>
        <v>37331.74</v>
      </c>
      <c r="C64" s="663">
        <f>SUM(C51:C63)</f>
        <v>44785.08</v>
      </c>
      <c r="D64" s="663">
        <f>SUM(D51:D63)</f>
        <v>45963.939999999988</v>
      </c>
      <c r="E64" s="663">
        <f>SUM(E51:E63)</f>
        <v>43883.54</v>
      </c>
      <c r="F64" s="663">
        <f>SUM(F51:F63)</f>
        <v>44409.409999999996</v>
      </c>
      <c r="G64" s="663">
        <f t="shared" ref="G64" si="5">SUM(G51:G63)</f>
        <v>33194.78</v>
      </c>
      <c r="H64" s="663">
        <f>SUM(H51:H63)</f>
        <v>-11214.63</v>
      </c>
    </row>
    <row r="65" spans="1:8" ht="15.75" x14ac:dyDescent="0.25">
      <c r="A65" s="668" t="s">
        <v>419</v>
      </c>
      <c r="B65" s="669">
        <f t="shared" ref="B65:H65" si="6">SUM(B9:B63)-B22-B36-B50</f>
        <v>139328.74</v>
      </c>
      <c r="C65" s="669">
        <f t="shared" si="6"/>
        <v>199253.05999999985</v>
      </c>
      <c r="D65" s="669">
        <f t="shared" si="6"/>
        <v>184010.66000000003</v>
      </c>
      <c r="E65" s="669">
        <f t="shared" si="6"/>
        <v>185097.12000000014</v>
      </c>
      <c r="F65" s="669">
        <f t="shared" si="6"/>
        <v>194384.88000000003</v>
      </c>
      <c r="G65" s="669">
        <f t="shared" si="6"/>
        <v>157031.36999999994</v>
      </c>
      <c r="H65" s="669">
        <f t="shared" si="6"/>
        <v>-37353.509999999995</v>
      </c>
    </row>
    <row r="66" spans="1:8" x14ac:dyDescent="0.2">
      <c r="A66" s="57" t="s">
        <v>420</v>
      </c>
      <c r="B66" s="670">
        <f t="shared" ref="B66:G66" si="7">AVERAGE(B9:B21)</f>
        <v>2043.7076923076925</v>
      </c>
      <c r="C66" s="671">
        <f t="shared" si="7"/>
        <v>3924.3692307692318</v>
      </c>
      <c r="D66" s="671">
        <f t="shared" si="7"/>
        <v>3374.6030769230765</v>
      </c>
      <c r="E66" s="671">
        <f t="shared" si="7"/>
        <v>3340.4923076923073</v>
      </c>
      <c r="F66" s="671">
        <f t="shared" si="7"/>
        <v>3902.6661538461535</v>
      </c>
      <c r="G66" s="670">
        <f t="shared" si="7"/>
        <v>2699.5315384615378</v>
      </c>
      <c r="H66" s="672">
        <f>G66-F66</f>
        <v>-1203.1346153846157</v>
      </c>
    </row>
    <row r="67" spans="1:8" x14ac:dyDescent="0.2">
      <c r="A67" s="57" t="s">
        <v>421</v>
      </c>
      <c r="B67" s="673">
        <f t="shared" ref="B67:G67" si="8">AVERAGE(B23:B35)</f>
        <v>3333.5307692307692</v>
      </c>
      <c r="C67" s="674">
        <f t="shared" si="8"/>
        <v>4248.3623076923086</v>
      </c>
      <c r="D67" s="674">
        <f t="shared" si="8"/>
        <v>3601.1915384615381</v>
      </c>
      <c r="E67" s="674">
        <f t="shared" si="8"/>
        <v>3980.5784615384619</v>
      </c>
      <c r="F67" s="674">
        <f t="shared" si="8"/>
        <v>3883.5507692307683</v>
      </c>
      <c r="G67" s="673">
        <f t="shared" si="8"/>
        <v>3755.3823076923081</v>
      </c>
      <c r="H67" s="675">
        <f>G67-F67</f>
        <v>-128.16846153846018</v>
      </c>
    </row>
    <row r="68" spans="1:8" x14ac:dyDescent="0.2">
      <c r="A68" s="57" t="s">
        <v>422</v>
      </c>
      <c r="B68" s="673">
        <f t="shared" ref="B68:F68" si="9">AVERAGE(B37:B49)</f>
        <v>2468.6846153846154</v>
      </c>
      <c r="C68" s="674">
        <f t="shared" si="9"/>
        <v>3709.4207692307691</v>
      </c>
      <c r="D68" s="674">
        <f t="shared" si="9"/>
        <v>3643.1838461538459</v>
      </c>
      <c r="E68" s="674">
        <f t="shared" si="9"/>
        <v>3541.5123076923078</v>
      </c>
      <c r="F68" s="674">
        <f t="shared" si="9"/>
        <v>3750.3576923076917</v>
      </c>
      <c r="G68" s="674">
        <f>AVERAGE(G37:G49)</f>
        <v>3070.9776923076925</v>
      </c>
      <c r="H68" s="675">
        <f>G68-F68</f>
        <v>-679.3799999999992</v>
      </c>
    </row>
    <row r="69" spans="1:8" x14ac:dyDescent="0.2">
      <c r="A69" s="57" t="s">
        <v>423</v>
      </c>
      <c r="B69" s="676">
        <f t="shared" ref="B69:G69" si="10">AVERAGE(B51:B63)</f>
        <v>2871.6723076923076</v>
      </c>
      <c r="C69" s="677">
        <f t="shared" si="10"/>
        <v>3445.0061538461541</v>
      </c>
      <c r="D69" s="677">
        <f t="shared" si="10"/>
        <v>3535.6876923076916</v>
      </c>
      <c r="E69" s="678">
        <f t="shared" si="10"/>
        <v>3375.6569230769232</v>
      </c>
      <c r="F69" s="678">
        <f t="shared" si="10"/>
        <v>3416.1084615384611</v>
      </c>
      <c r="G69" s="678">
        <f t="shared" si="10"/>
        <v>2553.4446153846152</v>
      </c>
      <c r="H69" s="679">
        <f>G69-F69</f>
        <v>-862.66384615384595</v>
      </c>
    </row>
    <row r="71" spans="1:8" x14ac:dyDescent="0.2">
      <c r="H71" s="646"/>
    </row>
    <row r="74" spans="1:8" x14ac:dyDescent="0.2">
      <c r="C74" s="647"/>
    </row>
    <row r="75" spans="1:8" x14ac:dyDescent="0.2">
      <c r="C75" s="647"/>
    </row>
  </sheetData>
  <mergeCells count="1">
    <mergeCell ref="A5:H5"/>
  </mergeCells>
  <pageMargins left="1.2" right="0.2" top="0.2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103</v>
      </c>
      <c r="B1" s="60"/>
      <c r="C1" s="61"/>
      <c r="D1" s="61"/>
      <c r="E1" s="61"/>
      <c r="F1" s="60"/>
      <c r="G1" s="252"/>
      <c r="H1" s="581"/>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335</v>
      </c>
      <c r="B2" s="60"/>
      <c r="C2" s="61"/>
      <c r="D2" s="61"/>
      <c r="E2" s="61"/>
      <c r="F2" s="60"/>
      <c r="G2" s="252"/>
      <c r="H2" s="581"/>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325</v>
      </c>
      <c r="B3" s="60"/>
      <c r="C3" s="61"/>
      <c r="D3" s="61"/>
      <c r="E3" s="61"/>
      <c r="F3" s="60"/>
      <c r="G3" s="252"/>
      <c r="H3" s="581"/>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336</v>
      </c>
      <c r="B4" s="60"/>
      <c r="C4" s="61"/>
      <c r="D4" s="61"/>
      <c r="E4" s="61"/>
      <c r="F4" s="60"/>
      <c r="G4" s="252"/>
      <c r="H4" s="581"/>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53"/>
      <c r="H5" s="58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76" t="s">
        <v>56</v>
      </c>
      <c r="H6" s="562"/>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54"/>
      <c r="H7" s="412"/>
    </row>
    <row r="8" spans="1:143" s="73" customFormat="1" ht="21" thickBot="1" x14ac:dyDescent="0.35">
      <c r="A8" s="70"/>
      <c r="B8" s="155" t="s">
        <v>110</v>
      </c>
      <c r="C8" s="155"/>
      <c r="D8" s="155"/>
      <c r="E8" s="155"/>
      <c r="F8" s="155"/>
      <c r="G8" s="308"/>
      <c r="H8" s="583"/>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72" t="s">
        <v>111</v>
      </c>
      <c r="D9" s="472"/>
      <c r="E9" s="472"/>
      <c r="F9" s="74"/>
      <c r="G9" s="289">
        <v>1015000</v>
      </c>
      <c r="H9" s="412"/>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72" t="s">
        <v>195</v>
      </c>
      <c r="D10" s="472"/>
      <c r="E10" s="472"/>
      <c r="F10" s="74"/>
      <c r="G10" s="290">
        <v>13000</v>
      </c>
      <c r="H10" s="412"/>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40"/>
      <c r="C11" s="472" t="s">
        <v>164</v>
      </c>
      <c r="D11" s="472"/>
      <c r="E11" s="472"/>
      <c r="F11" s="74"/>
      <c r="G11" s="290">
        <v>195000</v>
      </c>
      <c r="H11" s="41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40"/>
      <c r="C12" s="472" t="s">
        <v>208</v>
      </c>
      <c r="D12" s="472"/>
      <c r="E12" s="472"/>
      <c r="F12" s="74"/>
      <c r="G12" s="290">
        <v>40000</v>
      </c>
      <c r="H12" s="41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40"/>
      <c r="C13" s="472" t="s">
        <v>112</v>
      </c>
      <c r="D13" s="472"/>
      <c r="E13" s="472"/>
      <c r="F13" s="74"/>
      <c r="G13" s="290"/>
      <c r="H13" s="412"/>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40"/>
      <c r="C14" s="78"/>
      <c r="D14" s="472" t="s">
        <v>153</v>
      </c>
      <c r="E14" s="472"/>
      <c r="F14" s="74"/>
      <c r="G14" s="290">
        <f>43900+41500+122000</f>
        <v>207400</v>
      </c>
      <c r="H14" s="412"/>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40"/>
      <c r="C15" s="78"/>
      <c r="D15" s="472" t="s">
        <v>175</v>
      </c>
      <c r="E15" s="472"/>
      <c r="F15" s="74"/>
      <c r="G15" s="290">
        <v>11000</v>
      </c>
      <c r="H15" s="41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40"/>
      <c r="C16" s="472" t="s">
        <v>113</v>
      </c>
      <c r="D16" s="472"/>
      <c r="E16" s="472"/>
      <c r="F16" s="74"/>
      <c r="G16" s="290">
        <v>9500</v>
      </c>
      <c r="H16" s="412"/>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40"/>
      <c r="C17" s="472" t="s">
        <v>120</v>
      </c>
      <c r="D17" s="472"/>
      <c r="E17" s="472"/>
      <c r="F17" s="74"/>
      <c r="G17" s="290">
        <v>1000</v>
      </c>
      <c r="H17" s="412"/>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40"/>
      <c r="C18" s="472" t="s">
        <v>289</v>
      </c>
      <c r="D18" s="472"/>
      <c r="E18" s="472"/>
      <c r="F18" s="74"/>
      <c r="G18" s="290">
        <v>3000</v>
      </c>
      <c r="H18" s="412"/>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40"/>
      <c r="C19" s="472" t="s">
        <v>290</v>
      </c>
      <c r="D19" s="472"/>
      <c r="E19" s="472"/>
      <c r="F19" s="74"/>
      <c r="G19" s="290">
        <f>25000+8000+20000</f>
        <v>53000</v>
      </c>
      <c r="H19" s="412"/>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40"/>
      <c r="C20" s="472" t="s">
        <v>159</v>
      </c>
      <c r="D20" s="472"/>
      <c r="E20" s="472"/>
      <c r="F20" s="74"/>
      <c r="G20" s="290">
        <v>500</v>
      </c>
      <c r="H20" s="412"/>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40"/>
      <c r="C21" s="472" t="s">
        <v>184</v>
      </c>
      <c r="D21" s="472"/>
      <c r="E21" s="472"/>
      <c r="F21" s="74"/>
      <c r="G21" s="290"/>
      <c r="H21" s="412"/>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40"/>
      <c r="C22" s="472" t="s">
        <v>119</v>
      </c>
      <c r="D22" s="472"/>
      <c r="E22" s="472"/>
      <c r="F22" s="74"/>
      <c r="G22" s="291">
        <v>46575</v>
      </c>
      <c r="H22" s="412"/>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40"/>
      <c r="C23" s="472"/>
      <c r="D23" s="74" t="s">
        <v>115</v>
      </c>
      <c r="E23" s="472"/>
      <c r="F23" s="74"/>
      <c r="G23" s="256">
        <f>SUM(G9:G22)</f>
        <v>1594975</v>
      </c>
      <c r="H23" s="412"/>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40"/>
      <c r="C24" s="74" t="s">
        <v>116</v>
      </c>
      <c r="D24" s="472"/>
      <c r="E24" s="472"/>
      <c r="F24" s="74"/>
      <c r="G24" s="264">
        <f>68000+18000</f>
        <v>86000</v>
      </c>
      <c r="H24" s="412"/>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40"/>
      <c r="C25" s="472"/>
      <c r="D25" s="74" t="s">
        <v>117</v>
      </c>
      <c r="E25" s="472"/>
      <c r="F25" s="74"/>
      <c r="G25" s="256">
        <f>SUM(G23:G24)</f>
        <v>1680975</v>
      </c>
      <c r="H25" s="412"/>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40"/>
      <c r="C26" s="472"/>
      <c r="D26" s="74"/>
      <c r="E26" s="472"/>
      <c r="F26" s="74"/>
      <c r="G26" s="256"/>
      <c r="H26" s="412"/>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41" t="s">
        <v>121</v>
      </c>
      <c r="C27" s="88"/>
      <c r="D27" s="88"/>
      <c r="E27" s="88"/>
      <c r="F27" s="88"/>
      <c r="G27" s="264"/>
      <c r="H27" s="412"/>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42"/>
      <c r="C28" s="80" t="s">
        <v>122</v>
      </c>
      <c r="D28" s="80"/>
      <c r="E28" s="80"/>
      <c r="F28" s="80"/>
      <c r="G28" s="254">
        <f>ROUND((898643.55+40000)*1.02,-2)</f>
        <v>957400</v>
      </c>
      <c r="H28" s="412"/>
    </row>
    <row r="29" spans="1:143" s="69" customFormat="1" ht="20.25" x14ac:dyDescent="0.2">
      <c r="A29" s="68"/>
      <c r="B29" s="442"/>
      <c r="C29" s="80" t="s">
        <v>123</v>
      </c>
      <c r="D29" s="80"/>
      <c r="E29" s="80"/>
      <c r="F29" s="80"/>
      <c r="G29" s="254">
        <f>ROUNDUP(G28*0.195,-2)</f>
        <v>186700</v>
      </c>
      <c r="H29" s="412"/>
    </row>
    <row r="30" spans="1:143" s="69" customFormat="1" ht="20.25" x14ac:dyDescent="0.2">
      <c r="A30" s="68"/>
      <c r="B30" s="442"/>
      <c r="C30" s="80" t="s">
        <v>124</v>
      </c>
      <c r="D30" s="80"/>
      <c r="E30" s="80"/>
      <c r="F30" s="80"/>
      <c r="G30" s="254">
        <f>48831-G22</f>
        <v>2256</v>
      </c>
      <c r="H30" s="412"/>
    </row>
    <row r="31" spans="1:143" s="69" customFormat="1" ht="20.25" x14ac:dyDescent="0.2">
      <c r="A31" s="68"/>
      <c r="B31" s="442"/>
      <c r="C31" s="80" t="s">
        <v>114</v>
      </c>
      <c r="D31" s="80"/>
      <c r="E31" s="80"/>
      <c r="F31" s="80"/>
      <c r="G31" s="254">
        <f>G22</f>
        <v>46575</v>
      </c>
      <c r="H31" s="412"/>
    </row>
    <row r="32" spans="1:143" s="69" customFormat="1" ht="20.25" x14ac:dyDescent="0.2">
      <c r="A32" s="68"/>
      <c r="B32" s="442"/>
      <c r="C32" s="80" t="s">
        <v>125</v>
      </c>
      <c r="D32" s="80"/>
      <c r="E32" s="80"/>
      <c r="F32" s="80"/>
      <c r="G32" s="254">
        <v>14000</v>
      </c>
      <c r="H32" s="412"/>
    </row>
    <row r="33" spans="1:8" s="69" customFormat="1" ht="20.25" x14ac:dyDescent="0.2">
      <c r="A33" s="68"/>
      <c r="B33" s="442"/>
      <c r="C33" s="80" t="s">
        <v>126</v>
      </c>
      <c r="D33" s="80"/>
      <c r="E33" s="80"/>
      <c r="F33" s="80"/>
      <c r="G33" s="254">
        <v>3500</v>
      </c>
      <c r="H33" s="412"/>
    </row>
    <row r="34" spans="1:8" s="69" customFormat="1" ht="20.25" x14ac:dyDescent="0.2">
      <c r="A34" s="68"/>
      <c r="B34" s="442"/>
      <c r="C34" s="80" t="s">
        <v>127</v>
      </c>
      <c r="D34" s="80"/>
      <c r="E34" s="80"/>
      <c r="F34" s="80"/>
      <c r="G34" s="254">
        <v>7000</v>
      </c>
      <c r="H34" s="412"/>
    </row>
    <row r="35" spans="1:8" s="69" customFormat="1" ht="20.25" x14ac:dyDescent="0.2">
      <c r="A35" s="68"/>
      <c r="B35" s="442"/>
      <c r="C35" s="80" t="s">
        <v>128</v>
      </c>
      <c r="D35" s="80"/>
      <c r="E35" s="80"/>
      <c r="F35" s="80"/>
      <c r="G35" s="254">
        <v>13500</v>
      </c>
      <c r="H35" s="412"/>
    </row>
    <row r="36" spans="1:8" s="69" customFormat="1" ht="20.25" x14ac:dyDescent="0.2">
      <c r="A36" s="68"/>
      <c r="B36" s="442"/>
      <c r="C36" s="80" t="s">
        <v>129</v>
      </c>
      <c r="D36" s="80"/>
      <c r="E36" s="80"/>
      <c r="F36" s="80"/>
      <c r="G36" s="254">
        <v>40000</v>
      </c>
      <c r="H36" s="412"/>
    </row>
    <row r="37" spans="1:8" s="69" customFormat="1" ht="20.25" x14ac:dyDescent="0.2">
      <c r="A37" s="68"/>
      <c r="B37" s="442"/>
      <c r="C37" s="80" t="s">
        <v>130</v>
      </c>
      <c r="D37" s="80"/>
      <c r="E37" s="80"/>
      <c r="F37" s="80"/>
      <c r="G37" s="254">
        <v>6600</v>
      </c>
      <c r="H37" s="412"/>
    </row>
    <row r="38" spans="1:8" s="69" customFormat="1" ht="20.25" x14ac:dyDescent="0.2">
      <c r="A38" s="68"/>
      <c r="B38" s="442"/>
      <c r="C38" s="80" t="s">
        <v>131</v>
      </c>
      <c r="D38" s="80"/>
      <c r="E38" s="80"/>
      <c r="F38" s="80"/>
      <c r="G38" s="254">
        <v>1500</v>
      </c>
      <c r="H38" s="412"/>
    </row>
    <row r="39" spans="1:8" s="69" customFormat="1" ht="20.25" x14ac:dyDescent="0.2">
      <c r="A39" s="68"/>
      <c r="B39" s="442"/>
      <c r="C39" s="80" t="s">
        <v>186</v>
      </c>
      <c r="D39" s="80"/>
      <c r="E39" s="80"/>
      <c r="F39" s="80"/>
      <c r="G39" s="254">
        <v>13700</v>
      </c>
      <c r="H39" s="412"/>
    </row>
    <row r="40" spans="1:8" s="77" customFormat="1" ht="20.25" x14ac:dyDescent="0.2">
      <c r="A40" s="80"/>
      <c r="B40" s="438"/>
      <c r="C40" s="80" t="s">
        <v>132</v>
      </c>
      <c r="D40" s="80"/>
      <c r="E40" s="80"/>
      <c r="F40" s="80"/>
      <c r="G40" s="356">
        <f>ROUNDUP(13248.87*1.05,-2)</f>
        <v>14000</v>
      </c>
      <c r="H40" s="411"/>
    </row>
    <row r="41" spans="1:8" s="77" customFormat="1" ht="20.25" x14ac:dyDescent="0.2">
      <c r="A41" s="80"/>
      <c r="B41" s="438"/>
      <c r="C41" s="80" t="s">
        <v>133</v>
      </c>
      <c r="D41" s="80"/>
      <c r="E41" s="80"/>
      <c r="F41" s="80"/>
      <c r="G41" s="254">
        <f>ROUNDUP(12343.85*1.03,-2)</f>
        <v>12800</v>
      </c>
      <c r="H41" s="411"/>
    </row>
    <row r="42" spans="1:8" s="77" customFormat="1" ht="20.25" x14ac:dyDescent="0.2">
      <c r="A42" s="80"/>
      <c r="B42" s="438"/>
      <c r="C42" s="80" t="s">
        <v>142</v>
      </c>
      <c r="D42" s="80"/>
      <c r="E42" s="80"/>
      <c r="F42" s="80"/>
      <c r="G42" s="254">
        <v>3000</v>
      </c>
      <c r="H42" s="411"/>
    </row>
    <row r="43" spans="1:8" s="77" customFormat="1" ht="20.25" x14ac:dyDescent="0.2">
      <c r="A43" s="80"/>
      <c r="B43" s="438"/>
      <c r="C43" s="80" t="s">
        <v>134</v>
      </c>
      <c r="D43" s="80"/>
      <c r="E43" s="80"/>
      <c r="F43" s="80"/>
      <c r="G43" s="356">
        <f>ROUNDUP((3067.88+8008.83)*1.05,-2)</f>
        <v>11700</v>
      </c>
      <c r="H43" s="411"/>
    </row>
    <row r="44" spans="1:8" s="69" customFormat="1" ht="20.25" x14ac:dyDescent="0.2">
      <c r="A44" s="68"/>
      <c r="B44" s="442"/>
      <c r="C44" s="80" t="s">
        <v>230</v>
      </c>
      <c r="D44" s="80"/>
      <c r="E44" s="80"/>
      <c r="F44" s="80"/>
      <c r="G44" s="254">
        <v>17000</v>
      </c>
      <c r="H44" s="412"/>
    </row>
    <row r="45" spans="1:8" s="77" customFormat="1" ht="20.25" x14ac:dyDescent="0.2">
      <c r="A45" s="80"/>
      <c r="B45" s="438"/>
      <c r="C45" s="80" t="s">
        <v>135</v>
      </c>
      <c r="D45" s="80"/>
      <c r="E45" s="80"/>
      <c r="F45" s="80"/>
      <c r="G45" s="356">
        <v>41000</v>
      </c>
      <c r="H45" s="411"/>
    </row>
    <row r="46" spans="1:8" s="77" customFormat="1" ht="20.25" x14ac:dyDescent="0.2">
      <c r="A46" s="80"/>
      <c r="B46" s="438"/>
      <c r="C46" s="80" t="s">
        <v>136</v>
      </c>
      <c r="D46" s="80"/>
      <c r="E46" s="80"/>
      <c r="F46" s="80"/>
      <c r="G46" s="356">
        <f>ROUNDUP((1800+4675.64+34905.29+1033.01-10000-2673-17150-1033+14000)*1.01,-2)</f>
        <v>25900</v>
      </c>
      <c r="H46" s="411"/>
    </row>
    <row r="47" spans="1:8" s="77" customFormat="1" ht="20.25" x14ac:dyDescent="0.2">
      <c r="A47" s="80"/>
      <c r="B47" s="438"/>
      <c r="C47" s="80" t="s">
        <v>187</v>
      </c>
      <c r="D47" s="80"/>
      <c r="E47" s="80"/>
      <c r="F47" s="80"/>
      <c r="G47" s="254">
        <v>36000</v>
      </c>
      <c r="H47" s="411"/>
    </row>
    <row r="48" spans="1:8" s="77" customFormat="1" ht="20.25" x14ac:dyDescent="0.2">
      <c r="A48" s="80"/>
      <c r="B48" s="438"/>
      <c r="C48" s="80" t="s">
        <v>185</v>
      </c>
      <c r="D48" s="80"/>
      <c r="E48" s="80"/>
      <c r="F48" s="80"/>
      <c r="G48" s="254">
        <f>ROUNDUP(46266.27*1.02,-2)</f>
        <v>47200</v>
      </c>
      <c r="H48" s="411"/>
    </row>
    <row r="49" spans="1:8" s="77" customFormat="1" ht="20.25" x14ac:dyDescent="0.2">
      <c r="A49" s="80"/>
      <c r="B49" s="438"/>
      <c r="C49" s="80" t="s">
        <v>137</v>
      </c>
      <c r="D49" s="80"/>
      <c r="E49" s="80"/>
      <c r="F49" s="80"/>
      <c r="G49" s="254">
        <f>ROUND((2604.31+166143.24-12000)*1.01,-2)</f>
        <v>158300</v>
      </c>
      <c r="H49" s="411"/>
    </row>
    <row r="50" spans="1:8" s="77" customFormat="1" ht="20.25" hidden="1" x14ac:dyDescent="0.2">
      <c r="A50" s="80"/>
      <c r="B50" s="438"/>
      <c r="C50" s="80" t="s">
        <v>327</v>
      </c>
      <c r="D50" s="80"/>
      <c r="E50" s="80"/>
      <c r="F50" s="80"/>
      <c r="G50" s="254"/>
      <c r="H50" s="411"/>
    </row>
    <row r="51" spans="1:8" s="69" customFormat="1" ht="20.25" x14ac:dyDescent="0.2">
      <c r="A51" s="68"/>
      <c r="B51" s="442"/>
      <c r="C51" s="68"/>
      <c r="D51" s="74" t="s">
        <v>138</v>
      </c>
      <c r="E51" s="68"/>
      <c r="F51" s="68"/>
      <c r="G51" s="259">
        <f>SUM(G28:G50)</f>
        <v>1659631</v>
      </c>
      <c r="H51" s="412"/>
    </row>
    <row r="52" spans="1:8" s="69" customFormat="1" ht="10.5" customHeight="1" thickBot="1" x14ac:dyDescent="0.25">
      <c r="A52" s="68"/>
      <c r="B52" s="442"/>
      <c r="C52" s="68"/>
      <c r="D52" s="74"/>
      <c r="E52" s="68"/>
      <c r="F52" s="68"/>
      <c r="G52" s="264"/>
      <c r="H52" s="412"/>
    </row>
    <row r="53" spans="1:8" s="69" customFormat="1" ht="21" thickBot="1" x14ac:dyDescent="0.25">
      <c r="A53" s="68"/>
      <c r="B53" s="442"/>
      <c r="C53" s="68"/>
      <c r="D53" s="68" t="s">
        <v>139</v>
      </c>
      <c r="E53" s="68"/>
      <c r="F53" s="68"/>
      <c r="G53" s="264">
        <f>G25-G51</f>
        <v>21344</v>
      </c>
      <c r="H53" s="412"/>
    </row>
    <row r="54" spans="1:8" s="69" customFormat="1" ht="11.25" customHeight="1" x14ac:dyDescent="0.2">
      <c r="A54" s="68"/>
      <c r="B54" s="442"/>
      <c r="C54" s="68"/>
      <c r="D54" s="68"/>
      <c r="E54" s="68"/>
      <c r="F54" s="68"/>
      <c r="G54" s="254"/>
      <c r="H54" s="412"/>
    </row>
    <row r="55" spans="1:8" s="77" customFormat="1" ht="20.25" x14ac:dyDescent="0.2">
      <c r="A55" s="80"/>
      <c r="B55" s="438"/>
      <c r="C55" s="80"/>
      <c r="D55" s="80"/>
      <c r="F55" s="80"/>
      <c r="G55" s="269"/>
      <c r="H55" s="411"/>
    </row>
    <row r="56" spans="1:8" s="77" customFormat="1" ht="20.25" x14ac:dyDescent="0.2">
      <c r="A56" s="80"/>
      <c r="B56" s="438"/>
      <c r="C56" s="80"/>
      <c r="D56" s="80"/>
      <c r="F56" s="80"/>
      <c r="G56" s="254"/>
      <c r="H56" s="411"/>
    </row>
    <row r="57" spans="1:8" s="77" customFormat="1" ht="20.25" x14ac:dyDescent="0.2">
      <c r="A57" s="80"/>
      <c r="B57" s="438"/>
      <c r="C57" s="80"/>
      <c r="D57" s="80"/>
      <c r="F57" s="80"/>
      <c r="G57" s="254"/>
      <c r="H57" s="411"/>
    </row>
    <row r="58" spans="1:8" s="77" customFormat="1" ht="20.25" x14ac:dyDescent="0.2">
      <c r="A58" s="80"/>
      <c r="B58" s="80"/>
      <c r="C58" s="80"/>
      <c r="D58" s="80"/>
      <c r="F58" s="80"/>
      <c r="G58" s="254"/>
      <c r="H58" s="411"/>
    </row>
    <row r="59" spans="1:8" s="77" customFormat="1" ht="20.25" x14ac:dyDescent="0.2">
      <c r="A59" s="80"/>
      <c r="B59" s="80"/>
      <c r="C59" s="80"/>
      <c r="D59" s="80"/>
      <c r="F59" s="80"/>
      <c r="G59" s="254"/>
      <c r="H59" s="411"/>
    </row>
    <row r="60" spans="1:8" s="77" customFormat="1" ht="20.25" x14ac:dyDescent="0.2">
      <c r="A60" s="80"/>
      <c r="B60" s="80"/>
      <c r="C60" s="80"/>
      <c r="D60" s="80"/>
      <c r="F60" s="80"/>
      <c r="G60" s="254"/>
      <c r="H60" s="411"/>
    </row>
    <row r="61" spans="1:8" s="77" customFormat="1" ht="20.25" x14ac:dyDescent="0.2">
      <c r="A61" s="80"/>
      <c r="B61" s="80"/>
      <c r="C61" s="68"/>
      <c r="D61" s="80"/>
      <c r="F61" s="80"/>
      <c r="G61" s="254"/>
      <c r="H61" s="411"/>
    </row>
    <row r="62" spans="1:8" s="77" customFormat="1" ht="20.25" x14ac:dyDescent="0.2">
      <c r="A62" s="80"/>
      <c r="B62" s="80"/>
      <c r="C62" s="80"/>
      <c r="D62" s="80"/>
      <c r="E62" s="80"/>
      <c r="F62" s="80"/>
      <c r="G62" s="254"/>
      <c r="H62" s="411"/>
    </row>
    <row r="63" spans="1:8" s="77" customFormat="1" ht="20.25" x14ac:dyDescent="0.2">
      <c r="A63" s="80"/>
      <c r="B63" s="80"/>
      <c r="C63" s="68"/>
      <c r="D63" s="68"/>
      <c r="G63" s="254"/>
      <c r="H63" s="411"/>
    </row>
    <row r="64" spans="1:8" s="77" customFormat="1" ht="20.25" x14ac:dyDescent="0.2">
      <c r="A64" s="80"/>
      <c r="B64" s="80"/>
      <c r="C64" s="80"/>
      <c r="D64" s="80"/>
      <c r="E64" s="80"/>
      <c r="F64" s="80"/>
      <c r="G64" s="254"/>
      <c r="H64" s="411"/>
    </row>
    <row r="65" spans="1:8" s="77" customFormat="1" ht="20.25" x14ac:dyDescent="0.2">
      <c r="A65" s="80"/>
      <c r="B65" s="80"/>
      <c r="C65" s="80"/>
      <c r="D65" s="80"/>
      <c r="E65" s="80"/>
      <c r="F65" s="80"/>
      <c r="G65" s="254"/>
      <c r="H65" s="411"/>
    </row>
    <row r="66" spans="1:8" s="77" customFormat="1" ht="20.25" x14ac:dyDescent="0.2">
      <c r="A66" s="80"/>
      <c r="B66" s="80"/>
      <c r="C66" s="80"/>
      <c r="D66" s="80"/>
      <c r="E66" s="80"/>
      <c r="F66" s="80"/>
      <c r="G66" s="254"/>
      <c r="H66" s="411"/>
    </row>
    <row r="67" spans="1:8" s="77" customFormat="1" ht="20.25" x14ac:dyDescent="0.2">
      <c r="A67" s="80"/>
      <c r="B67" s="80"/>
      <c r="C67" s="80"/>
      <c r="D67" s="80"/>
      <c r="E67" s="80"/>
      <c r="F67" s="80"/>
      <c r="G67" s="254"/>
      <c r="H67" s="411"/>
    </row>
    <row r="68" spans="1:8" s="77" customFormat="1" ht="20.25" x14ac:dyDescent="0.2">
      <c r="A68" s="80"/>
      <c r="B68" s="80"/>
      <c r="C68" s="68"/>
      <c r="D68" s="80"/>
      <c r="F68" s="80"/>
      <c r="G68" s="254"/>
      <c r="H68" s="411"/>
    </row>
    <row r="69" spans="1:8" s="77" customFormat="1" ht="20.25" x14ac:dyDescent="0.2">
      <c r="A69" s="80"/>
      <c r="B69" s="80"/>
      <c r="C69" s="80"/>
      <c r="D69" s="80"/>
      <c r="E69" s="80"/>
      <c r="F69" s="80"/>
      <c r="G69" s="254"/>
      <c r="H69" s="411"/>
    </row>
    <row r="70" spans="1:8" s="69" customFormat="1" ht="20.25" x14ac:dyDescent="0.2">
      <c r="A70" s="68"/>
      <c r="B70" s="68"/>
      <c r="C70" s="68"/>
      <c r="D70" s="68"/>
      <c r="E70" s="68"/>
      <c r="F70" s="68"/>
      <c r="G70" s="259"/>
      <c r="H70" s="412"/>
    </row>
    <row r="71" spans="1:8" s="69" customFormat="1" ht="20.25" x14ac:dyDescent="0.2">
      <c r="A71" s="68"/>
      <c r="B71" s="68"/>
      <c r="C71" s="68"/>
      <c r="D71" s="68"/>
      <c r="E71" s="68"/>
      <c r="F71" s="68"/>
      <c r="G71" s="259"/>
      <c r="H71" s="412"/>
    </row>
    <row r="72" spans="1:8" s="69" customFormat="1" ht="23.25" x14ac:dyDescent="0.2">
      <c r="A72" s="68"/>
      <c r="B72" s="297"/>
      <c r="C72" s="68"/>
      <c r="D72" s="68"/>
      <c r="E72" s="68"/>
      <c r="F72" s="68"/>
      <c r="G72" s="254"/>
      <c r="H72" s="412"/>
    </row>
    <row r="73" spans="1:8" s="77" customFormat="1" ht="20.25" x14ac:dyDescent="0.2">
      <c r="A73" s="80"/>
      <c r="B73" s="80"/>
      <c r="D73" s="80"/>
      <c r="E73" s="80"/>
      <c r="F73" s="80"/>
      <c r="G73" s="254"/>
      <c r="H73" s="411"/>
    </row>
    <row r="74" spans="1:8" s="77" customFormat="1" ht="20.25" x14ac:dyDescent="0.2">
      <c r="A74" s="80"/>
      <c r="B74" s="80"/>
      <c r="D74" s="80"/>
      <c r="E74" s="80"/>
      <c r="F74" s="80"/>
      <c r="G74" s="254"/>
      <c r="H74" s="411"/>
    </row>
    <row r="75" spans="1:8" s="69" customFormat="1" ht="20.25" x14ac:dyDescent="0.2">
      <c r="A75" s="68"/>
      <c r="B75" s="68"/>
      <c r="D75" s="80"/>
      <c r="E75" s="68"/>
      <c r="F75" s="68"/>
      <c r="G75" s="254"/>
      <c r="H75" s="412"/>
    </row>
    <row r="76" spans="1:8" s="69" customFormat="1" ht="23.25" x14ac:dyDescent="0.2">
      <c r="A76" s="68"/>
      <c r="B76" s="297"/>
      <c r="C76" s="68"/>
      <c r="D76" s="68"/>
      <c r="E76" s="68"/>
      <c r="F76" s="68"/>
      <c r="G76" s="259"/>
      <c r="H76" s="412"/>
    </row>
    <row r="77" spans="1:8" s="69" customFormat="1" ht="20.25" x14ac:dyDescent="0.2">
      <c r="A77" s="68"/>
      <c r="B77" s="68"/>
      <c r="C77" s="68"/>
      <c r="D77" s="68"/>
      <c r="E77" s="68"/>
      <c r="F77" s="68"/>
      <c r="G77" s="254"/>
      <c r="H77" s="412"/>
    </row>
    <row r="78" spans="1:8" s="83" customFormat="1" ht="26.25" x14ac:dyDescent="0.2">
      <c r="A78" s="294"/>
      <c r="B78" s="294"/>
      <c r="C78" s="294"/>
      <c r="D78" s="294"/>
      <c r="E78" s="294"/>
      <c r="F78" s="294"/>
      <c r="G78" s="295"/>
      <c r="H78" s="584"/>
    </row>
    <row r="79" spans="1:8" s="18" customFormat="1" x14ac:dyDescent="0.2">
      <c r="A79" s="123"/>
      <c r="B79" s="123"/>
      <c r="C79" s="123"/>
      <c r="D79" s="123"/>
      <c r="E79" s="123"/>
      <c r="F79" s="123"/>
      <c r="G79" s="298"/>
      <c r="H79" s="1"/>
    </row>
  </sheetData>
  <pageMargins left="0.45" right="0.45" top="0.5" bottom="0.5" header="0.3" footer="0.3"/>
  <pageSetup scale="7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103</v>
      </c>
      <c r="B1" s="60"/>
      <c r="C1" s="61"/>
      <c r="D1" s="61"/>
      <c r="E1" s="61"/>
      <c r="F1" s="60"/>
      <c r="G1" s="60"/>
    </row>
    <row r="2" spans="1:23" ht="26.25" x14ac:dyDescent="0.4">
      <c r="A2" s="59" t="s">
        <v>211</v>
      </c>
      <c r="B2" s="60"/>
      <c r="C2" s="61"/>
      <c r="D2" s="61"/>
      <c r="E2" s="61"/>
      <c r="F2" s="60"/>
      <c r="G2" s="60"/>
    </row>
    <row r="3" spans="1:23" ht="11.25" customHeight="1" thickBot="1" x14ac:dyDescent="0.25">
      <c r="A3" s="62"/>
      <c r="B3" s="62"/>
      <c r="C3" s="62"/>
      <c r="D3" s="62"/>
      <c r="E3" s="62"/>
      <c r="F3" s="62"/>
      <c r="G3" s="354"/>
    </row>
    <row r="4" spans="1:23" ht="27.75" thickTop="1" thickBot="1" x14ac:dyDescent="0.25">
      <c r="A4" s="65"/>
      <c r="B4" s="65"/>
      <c r="C4" s="65"/>
      <c r="D4" s="65" t="s">
        <v>55</v>
      </c>
      <c r="E4" s="65"/>
      <c r="F4" s="65"/>
      <c r="G4" s="456" t="s">
        <v>56</v>
      </c>
      <c r="H4" s="456"/>
      <c r="I4" s="456"/>
      <c r="J4" s="456"/>
      <c r="K4" s="456"/>
      <c r="L4" s="456"/>
      <c r="M4" s="456"/>
      <c r="N4" s="456"/>
      <c r="O4" s="456"/>
      <c r="P4" s="456"/>
      <c r="Q4" s="456"/>
      <c r="R4" s="456"/>
      <c r="S4" s="456"/>
      <c r="T4" s="456"/>
      <c r="U4" s="456"/>
      <c r="V4" s="456"/>
      <c r="W4" s="456"/>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59"/>
      <c r="B6" s="748" t="s">
        <v>212</v>
      </c>
      <c r="C6" s="748"/>
      <c r="D6" s="748"/>
      <c r="E6" s="748"/>
      <c r="F6" s="748"/>
      <c r="G6" s="460">
        <v>42004</v>
      </c>
      <c r="H6" s="460">
        <v>41639</v>
      </c>
      <c r="I6" s="460">
        <v>41274</v>
      </c>
      <c r="J6" s="460">
        <v>41090</v>
      </c>
      <c r="K6" s="460">
        <v>40724</v>
      </c>
      <c r="L6" s="460">
        <v>40359</v>
      </c>
      <c r="M6" s="460">
        <v>39994</v>
      </c>
      <c r="N6" s="460">
        <v>39629</v>
      </c>
      <c r="O6" s="460">
        <v>39263</v>
      </c>
      <c r="P6" s="460">
        <v>38898</v>
      </c>
      <c r="Q6" s="460">
        <v>38533</v>
      </c>
      <c r="R6" s="460">
        <v>38168</v>
      </c>
      <c r="S6" s="460">
        <v>37802</v>
      </c>
      <c r="T6" s="460">
        <v>37437</v>
      </c>
      <c r="U6" s="460">
        <v>37072</v>
      </c>
      <c r="V6" s="460">
        <v>36707</v>
      </c>
      <c r="W6" s="460">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213</v>
      </c>
      <c r="D8" s="74"/>
      <c r="E8" s="74"/>
      <c r="F8" s="74"/>
      <c r="G8" s="267">
        <v>333525.67</v>
      </c>
      <c r="H8" s="267">
        <v>210919</v>
      </c>
      <c r="I8" s="267">
        <v>214148</v>
      </c>
      <c r="J8" s="267">
        <v>156809</v>
      </c>
      <c r="K8" s="267">
        <v>240314</v>
      </c>
      <c r="L8" s="267">
        <v>142815</v>
      </c>
      <c r="M8" s="267">
        <v>82502</v>
      </c>
      <c r="N8" s="267">
        <v>45758</v>
      </c>
      <c r="O8" s="267">
        <v>105458</v>
      </c>
      <c r="P8" s="267">
        <v>29475</v>
      </c>
      <c r="Q8" s="267">
        <v>22537</v>
      </c>
      <c r="R8" s="267">
        <v>42935</v>
      </c>
      <c r="S8" s="267">
        <v>144393</v>
      </c>
      <c r="T8" s="267">
        <v>42414</v>
      </c>
      <c r="U8" s="267">
        <f>69880+9123</f>
        <v>79003</v>
      </c>
      <c r="V8" s="267">
        <v>92767</v>
      </c>
      <c r="W8" s="267">
        <v>13150</v>
      </c>
    </row>
    <row r="9" spans="1:23" ht="20.25" x14ac:dyDescent="0.2">
      <c r="A9" s="457"/>
      <c r="B9" s="457"/>
      <c r="C9" s="74" t="s">
        <v>214</v>
      </c>
      <c r="D9" s="80"/>
      <c r="E9" s="80"/>
      <c r="F9" s="80"/>
      <c r="G9" s="307">
        <v>247907.12</v>
      </c>
      <c r="H9" s="307">
        <v>311775</v>
      </c>
      <c r="I9" s="307">
        <v>243797</v>
      </c>
      <c r="J9" s="307">
        <v>347870</v>
      </c>
      <c r="K9" s="307">
        <v>298266</v>
      </c>
      <c r="L9" s="307">
        <v>296605</v>
      </c>
      <c r="M9" s="307">
        <v>349918</v>
      </c>
      <c r="N9" s="307">
        <v>366842</v>
      </c>
      <c r="O9" s="307">
        <v>209667</v>
      </c>
      <c r="P9" s="307">
        <v>234735</v>
      </c>
      <c r="Q9" s="307">
        <v>254712</v>
      </c>
      <c r="R9" s="307">
        <v>250225</v>
      </c>
      <c r="S9" s="307">
        <v>85795</v>
      </c>
      <c r="T9" s="307">
        <v>185461</v>
      </c>
      <c r="U9" s="307">
        <v>99322</v>
      </c>
      <c r="V9" s="307">
        <v>80619</v>
      </c>
      <c r="W9" s="307">
        <v>49127</v>
      </c>
    </row>
    <row r="10" spans="1:23" ht="20.25" x14ac:dyDescent="0.2">
      <c r="A10" s="457"/>
      <c r="B10" s="457"/>
      <c r="C10" s="749" t="s">
        <v>179</v>
      </c>
      <c r="D10" s="749"/>
      <c r="E10" s="749"/>
      <c r="F10" s="749"/>
      <c r="G10" s="307">
        <v>0</v>
      </c>
      <c r="H10" s="307">
        <v>5142</v>
      </c>
      <c r="I10" s="307"/>
      <c r="J10" s="307"/>
      <c r="K10" s="307"/>
      <c r="L10" s="307"/>
      <c r="M10" s="307"/>
      <c r="N10" s="307"/>
      <c r="O10" s="307"/>
      <c r="P10" s="307"/>
      <c r="Q10" s="307"/>
      <c r="R10" s="307">
        <v>23</v>
      </c>
      <c r="S10" s="307">
        <v>4823</v>
      </c>
      <c r="T10" s="307">
        <v>6130</v>
      </c>
      <c r="U10" s="307">
        <v>19833</v>
      </c>
      <c r="V10" s="307"/>
      <c r="W10" s="307"/>
    </row>
    <row r="11" spans="1:23" ht="20.25" x14ac:dyDescent="0.2">
      <c r="A11" s="457"/>
      <c r="B11" s="457"/>
      <c r="C11" s="74" t="s">
        <v>215</v>
      </c>
      <c r="D11" s="457"/>
      <c r="E11" s="457"/>
      <c r="F11" s="457"/>
      <c r="G11" s="256">
        <v>31129.64</v>
      </c>
      <c r="H11" s="256">
        <v>30012</v>
      </c>
      <c r="I11" s="256">
        <v>30964</v>
      </c>
      <c r="J11" s="256">
        <v>30506</v>
      </c>
      <c r="K11" s="256">
        <v>28900</v>
      </c>
      <c r="L11" s="256">
        <v>28036</v>
      </c>
      <c r="M11" s="256"/>
      <c r="N11" s="256"/>
      <c r="O11" s="256"/>
      <c r="P11" s="256"/>
      <c r="Q11" s="256"/>
      <c r="R11" s="256"/>
      <c r="S11" s="256"/>
      <c r="T11" s="256"/>
      <c r="U11" s="256"/>
      <c r="V11" s="256"/>
      <c r="W11" s="256"/>
    </row>
    <row r="12" spans="1:23" ht="20.25" x14ac:dyDescent="0.2">
      <c r="A12" s="457"/>
      <c r="B12" s="457"/>
      <c r="C12" s="74" t="s">
        <v>173</v>
      </c>
      <c r="D12" s="79"/>
      <c r="E12" s="79"/>
      <c r="F12" s="79"/>
      <c r="G12" s="257">
        <v>5968.8799999999992</v>
      </c>
      <c r="H12" s="257">
        <v>4730</v>
      </c>
      <c r="I12" s="257">
        <v>3598</v>
      </c>
      <c r="J12" s="257">
        <f>1663+577</f>
        <v>2240</v>
      </c>
      <c r="K12" s="257">
        <f>5202</f>
        <v>5202</v>
      </c>
      <c r="L12" s="257">
        <v>1840</v>
      </c>
      <c r="M12" s="257">
        <v>1427</v>
      </c>
      <c r="N12" s="257">
        <v>360</v>
      </c>
      <c r="O12" s="257">
        <v>312</v>
      </c>
      <c r="P12" s="257"/>
      <c r="Q12" s="257">
        <v>5593</v>
      </c>
      <c r="R12" s="257">
        <v>3952</v>
      </c>
      <c r="S12" s="257">
        <v>13154</v>
      </c>
      <c r="T12" s="257">
        <v>2441</v>
      </c>
      <c r="U12" s="257"/>
      <c r="V12" s="257"/>
      <c r="W12" s="257"/>
    </row>
    <row r="13" spans="1:23" ht="20.25" x14ac:dyDescent="0.2">
      <c r="A13" s="74"/>
      <c r="B13" s="68"/>
      <c r="C13" s="68" t="s">
        <v>63</v>
      </c>
      <c r="D13" s="68"/>
      <c r="E13" s="68"/>
      <c r="F13" s="68"/>
      <c r="G13" s="259">
        <f>SUM(G8:G12)</f>
        <v>618531.31000000006</v>
      </c>
      <c r="H13" s="259">
        <f>SUM(H8:H12)</f>
        <v>562578</v>
      </c>
      <c r="I13" s="259">
        <f>SUM(I8:I12)</f>
        <v>492507</v>
      </c>
      <c r="J13" s="259">
        <f>SUM(J8:J12)</f>
        <v>537425</v>
      </c>
      <c r="K13" s="259">
        <f>SUM(K8:K12)</f>
        <v>572682</v>
      </c>
      <c r="L13" s="259">
        <f t="shared" ref="L13:W13" si="0">SUM(L8:L12)</f>
        <v>469296</v>
      </c>
      <c r="M13" s="259">
        <f t="shared" si="0"/>
        <v>433847</v>
      </c>
      <c r="N13" s="259">
        <f t="shared" si="0"/>
        <v>412960</v>
      </c>
      <c r="O13" s="259">
        <f t="shared" si="0"/>
        <v>315437</v>
      </c>
      <c r="P13" s="259">
        <f t="shared" si="0"/>
        <v>264210</v>
      </c>
      <c r="Q13" s="259">
        <f t="shared" si="0"/>
        <v>282842</v>
      </c>
      <c r="R13" s="259">
        <f t="shared" si="0"/>
        <v>297135</v>
      </c>
      <c r="S13" s="259">
        <f t="shared" si="0"/>
        <v>248165</v>
      </c>
      <c r="T13" s="259">
        <f t="shared" si="0"/>
        <v>236446</v>
      </c>
      <c r="U13" s="259">
        <f t="shared" si="0"/>
        <v>198158</v>
      </c>
      <c r="V13" s="259">
        <f t="shared" si="0"/>
        <v>173386</v>
      </c>
      <c r="W13" s="259">
        <f t="shared" si="0"/>
        <v>62277</v>
      </c>
    </row>
    <row r="14" spans="1:23" ht="20.25" x14ac:dyDescent="0.2">
      <c r="A14" s="74"/>
      <c r="B14" s="74"/>
      <c r="C14" s="74"/>
      <c r="D14" s="74"/>
      <c r="E14" s="74"/>
      <c r="F14" s="74"/>
      <c r="G14" s="258"/>
      <c r="H14" s="258"/>
      <c r="I14" s="258"/>
      <c r="J14" s="258"/>
      <c r="K14" s="258"/>
      <c r="L14" s="258"/>
      <c r="M14" s="258"/>
      <c r="N14" s="258"/>
      <c r="O14" s="258"/>
      <c r="P14" s="258"/>
      <c r="Q14" s="258"/>
      <c r="R14" s="258"/>
      <c r="S14" s="258"/>
      <c r="T14" s="258"/>
      <c r="U14" s="258"/>
      <c r="V14" s="258"/>
      <c r="W14" s="258"/>
    </row>
    <row r="15" spans="1:23" ht="20.25" x14ac:dyDescent="0.3">
      <c r="A15" s="70"/>
      <c r="B15" s="292" t="s">
        <v>216</v>
      </c>
      <c r="C15" s="292"/>
      <c r="D15" s="292"/>
      <c r="E15" s="292"/>
      <c r="F15" s="292"/>
      <c r="G15" s="293"/>
      <c r="H15" s="293"/>
      <c r="I15" s="293"/>
      <c r="J15" s="293"/>
      <c r="K15" s="293"/>
      <c r="L15" s="293"/>
      <c r="M15" s="293"/>
      <c r="N15" s="293"/>
      <c r="O15" s="293"/>
      <c r="P15" s="293"/>
      <c r="Q15" s="293"/>
      <c r="R15" s="293"/>
      <c r="S15" s="293"/>
      <c r="T15" s="293"/>
      <c r="U15" s="293"/>
      <c r="V15" s="293"/>
      <c r="W15" s="293"/>
    </row>
    <row r="16" spans="1:23" ht="20.25" x14ac:dyDescent="0.3">
      <c r="A16" s="70"/>
      <c r="B16" s="292"/>
      <c r="C16" s="292"/>
      <c r="D16" s="292"/>
      <c r="E16" s="292"/>
      <c r="F16" s="292"/>
      <c r="G16" s="293">
        <v>121148.45000000001</v>
      </c>
      <c r="H16" s="293">
        <v>88948</v>
      </c>
      <c r="I16" s="293">
        <v>81381</v>
      </c>
      <c r="J16" s="293">
        <v>85951</v>
      </c>
      <c r="K16" s="293">
        <v>75213</v>
      </c>
      <c r="L16" s="293">
        <v>103757</v>
      </c>
      <c r="M16" s="293">
        <v>72661</v>
      </c>
      <c r="N16" s="293">
        <v>91918</v>
      </c>
      <c r="O16" s="293">
        <v>80411</v>
      </c>
      <c r="P16" s="293">
        <v>57354</v>
      </c>
      <c r="Q16" s="293">
        <v>59451</v>
      </c>
      <c r="R16" s="293">
        <v>70947</v>
      </c>
      <c r="S16" s="293">
        <v>80279</v>
      </c>
      <c r="T16" s="293">
        <v>84266</v>
      </c>
      <c r="U16" s="293">
        <v>45164</v>
      </c>
      <c r="V16" s="293">
        <v>15210</v>
      </c>
      <c r="W16" s="293">
        <v>15599</v>
      </c>
    </row>
    <row r="17" spans="1:23" ht="20.25" hidden="1" x14ac:dyDescent="0.2">
      <c r="A17" s="74"/>
      <c r="B17" s="74"/>
      <c r="C17" s="74"/>
      <c r="D17" s="74"/>
      <c r="E17" s="74"/>
      <c r="F17" s="74"/>
      <c r="G17" s="258"/>
      <c r="H17" s="258"/>
      <c r="I17" s="258"/>
      <c r="J17" s="258"/>
      <c r="K17" s="258"/>
      <c r="L17" s="258"/>
      <c r="M17" s="258"/>
      <c r="N17" s="258"/>
      <c r="O17" s="258"/>
      <c r="P17" s="258"/>
      <c r="Q17" s="258"/>
      <c r="R17" s="258"/>
      <c r="S17" s="258"/>
      <c r="T17" s="258"/>
      <c r="U17" s="258"/>
      <c r="V17" s="258"/>
      <c r="W17" s="258"/>
    </row>
    <row r="18" spans="1:23" ht="20.25" hidden="1" x14ac:dyDescent="0.2">
      <c r="A18" s="74"/>
      <c r="B18" s="74"/>
      <c r="C18" s="74"/>
      <c r="D18" s="74"/>
      <c r="E18" s="74"/>
      <c r="F18" s="74"/>
      <c r="G18" s="254"/>
      <c r="H18" s="254"/>
      <c r="I18" s="254"/>
      <c r="J18" s="254"/>
      <c r="K18" s="254"/>
      <c r="L18" s="254"/>
      <c r="M18" s="254"/>
      <c r="N18" s="254"/>
      <c r="O18" s="254"/>
      <c r="P18" s="254"/>
      <c r="Q18" s="254"/>
      <c r="R18" s="254"/>
      <c r="S18" s="254"/>
      <c r="T18" s="254"/>
      <c r="U18" s="254"/>
      <c r="V18" s="254"/>
      <c r="W18" s="254"/>
    </row>
    <row r="19" spans="1:23" ht="27" thickBot="1" x14ac:dyDescent="0.25">
      <c r="A19" s="82" t="s">
        <v>66</v>
      </c>
      <c r="B19" s="82"/>
      <c r="C19" s="82"/>
      <c r="D19" s="82"/>
      <c r="E19" s="82"/>
      <c r="F19" s="82"/>
      <c r="G19" s="268">
        <f>G13+G16</f>
        <v>739679.76</v>
      </c>
      <c r="H19" s="268">
        <f>H13+H16</f>
        <v>651526</v>
      </c>
      <c r="I19" s="268">
        <f>I13+I16</f>
        <v>573888</v>
      </c>
      <c r="J19" s="268">
        <f>J13+J16</f>
        <v>623376</v>
      </c>
      <c r="K19" s="268">
        <f>K13+K16</f>
        <v>647895</v>
      </c>
      <c r="L19" s="268">
        <f t="shared" ref="L19:W19" si="1">L13+L16</f>
        <v>573053</v>
      </c>
      <c r="M19" s="268">
        <f t="shared" si="1"/>
        <v>506508</v>
      </c>
      <c r="N19" s="268">
        <f t="shared" si="1"/>
        <v>504878</v>
      </c>
      <c r="O19" s="268">
        <f t="shared" si="1"/>
        <v>395848</v>
      </c>
      <c r="P19" s="268">
        <f t="shared" si="1"/>
        <v>321564</v>
      </c>
      <c r="Q19" s="268">
        <f t="shared" si="1"/>
        <v>342293</v>
      </c>
      <c r="R19" s="268">
        <f t="shared" si="1"/>
        <v>368082</v>
      </c>
      <c r="S19" s="268">
        <f t="shared" si="1"/>
        <v>328444</v>
      </c>
      <c r="T19" s="268">
        <f t="shared" si="1"/>
        <v>320712</v>
      </c>
      <c r="U19" s="268">
        <f t="shared" si="1"/>
        <v>243322</v>
      </c>
      <c r="V19" s="268">
        <f t="shared" si="1"/>
        <v>188596</v>
      </c>
      <c r="W19" s="268">
        <f t="shared" si="1"/>
        <v>77876</v>
      </c>
    </row>
    <row r="20" spans="1:23" ht="21.75" thickTop="1" thickBot="1" x14ac:dyDescent="0.25">
      <c r="A20" s="74"/>
      <c r="B20" s="74"/>
      <c r="C20" s="74"/>
      <c r="D20" s="74"/>
      <c r="E20" s="74"/>
      <c r="F20" s="74"/>
      <c r="G20" s="359"/>
      <c r="H20" s="359"/>
      <c r="I20" s="359"/>
      <c r="J20" s="359"/>
      <c r="K20" s="359"/>
      <c r="L20" s="359"/>
      <c r="M20" s="359"/>
      <c r="N20" s="359"/>
      <c r="O20" s="359"/>
      <c r="P20" s="359"/>
      <c r="Q20" s="359"/>
      <c r="R20" s="359"/>
      <c r="S20" s="359"/>
      <c r="T20" s="359"/>
      <c r="U20" s="359"/>
      <c r="V20" s="359"/>
      <c r="W20" s="359"/>
    </row>
    <row r="21" spans="1:23" ht="27.75" thickTop="1" thickBot="1" x14ac:dyDescent="0.25">
      <c r="A21" s="65"/>
      <c r="B21" s="65"/>
      <c r="C21" s="65"/>
      <c r="D21" s="65" t="s">
        <v>67</v>
      </c>
      <c r="E21" s="65"/>
      <c r="F21" s="65"/>
      <c r="G21" s="263"/>
      <c r="H21" s="263"/>
      <c r="I21" s="263"/>
      <c r="J21" s="263"/>
      <c r="K21" s="263"/>
      <c r="L21" s="263"/>
      <c r="M21" s="263"/>
      <c r="N21" s="263"/>
      <c r="O21" s="263"/>
      <c r="P21" s="263"/>
      <c r="Q21" s="263"/>
      <c r="R21" s="263"/>
      <c r="S21" s="263"/>
      <c r="T21" s="263"/>
      <c r="U21" s="263"/>
      <c r="V21" s="263"/>
      <c r="W21" s="263"/>
    </row>
    <row r="22" spans="1:23" ht="21" thickTop="1" x14ac:dyDescent="0.2">
      <c r="A22" s="74"/>
      <c r="B22" s="74"/>
      <c r="C22" s="74"/>
      <c r="D22" s="74"/>
      <c r="E22" s="74"/>
      <c r="F22" s="74"/>
      <c r="G22" s="256"/>
      <c r="H22" s="256"/>
      <c r="I22" s="256"/>
      <c r="J22" s="256"/>
      <c r="K22" s="256"/>
      <c r="L22" s="256"/>
      <c r="M22" s="256"/>
      <c r="N22" s="256"/>
      <c r="O22" s="256"/>
      <c r="P22" s="256"/>
      <c r="Q22" s="256"/>
      <c r="R22" s="256"/>
      <c r="S22" s="256"/>
      <c r="T22" s="256"/>
      <c r="U22" s="256"/>
      <c r="V22" s="256"/>
      <c r="W22" s="256"/>
    </row>
    <row r="23" spans="1:23" ht="24" hidden="1" thickBot="1" x14ac:dyDescent="0.25">
      <c r="A23" s="74"/>
      <c r="B23" s="87" t="s">
        <v>68</v>
      </c>
      <c r="C23" s="88"/>
      <c r="D23" s="88"/>
      <c r="E23" s="88"/>
      <c r="F23" s="88"/>
      <c r="G23" s="264"/>
      <c r="H23" s="264"/>
      <c r="I23" s="264"/>
      <c r="J23" s="264"/>
      <c r="K23" s="264"/>
      <c r="L23" s="264"/>
      <c r="M23" s="264"/>
      <c r="N23" s="264"/>
      <c r="O23" s="264"/>
      <c r="P23" s="264"/>
      <c r="Q23" s="264"/>
      <c r="R23" s="264"/>
      <c r="S23" s="264"/>
      <c r="T23" s="264"/>
      <c r="U23" s="264"/>
      <c r="V23" s="264"/>
      <c r="W23" s="264"/>
    </row>
    <row r="24" spans="1:23" ht="20.25" hidden="1" x14ac:dyDescent="0.2">
      <c r="A24" s="74"/>
      <c r="B24" s="74"/>
      <c r="C24" s="74"/>
      <c r="D24" s="74"/>
      <c r="E24" s="74"/>
      <c r="F24" s="74"/>
      <c r="G24" s="256"/>
      <c r="H24" s="256"/>
      <c r="I24" s="256"/>
      <c r="J24" s="256"/>
      <c r="K24" s="256"/>
      <c r="L24" s="256"/>
      <c r="M24" s="256"/>
      <c r="N24" s="256"/>
      <c r="O24" s="256"/>
      <c r="P24" s="256"/>
      <c r="Q24" s="256"/>
      <c r="R24" s="256"/>
      <c r="S24" s="256"/>
      <c r="T24" s="256"/>
      <c r="U24" s="256"/>
      <c r="V24" s="256"/>
      <c r="W24" s="256"/>
    </row>
    <row r="25" spans="1:23" ht="21" thickBot="1" x14ac:dyDescent="0.35">
      <c r="A25" s="70"/>
      <c r="B25" s="155" t="s">
        <v>217</v>
      </c>
      <c r="C25" s="156"/>
      <c r="D25" s="155"/>
      <c r="E25" s="155"/>
      <c r="F25" s="155"/>
      <c r="G25" s="255"/>
      <c r="H25" s="255"/>
      <c r="I25" s="255"/>
      <c r="J25" s="255"/>
      <c r="K25" s="255"/>
      <c r="L25" s="255"/>
      <c r="M25" s="255"/>
      <c r="N25" s="255"/>
      <c r="O25" s="255"/>
      <c r="P25" s="255"/>
      <c r="Q25" s="255"/>
      <c r="R25" s="255"/>
      <c r="S25" s="255"/>
      <c r="T25" s="255"/>
      <c r="U25" s="255"/>
      <c r="V25" s="255"/>
      <c r="W25" s="255"/>
    </row>
    <row r="26" spans="1:23" ht="20.25" x14ac:dyDescent="0.2">
      <c r="A26" s="457"/>
      <c r="B26" s="457"/>
      <c r="C26" s="457"/>
      <c r="D26" s="457" t="s">
        <v>163</v>
      </c>
      <c r="E26" s="78"/>
      <c r="F26" s="457"/>
      <c r="G26" s="269">
        <v>31278.429999999997</v>
      </c>
      <c r="H26" s="269">
        <v>51714</v>
      </c>
      <c r="I26" s="269">
        <v>52083</v>
      </c>
      <c r="J26" s="269">
        <v>69820</v>
      </c>
      <c r="K26" s="269">
        <v>81032</v>
      </c>
      <c r="L26" s="269">
        <v>64928</v>
      </c>
      <c r="M26" s="269">
        <v>89064</v>
      </c>
      <c r="N26" s="269">
        <v>102814</v>
      </c>
      <c r="O26" s="269">
        <v>27734</v>
      </c>
      <c r="P26" s="269">
        <v>33537</v>
      </c>
      <c r="Q26" s="269">
        <v>47914</v>
      </c>
      <c r="R26" s="269">
        <v>42054</v>
      </c>
      <c r="S26" s="269">
        <v>32004</v>
      </c>
      <c r="T26" s="269">
        <v>28904</v>
      </c>
      <c r="U26" s="269">
        <v>2405</v>
      </c>
      <c r="V26" s="269">
        <v>7686</v>
      </c>
      <c r="W26" s="269">
        <v>0</v>
      </c>
    </row>
    <row r="27" spans="1:23" ht="20.25" x14ac:dyDescent="0.2">
      <c r="A27" s="457"/>
      <c r="B27" s="457"/>
      <c r="C27" s="457"/>
      <c r="D27" s="457" t="s">
        <v>218</v>
      </c>
      <c r="E27" s="78"/>
      <c r="F27" s="457"/>
      <c r="G27" s="254">
        <v>16019.88</v>
      </c>
      <c r="H27" s="254">
        <v>26466</v>
      </c>
      <c r="I27" s="254">
        <v>33722</v>
      </c>
      <c r="J27" s="254">
        <v>37279</v>
      </c>
      <c r="K27" s="254">
        <v>34130</v>
      </c>
      <c r="L27" s="254">
        <v>30917</v>
      </c>
      <c r="M27" s="254">
        <v>24891</v>
      </c>
      <c r="N27" s="254">
        <v>22167</v>
      </c>
      <c r="O27" s="254">
        <v>16739</v>
      </c>
      <c r="P27" s="254">
        <v>13502</v>
      </c>
      <c r="Q27" s="254">
        <v>10581</v>
      </c>
      <c r="R27" s="254">
        <v>28556</v>
      </c>
      <c r="S27" s="254">
        <v>22953</v>
      </c>
      <c r="T27" s="254">
        <v>13246</v>
      </c>
      <c r="U27" s="254">
        <v>10214</v>
      </c>
      <c r="V27" s="254">
        <v>5966</v>
      </c>
      <c r="W27" s="254">
        <v>2341</v>
      </c>
    </row>
    <row r="28" spans="1:23" ht="20.25" x14ac:dyDescent="0.2">
      <c r="A28" s="457"/>
      <c r="B28" s="457"/>
      <c r="C28" s="457"/>
      <c r="D28" s="457" t="s">
        <v>97</v>
      </c>
      <c r="E28" s="78"/>
      <c r="F28" s="457"/>
      <c r="G28" s="256">
        <v>19094</v>
      </c>
      <c r="H28" s="256">
        <v>21990</v>
      </c>
      <c r="I28" s="256">
        <v>17053</v>
      </c>
      <c r="J28" s="256">
        <v>23081</v>
      </c>
      <c r="K28" s="256">
        <v>20125</v>
      </c>
      <c r="L28" s="256">
        <v>23900</v>
      </c>
      <c r="M28" s="256">
        <v>25993</v>
      </c>
      <c r="N28" s="256">
        <v>25084</v>
      </c>
      <c r="O28" s="256">
        <v>17164</v>
      </c>
      <c r="P28" s="256">
        <v>23194</v>
      </c>
      <c r="Q28" s="256">
        <v>17986</v>
      </c>
      <c r="R28" s="256">
        <v>19684</v>
      </c>
      <c r="S28" s="256">
        <v>15461</v>
      </c>
      <c r="T28" s="256">
        <v>11736</v>
      </c>
      <c r="U28" s="256">
        <v>6552</v>
      </c>
      <c r="V28" s="256">
        <v>4625</v>
      </c>
      <c r="W28" s="256"/>
    </row>
    <row r="29" spans="1:23" ht="20.25" x14ac:dyDescent="0.2">
      <c r="A29" s="457"/>
      <c r="B29" s="457"/>
      <c r="C29" s="457"/>
      <c r="D29" s="457" t="s">
        <v>219</v>
      </c>
      <c r="E29" s="78"/>
      <c r="F29" s="457"/>
      <c r="G29" s="256"/>
      <c r="H29" s="256">
        <v>463</v>
      </c>
      <c r="I29" s="256">
        <f>1236+16400</f>
        <v>17636</v>
      </c>
      <c r="J29" s="256">
        <v>13302</v>
      </c>
      <c r="K29" s="256">
        <v>5311</v>
      </c>
      <c r="L29" s="256">
        <v>12315</v>
      </c>
      <c r="M29" s="256"/>
      <c r="N29" s="256"/>
      <c r="O29" s="256"/>
      <c r="P29" s="256">
        <v>20000</v>
      </c>
      <c r="Q29" s="256"/>
      <c r="R29" s="256">
        <v>25000</v>
      </c>
      <c r="S29" s="256"/>
      <c r="T29" s="256"/>
      <c r="U29" s="256"/>
      <c r="V29" s="256"/>
      <c r="W29" s="256">
        <v>48000</v>
      </c>
    </row>
    <row r="30" spans="1:23" ht="20.25" x14ac:dyDescent="0.2">
      <c r="A30" s="457"/>
      <c r="B30" s="457"/>
      <c r="C30" s="457"/>
      <c r="D30" s="80" t="s">
        <v>104</v>
      </c>
      <c r="E30" s="78"/>
      <c r="F30" s="457"/>
      <c r="G30" s="256">
        <v>136592.41</v>
      </c>
      <c r="H30" s="256">
        <v>101837</v>
      </c>
      <c r="I30" s="256">
        <v>31429</v>
      </c>
      <c r="J30" s="256">
        <v>21927</v>
      </c>
      <c r="K30" s="256">
        <v>24493</v>
      </c>
      <c r="L30" s="256">
        <v>23546</v>
      </c>
      <c r="M30" s="256">
        <v>29986</v>
      </c>
      <c r="N30" s="256">
        <v>97627</v>
      </c>
      <c r="O30" s="256">
        <v>91085</v>
      </c>
      <c r="P30" s="256">
        <v>6118</v>
      </c>
      <c r="Q30" s="256">
        <v>42621</v>
      </c>
      <c r="R30" s="256"/>
      <c r="S30" s="256">
        <v>13218</v>
      </c>
      <c r="T30" s="256">
        <v>36938</v>
      </c>
      <c r="U30" s="256">
        <v>40000</v>
      </c>
      <c r="V30" s="256">
        <v>38354</v>
      </c>
      <c r="W30" s="256">
        <v>11775</v>
      </c>
    </row>
    <row r="31" spans="1:23" ht="20.25" x14ac:dyDescent="0.2">
      <c r="A31" s="457"/>
      <c r="B31" s="457"/>
      <c r="C31" s="457"/>
      <c r="D31" s="79" t="s">
        <v>220</v>
      </c>
      <c r="E31" s="154"/>
      <c r="F31" s="79"/>
      <c r="G31" s="256"/>
      <c r="H31" s="256"/>
      <c r="I31" s="256"/>
      <c r="J31" s="256"/>
      <c r="K31" s="256"/>
      <c r="L31" s="256"/>
      <c r="M31" s="256"/>
      <c r="N31" s="256"/>
      <c r="O31" s="256"/>
      <c r="P31" s="256"/>
      <c r="Q31" s="256"/>
      <c r="R31" s="256"/>
      <c r="S31" s="256"/>
      <c r="T31" s="256"/>
      <c r="U31" s="256"/>
      <c r="V31" s="256"/>
      <c r="W31" s="256"/>
    </row>
    <row r="32" spans="1:23" ht="20.25" x14ac:dyDescent="0.2">
      <c r="A32" s="457"/>
      <c r="B32" s="457"/>
      <c r="C32" s="81" t="s">
        <v>80</v>
      </c>
      <c r="D32" s="457"/>
      <c r="E32" s="78"/>
      <c r="F32" s="457"/>
      <c r="G32" s="265">
        <f>SUM(G26:G31)</f>
        <v>202984.72</v>
      </c>
      <c r="H32" s="265">
        <f>SUM(H26:H31)</f>
        <v>202470</v>
      </c>
      <c r="I32" s="265">
        <f>SUM(I26:I31)</f>
        <v>151923</v>
      </c>
      <c r="J32" s="265">
        <f>SUM(J26:J31)</f>
        <v>165409</v>
      </c>
      <c r="K32" s="265">
        <f>SUM(K26:K31)</f>
        <v>165091</v>
      </c>
      <c r="L32" s="265">
        <f t="shared" ref="L32:W32" si="2">SUM(L26:L31)</f>
        <v>155606</v>
      </c>
      <c r="M32" s="265">
        <f t="shared" si="2"/>
        <v>169934</v>
      </c>
      <c r="N32" s="265">
        <f t="shared" si="2"/>
        <v>247692</v>
      </c>
      <c r="O32" s="265">
        <f t="shared" si="2"/>
        <v>152722</v>
      </c>
      <c r="P32" s="265">
        <f t="shared" si="2"/>
        <v>96351</v>
      </c>
      <c r="Q32" s="265">
        <f t="shared" si="2"/>
        <v>119102</v>
      </c>
      <c r="R32" s="265">
        <f t="shared" si="2"/>
        <v>115294</v>
      </c>
      <c r="S32" s="265">
        <f t="shared" si="2"/>
        <v>83636</v>
      </c>
      <c r="T32" s="265">
        <f t="shared" si="2"/>
        <v>90824</v>
      </c>
      <c r="U32" s="265">
        <f t="shared" si="2"/>
        <v>59171</v>
      </c>
      <c r="V32" s="265">
        <f t="shared" si="2"/>
        <v>56631</v>
      </c>
      <c r="W32" s="265">
        <f t="shared" si="2"/>
        <v>62116</v>
      </c>
    </row>
    <row r="33" spans="1:23" ht="20.25" x14ac:dyDescent="0.2">
      <c r="A33" s="457"/>
      <c r="B33" s="457"/>
      <c r="C33" s="457"/>
      <c r="D33" s="457"/>
      <c r="E33" s="457"/>
      <c r="F33" s="457"/>
      <c r="G33" s="256"/>
      <c r="H33" s="256"/>
      <c r="I33" s="256"/>
      <c r="J33" s="256"/>
      <c r="K33" s="256"/>
      <c r="L33" s="256"/>
      <c r="M33" s="256"/>
      <c r="N33" s="256"/>
      <c r="O33" s="256"/>
      <c r="P33" s="256"/>
      <c r="Q33" s="256"/>
      <c r="R33" s="256"/>
      <c r="S33" s="256"/>
      <c r="T33" s="256"/>
      <c r="U33" s="256"/>
      <c r="V33" s="256"/>
      <c r="W33" s="256"/>
    </row>
    <row r="34" spans="1:23" ht="20.25" x14ac:dyDescent="0.2">
      <c r="A34" s="74"/>
      <c r="B34" s="74"/>
      <c r="C34" s="74"/>
      <c r="D34" s="74"/>
      <c r="E34" s="74"/>
      <c r="F34" s="74"/>
      <c r="G34" s="462"/>
      <c r="H34" s="462"/>
      <c r="I34" s="462"/>
      <c r="J34" s="462"/>
      <c r="K34" s="462"/>
      <c r="L34" s="258"/>
      <c r="M34" s="258"/>
      <c r="N34" s="258"/>
      <c r="O34" s="258"/>
      <c r="P34" s="258"/>
      <c r="Q34" s="258"/>
      <c r="R34" s="258"/>
      <c r="S34" s="258"/>
      <c r="T34" s="258"/>
      <c r="U34" s="258"/>
      <c r="V34" s="258"/>
      <c r="W34" s="258"/>
    </row>
    <row r="35" spans="1:23" ht="24" thickBot="1" x14ac:dyDescent="0.25">
      <c r="A35" s="74"/>
      <c r="B35" s="87" t="s">
        <v>221</v>
      </c>
      <c r="C35" s="88"/>
      <c r="D35" s="88"/>
      <c r="E35" s="88"/>
      <c r="F35" s="88"/>
      <c r="G35" s="264"/>
      <c r="H35" s="264"/>
      <c r="I35" s="264"/>
      <c r="J35" s="264"/>
      <c r="K35" s="264"/>
      <c r="L35" s="264"/>
      <c r="M35" s="264"/>
      <c r="N35" s="264"/>
      <c r="O35" s="264"/>
      <c r="P35" s="264"/>
      <c r="Q35" s="264"/>
      <c r="R35" s="264"/>
      <c r="S35" s="264"/>
      <c r="T35" s="264"/>
      <c r="U35" s="264"/>
      <c r="V35" s="264"/>
      <c r="W35" s="264"/>
    </row>
    <row r="36" spans="1:23" ht="23.25" x14ac:dyDescent="0.2">
      <c r="A36" s="74"/>
      <c r="B36" s="297"/>
      <c r="C36" s="68"/>
      <c r="D36" s="457" t="s">
        <v>100</v>
      </c>
      <c r="E36" s="68"/>
      <c r="F36" s="68"/>
      <c r="G36" s="254">
        <v>55367.21</v>
      </c>
      <c r="H36" s="254">
        <v>52578</v>
      </c>
      <c r="I36" s="254">
        <v>54372</v>
      </c>
      <c r="J36" s="254">
        <v>74343</v>
      </c>
      <c r="K36" s="254">
        <v>140489</v>
      </c>
      <c r="L36" s="254">
        <v>85282</v>
      </c>
      <c r="M36" s="254">
        <v>9601</v>
      </c>
      <c r="N36" s="254">
        <v>9601</v>
      </c>
      <c r="O36" s="254">
        <v>5248</v>
      </c>
      <c r="P36" s="254">
        <v>4472</v>
      </c>
      <c r="Q36" s="254">
        <v>15207</v>
      </c>
      <c r="R36" s="254"/>
      <c r="S36" s="254"/>
      <c r="T36" s="254"/>
      <c r="U36" s="254"/>
      <c r="V36" s="254"/>
      <c r="W36" s="254"/>
    </row>
    <row r="37" spans="1:23" ht="21" thickBot="1" x14ac:dyDescent="0.25">
      <c r="A37" s="457"/>
      <c r="B37" s="457"/>
      <c r="C37" s="78"/>
      <c r="D37" s="457" t="s">
        <v>94</v>
      </c>
      <c r="E37" s="458"/>
      <c r="F37" s="458"/>
      <c r="G37" s="264">
        <v>481327.83000000013</v>
      </c>
      <c r="H37" s="264">
        <v>396478</v>
      </c>
      <c r="I37" s="264">
        <v>367593</v>
      </c>
      <c r="J37" s="264">
        <v>383624</v>
      </c>
      <c r="K37" s="264">
        <v>342315</v>
      </c>
      <c r="L37" s="264">
        <v>332165</v>
      </c>
      <c r="M37" s="264">
        <v>326973</v>
      </c>
      <c r="N37" s="264">
        <v>247585</v>
      </c>
      <c r="O37" s="264">
        <v>237878</v>
      </c>
      <c r="P37" s="264">
        <v>220741</v>
      </c>
      <c r="Q37" s="264">
        <v>207984</v>
      </c>
      <c r="R37" s="264">
        <v>252788</v>
      </c>
      <c r="S37" s="264">
        <v>244808</v>
      </c>
      <c r="T37" s="264">
        <v>229888</v>
      </c>
      <c r="U37" s="264">
        <v>184151</v>
      </c>
      <c r="V37" s="264">
        <v>131965</v>
      </c>
      <c r="W37" s="264">
        <v>15760</v>
      </c>
    </row>
    <row r="38" spans="1:23" ht="23.25" x14ac:dyDescent="0.2">
      <c r="A38" s="74"/>
      <c r="B38" s="90" t="s">
        <v>71</v>
      </c>
      <c r="C38" s="91"/>
      <c r="D38" s="91"/>
      <c r="E38" s="68"/>
      <c r="F38" s="68"/>
      <c r="G38" s="259">
        <f>G36+G37</f>
        <v>536695.04000000015</v>
      </c>
      <c r="H38" s="259">
        <f>H36+H37</f>
        <v>449056</v>
      </c>
      <c r="I38" s="259">
        <f>I36+I37</f>
        <v>421965</v>
      </c>
      <c r="J38" s="259">
        <f>J36+J37</f>
        <v>457967</v>
      </c>
      <c r="K38" s="259">
        <f>K36+K37</f>
        <v>482804</v>
      </c>
      <c r="L38" s="259">
        <f t="shared" ref="L38:W38" si="3">L36+L37</f>
        <v>417447</v>
      </c>
      <c r="M38" s="259">
        <f t="shared" si="3"/>
        <v>336574</v>
      </c>
      <c r="N38" s="259">
        <f t="shared" si="3"/>
        <v>257186</v>
      </c>
      <c r="O38" s="259">
        <f t="shared" si="3"/>
        <v>243126</v>
      </c>
      <c r="P38" s="259">
        <f t="shared" si="3"/>
        <v>225213</v>
      </c>
      <c r="Q38" s="259">
        <f t="shared" si="3"/>
        <v>223191</v>
      </c>
      <c r="R38" s="259">
        <f t="shared" si="3"/>
        <v>252788</v>
      </c>
      <c r="S38" s="259">
        <f t="shared" si="3"/>
        <v>244808</v>
      </c>
      <c r="T38" s="259">
        <f t="shared" si="3"/>
        <v>229888</v>
      </c>
      <c r="U38" s="259">
        <f t="shared" si="3"/>
        <v>184151</v>
      </c>
      <c r="V38" s="259">
        <f t="shared" si="3"/>
        <v>131965</v>
      </c>
      <c r="W38" s="259">
        <f t="shared" si="3"/>
        <v>15760</v>
      </c>
    </row>
    <row r="39" spans="1:23" ht="20.25" x14ac:dyDescent="0.2">
      <c r="A39" s="74"/>
      <c r="B39" s="74"/>
      <c r="C39" s="74"/>
      <c r="D39" s="74"/>
      <c r="E39" s="74"/>
      <c r="F39" s="74"/>
      <c r="G39" s="257"/>
      <c r="H39" s="257"/>
      <c r="I39" s="257"/>
      <c r="J39" s="257"/>
      <c r="K39" s="257"/>
      <c r="L39" s="257"/>
      <c r="M39" s="257"/>
      <c r="N39" s="257"/>
      <c r="O39" s="257"/>
      <c r="P39" s="257"/>
      <c r="Q39" s="257"/>
      <c r="R39" s="257"/>
      <c r="S39" s="257"/>
      <c r="T39" s="257"/>
      <c r="U39" s="257"/>
      <c r="V39" s="257"/>
      <c r="W39" s="257"/>
    </row>
    <row r="40" spans="1:23" ht="27" thickBot="1" x14ac:dyDescent="0.25">
      <c r="A40" s="82" t="s">
        <v>72</v>
      </c>
      <c r="B40" s="82"/>
      <c r="C40" s="82"/>
      <c r="D40" s="82"/>
      <c r="E40" s="82"/>
      <c r="F40" s="82"/>
      <c r="G40" s="393">
        <f>G32+G38</f>
        <v>739679.76000000013</v>
      </c>
      <c r="H40" s="393">
        <f>H32+H38</f>
        <v>651526</v>
      </c>
      <c r="I40" s="393">
        <f>I32+I38</f>
        <v>573888</v>
      </c>
      <c r="J40" s="393">
        <f>J32+J38</f>
        <v>623376</v>
      </c>
      <c r="K40" s="393">
        <f>K32+K38</f>
        <v>647895</v>
      </c>
      <c r="L40" s="393">
        <f t="shared" ref="L40:W40" si="4">L32+L38</f>
        <v>573053</v>
      </c>
      <c r="M40" s="393">
        <f t="shared" si="4"/>
        <v>506508</v>
      </c>
      <c r="N40" s="393">
        <f t="shared" si="4"/>
        <v>504878</v>
      </c>
      <c r="O40" s="393">
        <f t="shared" si="4"/>
        <v>395848</v>
      </c>
      <c r="P40" s="393">
        <f t="shared" si="4"/>
        <v>321564</v>
      </c>
      <c r="Q40" s="393">
        <f t="shared" si="4"/>
        <v>342293</v>
      </c>
      <c r="R40" s="393">
        <f t="shared" si="4"/>
        <v>368082</v>
      </c>
      <c r="S40" s="393">
        <f t="shared" si="4"/>
        <v>328444</v>
      </c>
      <c r="T40" s="393">
        <f t="shared" si="4"/>
        <v>320712</v>
      </c>
      <c r="U40" s="393">
        <f t="shared" si="4"/>
        <v>243322</v>
      </c>
      <c r="V40" s="393">
        <f t="shared" si="4"/>
        <v>188596</v>
      </c>
      <c r="W40" s="393">
        <f t="shared" si="4"/>
        <v>77876</v>
      </c>
    </row>
    <row r="41" spans="1:23" ht="15" thickTop="1" x14ac:dyDescent="0.2">
      <c r="D41" s="378"/>
      <c r="H41" s="18"/>
      <c r="I41" s="18"/>
      <c r="J41" s="18"/>
      <c r="K41" s="18"/>
      <c r="L41" s="18"/>
      <c r="M41" s="18"/>
      <c r="N41" s="18"/>
      <c r="O41" s="18"/>
      <c r="P41" s="18"/>
      <c r="Q41" s="18"/>
      <c r="R41" s="18"/>
      <c r="S41" s="18"/>
      <c r="T41" s="18"/>
      <c r="U41" s="18"/>
      <c r="V41" s="18"/>
      <c r="W41" s="18"/>
    </row>
    <row r="42" spans="1:23" s="266" customFormat="1" x14ac:dyDescent="0.2">
      <c r="A42" s="461"/>
      <c r="B42" s="461"/>
      <c r="C42" s="461"/>
      <c r="D42" s="461"/>
      <c r="E42" s="461"/>
      <c r="F42" s="461"/>
      <c r="G42" s="298"/>
    </row>
    <row r="43" spans="1:23" s="266" customFormat="1" x14ac:dyDescent="0.2">
      <c r="A43" s="461"/>
      <c r="B43" s="461"/>
      <c r="C43" s="461"/>
      <c r="D43" s="461"/>
      <c r="E43" s="461"/>
      <c r="F43" s="461"/>
      <c r="G43" s="298"/>
    </row>
    <row r="44" spans="1:23" s="266" customFormat="1" x14ac:dyDescent="0.2">
      <c r="A44" s="461"/>
      <c r="B44" s="461"/>
      <c r="C44" s="461"/>
      <c r="D44" s="461"/>
      <c r="E44" s="461"/>
      <c r="F44" s="461"/>
      <c r="G44" s="298"/>
    </row>
    <row r="45" spans="1:23" s="266" customFormat="1" x14ac:dyDescent="0.2">
      <c r="A45" s="461"/>
      <c r="B45" s="461"/>
      <c r="C45" s="461"/>
      <c r="D45" s="461"/>
      <c r="E45" s="461"/>
      <c r="F45" s="461"/>
      <c r="G45" s="29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Notes</vt:lpstr>
      <vt:lpstr>Data</vt:lpstr>
      <vt:lpstr>December'17 Revenues &amp; Expenses</vt:lpstr>
      <vt:lpstr>December'17 AR Aging </vt:lpstr>
      <vt:lpstr>December'17 Financial Position</vt:lpstr>
      <vt:lpstr>December'17 State of Activities</vt:lpstr>
      <vt:lpstr>December'17 Transportation</vt:lpstr>
      <vt:lpstr>2017 Medicaid Revenue</vt:lpstr>
      <vt:lpstr>Budget</vt:lpstr>
      <vt:lpstr>YE Historic Data</vt:lpstr>
      <vt:lpstr>'2017 Medicaid Revenue'!Print_Area</vt:lpstr>
      <vt:lpstr>Budget!Print_Area</vt:lpstr>
      <vt:lpstr>'December''17 AR Aging '!Print_Area</vt:lpstr>
      <vt:lpstr>'December''17 Financial Position'!Print_Area</vt:lpstr>
      <vt:lpstr>'December''17 Revenues &amp; Expenses'!Print_Area</vt:lpstr>
      <vt:lpstr>'December''17 State of Activities'!Print_Area</vt:lpstr>
      <vt:lpstr>'December''17 Transportation'!Print_Area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2018-01-16T18:57:07Z</cp:lastPrinted>
  <dcterms:created xsi:type="dcterms:W3CDTF">2011-11-03T17:20:29Z</dcterms:created>
  <dcterms:modified xsi:type="dcterms:W3CDTF">2018-01-30T20:18:20Z</dcterms:modified>
</cp:coreProperties>
</file>