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udit &amp; Finanace Committe\"/>
    </mc:Choice>
  </mc:AlternateContent>
  <bookViews>
    <workbookView xWindow="90" yWindow="35820" windowWidth="14955" windowHeight="9060" tabRatio="787"/>
  </bookViews>
  <sheets>
    <sheet name="Notes" sheetId="15" r:id="rId1"/>
    <sheet name="Data" sheetId="19" state="hidden" r:id="rId2"/>
    <sheet name="Dec'18 Revenues &amp; Expenses" sheetId="3" r:id="rId3"/>
    <sheet name="Dec'18 AR Aging " sheetId="6" r:id="rId4"/>
    <sheet name="Dec'18 Financial Position" sheetId="5" r:id="rId5"/>
    <sheet name="Dec'18 State of Activities" sheetId="12" r:id="rId6"/>
    <sheet name="Dec'18 Transportation" sheetId="18" r:id="rId7"/>
    <sheet name="2019 Budget" sheetId="22" state="hidden" r:id="rId8"/>
    <sheet name="2017 Medicaid Revenue" sheetId="21" state="hidden" r:id="rId9"/>
    <sheet name="Budget" sheetId="20" state="hidden" r:id="rId10"/>
    <sheet name="YE Historic Data" sheetId="17" state="hidden" r:id="rId11"/>
  </sheets>
  <definedNames>
    <definedName name="_xlnm.Print_Area" localSheetId="8">'2017 Medicaid Revenue'!$A$1:$H$69</definedName>
    <definedName name="_xlnm.Print_Area" localSheetId="9">Budget!$A$1:$G$54</definedName>
    <definedName name="_xlnm.Print_Area" localSheetId="3">'Dec''18 AR Aging '!$A$1:$G$96</definedName>
    <definedName name="_xlnm.Print_Area" localSheetId="4">'Dec''18 Financial Position'!$A$1:$L$67</definedName>
    <definedName name="_xlnm.Print_Area" localSheetId="2">'Dec''18 Revenues &amp; Expenses'!$A$1:$L$64</definedName>
    <definedName name="_xlnm.Print_Area" localSheetId="5">'Dec''18 State of Activities'!$A$1:$O$71</definedName>
    <definedName name="_xlnm.Print_Area" localSheetId="6">'Dec''18 Transportation'!$A$1:$R$60</definedName>
    <definedName name="_xlnm.Print_Area" localSheetId="0">Notes!$A$4:$H$103</definedName>
    <definedName name="_xlnm.Print_Area" localSheetId="10">'YE Historic Data'!$A$1:$W$41</definedName>
    <definedName name="_xlnm.Print_Titles" localSheetId="0">Notes!$1:$3</definedName>
  </definedNames>
  <calcPr calcId="152511"/>
</workbook>
</file>

<file path=xl/calcChain.xml><?xml version="1.0" encoding="utf-8"?>
<calcChain xmlns="http://schemas.openxmlformats.org/spreadsheetml/2006/main">
  <c r="F97" i="15" l="1"/>
  <c r="F96" i="15"/>
  <c r="G63" i="15"/>
  <c r="G61" i="15"/>
  <c r="M556" i="19" l="1"/>
  <c r="M554" i="19"/>
  <c r="M548" i="19"/>
  <c r="M547" i="19"/>
  <c r="M546" i="19"/>
  <c r="M545" i="19"/>
  <c r="M544" i="19"/>
  <c r="G561" i="19"/>
  <c r="B792" i="19"/>
  <c r="B791" i="19"/>
  <c r="J49" i="18"/>
  <c r="J20" i="18" l="1"/>
  <c r="Q20" i="18" s="1"/>
  <c r="R20" i="18" s="1"/>
  <c r="J13" i="18"/>
  <c r="Q13" i="18"/>
  <c r="R13" i="18" s="1"/>
  <c r="J11" i="18"/>
  <c r="Q11" i="18" s="1"/>
  <c r="R11" i="18" s="1"/>
  <c r="J14" i="18"/>
  <c r="Q14" i="18" s="1"/>
  <c r="K28" i="18"/>
  <c r="J45" i="18"/>
  <c r="Q45" i="18" s="1"/>
  <c r="J28" i="18"/>
  <c r="J27" i="18"/>
  <c r="Q27" i="18" s="1"/>
  <c r="R27" i="18" s="1"/>
  <c r="J44" i="18"/>
  <c r="J40" i="18"/>
  <c r="Q40" i="18" s="1"/>
  <c r="R40" i="18" s="1"/>
  <c r="J39" i="18"/>
  <c r="Q39" i="18" s="1"/>
  <c r="R39" i="18" s="1"/>
  <c r="J38" i="18"/>
  <c r="Q38" i="18" s="1"/>
  <c r="H61" i="5"/>
  <c r="H42" i="5"/>
  <c r="G50" i="12"/>
  <c r="J37" i="18"/>
  <c r="J35" i="18"/>
  <c r="R44" i="18"/>
  <c r="R41" i="18"/>
  <c r="R33" i="18"/>
  <c r="R21" i="18"/>
  <c r="Q49" i="18"/>
  <c r="Q44" i="18"/>
  <c r="Q43" i="18"/>
  <c r="Q42" i="18"/>
  <c r="R42" i="18" s="1"/>
  <c r="Q41" i="18"/>
  <c r="Q37" i="18"/>
  <c r="R37" i="18" s="1"/>
  <c r="Q35" i="18"/>
  <c r="R35" i="18" s="1"/>
  <c r="Q34" i="18"/>
  <c r="R34" i="18" s="1"/>
  <c r="Q33" i="18"/>
  <c r="Q32" i="18"/>
  <c r="R32" i="18" s="1"/>
  <c r="Q31" i="18"/>
  <c r="R31" i="18" s="1"/>
  <c r="Q30" i="18"/>
  <c r="R30" i="18" s="1"/>
  <c r="Q29" i="18"/>
  <c r="Q26" i="18"/>
  <c r="R26" i="18" s="1"/>
  <c r="Q21" i="18"/>
  <c r="Q10" i="18"/>
  <c r="M18" i="12"/>
  <c r="M52" i="12"/>
  <c r="M51" i="12"/>
  <c r="M42" i="12"/>
  <c r="M41" i="12"/>
  <c r="M25" i="12"/>
  <c r="M22" i="12"/>
  <c r="M15" i="12"/>
  <c r="M14" i="12"/>
  <c r="M12" i="12"/>
  <c r="A4" i="18"/>
  <c r="G39" i="12"/>
  <c r="G53" i="12"/>
  <c r="L43" i="12"/>
  <c r="G48" i="12"/>
  <c r="L48" i="12" s="1"/>
  <c r="M48" i="12" s="1"/>
  <c r="G47" i="12"/>
  <c r="G46" i="12"/>
  <c r="G33" i="12"/>
  <c r="G9" i="12"/>
  <c r="M543" i="19" s="1"/>
  <c r="M552" i="19" s="1"/>
  <c r="M557" i="19" s="1"/>
  <c r="L63" i="12"/>
  <c r="M63" i="12" s="1"/>
  <c r="L62" i="12"/>
  <c r="M62" i="12" s="1"/>
  <c r="L54" i="12"/>
  <c r="L52" i="12"/>
  <c r="L51" i="12"/>
  <c r="L49" i="12"/>
  <c r="M49" i="12" s="1"/>
  <c r="L45" i="12"/>
  <c r="M45" i="12" s="1"/>
  <c r="L44" i="12"/>
  <c r="M44" i="12" s="1"/>
  <c r="L42" i="12"/>
  <c r="L41" i="12"/>
  <c r="L40" i="12"/>
  <c r="M40" i="12" s="1"/>
  <c r="L38" i="12"/>
  <c r="M38" i="12" s="1"/>
  <c r="L37" i="12"/>
  <c r="M37" i="12" s="1"/>
  <c r="L36" i="12"/>
  <c r="M36" i="12" s="1"/>
  <c r="L35" i="12"/>
  <c r="M35" i="12" s="1"/>
  <c r="L32" i="12"/>
  <c r="M32" i="12" s="1"/>
  <c r="L31" i="12"/>
  <c r="M31" i="12" s="1"/>
  <c r="L27" i="12"/>
  <c r="M27" i="12" s="1"/>
  <c r="L25" i="12"/>
  <c r="L24" i="12"/>
  <c r="L22" i="12"/>
  <c r="L21" i="12"/>
  <c r="M21" i="12" s="1"/>
  <c r="L20" i="12"/>
  <c r="M20" i="12" s="1"/>
  <c r="L19" i="12"/>
  <c r="M19" i="12" s="1"/>
  <c r="L18" i="12"/>
  <c r="L15" i="12"/>
  <c r="L14" i="12"/>
  <c r="L13" i="12"/>
  <c r="L12" i="12"/>
  <c r="L11" i="12"/>
  <c r="M11" i="12" s="1"/>
  <c r="L10" i="12"/>
  <c r="M10" i="12" s="1"/>
  <c r="H50" i="5"/>
  <c r="H22" i="5"/>
  <c r="H28" i="3"/>
  <c r="K54" i="3"/>
  <c r="K53" i="3"/>
  <c r="K51" i="3"/>
  <c r="H39" i="3"/>
  <c r="L9" i="12" l="1"/>
  <c r="M9" i="12" s="1"/>
  <c r="R14" i="18"/>
  <c r="I28" i="3"/>
  <c r="J24" i="3" l="1"/>
  <c r="H24" i="3"/>
  <c r="G24" i="3" s="1"/>
  <c r="I18" i="3"/>
  <c r="J18" i="3" s="1"/>
  <c r="F19" i="3"/>
  <c r="H18" i="3"/>
  <c r="H7" i="3"/>
  <c r="I7" i="3"/>
  <c r="J7" i="3" s="1"/>
  <c r="C7" i="6"/>
  <c r="C95" i="6"/>
  <c r="C91" i="6"/>
  <c r="D46" i="6"/>
  <c r="E40" i="6"/>
  <c r="G18" i="3" l="1"/>
  <c r="G7" i="3"/>
  <c r="G51" i="22"/>
  <c r="G47" i="22"/>
  <c r="G46" i="22"/>
  <c r="G28" i="22"/>
  <c r="G13" i="22"/>
  <c r="G20" i="22"/>
  <c r="G34" i="22" l="1"/>
  <c r="G53" i="22" l="1"/>
  <c r="G55" i="22" s="1"/>
  <c r="F85" i="15"/>
  <c r="M11" i="18" l="1"/>
  <c r="M45" i="18"/>
  <c r="M27" i="18"/>
  <c r="M44" i="18"/>
  <c r="M42" i="18"/>
  <c r="M41" i="18"/>
  <c r="M40" i="18"/>
  <c r="M39" i="18"/>
  <c r="M37" i="18"/>
  <c r="M35" i="18"/>
  <c r="M14" i="18"/>
  <c r="M13" i="18"/>
  <c r="J41" i="18"/>
  <c r="M20" i="18"/>
  <c r="J64" i="12"/>
  <c r="J53" i="12"/>
  <c r="J50" i="12"/>
  <c r="J47" i="12"/>
  <c r="J39" i="12"/>
  <c r="J23" i="12"/>
  <c r="G16" i="12"/>
  <c r="L50" i="5"/>
  <c r="L42" i="5"/>
  <c r="L31" i="5"/>
  <c r="L22" i="5"/>
  <c r="J55" i="3"/>
  <c r="G23" i="12" l="1"/>
  <c r="J26" i="3"/>
  <c r="C97" i="6"/>
  <c r="E41" i="6" l="1"/>
  <c r="G34" i="15" l="1"/>
  <c r="H27" i="15" s="1"/>
  <c r="M17" i="18" l="1"/>
  <c r="G64" i="12"/>
  <c r="L64" i="12" s="1"/>
  <c r="M64" i="12" s="1"/>
  <c r="J46" i="12"/>
  <c r="G39" i="3" l="1"/>
  <c r="G38" i="3" s="1"/>
  <c r="J11" i="3" l="1"/>
  <c r="G85" i="15" l="1"/>
  <c r="F89" i="15"/>
  <c r="G89" i="15" s="1"/>
  <c r="M28" i="18" l="1"/>
  <c r="M49" i="18"/>
  <c r="Q28" i="18"/>
  <c r="R28" i="18" s="1"/>
  <c r="I40" i="3" l="1"/>
  <c r="G68" i="15" l="1"/>
  <c r="M15" i="18" l="1"/>
  <c r="M9" i="18"/>
  <c r="M60" i="18" s="1"/>
  <c r="D14" i="6" l="1"/>
  <c r="J17" i="3" l="1"/>
  <c r="D87" i="15" l="1"/>
  <c r="E34" i="15"/>
  <c r="D34" i="15"/>
  <c r="J16" i="18" l="1"/>
  <c r="Q16" i="18" s="1"/>
  <c r="R16" i="18" s="1"/>
  <c r="K30" i="18"/>
  <c r="J18" i="18" l="1"/>
  <c r="K18" i="18"/>
  <c r="K36" i="18" s="1"/>
  <c r="K17" i="18"/>
  <c r="K9" i="18"/>
  <c r="K60" i="18" s="1"/>
  <c r="K15" i="18"/>
  <c r="K14" i="18"/>
  <c r="K13" i="18"/>
  <c r="K11" i="18"/>
  <c r="K45" i="18"/>
  <c r="K42" i="18"/>
  <c r="K41" i="18"/>
  <c r="K40" i="18"/>
  <c r="K39" i="18"/>
  <c r="K37" i="18"/>
  <c r="K35" i="18"/>
  <c r="K50" i="18" s="1"/>
  <c r="K27" i="18"/>
  <c r="K8" i="18"/>
  <c r="J50" i="5"/>
  <c r="J42" i="5"/>
  <c r="J22" i="5"/>
  <c r="Q18" i="18" l="1"/>
  <c r="K46" i="18"/>
  <c r="J36" i="18"/>
  <c r="Q36" i="18" s="1"/>
  <c r="R36" i="18" s="1"/>
  <c r="K19" i="18"/>
  <c r="H53" i="12"/>
  <c r="L53" i="12" s="1"/>
  <c r="M53" i="12" s="1"/>
  <c r="H50" i="12"/>
  <c r="L50" i="12" s="1"/>
  <c r="M50" i="12" s="1"/>
  <c r="H47" i="12"/>
  <c r="L47" i="12" s="1"/>
  <c r="M47" i="12" s="1"/>
  <c r="H46" i="12"/>
  <c r="L46" i="12" s="1"/>
  <c r="M46" i="12" s="1"/>
  <c r="H39" i="12"/>
  <c r="L39" i="12" s="1"/>
  <c r="M39" i="12" s="1"/>
  <c r="H33" i="12"/>
  <c r="L33" i="12" s="1"/>
  <c r="M33" i="12" s="1"/>
  <c r="H16" i="12"/>
  <c r="L16" i="12" s="1"/>
  <c r="M16" i="12" s="1"/>
  <c r="H70" i="12"/>
  <c r="H23" i="12" l="1"/>
  <c r="L23" i="12" s="1"/>
  <c r="M23" i="12" s="1"/>
  <c r="K54" i="18"/>
  <c r="K57" i="18"/>
  <c r="J59" i="5"/>
  <c r="L59" i="5"/>
  <c r="J16" i="12"/>
  <c r="H59" i="5"/>
  <c r="L8" i="5"/>
  <c r="K52" i="3"/>
  <c r="L52" i="3" s="1"/>
  <c r="F38" i="3"/>
  <c r="I36" i="3"/>
  <c r="K36" i="3" s="1"/>
  <c r="D41" i="6" l="1"/>
  <c r="G13" i="6"/>
  <c r="H11" i="3" l="1"/>
  <c r="G11" i="3" s="1"/>
  <c r="F34" i="15"/>
  <c r="C34" i="15"/>
  <c r="A3" i="21" l="1"/>
  <c r="H32" i="15" l="1"/>
  <c r="H30" i="15"/>
  <c r="H29" i="15"/>
  <c r="H31" i="15"/>
  <c r="H28" i="15"/>
  <c r="H34" i="15" l="1"/>
  <c r="J23" i="3"/>
  <c r="L54" i="3"/>
  <c r="F54" i="3"/>
  <c r="I35" i="3"/>
  <c r="K35"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4" i="6"/>
  <c r="E74" i="15" l="1"/>
  <c r="K55" i="3" l="1"/>
  <c r="K29" i="3" l="1"/>
  <c r="D32" i="6"/>
  <c r="J17" i="18" l="1"/>
  <c r="Q17" i="18" s="1"/>
  <c r="K57" i="3" l="1"/>
  <c r="G54" i="15" l="1"/>
  <c r="G49" i="15"/>
  <c r="J25" i="12"/>
  <c r="G8" i="12"/>
  <c r="J34" i="12" l="1"/>
  <c r="J33" i="12" s="1"/>
  <c r="E75" i="15"/>
  <c r="B323" i="19" l="1"/>
  <c r="M50" i="18" l="1"/>
  <c r="K22" i="18"/>
  <c r="K47" i="18" s="1"/>
  <c r="K51" i="18" s="1"/>
  <c r="M18" i="18"/>
  <c r="M36" i="18" l="1"/>
  <c r="M46" i="18"/>
  <c r="M19" i="18"/>
  <c r="M22" i="18" s="1"/>
  <c r="J9" i="18"/>
  <c r="J8" i="18"/>
  <c r="A3" i="18"/>
  <c r="J50" i="18"/>
  <c r="Q50" i="18" s="1"/>
  <c r="J60" i="18" l="1"/>
  <c r="Q9" i="18"/>
  <c r="M54" i="18"/>
  <c r="M57" i="18"/>
  <c r="M47" i="18"/>
  <c r="M51" i="18" s="1"/>
  <c r="J46" i="18"/>
  <c r="J54" i="18" s="1"/>
  <c r="R9" i="18" l="1"/>
  <c r="J57" i="18"/>
  <c r="Q46" i="18"/>
  <c r="R46" i="18" s="1"/>
  <c r="J8" i="12"/>
  <c r="M8" i="18" s="1"/>
  <c r="J63" i="12" l="1"/>
  <c r="G34" i="12"/>
  <c r="G17" i="12"/>
  <c r="L17" i="12" s="1"/>
  <c r="M17" i="12" s="1"/>
  <c r="H34" i="12"/>
  <c r="L34" i="12" l="1"/>
  <c r="M34" i="12" s="1"/>
  <c r="G56" i="12"/>
  <c r="G26" i="12"/>
  <c r="J15" i="18"/>
  <c r="Q15" i="18" s="1"/>
  <c r="H26" i="12"/>
  <c r="H28" i="12" s="1"/>
  <c r="K58" i="3"/>
  <c r="K40" i="3"/>
  <c r="G87" i="15" s="1"/>
  <c r="F87" i="15" s="1"/>
  <c r="I41" i="3"/>
  <c r="L26" i="12" l="1"/>
  <c r="M26" i="12" s="1"/>
  <c r="R15" i="18"/>
  <c r="Q19" i="18"/>
  <c r="R19" i="18" s="1"/>
  <c r="J19" i="18"/>
  <c r="J22" i="18" s="1"/>
  <c r="Q22" i="18" s="1"/>
  <c r="R22" i="18" s="1"/>
  <c r="J47" i="18" l="1"/>
  <c r="Q47" i="18" s="1"/>
  <c r="R47" i="18" s="1"/>
  <c r="C75" i="6"/>
  <c r="J51" i="18" l="1"/>
  <c r="Q51" i="18" s="1"/>
  <c r="G14" i="20"/>
  <c r="G46" i="20"/>
  <c r="G49" i="20"/>
  <c r="G48" i="20"/>
  <c r="G43" i="20"/>
  <c r="G41" i="20"/>
  <c r="G40" i="20"/>
  <c r="G28" i="20"/>
  <c r="G29" i="20" s="1"/>
  <c r="G24" i="20"/>
  <c r="G19" i="20"/>
  <c r="G31" i="20"/>
  <c r="G30" i="20"/>
  <c r="F101" i="15"/>
  <c r="G23" i="20" l="1"/>
  <c r="G25" i="20" s="1"/>
  <c r="G51" i="20"/>
  <c r="G53" i="20" l="1"/>
  <c r="L53" i="3"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6" i="6" l="1"/>
  <c r="H23" i="3" s="1"/>
  <c r="D48" i="6"/>
  <c r="D92" i="15" l="1"/>
  <c r="E92" i="15"/>
  <c r="G90" i="15"/>
  <c r="F90" i="15" s="1"/>
  <c r="G84" i="15"/>
  <c r="F100" i="15"/>
  <c r="G55" i="6" l="1"/>
  <c r="H26" i="3" s="1"/>
  <c r="G26" i="3" s="1"/>
  <c r="C48" i="6"/>
  <c r="C41" i="6"/>
  <c r="G17" i="6"/>
  <c r="G18" i="6" l="1"/>
  <c r="F99" i="15"/>
  <c r="F98" i="15"/>
  <c r="D103" i="15"/>
  <c r="G102" i="15"/>
  <c r="G101" i="15"/>
  <c r="G100" i="15"/>
  <c r="H56" i="12" l="1"/>
  <c r="G97" i="15"/>
  <c r="E98" i="15" l="1"/>
  <c r="F103" i="15"/>
  <c r="G96" i="15"/>
  <c r="G98" i="15" l="1"/>
  <c r="G59"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65" i="12" l="1"/>
  <c r="L54" i="5" l="1"/>
  <c r="L47" i="5"/>
  <c r="L16" i="5"/>
  <c r="K62" i="3"/>
  <c r="G83" i="15"/>
  <c r="F83" i="15" s="1"/>
  <c r="G40" i="6" l="1"/>
  <c r="E14" i="15" l="1"/>
  <c r="J66" i="3"/>
  <c r="G45" i="6" l="1"/>
  <c r="G66" i="3" l="1"/>
  <c r="G23" i="3" l="1"/>
  <c r="L56" i="5"/>
  <c r="L32" i="5"/>
  <c r="L23" i="5"/>
  <c r="L25" i="5" s="1"/>
  <c r="J54" i="5"/>
  <c r="H54" i="5"/>
  <c r="J32" i="5"/>
  <c r="H32" i="5"/>
  <c r="J16" i="5"/>
  <c r="H16" i="5"/>
  <c r="L67" i="5" l="1"/>
  <c r="L35" i="5"/>
  <c r="D171" i="6" l="1"/>
  <c r="D172" i="6"/>
  <c r="D173" i="6"/>
  <c r="J65" i="12" l="1"/>
  <c r="F171" i="6" l="1"/>
  <c r="G31" i="6" l="1"/>
  <c r="H17" i="3" s="1"/>
  <c r="G17" i="3" s="1"/>
  <c r="G57" i="6"/>
  <c r="G48" i="6"/>
  <c r="G47" i="6"/>
  <c r="E16" i="15" l="1"/>
  <c r="J28" i="3"/>
  <c r="F41" i="3"/>
  <c r="G28" i="3" l="1"/>
  <c r="N175" i="6"/>
  <c r="M175" i="6"/>
  <c r="L175" i="6"/>
  <c r="K175" i="6"/>
  <c r="J175" i="6"/>
  <c r="I175" i="6"/>
  <c r="H175" i="6"/>
  <c r="G175" i="6"/>
  <c r="C53" i="6" l="1"/>
  <c r="F27" i="6"/>
  <c r="F61" i="6" s="1"/>
  <c r="C32" i="6"/>
  <c r="C174" i="6" l="1"/>
  <c r="G51" i="6" l="1"/>
  <c r="G52" i="6"/>
  <c r="G53" i="6" l="1"/>
  <c r="G25" i="3" l="1"/>
  <c r="G20" i="6"/>
  <c r="D61" i="6"/>
  <c r="C14" i="6"/>
  <c r="G12" i="6"/>
  <c r="H10" i="3" s="1"/>
  <c r="G6" i="6"/>
  <c r="J26" i="12" l="1"/>
  <c r="L28" i="12" l="1"/>
  <c r="M28" i="12" s="1"/>
  <c r="J56" i="12"/>
  <c r="J28" i="12"/>
  <c r="J66" i="12"/>
  <c r="L56" i="12" l="1"/>
  <c r="M56" i="12" s="1"/>
  <c r="J58" i="12"/>
  <c r="L61" i="5" s="1"/>
  <c r="J68" i="12" l="1"/>
  <c r="J71" i="12" s="1"/>
  <c r="I34" i="3" l="1"/>
  <c r="K34" i="3" s="1"/>
  <c r="I66" i="3" l="1"/>
  <c r="H65" i="12"/>
  <c r="L65" i="12" s="1"/>
  <c r="M65" i="12" s="1"/>
  <c r="H66" i="12" l="1"/>
  <c r="G28" i="12"/>
  <c r="G58" i="12" l="1"/>
  <c r="H58" i="12"/>
  <c r="J41" i="3"/>
  <c r="H68" i="12" l="1"/>
  <c r="H71" i="12" s="1"/>
  <c r="J61" i="5"/>
  <c r="L62" i="5"/>
  <c r="L58" i="12"/>
  <c r="M58" i="12" s="1"/>
  <c r="G70" i="12" l="1"/>
  <c r="L64" i="5"/>
  <c r="L70" i="5" s="1"/>
  <c r="C172" i="6" l="1"/>
  <c r="G39" i="6"/>
  <c r="E15" i="15" s="1"/>
  <c r="G32" i="6"/>
  <c r="G11" i="6"/>
  <c r="E12" i="15" l="1"/>
  <c r="G19" i="3"/>
  <c r="H66" i="3"/>
  <c r="K66" i="3" s="1"/>
  <c r="D175" i="6"/>
  <c r="G14" i="6"/>
  <c r="E13" i="15" s="1"/>
  <c r="G27" i="6"/>
  <c r="G41" i="6"/>
  <c r="F175" i="6" l="1"/>
  <c r="J23" i="5" l="1"/>
  <c r="J25" i="5" s="1"/>
  <c r="J35" i="5" s="1"/>
  <c r="M62" i="3"/>
  <c r="I62" i="3"/>
  <c r="J62" i="3"/>
  <c r="G62" i="3"/>
  <c r="F62" i="3"/>
  <c r="L59" i="3"/>
  <c r="L57" i="3"/>
  <c r="L56" i="3"/>
  <c r="F43" i="3"/>
  <c r="G43" i="3"/>
  <c r="J43" i="3"/>
  <c r="J47" i="5" l="1"/>
  <c r="J56" i="5" s="1"/>
  <c r="J67" i="5" s="1"/>
  <c r="L58" i="3" l="1"/>
  <c r="L62" i="3" l="1"/>
  <c r="L64" i="3" s="1"/>
  <c r="H62" i="3"/>
  <c r="G66" i="12"/>
  <c r="E99" i="15"/>
  <c r="J62" i="5" l="1"/>
  <c r="J64" i="5" s="1"/>
  <c r="J70" i="5" s="1"/>
  <c r="H60" i="5"/>
  <c r="H62" i="5" s="1"/>
  <c r="G68" i="12"/>
  <c r="G71" i="12" s="1"/>
  <c r="L66" i="12"/>
  <c r="M66" i="12" s="1"/>
  <c r="E103" i="15"/>
  <c r="G99" i="15"/>
  <c r="G103" i="15" s="1"/>
  <c r="L68" i="12" l="1"/>
  <c r="E61" i="6"/>
  <c r="C173" i="6" s="1"/>
  <c r="G7" i="6"/>
  <c r="G8" i="6" l="1"/>
  <c r="C8" i="6"/>
  <c r="E11" i="15" l="1"/>
  <c r="E17" i="15" s="1"/>
  <c r="G61" i="6"/>
  <c r="C61" i="6"/>
  <c r="C171" i="6" s="1"/>
  <c r="C175" i="6" s="1"/>
  <c r="J29" i="3"/>
  <c r="G29" i="3"/>
  <c r="I29" i="3"/>
  <c r="H29" i="3"/>
  <c r="J70" i="3" s="1"/>
  <c r="C77" i="6" l="1"/>
  <c r="H19" i="5"/>
  <c r="H23" i="5" s="1"/>
  <c r="H25" i="5" s="1"/>
  <c r="H35" i="5" s="1"/>
  <c r="J71" i="3"/>
  <c r="J72" i="3" s="1"/>
  <c r="I39" i="3"/>
  <c r="K39" i="3"/>
  <c r="F82" i="15"/>
  <c r="F92" i="15" s="1"/>
  <c r="H43" i="3" l="1"/>
  <c r="I38" i="3"/>
  <c r="K38" i="3" l="1"/>
  <c r="I43" i="3"/>
  <c r="K43" i="3" l="1"/>
  <c r="L43" i="3" s="1"/>
  <c r="H46" i="5" s="1"/>
  <c r="H47" i="5" s="1"/>
  <c r="H56" i="5" s="1"/>
  <c r="G82" i="15"/>
  <c r="G92" i="15" s="1"/>
  <c r="H67" i="5" l="1"/>
  <c r="H64" i="5"/>
  <c r="H70" i="5" s="1"/>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<sst xmlns="http://schemas.openxmlformats.org/spreadsheetml/2006/main" count="714" uniqueCount="488">
  <si>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</si>
  <si>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</si>
  <si>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</si>
  <si>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</si>
  <si>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</si>
  <si>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</si>
  <si>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</si>
  <si>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</si>
  <si>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</si>
  <si>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</si>
  <si>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</si>
  <si>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</si>
  <si>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</si>
  <si>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</si>
  <si>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</si>
  <si>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</si>
  <si>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</si>
  <si>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</si>
  <si>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</si>
  <si>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</si>
  <si>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</si>
  <si>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</si>
  <si>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</si>
  <si>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</si>
  <si>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</si>
  <si>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</si>
  <si>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</si>
  <si>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</si>
  <si>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</si>
  <si>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</si>
  <si>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</si>
  <si>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</si>
  <si>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</si>
  <si>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</si>
  <si>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</si>
  <si>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</si>
  <si>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</si>
  <si>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</si>
  <si>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</si>
  <si>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</si>
  <si>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</si>
  <si>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</si>
  <si>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</si>
  <si>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</si>
  <si>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</si>
  <si>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</si>
  <si>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</si>
  <si>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</si>
  <si>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</si>
  <si>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</si>
  <si>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</si>
  <si>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</si>
  <si>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</si>
  <si>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</si>
  <si>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</si>
  <si>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</si>
  <si>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</si>
  <si>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</si>
  <si>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</si>
  <si>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</si>
  <si>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</si>
  <si>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</si>
  <si>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</si>
  <si>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</si>
  <si>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</si>
  <si>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</si>
  <si>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</si>
  <si>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</si>
  <si>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</si>
  <si>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</si>
  <si>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</si>
  <si>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</si>
  <si>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</si>
  <si>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</si>
  <si>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</si>
  <si>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</si>
  <si>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</si>
  <si>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</si>
  <si>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</si>
  <si>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</si>
  <si>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</si>
  <si>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</si>
  <si>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</si>
  <si>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</si>
  <si>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</si>
  <si>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</si>
  <si>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</si>
  <si>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</si>
  <si>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</si>
  <si>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</si>
  <si>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</si>
  <si>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</si>
  <si>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</si>
  <si>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</si>
  <si>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</si>
  <si>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</si>
  <si>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</si>
  <si>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</si>
  <si>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</si>
  <si>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</si>
  <si>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</si>
  <si>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</si>
  <si>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</si>
  <si>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</si>
  <si>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</si>
  <si>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</si>
  <si>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</si>
  <si>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</si>
  <si>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</si>
  <si>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</si>
  <si>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</si>
  <si>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</si>
  <si>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</si>
  <si>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</si>
  <si>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</si>
  <si>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</si>
  <si>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</si>
  <si>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</si>
  <si>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</si>
  <si>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</si>
  <si>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</si>
  <si>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</si>
  <si>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</si>
  <si>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</si>
  <si>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</si>
  <si>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</si>
  <si>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</si>
  <si>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</si>
  <si>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</si>
  <si>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</si>
  <si>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</si>
  <si>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</si>
  <si>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</si>
  <si>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</si>
  <si>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</si>
  <si>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</si>
  <si>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</si>
  <si>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</si>
  <si>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</si>
  <si>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</si>
  <si>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</si>
  <si>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</si>
  <si>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</si>
  <si>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</si>
  <si>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</si>
  <si>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</si>
  <si>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</si>
  <si>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</si>
  <si>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</si>
  <si>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</si>
  <si>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</si>
  <si>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</si>
  <si>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</si>
  <si>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</si>
  <si>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</si>
  <si>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</si>
  <si>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</si>
  <si>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</si>
  <si>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</si>
  <si>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</si>
  <si>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</si>
  <si>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</si>
  <si>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</si>
  <si>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</si>
  <si>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</si>
  <si>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</si>
  <si>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</si>
  <si>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</si>
  <si>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</si>
  <si>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</si>
  <si>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</si>
  <si>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</si>
  <si>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</si>
  <si>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</si>
  <si>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</si>
  <si>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</si>
  <si>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</si>
  <si>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</si>
  <si>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</si>
  <si>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</si>
  <si>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</si>
  <si>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</si>
  <si>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</si>
  <si>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</si>
  <si>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</si>
  <si>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</si>
  <si>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</si>
  <si>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</si>
  <si>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</si>
  <si>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</si>
  <si>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</si>
  <si>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</si>
  <si>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</si>
  <si>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</si>
  <si>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</si>
  <si>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Prescription Access (24-Months)</t>
  </si>
  <si>
    <t>Columbia County Dept. of Human Services</t>
  </si>
  <si>
    <t>Total Columbia County Dept. Human Services</t>
  </si>
  <si>
    <t>Rural Health Network Program</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</si>
  <si>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</si>
  <si>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</si>
  <si>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</si>
  <si>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</si>
  <si>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</si>
  <si>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</si>
  <si>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</si>
  <si>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</si>
  <si>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</si>
  <si>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</si>
  <si>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</si>
  <si>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</si>
  <si>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</si>
  <si>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</si>
  <si>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</si>
  <si>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</si>
  <si>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</si>
  <si>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</si>
  <si>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</si>
  <si>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</si>
  <si>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</si>
  <si>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</si>
  <si>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</si>
  <si>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</si>
  <si>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</si>
  <si>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</si>
  <si>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</si>
  <si>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</si>
  <si>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</si>
  <si>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</si>
  <si>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</si>
  <si>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</si>
  <si>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</si>
  <si>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</si>
  <si>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</si>
  <si>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</si>
  <si>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</si>
  <si>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</si>
  <si>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</si>
  <si>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</si>
  <si>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</si>
  <si>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</si>
  <si>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</si>
  <si>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</si>
  <si>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</si>
  <si>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</si>
  <si>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</si>
  <si>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</si>
  <si>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</si>
  <si>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</si>
  <si>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</si>
  <si>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</si>
  <si>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</si>
  <si>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</si>
  <si>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</si>
  <si>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</si>
  <si>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</si>
  <si>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</si>
  <si>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</si>
  <si>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Lease with County - $550/mth</t>
  </si>
  <si>
    <t>Vehicle Licenses &amp; Permits</t>
  </si>
  <si>
    <t>Depreciation-Vehicles</t>
  </si>
  <si>
    <t>Audit</t>
  </si>
  <si>
    <t>Office &amp; Program Supplies</t>
  </si>
  <si>
    <t>General Insurance</t>
  </si>
  <si>
    <t>Other Expenses</t>
  </si>
  <si>
    <t>Add Back Deprecation</t>
  </si>
  <si>
    <t>Net Cash</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</si>
  <si>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</si>
  <si>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</si>
  <si>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</si>
  <si>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</si>
  <si>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</si>
  <si>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</si>
  <si>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</si>
  <si>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</si>
  <si>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</si>
  <si>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</si>
  <si>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Income</t>
  </si>
  <si>
    <t>Unrealized Gains</t>
  </si>
  <si>
    <t>Ending Balance</t>
  </si>
  <si>
    <t xml:space="preserve">FCISX </t>
  </si>
  <si>
    <t xml:space="preserve">FRUGX </t>
  </si>
  <si>
    <t xml:space="preserve">FRGSX </t>
  </si>
  <si>
    <t>FCSCX</t>
  </si>
  <si>
    <t xml:space="preserve">FSGCX </t>
  </si>
  <si>
    <t>TEGBX</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</si>
  <si>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</si>
  <si>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</si>
  <si>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</si>
  <si>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</si>
  <si>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</si>
  <si>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</si>
  <si>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</si>
  <si>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</si>
  <si>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</si>
  <si>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</si>
  <si>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</si>
  <si>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</si>
  <si>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</si>
  <si>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</si>
  <si>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NY Connects Year #11</t>
  </si>
  <si>
    <t>In Person Assistors &amp; Navigators - Yr#4 of 5</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</si>
  <si>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</si>
  <si>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</si>
  <si>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</si>
  <si>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</si>
  <si>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</si>
  <si>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</si>
  <si>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</si>
  <si>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</si>
  <si>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</si>
  <si>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</si>
  <si>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</si>
  <si>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</si>
  <si>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</si>
  <si>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</si>
  <si>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</si>
  <si>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</si>
  <si>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</si>
  <si>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</si>
  <si>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</si>
  <si>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</si>
  <si>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</si>
  <si>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</si>
  <si>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NYSDOH 07/17 to 06/18</t>
  </si>
  <si>
    <t>Pending on NYS Statewide Financial System Website</t>
  </si>
  <si>
    <t>Tobacco Free Communities Grant - Yr#4 of 5</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</si>
  <si>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</si>
  <si>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</si>
  <si>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In Person Assistors &amp; Navigators - Yr#5 of 5</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</si>
  <si>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</si>
  <si>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</si>
  <si>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</si>
  <si>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</si>
  <si>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</si>
  <si>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</si>
  <si>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</si>
  <si>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</si>
  <si>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</si>
  <si>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</si>
  <si>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</si>
  <si>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</si>
  <si>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</si>
  <si>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</si>
  <si>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</si>
  <si>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</si>
  <si>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</si>
  <si>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</si>
  <si>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</si>
  <si>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</si>
  <si>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</si>
  <si>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</si>
  <si>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</si>
  <si>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Senior Transportation Services - 2018</t>
  </si>
  <si>
    <t>CSP - Patient Services Grant - (6 Month Extension)</t>
  </si>
  <si>
    <t>CSP - Infrastructure Grant - (6 Month Extension)</t>
  </si>
  <si>
    <t>Transportation Services (2018)</t>
  </si>
  <si>
    <t>County Government - 2018</t>
  </si>
  <si>
    <t>Columbia County BOS 2018 Budget Appropriation</t>
  </si>
  <si>
    <t>County Departments - 2018</t>
  </si>
  <si>
    <t>Columbia County Departments 2018 Donations (CARTS)</t>
  </si>
  <si>
    <t>Medicaid Revenue -Transportation</t>
  </si>
  <si>
    <t>Fund</t>
  </si>
  <si>
    <t>Percent Total Assets</t>
  </si>
  <si>
    <t>Rural Health Network Program-(9 Month Extension)</t>
  </si>
  <si>
    <t>Balance as of 01/01/2018</t>
  </si>
  <si>
    <t>Unrealized Gain (Loss) on Investments</t>
  </si>
  <si>
    <t>Transfer</t>
  </si>
  <si>
    <t>Complementary Therapies Fund</t>
  </si>
  <si>
    <t>Vehicle Maintenance &amp; Repairs</t>
  </si>
  <si>
    <t>CoCo Dept. of Human Services</t>
  </si>
  <si>
    <t>Greene County-Dept. of Social Services</t>
  </si>
  <si>
    <t>NYSDOH 04/18 to 12/18 (Quarterly Voucher)</t>
  </si>
  <si>
    <t>NYSDOH Infrastructure Grant 04/18 to 09/18</t>
  </si>
  <si>
    <t>NYSDOH Clinical Services Grant 04/18 to 09/18</t>
  </si>
  <si>
    <t>NY Connects E&amp;EP         04/18 to 03/19</t>
  </si>
  <si>
    <t>MIPPA                              04/18 to 9/18</t>
  </si>
  <si>
    <t>Tobacco Free Communities Grant - Yr#5 of 5</t>
  </si>
  <si>
    <t>Miscellaneous</t>
  </si>
  <si>
    <t>Vehicle mileage for period</t>
  </si>
  <si>
    <t>Agency</t>
  </si>
  <si>
    <t>Genesee Valley Ford</t>
  </si>
  <si>
    <t>2018 Ford Taurus FWD SE</t>
  </si>
  <si>
    <t>Intelligent Technology Solutions</t>
  </si>
  <si>
    <t>RHN</t>
  </si>
  <si>
    <t>Dell Optiplex 7450</t>
  </si>
  <si>
    <t>Dell Latitude Laptop</t>
  </si>
  <si>
    <t>Samsung Galaxy Tablet</t>
  </si>
  <si>
    <t>In Person Assistors &amp; Navigators-(7 Mth Extension)</t>
  </si>
  <si>
    <t>Number of Rides for period</t>
  </si>
  <si>
    <t>Number of Medicaid Rides for Period</t>
  </si>
  <si>
    <t>Medicaid Revenue/Medicaid Ride</t>
  </si>
  <si>
    <t>Recoup 2% of Medicaid Claims from 2015 Yr</t>
  </si>
  <si>
    <t>Refund of 2015 2% Recapture of Medicaid Claims $3,123 in 2018</t>
  </si>
  <si>
    <t>NYSDOH 07/18 to 06/19</t>
  </si>
  <si>
    <t>HRI Clinical Services 07/18 to 09/18</t>
  </si>
  <si>
    <t>CSP - Patient Services Grant - (3 Month Extension))</t>
  </si>
  <si>
    <t>4695-06</t>
  </si>
  <si>
    <t>Women's Health Project</t>
  </si>
  <si>
    <t>Research Foundation-SUNY</t>
  </si>
  <si>
    <t>Transportation Scheduling Software-RoutingBox</t>
  </si>
  <si>
    <t>Cost per Rider (w/o depreciation&amp;rent)</t>
  </si>
  <si>
    <t>Cost per mile (w/o depreciation&amp;rent)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</si>
  <si>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2019. </t>
    </r>
  </si>
  <si>
    <t>Was &lt;$16K&gt; at 6/30/18, picked up Medicaid- Albany runs</t>
  </si>
  <si>
    <t>October</t>
  </si>
  <si>
    <t xml:space="preserve">Albany Medical Center - </t>
  </si>
  <si>
    <t>NYSDOH 10/18 to 09/19</t>
  </si>
  <si>
    <t>Research Foundation SUNY - Women's Project</t>
  </si>
  <si>
    <t>Diff Albany Med</t>
  </si>
  <si>
    <t>Ten Months Ended October 31, 2018 and 2017</t>
  </si>
  <si>
    <t>Transportation Services (2019)</t>
  </si>
  <si>
    <r>
      <t xml:space="preserve">Greene County DSS </t>
    </r>
    <r>
      <rPr>
        <sz val="10"/>
        <color theme="1"/>
        <rFont val="Arial"/>
        <family val="2"/>
      </rPr>
      <t>(HEAP Program )</t>
    </r>
  </si>
  <si>
    <t>Beginning Balance at 01/01/2018</t>
  </si>
  <si>
    <t>Transportation Program Efficiency Study</t>
  </si>
  <si>
    <t>DSRIP Funds (Better Health for Northeast NY)</t>
  </si>
  <si>
    <t>Decrease in donations for Community Cancer Funds</t>
  </si>
  <si>
    <t>CSP Patient Claims winding down and ending in Sept 2018</t>
  </si>
  <si>
    <t>For the Year Ended December 31, 2019</t>
  </si>
  <si>
    <t>Grants - Federal (5310 Funding)</t>
  </si>
  <si>
    <t>Columbia County BOS</t>
  </si>
  <si>
    <t>Unrealized Gain on Investments</t>
  </si>
  <si>
    <t>Community Cancer Funds</t>
  </si>
  <si>
    <t>Gain on Sale of Vehicle</t>
  </si>
  <si>
    <t>The Research Foundation - SUNY (Women's Project)</t>
  </si>
  <si>
    <t>Grants Receivable Aging Summary as of December 31, 2018</t>
  </si>
  <si>
    <t>December</t>
  </si>
  <si>
    <t>Payments Received After December 31, 2018</t>
  </si>
  <si>
    <t>Total AR Payments Received After December 31, 2018</t>
  </si>
  <si>
    <t>Grants Receivable at 12/31/2018</t>
  </si>
  <si>
    <t>November</t>
  </si>
  <si>
    <t>September &amp; Older</t>
  </si>
  <si>
    <t>OFA: NY Connects - E&amp;EP - November 2018 Voucher</t>
  </si>
  <si>
    <t>OFA: Senior Transportation - November 2018 Voucher</t>
  </si>
  <si>
    <t>Navigator Program - November 2018 Voucher</t>
  </si>
  <si>
    <t>Tobacco-Free Program - November 2018 Voucher</t>
  </si>
  <si>
    <t>December 31th AR Balance at January 15, 2019</t>
  </si>
  <si>
    <t>Columbia County Sheriff Dept. - No Shave November- Cancer Fund</t>
  </si>
  <si>
    <t>As of  December 31, 2018</t>
  </si>
  <si>
    <t>Senior Transportation Services - 2019</t>
  </si>
  <si>
    <t>County Government - 2019</t>
  </si>
  <si>
    <t>County Departments - 2019</t>
  </si>
  <si>
    <t>Columbia County BOS 2019 Budget Appropriation</t>
  </si>
  <si>
    <t>Columbia County Departments 2019 Donations (CARTS)</t>
  </si>
  <si>
    <t>QuickBooks AR at 12/31/2018</t>
  </si>
  <si>
    <t>For the Years Ended December 31, 2018 &amp; 2017</t>
  </si>
  <si>
    <t>Legal</t>
  </si>
  <si>
    <t>Review of Harassment Policy &amp; Executive Director's employment contract</t>
  </si>
  <si>
    <t>December '18 vs.'17</t>
  </si>
  <si>
    <t>December'18 vs. '17</t>
  </si>
  <si>
    <r>
      <t>è</t>
    </r>
    <r>
      <rPr>
        <b/>
        <sz val="12"/>
        <color theme="1"/>
        <rFont val="Times New Roman"/>
        <family val="1"/>
      </rPr>
      <t xml:space="preserve"> Cash</t>
    </r>
    <r>
      <rPr>
        <sz val="12"/>
        <color theme="1"/>
        <rFont val="Calibri"/>
        <family val="2"/>
      </rPr>
      <t xml:space="preserve"> -  Cash balance in the operating checking account started the year off with $283K and ended with $274K at December 31, 2018. Low balance on May 11th was $153K &amp; the high balance on March 2nd was $367K. Average daily balance for the 2017 &amp; 2018 years were $323K and $259K, respectively.</t>
    </r>
  </si>
  <si>
    <t>Credit sales</t>
  </si>
  <si>
    <t>NY State</t>
  </si>
  <si>
    <t>Medicaid</t>
  </si>
  <si>
    <t>Federal</t>
  </si>
  <si>
    <t>Greene Cty</t>
  </si>
  <si>
    <t>OFA</t>
  </si>
  <si>
    <t>Dept of Human</t>
  </si>
  <si>
    <t>Columbia Cty</t>
  </si>
  <si>
    <t>Col Depts</t>
  </si>
  <si>
    <t>Average AR</t>
  </si>
  <si>
    <t>Sales</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</si>
  <si>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2018 our Grant Receivable is $246K. Expectation is that we will collect on all receivables.  The average collection period for 2018 was 73 days. Summary of Grants Receivable at December 31, 2018 is as follows:</t>
    </r>
  </si>
  <si>
    <r>
      <t>è</t>
    </r>
    <r>
      <rPr>
        <b/>
        <sz val="12"/>
        <color theme="1"/>
        <rFont val="Times New Roman"/>
        <family val="1"/>
      </rPr>
      <t xml:space="preserve"> Investment - Infinex Financial-Securities</t>
    </r>
    <r>
      <rPr>
        <sz val="12"/>
        <color theme="1"/>
        <rFont val="Calibri"/>
        <family val="2"/>
      </rPr>
      <t xml:space="preserve"> - As of December 31, 2018, investment account value of six mutual funds is $159,621. Initial investment during March 2016 was $152,036 or $25.3K per mutual fund</t>
    </r>
  </si>
  <si>
    <t>Carmody Ford</t>
  </si>
  <si>
    <t xml:space="preserve">S&amp;F Telecommunication </t>
  </si>
  <si>
    <t>NEC SL2100 Phone System</t>
  </si>
  <si>
    <t>Dell Power Edge Server T440</t>
  </si>
  <si>
    <r>
      <t>è</t>
    </r>
    <r>
      <rPr>
        <b/>
        <sz val="12"/>
        <color theme="1"/>
        <rFont val="Times New Roman"/>
        <family val="1"/>
      </rPr>
      <t xml:space="preserve"> Equipment, Furniture &amp; Vehicles</t>
    </r>
    <r>
      <rPr>
        <sz val="12"/>
        <color theme="1"/>
        <rFont val="Calibri"/>
        <family val="2"/>
      </rPr>
      <t xml:space="preserve"> -We have purchased $16,771 for new computer equipment, $12,486 for new phone system and $44,886 for two new Ford Taurus vehicles.</t>
    </r>
  </si>
  <si>
    <r>
      <t>è</t>
    </r>
    <r>
      <rPr>
        <b/>
        <sz val="12"/>
        <color theme="1"/>
        <rFont val="Times New Roman"/>
        <family val="1"/>
      </rPr>
      <t xml:space="preserve">Accounts Payable - </t>
    </r>
    <r>
      <rPr>
        <sz val="12"/>
        <color theme="1"/>
        <rFont val="Calibri"/>
        <family val="2"/>
        <scheme val="minor"/>
      </rPr>
      <t>At December 31, 2018, accounts payable lability is $39,949 and all AP liability is being paid timely within 28 days. Two vendors with the larget balance due was Intelligent Tech Solutions in the amount of $13,021 for a new Dell server plus S&amp;F Telecommunications in the amount of $12,486 for new NEC phone system.</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</si>
  <si>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December 31, 2018,</t>
    </r>
  </si>
  <si>
    <t>Ending Balance at December 31, 2018</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</si>
  <si>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December 31, 2018: </t>
    </r>
  </si>
  <si>
    <t>Decrease in CSP Grants by &lt;$85K&gt;, Increases in RHN +$51K &amp; Tob + $12K</t>
  </si>
  <si>
    <t>CSP Program winding down in 2018 and ceasing in Sept'18</t>
  </si>
  <si>
    <t>Increase of $18K for CARTS Effeciency Study '18, and &lt;$2.3&gt; Dyson Rx</t>
  </si>
  <si>
    <t>Pay Increases in '18 + elimination of CSP + driver's wages</t>
  </si>
  <si>
    <t>Health &amp; Dental Ins down by &lt;$7K&gt; in 2018 &amp; Accrued PTO down &lt;$4K&gt;</t>
  </si>
  <si>
    <t>Increase of $4.7K in expenditures for Community Cancer Funds</t>
  </si>
  <si>
    <t>Sharp decrease in values during the months of Oct'18 &amp; Dec'18</t>
  </si>
  <si>
    <t>Tobacco Program Supplies increased by $4.4K in 2018</t>
  </si>
  <si>
    <t>$2,450 for staff training on harrazzment</t>
  </si>
  <si>
    <t>Tobacco Program Supplies increased by $3.7K in 2018</t>
  </si>
  <si>
    <t>Vehicle fuel expense increased by $6.4K, increase in vehicle miles of 24k</t>
  </si>
  <si>
    <t>Decreases in advertising for CSP &amp; Tobacco Programs and Help Wanted Ads</t>
  </si>
  <si>
    <t>Total Fixed Assets-Net</t>
  </si>
  <si>
    <t>FCH - Ancram/Copake 2019 Transportation Grant</t>
  </si>
  <si>
    <t>Rural Health Network Program- Yr#1of 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</si>
</sst>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s>
  <fonts count="65"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7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80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3"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3" fillId="0" borderId="0" xfId="0" applyFont="1"/>
    <xf numFmtId="169" fontId="0" fillId="0" borderId="11" xfId="1" applyNumberFormat="1" applyFont="1" applyBorder="1"/>
    <xf numFmtId="9" fontId="0" fillId="0" borderId="11" xfId="4"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0" fillId="0" borderId="0" xfId="0" applyNumberFormat="1" applyBorder="1"/>
    <xf numFmtId="9" fontId="0" fillId="0" borderId="0" xfId="4" applyFont="1" applyBorder="1"/>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21" fillId="0" borderId="0" xfId="0" applyNumberFormat="1" applyFont="1" applyBorder="1"/>
    <xf numFmtId="9" fontId="21" fillId="0" borderId="0" xfId="0" applyNumberFormat="1" applyFont="1" applyBorder="1"/>
    <xf numFmtId="42" fontId="0" fillId="0" borderId="11" xfId="1" applyNumberFormat="1" applyFont="1" applyBorder="1"/>
    <xf numFmtId="42" fontId="0" fillId="0" borderId="11" xfId="0" applyNumberFormat="1" applyBorder="1"/>
    <xf numFmtId="0" fontId="34" fillId="0" borderId="0" xfId="0" applyFont="1" applyFill="1" applyAlignment="1">
      <alignment horizontal="left" vertical="top" wrapText="1"/>
    </xf>
    <xf numFmtId="0" fontId="21" fillId="0" borderId="11" xfId="0" applyFont="1" applyFill="1" applyBorder="1" applyAlignment="1">
      <alignment horizontal="center" vertical="top" wrapText="1"/>
    </xf>
    <xf numFmtId="0" fontId="3" fillId="3" borderId="13" xfId="0" applyFont="1" applyFill="1" applyBorder="1" applyAlignment="1">
      <alignment horizontal="center" vertical="center"/>
    </xf>
    <xf numFmtId="0" fontId="0" fillId="0" borderId="35" xfId="0" applyFill="1" applyBorder="1" applyAlignment="1"/>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9" fontId="21" fillId="0" borderId="11" xfId="0" applyNumberFormat="1" applyFont="1" applyBorder="1"/>
    <xf numFmtId="44" fontId="50" fillId="0" borderId="11" xfId="1" applyFont="1" applyFill="1" applyBorder="1" applyAlignment="1">
      <alignment horizontal="center" vertical="center" wrapText="1"/>
    </xf>
    <xf numFmtId="41" fontId="0" fillId="0" borderId="11" xfId="1" applyNumberFormat="1" applyFont="1" applyBorder="1"/>
    <xf numFmtId="41" fontId="35" fillId="0" borderId="0" xfId="0" applyNumberFormat="1" applyFont="1" applyFill="1" applyAlignment="1">
      <alignment horizontal="center" vertical="center" wrapText="1"/>
    </xf>
    <xf numFmtId="6" fontId="19" fillId="9" borderId="2" xfId="0" applyNumberFormat="1" applyFont="1" applyFill="1" applyBorder="1"/>
    <xf numFmtId="37" fontId="15" fillId="0" borderId="0" xfId="0" applyNumberFormat="1" applyFont="1" applyFill="1" applyBorder="1" applyAlignment="1">
      <alignment vertical="center"/>
    </xf>
    <xf numFmtId="38" fontId="19" fillId="9" borderId="4" xfId="1" applyNumberFormat="1" applyFont="1" applyFill="1" applyBorder="1" applyAlignment="1">
      <alignment horizontal="right"/>
    </xf>
    <xf numFmtId="14" fontId="0" fillId="0" borderId="63" xfId="0" applyNumberFormat="1" applyFill="1" applyBorder="1" applyAlignment="1">
      <alignment horizontal="center"/>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0" fontId="0" fillId="0" borderId="16" xfId="0" applyFill="1" applyBorder="1" applyAlignment="1"/>
    <xf numFmtId="41" fontId="35" fillId="0" borderId="0" xfId="0" applyNumberFormat="1" applyFont="1" applyFill="1" applyAlignment="1">
      <alignment horizontal="center" vertical="center" wrapText="1"/>
    </xf>
    <xf numFmtId="0" fontId="5" fillId="0" borderId="30" xfId="0" applyFont="1" applyBorder="1" applyAlignment="1">
      <alignment vertical="center"/>
    </xf>
    <xf numFmtId="7" fontId="15" fillId="0" borderId="19" xfId="0" applyNumberFormat="1" applyFont="1" applyFill="1" applyBorder="1" applyAlignment="1">
      <alignment vertical="center"/>
    </xf>
    <xf numFmtId="7" fontId="15" fillId="0" borderId="0" xfId="0" applyNumberFormat="1" applyFont="1" applyFill="1" applyBorder="1" applyAlignment="1">
      <alignment vertical="center"/>
    </xf>
    <xf numFmtId="41" fontId="13"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0" fontId="21" fillId="0" borderId="11" xfId="0" applyFont="1" applyBorder="1" applyAlignment="1">
      <alignment horizontal="center" vertical="center"/>
    </xf>
    <xf numFmtId="40"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8" fontId="0" fillId="0" borderId="2" xfId="0" applyNumberFormat="1" applyFont="1" applyBorder="1" applyAlignment="1">
      <alignment vertical="center"/>
    </xf>
    <xf numFmtId="41" fontId="24" fillId="0" borderId="2" xfId="0" applyNumberFormat="1" applyFont="1" applyBorder="1" applyAlignment="1">
      <alignment vertical="center"/>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35" fillId="0" borderId="0" xfId="0" applyFont="1" applyFill="1" applyAlignment="1">
      <alignment horizontal="center" vertical="top" wrapText="1"/>
    </xf>
    <xf numFmtId="0" fontId="41" fillId="0" borderId="0" xfId="0" applyFont="1" applyFill="1" applyAlignment="1">
      <alignment horizontal="center" wrapText="1"/>
    </xf>
    <xf numFmtId="0" fontId="34" fillId="0" borderId="0" xfId="0" applyFont="1" applyFill="1" applyAlignment="1">
      <alignment horizontal="left" vertical="top" wrapText="1"/>
    </xf>
    <xf numFmtId="0" fontId="34" fillId="0" borderId="0" xfId="0" applyFont="1" applyFill="1" applyAlignment="1">
      <alignment horizontal="left" wrapText="1"/>
    </xf>
    <xf numFmtId="0" fontId="35" fillId="0" borderId="0" xfId="0" applyFont="1" applyFill="1" applyAlignment="1">
      <alignment horizontal="left" vertical="center" wrapText="1" indent="2"/>
    </xf>
    <xf numFmtId="0" fontId="21" fillId="0" borderId="11" xfId="0" applyFont="1" applyFill="1" applyBorder="1" applyAlignment="1">
      <alignment horizontal="center"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50" xfId="0" applyFill="1" applyBorder="1" applyAlignment="1">
      <alignment horizontal="left"/>
    </xf>
    <xf numFmtId="0" fontId="0" fillId="0" borderId="51"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Alignment="1">
      <alignment horizontal="left" vertical="center"/>
    </xf>
    <xf numFmtId="49" fontId="11" fillId="0" borderId="0" xfId="0" applyNumberFormat="1" applyFont="1" applyBorder="1" applyAlignment="1">
      <alignment horizontal="center"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xf numFmtId="0" fontId="0" fillId="0" borderId="24" xfId="0" applyFill="1" applyBorder="1"/>
    <xf numFmtId="0" fontId="0" fillId="0" borderId="16" xfId="0" applyFill="1" applyBorder="1"/>
    <xf numFmtId="0" fontId="0" fillId="0" borderId="69" xfId="0" applyFill="1" applyBorder="1"/>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0" fontId="0" fillId="0" borderId="2" xfId="0" applyFill="1" applyBorder="1" applyAlignment="1">
      <alignment horizontal="center"/>
    </xf>
    <xf numFmtId="0" fontId="0" fillId="0" borderId="6" xfId="0" applyFill="1" applyBorder="1" applyAlignment="1">
      <alignment horizontal="center"/>
    </xf>
    <xf numFmtId="0" fontId="0" fillId="0" borderId="27" xfId="0" applyFill="1" applyBorder="1" applyAlignment="1">
      <alignment horizontal="center"/>
    </xf>
    <xf numFmtId="38" fontId="0" fillId="0" borderId="49"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6" xfId="1" applyNumberFormat="1" applyFont="1" applyFill="1" applyBorder="1" applyAlignment="1"/>
    <xf numFmtId="41" fontId="0" fillId="0" borderId="27" xfId="1" applyNumberFormat="1" applyFont="1" applyFill="1" applyBorder="1" applyAlignment="1"/>
    <xf numFmtId="6" fontId="0" fillId="0" borderId="49" xfId="1" applyNumberFormat="1" applyFont="1" applyFill="1" applyBorder="1" applyAlignment="1"/>
    <xf numFmtId="38" fontId="0" fillId="2" borderId="49" xfId="1" applyNumberFormat="1" applyFont="1" applyFill="1" applyBorder="1" applyAlignment="1"/>
    <xf numFmtId="41" fontId="0" fillId="2" borderId="49" xfId="1" applyNumberFormat="1" applyFont="1" applyFill="1" applyBorder="1" applyAlignment="1"/>
    <xf numFmtId="44" fontId="12" fillId="0" borderId="0" xfId="0" applyNumberFormat="1" applyFont="1" applyBorder="1" applyAlignment="1">
      <alignment vertical="center"/>
    </xf>
    <xf numFmtId="8" fontId="0" fillId="0" borderId="0" xfId="0" applyNumberFormat="1"/>
    <xf numFmtId="42" fontId="34" fillId="0" borderId="0" xfId="0" applyNumberFormat="1" applyFont="1" applyFill="1" applyAlignment="1">
      <alignment horizontal="left" vertical="top" wrapText="1"/>
    </xf>
    <xf numFmtId="41" fontId="5" fillId="0" borderId="0" xfId="0" applyNumberFormat="1" applyFont="1" applyBorder="1" applyAlignment="1">
      <alignment horizontal="left" vertical="center"/>
    </xf>
    <xf numFmtId="0" fontId="0" fillId="0" borderId="23" xfId="0" applyFill="1" applyBorder="1" applyAlignment="1">
      <alignment horizontal="left"/>
    </xf>
    <xf numFmtId="0" fontId="0" fillId="0" borderId="17" xfId="0" applyFill="1" applyBorder="1" applyAlignment="1">
      <alignment horizontal="left"/>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Data!$A$265:$A$785</c:f>
              <c:numCache>
                <c:formatCode>[$-F800]dddd\,\ mmmm\ dd\,\ yyyy</c:formatCode>
                <c:ptCount val="521"/>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numCache>
            </c:numRef>
          </c:cat>
          <c:val>
            <c:numRef>
              <c:f>Data!$B$265:$B$785</c:f>
              <c:numCache>
                <c:formatCode>#,##0</c:formatCode>
                <c:ptCount val="521"/>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354246.44</c:v>
                </c:pt>
                <c:pt idx="229" formatCode="#,##0_);[Red]\(#,##0\)">
                  <c:v>354246.44</c:v>
                </c:pt>
                <c:pt idx="230" formatCode="#,##0_);[Red]\(#,##0\)">
                  <c:v>354264.44</c:v>
                </c:pt>
                <c:pt idx="231" formatCode="#,##0_);[Red]\(#,##0\)">
                  <c:v>354264</c:v>
                </c:pt>
                <c:pt idx="232" formatCode="#,##0_);[Red]\(#,##0\)">
                  <c:v>357804.55</c:v>
                </c:pt>
                <c:pt idx="233" formatCode="#,##0_);[Red]\(#,##0\)">
                  <c:v>357805</c:v>
                </c:pt>
                <c:pt idx="234" formatCode="#,##0_);[Red]\(#,##0\)">
                  <c:v>361119.05</c:v>
                </c:pt>
                <c:pt idx="235" formatCode="#,##0_);[Red]\(#,##0\)">
                  <c:v>318415.71000000002</c:v>
                </c:pt>
                <c:pt idx="236" formatCode="#,##0_);[Red]\(#,##0\)">
                  <c:v>320237.53999999998</c:v>
                </c:pt>
                <c:pt idx="237" formatCode="#,##0_);[Red]\(#,##0\)">
                  <c:v>320237.53999999998</c:v>
                </c:pt>
                <c:pt idx="238" formatCode="#,##0_);[Red]\(#,##0\)">
                  <c:v>325286.46999999997</c:v>
                </c:pt>
                <c:pt idx="239" formatCode="#,##0_);[Red]\(#,##0\)">
                  <c:v>334247.03000000003</c:v>
                </c:pt>
                <c:pt idx="240" formatCode="#,##0_);[Red]\(#,##0\)">
                  <c:v>334247</c:v>
                </c:pt>
                <c:pt idx="241" formatCode="#,##0_);[Red]\(#,##0\)">
                  <c:v>334247.03000000003</c:v>
                </c:pt>
                <c:pt idx="242" formatCode="#,##0_);[Red]\(#,##0\)">
                  <c:v>334247</c:v>
                </c:pt>
                <c:pt idx="243" formatCode="#,##0_);[Red]\(#,##0\)">
                  <c:v>323171.46000000002</c:v>
                </c:pt>
                <c:pt idx="244" formatCode="#,##0_);[Red]\(#,##0\)">
                  <c:v>324229.90999999997</c:v>
                </c:pt>
                <c:pt idx="245" formatCode="#,##0_);[Red]\(#,##0\)">
                  <c:v>324230</c:v>
                </c:pt>
                <c:pt idx="246" formatCode="#,##0_);[Red]\(#,##0\)">
                  <c:v>286030.39</c:v>
                </c:pt>
                <c:pt idx="247" formatCode="#,##0_);[Red]\(#,##0\)">
                  <c:v>286197.44</c:v>
                </c:pt>
                <c:pt idx="248" formatCode="#,##0_);[Red]\(#,##0\)">
                  <c:v>280065.2</c:v>
                </c:pt>
                <c:pt idx="249" formatCode="#,##0_);[Red]\(#,##0\)">
                  <c:v>284409.09999999998</c:v>
                </c:pt>
                <c:pt idx="250" formatCode="#,##0_);[Red]\(#,##0\)">
                  <c:v>285119.09999999998</c:v>
                </c:pt>
                <c:pt idx="251" formatCode="#,##0_);[Red]\(#,##0\)">
                  <c:v>285395.49</c:v>
                </c:pt>
                <c:pt idx="252" formatCode="#,##0_);[Red]\(#,##0\)">
                  <c:v>285395</c:v>
                </c:pt>
                <c:pt idx="253" formatCode="#,##0_);[Red]\(#,##0\)">
                  <c:v>285542.49</c:v>
                </c:pt>
                <c:pt idx="254" formatCode="#,##0_);[Red]\(#,##0\)">
                  <c:v>285542</c:v>
                </c:pt>
                <c:pt idx="255" formatCode="#,##0_);[Red]\(#,##0\)">
                  <c:v>285542</c:v>
                </c:pt>
                <c:pt idx="256" formatCode="#,##0_);[Red]\(#,##0\)">
                  <c:v>248584.72</c:v>
                </c:pt>
                <c:pt idx="257" formatCode="#,##0_);[Red]\(#,##0\)">
                  <c:v>248585</c:v>
                </c:pt>
                <c:pt idx="258" formatCode="#,##0_);[Red]\(#,##0\)">
                  <c:v>270685.83</c:v>
                </c:pt>
                <c:pt idx="259" formatCode="#,##0_);[Red]\(#,##0\)">
                  <c:v>282558.58</c:v>
                </c:pt>
                <c:pt idx="260" formatCode="#,##0_);[Red]\(#,##0\)">
                  <c:v>282559</c:v>
                </c:pt>
                <c:pt idx="261" formatCode="#,##0_);[Red]\(#,##0\)">
                  <c:v>282508.58</c:v>
                </c:pt>
                <c:pt idx="262" formatCode="#,##0_);[Red]\(#,##0\)">
                  <c:v>282509</c:v>
                </c:pt>
                <c:pt idx="263" formatCode="#,##0_);[Red]\(#,##0\)">
                  <c:v>283213.14</c:v>
                </c:pt>
                <c:pt idx="264" formatCode="#,##0_);[Red]\(#,##0\)">
                  <c:v>297779.06</c:v>
                </c:pt>
                <c:pt idx="265" formatCode="#,##0_);[Red]\(#,##0\)">
                  <c:v>263886.2</c:v>
                </c:pt>
                <c:pt idx="266" formatCode="#,##0_);[Red]\(#,##0\)">
                  <c:v>277030.96999999997</c:v>
                </c:pt>
                <c:pt idx="267" formatCode="#,##0_);[Red]\(#,##0\)">
                  <c:v>277031</c:v>
                </c:pt>
                <c:pt idx="268" formatCode="#,##0_);[Red]\(#,##0\)">
                  <c:v>281394.14</c:v>
                </c:pt>
                <c:pt idx="269" formatCode="#,##0_);[Red]\(#,##0\)">
                  <c:v>281470.18</c:v>
                </c:pt>
                <c:pt idx="270" formatCode="#,##0_);[Red]\(#,##0\)">
                  <c:v>281470</c:v>
                </c:pt>
                <c:pt idx="271" formatCode="#,##0_);[Red]\(#,##0\)">
                  <c:v>284325.94</c:v>
                </c:pt>
                <c:pt idx="272" formatCode="#,##0_);[Red]\(#,##0\)">
                  <c:v>305911.78000000003</c:v>
                </c:pt>
                <c:pt idx="273" formatCode="#,##0_);[Red]\(#,##0\)">
                  <c:v>305752.93</c:v>
                </c:pt>
                <c:pt idx="274" formatCode="#,##0_);[Red]\(#,##0\)">
                  <c:v>332730.14</c:v>
                </c:pt>
                <c:pt idx="275" formatCode="#,##0_);[Red]\(#,##0\)">
                  <c:v>291419.49</c:v>
                </c:pt>
                <c:pt idx="276" formatCode="#,##0_);[Red]\(#,##0\)">
                  <c:v>293419.65000000002</c:v>
                </c:pt>
                <c:pt idx="277" formatCode="#,##0_);[Red]\(#,##0\)">
                  <c:v>293420</c:v>
                </c:pt>
                <c:pt idx="278" formatCode="#,##0_);[Red]\(#,##0\)">
                  <c:v>301331.82</c:v>
                </c:pt>
                <c:pt idx="279" formatCode="#,##0_);[Red]\(#,##0\)">
                  <c:v>327084.28999999998</c:v>
                </c:pt>
                <c:pt idx="280" formatCode="#,##0_);[Red]\(#,##0\)">
                  <c:v>327084</c:v>
                </c:pt>
                <c:pt idx="281" formatCode="#,##0_);[Red]\(#,##0\)">
                  <c:v>327084</c:v>
                </c:pt>
                <c:pt idx="282" formatCode="#,##0_);[Red]\(#,##0\)">
                  <c:v>337130.63</c:v>
                </c:pt>
                <c:pt idx="283" formatCode="#,##0_);[Red]\(#,##0\)">
                  <c:v>334292.59999999998</c:v>
                </c:pt>
                <c:pt idx="284" formatCode="#,##0_);[Red]\(#,##0\)">
                  <c:v>335977.23</c:v>
                </c:pt>
                <c:pt idx="285" formatCode="#,##0_);[Red]\(#,##0\)">
                  <c:v>300614.99</c:v>
                </c:pt>
                <c:pt idx="286" formatCode="#,##0_);[Red]\(#,##0\)">
                  <c:v>295509.53999999998</c:v>
                </c:pt>
                <c:pt idx="287" formatCode="#,##0_);[Red]\(#,##0\)">
                  <c:v>295510</c:v>
                </c:pt>
                <c:pt idx="288" formatCode="#,##0_);[Red]\(#,##0\)">
                  <c:v>295623.09999999998</c:v>
                </c:pt>
                <c:pt idx="289" formatCode="#,##0_);[Red]\(#,##0\)">
                  <c:v>295623</c:v>
                </c:pt>
                <c:pt idx="290" formatCode="#,##0_);[Red]\(#,##0\)">
                  <c:v>299232.09999999998</c:v>
                </c:pt>
                <c:pt idx="291" formatCode="#,##0_);[Red]\(#,##0\)">
                  <c:v>304422.01</c:v>
                </c:pt>
                <c:pt idx="292" formatCode="#,##0_);[Red]\(#,##0\)">
                  <c:v>330191.24</c:v>
                </c:pt>
                <c:pt idx="293" formatCode="#,##0_);[Red]\(#,##0\)">
                  <c:v>313471.64</c:v>
                </c:pt>
                <c:pt idx="294" formatCode="#,##0_);[Red]\(#,##0\)">
                  <c:v>313472</c:v>
                </c:pt>
                <c:pt idx="295" formatCode="#,##0_);[Red]\(#,##0\)">
                  <c:v>313472</c:v>
                </c:pt>
                <c:pt idx="296" formatCode="#,##0_);[Red]\(#,##0\)">
                  <c:v>277471.58</c:v>
                </c:pt>
                <c:pt idx="297" formatCode="#,##0_);[Red]\(#,##0\)">
                  <c:v>287526.92</c:v>
                </c:pt>
                <c:pt idx="298" formatCode="#,##0_);[Red]\(#,##0\)">
                  <c:v>296486.64</c:v>
                </c:pt>
                <c:pt idx="299" formatCode="#,##0_);[Red]\(#,##0\)">
                  <c:v>296487</c:v>
                </c:pt>
                <c:pt idx="300" formatCode="#,##0_);[Red]\(#,##0\)">
                  <c:v>296487</c:v>
                </c:pt>
                <c:pt idx="301" formatCode="#,##0_);[Red]\(#,##0\)">
                  <c:v>335911.5</c:v>
                </c:pt>
                <c:pt idx="302" formatCode="#,##0_);[Red]\(#,##0\)">
                  <c:v>335912</c:v>
                </c:pt>
                <c:pt idx="303" formatCode="#,##0_);[Red]\(#,##0\)">
                  <c:v>330042.21999999997</c:v>
                </c:pt>
                <c:pt idx="304" formatCode="#,##0_);[Red]\(#,##0\)">
                  <c:v>367034.5</c:v>
                </c:pt>
                <c:pt idx="305" formatCode="#,##0_);[Red]\(#,##0\)">
                  <c:v>330990.42</c:v>
                </c:pt>
                <c:pt idx="306" formatCode="#,##0_);[Red]\(#,##0\)">
                  <c:v>333065.89</c:v>
                </c:pt>
                <c:pt idx="307" formatCode="#,##0_);[Red]\(#,##0\)">
                  <c:v>331065.89</c:v>
                </c:pt>
                <c:pt idx="308" formatCode="#,##0_);[Red]\(#,##0\)">
                  <c:v>331092.17</c:v>
                </c:pt>
                <c:pt idx="309" formatCode="#,##0_);[Red]\(#,##0\)">
                  <c:v>311733.17</c:v>
                </c:pt>
                <c:pt idx="310" formatCode="#,##0_);[Red]\(#,##0\)">
                  <c:v>317116.19</c:v>
                </c:pt>
                <c:pt idx="311" formatCode="#,##0_);[Red]\(#,##0\)">
                  <c:v>317116</c:v>
                </c:pt>
                <c:pt idx="312" formatCode="#,##0_);[Red]\(#,##0\)">
                  <c:v>317496.19</c:v>
                </c:pt>
                <c:pt idx="313" formatCode="#,##0_);[Red]\(#,##0\)">
                  <c:v>317772.45</c:v>
                </c:pt>
                <c:pt idx="314" formatCode="#,##0_);[Red]\(#,##0\)">
                  <c:v>317772</c:v>
                </c:pt>
                <c:pt idx="315" formatCode="#,##0_);[Red]\(#,##0\)">
                  <c:v>279446.55</c:v>
                </c:pt>
                <c:pt idx="316" formatCode="#,##0_);[Red]\(#,##0\)">
                  <c:v>272785.62</c:v>
                </c:pt>
                <c:pt idx="317" formatCode="#,##0_);[Red]\(#,##0\)">
                  <c:v>288240.15999999997</c:v>
                </c:pt>
                <c:pt idx="318" formatCode="#,##0_);[Red]\(#,##0\)">
                  <c:v>278742.74</c:v>
                </c:pt>
                <c:pt idx="319" formatCode="#,##0_);[Red]\(#,##0\)">
                  <c:v>278840.24</c:v>
                </c:pt>
                <c:pt idx="320" formatCode="#,##0_);[Red]\(#,##0\)">
                  <c:v>278942.24</c:v>
                </c:pt>
                <c:pt idx="321" formatCode="#,##0_);[Red]\(#,##0\)">
                  <c:v>257048.49</c:v>
                </c:pt>
                <c:pt idx="322" formatCode="#,##0_);[Red]\(#,##0\)">
                  <c:v>252662.47</c:v>
                </c:pt>
                <c:pt idx="323" formatCode="#,##0_);[Red]\(#,##0\)">
                  <c:v>254708.73</c:v>
                </c:pt>
                <c:pt idx="324" formatCode="#,##0_);[Red]\(#,##0\)">
                  <c:v>281702.86</c:v>
                </c:pt>
                <c:pt idx="325" formatCode="#,##0_);[Red]\(#,##0\)">
                  <c:v>244220.77</c:v>
                </c:pt>
                <c:pt idx="326" formatCode="#,##0_);[Red]\(#,##0\)">
                  <c:v>244221</c:v>
                </c:pt>
                <c:pt idx="327" formatCode="#,##0_);[Red]\(#,##0\)">
                  <c:v>244221</c:v>
                </c:pt>
                <c:pt idx="328" formatCode="#,##0_);[Red]\(#,##0\)">
                  <c:v>225503.87</c:v>
                </c:pt>
                <c:pt idx="329" formatCode="#,##0_);[Red]\(#,##0\)">
                  <c:v>225504</c:v>
                </c:pt>
                <c:pt idx="330" formatCode="#,##0_);[Red]\(#,##0\)">
                  <c:v>225503.8</c:v>
                </c:pt>
                <c:pt idx="331" formatCode="#,##0_);[Red]\(#,##0\)">
                  <c:v>227389.96</c:v>
                </c:pt>
                <c:pt idx="332" formatCode="#,##0_);[Red]\(#,##0\)">
                  <c:v>235472.53</c:v>
                </c:pt>
                <c:pt idx="333" formatCode="#,##0_);[Red]\(#,##0\)">
                  <c:v>222207.84</c:v>
                </c:pt>
                <c:pt idx="334" formatCode="#,##0_);[Red]\(#,##0\)">
                  <c:v>222287.93</c:v>
                </c:pt>
                <c:pt idx="335" formatCode="#,##0_);[Red]\(#,##0\)">
                  <c:v>186664.28</c:v>
                </c:pt>
                <c:pt idx="336" formatCode="#,##0_);[Red]\(#,##0\)">
                  <c:v>188484.95</c:v>
                </c:pt>
                <c:pt idx="337" formatCode="#,##0_);[Red]\(#,##0\)">
                  <c:v>188485</c:v>
                </c:pt>
                <c:pt idx="338" formatCode="#,##0_);[Red]\(#,##0\)">
                  <c:v>180474.73</c:v>
                </c:pt>
                <c:pt idx="339" formatCode="#,##0_);[Red]\(#,##0\)">
                  <c:v>188207.38</c:v>
                </c:pt>
                <c:pt idx="340" formatCode="#,##0_);[Red]\(#,##0\)">
                  <c:v>198618.83</c:v>
                </c:pt>
                <c:pt idx="341" formatCode="#,##0_);[Red]\(#,##0\)">
                  <c:v>198619</c:v>
                </c:pt>
                <c:pt idx="342" formatCode="#,##0_);[Red]\(#,##0\)">
                  <c:v>198619</c:v>
                </c:pt>
                <c:pt idx="343" formatCode="#,##0_);[Red]\(#,##0\)">
                  <c:v>189089.55</c:v>
                </c:pt>
                <c:pt idx="344" formatCode="#,##0_);[Red]\(#,##0\)">
                  <c:v>216053.77</c:v>
                </c:pt>
                <c:pt idx="345" formatCode="#,##0_);[Red]\(#,##0\)">
                  <c:v>179849.52</c:v>
                </c:pt>
                <c:pt idx="346" formatCode="#,##0_);[Red]\(#,##0\)">
                  <c:v>179850</c:v>
                </c:pt>
                <c:pt idx="347" formatCode="#,##0_);[Red]\(#,##0\)">
                  <c:v>173749.01</c:v>
                </c:pt>
                <c:pt idx="348" formatCode="#,##0_);[Red]\(#,##0\)">
                  <c:v>200792.85</c:v>
                </c:pt>
                <c:pt idx="349" formatCode="#,##0_);[Red]\(#,##0\)">
                  <c:v>202331.91</c:v>
                </c:pt>
                <c:pt idx="350" formatCode="#,##0_);[Red]\(#,##0\)">
                  <c:v>203517.87</c:v>
                </c:pt>
                <c:pt idx="351" formatCode="#,##0_);[Red]\(#,##0\)">
                  <c:v>203518</c:v>
                </c:pt>
                <c:pt idx="352" formatCode="#,##0_);[Red]\(#,##0\)">
                  <c:v>203518</c:v>
                </c:pt>
                <c:pt idx="353" formatCode="#,##0_);[Red]\(#,##0\)">
                  <c:v>191114.58</c:v>
                </c:pt>
                <c:pt idx="354" formatCode="#,##0_);[Red]\(#,##0\)">
                  <c:v>153114.57999999999</c:v>
                </c:pt>
                <c:pt idx="355" formatCode="#,##0_);[Red]\(#,##0\)">
                  <c:v>153115</c:v>
                </c:pt>
                <c:pt idx="356" formatCode="#,##0_);[Red]\(#,##0\)">
                  <c:v>182792.08</c:v>
                </c:pt>
                <c:pt idx="357" formatCode="#,##0_);[Red]\(#,##0\)">
                  <c:v>182792</c:v>
                </c:pt>
                <c:pt idx="358" formatCode="#,##0_);[Red]\(#,##0\)">
                  <c:v>222152.66</c:v>
                </c:pt>
                <c:pt idx="359" formatCode="#,##0_);[Red]\(#,##0\)">
                  <c:v>222153</c:v>
                </c:pt>
                <c:pt idx="360" formatCode="#,##0_);[Red]\(#,##0\)">
                  <c:v>222153</c:v>
                </c:pt>
                <c:pt idx="361" formatCode="#,##0_);[Red]\(#,##0\)">
                  <c:v>222153</c:v>
                </c:pt>
                <c:pt idx="362" formatCode="#,##0_);[Red]\(#,##0\)">
                  <c:v>222152</c:v>
                </c:pt>
                <c:pt idx="363" formatCode="#,##0_);[Red]\(#,##0\)">
                  <c:v>211720.43</c:v>
                </c:pt>
                <c:pt idx="364" formatCode="#,##0_);[Red]\(#,##0\)">
                  <c:v>211720</c:v>
                </c:pt>
                <c:pt idx="365" formatCode="#,##0_);[Red]\(#,##0\)">
                  <c:v>211720</c:v>
                </c:pt>
                <c:pt idx="366" formatCode="#,##0_);[Red]\(#,##0\)">
                  <c:v>176327.95</c:v>
                </c:pt>
                <c:pt idx="367" formatCode="#,##0_);[Red]\(#,##0\)">
                  <c:v>176328</c:v>
                </c:pt>
                <c:pt idx="368" formatCode="#,##0_);[Red]\(#,##0\)">
                  <c:v>169004.5</c:v>
                </c:pt>
                <c:pt idx="369" formatCode="#,##0_);[Red]\(#,##0\)">
                  <c:v>261992.26</c:v>
                </c:pt>
                <c:pt idx="370" formatCode="#,##0_);[Red]\(#,##0\)">
                  <c:v>270521.09000000003</c:v>
                </c:pt>
                <c:pt idx="371" formatCode="#,##0_);[Red]\(#,##0\)">
                  <c:v>285365.09000000003</c:v>
                </c:pt>
                <c:pt idx="372" formatCode="#,##0_);[Red]\(#,##0\)">
                  <c:v>285365</c:v>
                </c:pt>
                <c:pt idx="373" formatCode="#,##0_);[Red]\(#,##0\)">
                  <c:v>287246.65999999997</c:v>
                </c:pt>
                <c:pt idx="374" formatCode="#,##0_);[Red]\(#,##0\)">
                  <c:v>287247</c:v>
                </c:pt>
                <c:pt idx="375" formatCode="#,##0_);[Red]\(#,##0\)">
                  <c:v>287247</c:v>
                </c:pt>
                <c:pt idx="376" formatCode="#,##0_);[Red]\(#,##0\)">
                  <c:v>253042.79</c:v>
                </c:pt>
                <c:pt idx="377" formatCode="#,##0_);[Red]\(#,##0\)">
                  <c:v>253043</c:v>
                </c:pt>
                <c:pt idx="378" formatCode="#,##0_);[Red]\(#,##0\)">
                  <c:v>246521.36</c:v>
                </c:pt>
                <c:pt idx="379" formatCode="#,##0_);[Red]\(#,##0\)">
                  <c:v>246593.56</c:v>
                </c:pt>
                <c:pt idx="380" formatCode="#,##0_);[Red]\(#,##0\)">
                  <c:v>246594</c:v>
                </c:pt>
                <c:pt idx="381" formatCode="#,##0_);[Red]\(#,##0\)">
                  <c:v>246594</c:v>
                </c:pt>
                <c:pt idx="382" formatCode="#,##0_);[Red]\(#,##0\)">
                  <c:v>246594</c:v>
                </c:pt>
                <c:pt idx="383" formatCode="#,##0_);[Red]\(#,##0\)">
                  <c:v>228395.48</c:v>
                </c:pt>
                <c:pt idx="384" formatCode="#,##0_);[Red]\(#,##0\)">
                  <c:v>228395</c:v>
                </c:pt>
                <c:pt idx="385" formatCode="#,##0_);[Red]\(#,##0\)">
                  <c:v>192627.9</c:v>
                </c:pt>
                <c:pt idx="386" formatCode="#,##0_);[Red]\(#,##0\)">
                  <c:v>192628</c:v>
                </c:pt>
                <c:pt idx="387" formatCode="#,##0_);[Red]\(#,##0\)">
                  <c:v>192628</c:v>
                </c:pt>
                <c:pt idx="388" formatCode="#,##0_);[Red]\(#,##0\)">
                  <c:v>193904.61</c:v>
                </c:pt>
                <c:pt idx="389" formatCode="#,##0_);[Red]\(#,##0\)">
                  <c:v>195328.48</c:v>
                </c:pt>
                <c:pt idx="390" formatCode="#,##0_);[Red]\(#,##0\)">
                  <c:v>199304.09</c:v>
                </c:pt>
                <c:pt idx="391" formatCode="#,##0_);[Red]\(#,##0\)">
                  <c:v>201071.11</c:v>
                </c:pt>
                <c:pt idx="392" formatCode="#,##0_);[Red]\(#,##0\)">
                  <c:v>201071</c:v>
                </c:pt>
                <c:pt idx="393" formatCode="#,##0_);[Red]\(#,##0\)">
                  <c:v>223298.16</c:v>
                </c:pt>
                <c:pt idx="394" formatCode="#,##0_);[Red]\(#,##0\)">
                  <c:v>238962.66</c:v>
                </c:pt>
                <c:pt idx="395" formatCode="#,##0_);[Red]\(#,##0\)">
                  <c:v>203086.22</c:v>
                </c:pt>
                <c:pt idx="396" formatCode="#,##0_);[Red]\(#,##0\)">
                  <c:v>226930.31</c:v>
                </c:pt>
                <c:pt idx="397" formatCode="#,##0_);[Red]\(#,##0\)">
                  <c:v>226930</c:v>
                </c:pt>
                <c:pt idx="398" formatCode="#,##0_);[Red]\(#,##0\)">
                  <c:v>220822.05</c:v>
                </c:pt>
                <c:pt idx="399" formatCode="#,##0_);[Red]\(#,##0\)">
                  <c:v>220986.35</c:v>
                </c:pt>
                <c:pt idx="400" formatCode="#,##0_);[Red]\(#,##0\)">
                  <c:v>220986</c:v>
                </c:pt>
                <c:pt idx="401" formatCode="#,##0_);[Red]\(#,##0\)">
                  <c:v>220986</c:v>
                </c:pt>
                <c:pt idx="402" formatCode="#,##0_);[Red]\(#,##0\)">
                  <c:v>197995.27</c:v>
                </c:pt>
                <c:pt idx="403" formatCode="#,##0_);[Red]\(#,##0\)">
                  <c:v>202931.61</c:v>
                </c:pt>
                <c:pt idx="404" formatCode="#,##0_);[Red]\(#,##0\)">
                  <c:v>202932</c:v>
                </c:pt>
                <c:pt idx="405" formatCode="#,##0_);[Red]\(#,##0\)">
                  <c:v>167839.6</c:v>
                </c:pt>
                <c:pt idx="406" formatCode="#,##0_);[Red]\(#,##0\)">
                  <c:v>167840</c:v>
                </c:pt>
                <c:pt idx="407" formatCode="#,##0_);[Red]\(#,##0\)">
                  <c:v>167840</c:v>
                </c:pt>
                <c:pt idx="408" formatCode="#,##0_);[Red]\(#,##0\)">
                  <c:v>180485.58</c:v>
                </c:pt>
                <c:pt idx="409" formatCode="#,##0_);[Red]\(#,##0\)">
                  <c:v>205676.09</c:v>
                </c:pt>
                <c:pt idx="410" formatCode="#,##0_);[Red]\(#,##0\)">
                  <c:v>199229.46</c:v>
                </c:pt>
                <c:pt idx="411" formatCode="#,##0_);[Red]\(#,##0\)">
                  <c:v>199612.46</c:v>
                </c:pt>
                <c:pt idx="412" formatCode="#,##0_);[Red]\(#,##0\)">
                  <c:v>327321.84000000003</c:v>
                </c:pt>
                <c:pt idx="413" formatCode="#,##0_);[Red]\(#,##0\)">
                  <c:v>328551.67</c:v>
                </c:pt>
                <c:pt idx="414" formatCode="#,##0_);[Red]\(#,##0\)">
                  <c:v>328552</c:v>
                </c:pt>
                <c:pt idx="415" formatCode="#,##0_);[Red]\(#,##0\)">
                  <c:v>293600.95</c:v>
                </c:pt>
                <c:pt idx="416" formatCode="#,##0_);[Red]\(#,##0\)">
                  <c:v>298153.56</c:v>
                </c:pt>
                <c:pt idx="417" formatCode="#,##0_);[Red]\(#,##0\)">
                  <c:v>298154</c:v>
                </c:pt>
                <c:pt idx="418" formatCode="#,##0_);[Red]\(#,##0\)">
                  <c:v>294180.65999999997</c:v>
                </c:pt>
                <c:pt idx="419" formatCode="#,##0_);[Red]\(#,##0\)">
                  <c:v>294181</c:v>
                </c:pt>
                <c:pt idx="420" formatCode="#,##0_);[Red]\(#,##0\)">
                  <c:v>294679.65999999997</c:v>
                </c:pt>
                <c:pt idx="421" formatCode="#,##0_);[Red]\(#,##0\)">
                  <c:v>294680</c:v>
                </c:pt>
                <c:pt idx="422" formatCode="#,##0_);[Red]\(#,##0\)">
                  <c:v>294761.65000000002</c:v>
                </c:pt>
                <c:pt idx="423" formatCode="#,##0_);[Red]\(#,##0\)">
                  <c:v>290632.52</c:v>
                </c:pt>
                <c:pt idx="424" formatCode="#,##0_);[Red]\(#,##0\)">
                  <c:v>290633</c:v>
                </c:pt>
                <c:pt idx="425" formatCode="#,##0_);[Red]\(#,##0\)">
                  <c:v>254427.11</c:v>
                </c:pt>
                <c:pt idx="426" formatCode="#,##0_);[Red]\(#,##0\)">
                  <c:v>255823.93</c:v>
                </c:pt>
                <c:pt idx="427" formatCode="#,##0_);[Red]\(#,##0\)">
                  <c:v>255419.13</c:v>
                </c:pt>
                <c:pt idx="428" formatCode="#,##0_);[Red]\(#,##0\)">
                  <c:v>272759.37</c:v>
                </c:pt>
                <c:pt idx="429" formatCode="#,##0_);[Red]\(#,##0\)">
                  <c:v>272846.37</c:v>
                </c:pt>
                <c:pt idx="430" formatCode="#,##0_);[Red]\(#,##0\)">
                  <c:v>272846</c:v>
                </c:pt>
                <c:pt idx="431" formatCode="#,##0_);[Red]\(#,##0\)">
                  <c:v>272846</c:v>
                </c:pt>
                <c:pt idx="432" formatCode="#,##0_);[Red]\(#,##0\)">
                  <c:v>276622.58</c:v>
                </c:pt>
                <c:pt idx="433" formatCode="#,##0_);[Red]\(#,##0\)">
                  <c:v>276623</c:v>
                </c:pt>
                <c:pt idx="434" formatCode="#,##0_);[Red]\(#,##0\)">
                  <c:v>276773.33</c:v>
                </c:pt>
                <c:pt idx="435" formatCode="#,##0_);[Red]\(#,##0\)">
                  <c:v>276773</c:v>
                </c:pt>
                <c:pt idx="436" formatCode="#,##0_);[Red]\(#,##0\)">
                  <c:v>240090.56</c:v>
                </c:pt>
                <c:pt idx="437" formatCode="#,##0_);[Red]\(#,##0\)">
                  <c:v>240091</c:v>
                </c:pt>
                <c:pt idx="438" formatCode="#,##0_);[Red]\(#,##0\)">
                  <c:v>237779.31</c:v>
                </c:pt>
                <c:pt idx="439" formatCode="#,##0_);[Red]\(#,##0\)">
                  <c:v>237779</c:v>
                </c:pt>
                <c:pt idx="440" formatCode="#,##0_);[Red]\(#,##0\)">
                  <c:v>243552.34</c:v>
                </c:pt>
                <c:pt idx="441" formatCode="#,##0_);[Red]\(#,##0\)">
                  <c:v>243552</c:v>
                </c:pt>
                <c:pt idx="442" formatCode="#,##0_);[Red]\(#,##0\)">
                  <c:v>243552</c:v>
                </c:pt>
                <c:pt idx="443" formatCode="#,##0_);[Red]\(#,##0\)">
                  <c:v>266009.96000000002</c:v>
                </c:pt>
                <c:pt idx="444" formatCode="#,##0_);[Red]\(#,##0\)">
                  <c:v>266087.59999999998</c:v>
                </c:pt>
                <c:pt idx="445" formatCode="#,##0_);[Red]\(#,##0\)">
                  <c:v>229939.6</c:v>
                </c:pt>
                <c:pt idx="446" formatCode="#,##0_);[Red]\(#,##0\)">
                  <c:v>229940</c:v>
                </c:pt>
                <c:pt idx="447" formatCode="#,##0_);[Red]\(#,##0\)">
                  <c:v>229940</c:v>
                </c:pt>
                <c:pt idx="448" formatCode="#,##0_);[Red]\(#,##0\)">
                  <c:v>226983.82</c:v>
                </c:pt>
                <c:pt idx="449" formatCode="#,##0_);[Red]\(#,##0\)">
                  <c:v>226983.82</c:v>
                </c:pt>
                <c:pt idx="450" formatCode="#,##0_);[Red]\(#,##0\)">
                  <c:v>231167.41</c:v>
                </c:pt>
                <c:pt idx="451" formatCode="#,##0_);[Red]\(#,##0\)">
                  <c:v>231298.26</c:v>
                </c:pt>
                <c:pt idx="452" formatCode="#,##0_);[Red]\(#,##0\)">
                  <c:v>231298</c:v>
                </c:pt>
                <c:pt idx="453" formatCode="#,##0_);[Red]\(#,##0\)">
                  <c:v>218195.44</c:v>
                </c:pt>
                <c:pt idx="454" formatCode="#,##0_);[Red]\(#,##0\)">
                  <c:v>218195</c:v>
                </c:pt>
                <c:pt idx="455" formatCode="#,##0_);[Red]\(#,##0\)">
                  <c:v>181738.47</c:v>
                </c:pt>
                <c:pt idx="456" formatCode="#,##0_);[Red]\(#,##0\)">
                  <c:v>175674.86</c:v>
                </c:pt>
                <c:pt idx="457" formatCode="#,##0_);[Red]\(#,##0\)">
                  <c:v>175890.11</c:v>
                </c:pt>
                <c:pt idx="458" formatCode="#,##0_);[Red]\(#,##0\)">
                  <c:v>176908.84</c:v>
                </c:pt>
                <c:pt idx="459" formatCode="#,##0_);[Red]\(#,##0\)">
                  <c:v>176909</c:v>
                </c:pt>
                <c:pt idx="460" formatCode="#,##0_);[Red]\(#,##0\)">
                  <c:v>176909</c:v>
                </c:pt>
                <c:pt idx="461" formatCode="#,##0_);[Red]\(#,##0\)">
                  <c:v>226038.22</c:v>
                </c:pt>
                <c:pt idx="462" formatCode="#,##0_);[Red]\(#,##0\)">
                  <c:v>226038</c:v>
                </c:pt>
                <c:pt idx="463" formatCode="#,##0_);[Red]\(#,##0\)">
                  <c:v>223293.31</c:v>
                </c:pt>
                <c:pt idx="464" formatCode="#,##0_);[Red]\(#,##0\)">
                  <c:v>272327.27</c:v>
                </c:pt>
                <c:pt idx="465" formatCode="#,##0_);[Red]\(#,##0\)">
                  <c:v>236397.34</c:v>
                </c:pt>
                <c:pt idx="466" formatCode="#,##0_);[Red]\(#,##0\)">
                  <c:v>236553.84</c:v>
                </c:pt>
                <c:pt idx="467" formatCode="#,##0_);[Red]\(#,##0\)">
                  <c:v>249133.92</c:v>
                </c:pt>
                <c:pt idx="468" formatCode="#,##0_);[Red]\(#,##0\)">
                  <c:v>254043.68</c:v>
                </c:pt>
                <c:pt idx="469" formatCode="#,##0_);[Red]\(#,##0\)">
                  <c:v>254064.5</c:v>
                </c:pt>
                <c:pt idx="470" formatCode="#,##0_);[Red]\(#,##0\)">
                  <c:v>290142.09999999998</c:v>
                </c:pt>
                <c:pt idx="471" formatCode="#,##0_);[Red]\(#,##0\)">
                  <c:v>290142</c:v>
                </c:pt>
                <c:pt idx="472" formatCode="#,##0_);[Red]\(#,##0\)">
                  <c:v>290034.38</c:v>
                </c:pt>
                <c:pt idx="473" formatCode="#,##0_);[Red]\(#,##0\)">
                  <c:v>291747.36</c:v>
                </c:pt>
                <c:pt idx="474" formatCode="#,##0_);[Red]\(#,##0\)">
                  <c:v>306637.48</c:v>
                </c:pt>
                <c:pt idx="475" formatCode="#,##0_);[Red]\(#,##0\)">
                  <c:v>270401.28999999998</c:v>
                </c:pt>
                <c:pt idx="476" formatCode="#,##0_);[Red]\(#,##0\)">
                  <c:v>278028.58</c:v>
                </c:pt>
                <c:pt idx="477" formatCode="#,##0_);[Red]\(#,##0\)">
                  <c:v>278029</c:v>
                </c:pt>
                <c:pt idx="478" formatCode="#,##0_);[Red]\(#,##0\)">
                  <c:v>279523.53000000003</c:v>
                </c:pt>
                <c:pt idx="479" formatCode="#,##0_);[Red]\(#,##0\)">
                  <c:v>303100.06</c:v>
                </c:pt>
                <c:pt idx="480" formatCode="#,##0_);[Red]\(#,##0\)">
                  <c:v>303100.06</c:v>
                </c:pt>
                <c:pt idx="481" formatCode="#,##0_);[Red]\(#,##0\)">
                  <c:v>303100.06</c:v>
                </c:pt>
                <c:pt idx="482" formatCode="#,##0_);[Red]\(#,##0\)">
                  <c:v>303954.14</c:v>
                </c:pt>
                <c:pt idx="483" formatCode="#,##0_);[Red]\(#,##0\)">
                  <c:v>294843.14</c:v>
                </c:pt>
                <c:pt idx="484" formatCode="#,##0_);[Red]\(#,##0\)">
                  <c:v>294843</c:v>
                </c:pt>
                <c:pt idx="485" formatCode="#,##0_);[Red]\(#,##0\)">
                  <c:v>294843</c:v>
                </c:pt>
                <c:pt idx="486" formatCode="#,##0_);[Red]\(#,##0\)">
                  <c:v>294843</c:v>
                </c:pt>
                <c:pt idx="487" formatCode="#,##0_);[Red]\(#,##0\)">
                  <c:v>259514.47</c:v>
                </c:pt>
                <c:pt idx="488" formatCode="#,##0_);[Red]\(#,##0\)">
                  <c:v>255987.45</c:v>
                </c:pt>
                <c:pt idx="489" formatCode="#,##0_);[Red]\(#,##0\)">
                  <c:v>255987.45</c:v>
                </c:pt>
                <c:pt idx="490" formatCode="#,##0_);[Red]\(#,##0\)">
                  <c:v>255987.45</c:v>
                </c:pt>
                <c:pt idx="491" formatCode="#,##0_);[Red]\(#,##0\)">
                  <c:v>254650.75</c:v>
                </c:pt>
                <c:pt idx="492" formatCode="#,##0_);[Red]\(#,##0\)">
                  <c:v>298403.21000000002</c:v>
                </c:pt>
                <c:pt idx="493" formatCode="#,##0_);[Red]\(#,##0\)">
                  <c:v>300529.64</c:v>
                </c:pt>
                <c:pt idx="494" formatCode="#,##0_);[Red]\(#,##0\)">
                  <c:v>300229.64</c:v>
                </c:pt>
                <c:pt idx="495" formatCode="#,##0_);[Red]\(#,##0\)">
                  <c:v>300230</c:v>
                </c:pt>
                <c:pt idx="496" formatCode="#,##0_);[Red]\(#,##0\)">
                  <c:v>267674.82</c:v>
                </c:pt>
                <c:pt idx="497" formatCode="#,##0_);[Red]\(#,##0\)">
                  <c:v>273448.82</c:v>
                </c:pt>
                <c:pt idx="498" formatCode="#,##0_);[Red]\(#,##0\)">
                  <c:v>252527.09</c:v>
                </c:pt>
                <c:pt idx="499" formatCode="#,##0_);[Red]\(#,##0\)">
                  <c:v>321968.59000000003</c:v>
                </c:pt>
                <c:pt idx="500" formatCode="#,##0_);[Red]\(#,##0\)">
                  <c:v>321969</c:v>
                </c:pt>
                <c:pt idx="501" formatCode="#,##0_);[Red]\(#,##0\)">
                  <c:v>321969</c:v>
                </c:pt>
                <c:pt idx="502" formatCode="#,##0_);[Red]\(#,##0\)">
                  <c:v>321969</c:v>
                </c:pt>
                <c:pt idx="503" formatCode="#,##0_);[Red]\(#,##0\)">
                  <c:v>314251.55</c:v>
                </c:pt>
                <c:pt idx="504" formatCode="#,##0_);[Red]\(#,##0\)">
                  <c:v>315739.42</c:v>
                </c:pt>
                <c:pt idx="505" formatCode="#,##0_);[Red]\(#,##0\)">
                  <c:v>315739</c:v>
                </c:pt>
                <c:pt idx="506" formatCode="#,##0_);[Red]\(#,##0\)">
                  <c:v>275506.94</c:v>
                </c:pt>
                <c:pt idx="507" formatCode="#,##0_);[Red]\(#,##0\)">
                  <c:v>275507</c:v>
                </c:pt>
                <c:pt idx="508" formatCode="#,##0_);[Red]\(#,##0\)">
                  <c:v>289896.89</c:v>
                </c:pt>
                <c:pt idx="509" formatCode="#,##0_);[Red]\(#,##0\)">
                  <c:v>313281.34999999998</c:v>
                </c:pt>
                <c:pt idx="510" formatCode="#,##0_);[Red]\(#,##0\)">
                  <c:v>313281</c:v>
                </c:pt>
                <c:pt idx="511" formatCode="#,##0_);[Red]\(#,##0\)">
                  <c:v>317556.84999999998</c:v>
                </c:pt>
                <c:pt idx="512" formatCode="#,##0_);[Red]\(#,##0\)">
                  <c:v>317557</c:v>
                </c:pt>
                <c:pt idx="513" formatCode="#,##0_);[Red]\(#,##0\)">
                  <c:v>297159.33</c:v>
                </c:pt>
                <c:pt idx="514" formatCode="#,##0_);[Red]\(#,##0\)">
                  <c:v>297159</c:v>
                </c:pt>
                <c:pt idx="515" formatCode="#,##0_);[Red]\(#,##0\)">
                  <c:v>260233.37</c:v>
                </c:pt>
                <c:pt idx="516" formatCode="#,##0_);[Red]\(#,##0\)">
                  <c:v>260233</c:v>
                </c:pt>
                <c:pt idx="517" formatCode="#,##0_);[Red]\(#,##0\)">
                  <c:v>261845.78</c:v>
                </c:pt>
                <c:pt idx="518" formatCode="#,##0_);[Red]\(#,##0\)">
                  <c:v>261846</c:v>
                </c:pt>
                <c:pt idx="519" formatCode="#,##0_);[Red]\(#,##0\)">
                  <c:v>273805.40000000002</c:v>
                </c:pt>
                <c:pt idx="520" formatCode="#,##0_);[Red]\(#,##0\)">
                  <c:v>274104.40000000002</c:v>
                </c:pt>
              </c:numCache>
            </c:numRef>
          </c:val>
          <c:smooth val="0"/>
        </c:ser>
        <c:dLbls>
          <c:showLegendKey val="0"/>
          <c:showVal val="0"/>
          <c:showCatName val="0"/>
          <c:showSerName val="0"/>
          <c:showPercent val="0"/>
          <c:showBubbleSize val="0"/>
        </c:dLbls>
        <c:smooth val="0"/>
        <c:axId val="420491848"/>
        <c:axId val="420495768"/>
      </c:lineChart>
      <c:dateAx>
        <c:axId val="42049184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95768"/>
        <c:crosses val="autoZero"/>
        <c:auto val="1"/>
        <c:lblOffset val="100"/>
        <c:baseTimeUnit val="days"/>
        <c:majorUnit val="30"/>
        <c:majorTimeUnit val="days"/>
        <c:minorUnit val="4"/>
        <c:minorTimeUnit val="months"/>
      </c:dateAx>
      <c:valAx>
        <c:axId val="420495768"/>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9184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Data!$F$538:$F$561</c:f>
              <c:numCache>
                <c:formatCode>mmm\-yy</c:formatCode>
                <c:ptCount val="2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numCache>
            </c:numRef>
          </c:cat>
          <c:val>
            <c:numRef>
              <c:f>Data!$G$538:$G$561</c:f>
              <c:numCache>
                <c:formatCode>"$"#,##0_);[Red]\("$"#,##0\)</c:formatCode>
                <c:ptCount val="24"/>
                <c:pt idx="0">
                  <c:v>351420</c:v>
                </c:pt>
                <c:pt idx="1">
                  <c:v>253330</c:v>
                </c:pt>
                <c:pt idx="2">
                  <c:v>280744</c:v>
                </c:pt>
                <c:pt idx="3">
                  <c:v>319478.15999999997</c:v>
                </c:pt>
                <c:pt idx="4">
                  <c:v>241828.1</c:v>
                </c:pt>
                <c:pt idx="5">
                  <c:v>248981.18</c:v>
                </c:pt>
                <c:pt idx="6">
                  <c:v>268937.63</c:v>
                </c:pt>
                <c:pt idx="7">
                  <c:v>198251.6</c:v>
                </c:pt>
                <c:pt idx="8">
                  <c:v>178964.63</c:v>
                </c:pt>
                <c:pt idx="9">
                  <c:v>199171.39</c:v>
                </c:pt>
                <c:pt idx="10">
                  <c:v>180584.58</c:v>
                </c:pt>
                <c:pt idx="11">
                  <c:v>258260.86</c:v>
                </c:pt>
                <c:pt idx="12">
                  <c:v>297556.56</c:v>
                </c:pt>
                <c:pt idx="13">
                  <c:v>287550</c:v>
                </c:pt>
                <c:pt idx="14">
                  <c:v>277699.34999999998</c:v>
                </c:pt>
                <c:pt idx="15">
                  <c:v>310068.02</c:v>
                </c:pt>
                <c:pt idx="16">
                  <c:v>338828.68</c:v>
                </c:pt>
                <c:pt idx="17">
                  <c:v>316601.96000000002</c:v>
                </c:pt>
                <c:pt idx="18">
                  <c:v>282196.90999999997</c:v>
                </c:pt>
                <c:pt idx="19">
                  <c:v>287391.71999999997</c:v>
                </c:pt>
                <c:pt idx="20">
                  <c:v>327095.84000000003</c:v>
                </c:pt>
                <c:pt idx="21">
                  <c:v>233470.24</c:v>
                </c:pt>
                <c:pt idx="22">
                  <c:v>166505.09</c:v>
                </c:pt>
                <c:pt idx="23">
                  <c:v>245714.31</c:v>
                </c:pt>
              </c:numCache>
            </c:numRef>
          </c:val>
        </c:ser>
        <c:dLbls>
          <c:showLegendKey val="0"/>
          <c:showVal val="0"/>
          <c:showCatName val="0"/>
          <c:showSerName val="0"/>
          <c:showPercent val="0"/>
          <c:showBubbleSize val="0"/>
        </c:dLbls>
        <c:gapWidth val="243"/>
        <c:overlap val="-83"/>
        <c:axId val="420493416"/>
        <c:axId val="420497336"/>
      </c:barChart>
      <c:dateAx>
        <c:axId val="420493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97336"/>
        <c:crosses val="autoZero"/>
        <c:auto val="1"/>
        <c:lblOffset val="100"/>
        <c:baseTimeUnit val="months"/>
      </c:dateAx>
      <c:valAx>
        <c:axId val="42049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93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'Dec''18 AR Aging '!$B$171</c:f>
              <c:strCache>
                <c:ptCount val="1"/>
                <c:pt idx="0">
                  <c:v>Current Month</c:v>
                </c:pt>
              </c:strCache>
            </c:strRef>
          </c:tx>
          <c:spPr>
            <a:solidFill>
              <a:srgbClr val="0070C0"/>
            </a:solidFill>
          </c:spPr>
          <c:invertIfNegative val="0"/>
          <c:val>
            <c:numRef>
              <c:f>'Dec''18 AR Aging '!$C$171:$N$171</c:f>
            </c:numRef>
          </c:val>
          <c:extLst>
            <c:ext xmlns:c15="http://schemas.microsoft.com/office/drawing/2012/chart" uri="{02D57815-91ED-43cb-92C2-25804820EDAC}">
              <c15:filteredCategoryTitle>
                <c15:cat>
                  <c:multiLvlStrRef>
                    <c:extLst>
                      <c:ext uri="{02D57815-91ED-43cb-92C2-25804820EDAC}">
                        <c15:formulaRef>
                          <c15:sqref>'Dec''18 AR Aging '!$C$170:$N$170</c15:sqref>
                        </c15:formulaRef>
                      </c:ext>
                    </c:extLst>
                  </c:multiLvlStrRef>
                </c15:cat>
              </c15:filteredCategoryTitle>
            </c:ext>
          </c:extLst>
        </c:ser>
        <c:ser>
          <c:idx val="1"/>
          <c:order val="1"/>
          <c:tx>
            <c:strRef>
              <c:f>'Dec''18 AR Aging '!$B$172</c:f>
              <c:strCache>
                <c:ptCount val="1"/>
                <c:pt idx="0">
                  <c:v>Previous Month</c:v>
                </c:pt>
              </c:strCache>
            </c:strRef>
          </c:tx>
          <c:spPr>
            <a:solidFill>
              <a:schemeClr val="accent6">
                <a:lumMod val="40000"/>
                <a:lumOff val="60000"/>
              </a:schemeClr>
            </a:solidFill>
          </c:spPr>
          <c:invertIfNegative val="0"/>
          <c:val>
            <c:numRef>
              <c:f>'Dec''18 AR Aging '!$C$172:$N$172</c:f>
            </c:numRef>
          </c:val>
          <c:extLst>
            <c:ext xmlns:c15="http://schemas.microsoft.com/office/drawing/2012/chart" uri="{02D57815-91ED-43cb-92C2-25804820EDAC}">
              <c15:filteredCategoryTitle>
                <c15:cat>
                  <c:multiLvlStrRef>
                    <c:extLst>
                      <c:ext uri="{02D57815-91ED-43cb-92C2-25804820EDAC}">
                        <c15:formulaRef>
                          <c15:sqref>'Dec''18 AR Aging '!$C$170:$N$170</c15:sqref>
                        </c15:formulaRef>
                      </c:ext>
                    </c:extLst>
                  </c:multiLvlStrRef>
                </c15:cat>
              </c15:filteredCategoryTitle>
            </c:ext>
          </c:extLst>
        </c:ser>
        <c:ser>
          <c:idx val="2"/>
          <c:order val="2"/>
          <c:tx>
            <c:strRef>
              <c:f>'Dec''18 AR Aging '!$B$173</c:f>
              <c:strCache>
                <c:ptCount val="1"/>
                <c:pt idx="0">
                  <c:v>Three Months Ago</c:v>
                </c:pt>
              </c:strCache>
            </c:strRef>
          </c:tx>
          <c:spPr>
            <a:solidFill>
              <a:schemeClr val="accent3">
                <a:lumMod val="75000"/>
              </a:schemeClr>
            </a:solidFill>
          </c:spPr>
          <c:invertIfNegative val="0"/>
          <c:val>
            <c:numRef>
              <c:f>'Dec''18 AR Aging '!$C$173:$N$173</c:f>
            </c:numRef>
          </c:val>
          <c:extLst>
            <c:ext xmlns:c15="http://schemas.microsoft.com/office/drawing/2012/chart" uri="{02D57815-91ED-43cb-92C2-25804820EDAC}">
              <c15:filteredCategoryTitle>
                <c15:cat>
                  <c:multiLvlStrRef>
                    <c:extLst>
                      <c:ext uri="{02D57815-91ED-43cb-92C2-25804820EDAC}">
                        <c15:formulaRef>
                          <c15:sqref>'Dec''18 AR Aging '!$C$170:$N$170</c15:sqref>
                        </c15:formulaRef>
                      </c:ext>
                    </c:extLst>
                  </c:multiLvlStrRef>
                </c15:cat>
              </c15:filteredCategoryTitle>
            </c:ext>
          </c:extLst>
        </c:ser>
        <c:ser>
          <c:idx val="3"/>
          <c:order val="3"/>
          <c:tx>
            <c:strRef>
              <c:f>'Dec''18 AR Aging '!$B$174</c:f>
              <c:strCache>
                <c:ptCount val="1"/>
                <c:pt idx="0">
                  <c:v>Older than Three Months</c:v>
                </c:pt>
              </c:strCache>
            </c:strRef>
          </c:tx>
          <c:spPr>
            <a:solidFill>
              <a:schemeClr val="accent4">
                <a:lumMod val="40000"/>
                <a:lumOff val="60000"/>
              </a:schemeClr>
            </a:solidFill>
          </c:spPr>
          <c:invertIfNegative val="0"/>
          <c:val>
            <c:numRef>
              <c:f>'Dec''18 AR Aging '!$C$174:$N$174</c:f>
            </c:numRef>
          </c:val>
          <c:extLst>
            <c:ext xmlns:c15="http://schemas.microsoft.com/office/drawing/2012/chart" uri="{02D57815-91ED-43cb-92C2-25804820EDAC}">
              <c15:filteredCategoryTitle>
                <c15:cat>
                  <c:multiLvlStrRef>
                    <c:extLst>
                      <c:ext uri="{02D57815-91ED-43cb-92C2-25804820EDAC}">
                        <c15:formulaRef>
                          <c15:sqref>'Dec''18 AR Aging '!$C$170:$N$170</c15:sqref>
                        </c15:formulaRef>
                      </c:ext>
                    </c:extLst>
                  </c:multiLvlStrRef>
                </c15:cat>
              </c15:filteredCategoryTitle>
            </c:ext>
          </c:extLst>
        </c:ser>
        <c:dLbls>
          <c:showLegendKey val="0"/>
          <c:showVal val="0"/>
          <c:showCatName val="0"/>
          <c:showSerName val="0"/>
          <c:showPercent val="0"/>
          <c:showBubbleSize val="0"/>
        </c:dLbls>
        <c:gapWidth val="56"/>
        <c:overlap val="100"/>
        <c:axId val="242205256"/>
        <c:axId val="242206824"/>
      </c:barChart>
      <c:catAx>
        <c:axId val="242205256"/>
        <c:scaling>
          <c:orientation val="minMax"/>
        </c:scaling>
        <c:delete val="0"/>
        <c:axPos val="b"/>
        <c:numFmt formatCode="[$-409]mmmm\-yy;@" sourceLinked="1"/>
        <c:majorTickMark val="none"/>
        <c:minorTickMark val="none"/>
        <c:tickLblPos val="nextTo"/>
        <c:spPr>
          <a:noFill/>
          <a:ln w="22225"/>
        </c:spPr>
        <c:crossAx val="242206824"/>
        <c:crosses val="autoZero"/>
        <c:auto val="0"/>
        <c:lblAlgn val="ctr"/>
        <c:lblOffset val="100"/>
        <c:tickLblSkip val="1"/>
        <c:noMultiLvlLbl val="0"/>
      </c:catAx>
      <c:valAx>
        <c:axId val="242206824"/>
        <c:scaling>
          <c:orientation val="minMax"/>
        </c:scaling>
        <c:delete val="0"/>
        <c:axPos val="l"/>
        <c:majorGridlines/>
        <c:numFmt formatCode="&quot;$&quot;#,##0_);[Red]\(&quot;$&quot;#,##0\)" sourceLinked="1"/>
        <c:majorTickMark val="none"/>
        <c:minorTickMark val="none"/>
        <c:tickLblPos val="nextTo"/>
        <c:crossAx val="24220525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17</xdr:row>
      <xdr:rowOff>180976</xdr:rowOff>
    </xdr:from>
    <xdr:to>
      <xdr:col>7</xdr:col>
      <xdr:colOff>571500</xdr:colOff>
      <xdr:row>20</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164</xdr:row>
      <xdr:rowOff>47625</xdr:rowOff>
    </xdr:from>
    <xdr:to>
      <xdr:col>8</xdr:col>
      <xdr:colOff>523875</xdr:colOff>
      <xdr:row>201</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tabSelected="1" zoomScaleNormal="100" workbookViewId="0">
      <selection activeCell="C15" sqref="C15:D15"/>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0" width="9" style="4"/>
    <col min="11" max="11" width="10.5" style="4" bestFit="1" customWidth="1"/>
    <col min="12" max="16384" width="9" style="4"/>
  </cols>
  <sheetData>
    <row r="1" spans="1:8" ht="23.25" x14ac:dyDescent="0.2">
      <c r="A1" s="724" t="s">
        <v>191</v>
      </c>
      <c r="B1" s="724"/>
      <c r="C1" s="724"/>
      <c r="D1" s="724"/>
      <c r="E1" s="724"/>
      <c r="F1" s="724"/>
      <c r="G1" s="724"/>
      <c r="H1" s="724"/>
    </row>
    <row r="2" spans="1:8" ht="23.25" x14ac:dyDescent="0.2">
      <c r="A2" s="724" t="s">
        <v>192</v>
      </c>
      <c r="B2" s="724"/>
      <c r="C2" s="724"/>
      <c r="D2" s="724"/>
      <c r="E2" s="724"/>
      <c r="F2" s="724"/>
      <c r="G2" s="724"/>
      <c r="H2" s="724"/>
    </row>
    <row r="3" spans="1:8" ht="23.25" x14ac:dyDescent="0.2">
      <c r="A3" s="725">
        <v>43480</v>
      </c>
      <c r="B3" s="725"/>
      <c r="C3" s="725"/>
      <c r="D3" s="725"/>
      <c r="E3" s="725"/>
      <c r="F3" s="725"/>
      <c r="G3" s="725"/>
      <c r="H3" s="725"/>
    </row>
    <row r="4" spans="1:8" ht="21.75" customHeight="1" x14ac:dyDescent="0.25">
      <c r="A4" s="727" t="s">
        <v>206</v>
      </c>
      <c r="B4" s="727"/>
      <c r="C4" s="727"/>
      <c r="D4" s="727"/>
      <c r="E4" s="727"/>
      <c r="F4" s="727"/>
      <c r="G4" s="727"/>
      <c r="H4" s="727"/>
    </row>
    <row r="5" spans="1:8" ht="51" customHeight="1" x14ac:dyDescent="0.2">
      <c r="A5" s="728" t="s">
        <v>450</v>
      </c>
      <c r="B5" s="728"/>
      <c r="C5" s="728"/>
      <c r="D5" s="728"/>
      <c r="E5" s="728"/>
      <c r="F5" s="728"/>
      <c r="G5" s="728"/>
      <c r="H5" s="728"/>
    </row>
    <row r="6" spans="1:8" ht="81" customHeight="1" x14ac:dyDescent="0.2">
      <c r="A6" s="532"/>
      <c r="B6" s="532"/>
      <c r="C6" s="532"/>
      <c r="D6" s="532"/>
      <c r="E6" s="532"/>
      <c r="F6" s="532"/>
      <c r="G6" s="532"/>
      <c r="H6" s="532"/>
    </row>
    <row r="7" spans="1:8" ht="81" customHeight="1" x14ac:dyDescent="0.2">
      <c r="A7" s="532"/>
      <c r="B7" s="532"/>
      <c r="C7" s="532"/>
      <c r="D7" s="532"/>
      <c r="E7" s="532"/>
      <c r="F7" s="532"/>
      <c r="G7" s="532"/>
      <c r="H7" s="532"/>
    </row>
    <row r="8" spans="1:8" ht="81" customHeight="1" x14ac:dyDescent="0.2">
      <c r="A8" s="532"/>
      <c r="B8" s="532"/>
      <c r="C8" s="532"/>
      <c r="D8" s="532"/>
      <c r="E8" s="532"/>
      <c r="F8" s="532"/>
      <c r="G8" s="532"/>
      <c r="H8" s="532"/>
    </row>
    <row r="9" spans="1:8" ht="38.25" customHeight="1" x14ac:dyDescent="0.2">
      <c r="A9" s="728" t="s">
        <v>462</v>
      </c>
      <c r="B9" s="728"/>
      <c r="C9" s="728"/>
      <c r="D9" s="728"/>
      <c r="E9" s="728"/>
      <c r="F9" s="728"/>
      <c r="G9" s="728"/>
      <c r="H9" s="728"/>
    </row>
    <row r="10" spans="1:8" ht="15.75" x14ac:dyDescent="0.25">
      <c r="A10" s="500"/>
      <c r="B10" s="726"/>
      <c r="C10" s="726"/>
      <c r="D10" s="490"/>
      <c r="E10" s="496" t="s">
        <v>56</v>
      </c>
      <c r="F10" s="490"/>
      <c r="G10" s="491"/>
      <c r="H10" s="500"/>
    </row>
    <row r="11" spans="1:8" ht="15.75" customHeight="1" x14ac:dyDescent="0.25">
      <c r="A11" s="500"/>
      <c r="C11" s="726" t="s">
        <v>198</v>
      </c>
      <c r="D11" s="726"/>
      <c r="E11" s="533">
        <f>'Dec''18 AR Aging '!G8</f>
        <v>84179.21</v>
      </c>
      <c r="F11" s="492"/>
      <c r="G11" s="492"/>
      <c r="H11" s="500"/>
    </row>
    <row r="12" spans="1:8" ht="15.75" customHeight="1" x14ac:dyDescent="0.25">
      <c r="A12" s="500"/>
      <c r="C12" s="726" t="s">
        <v>227</v>
      </c>
      <c r="D12" s="726"/>
      <c r="E12" s="533">
        <f>'Dec''18 AR Aging '!G32</f>
        <v>50833.04</v>
      </c>
      <c r="F12" s="492"/>
      <c r="G12" s="492"/>
      <c r="H12" s="500"/>
    </row>
    <row r="13" spans="1:8" ht="15.75" customHeight="1" x14ac:dyDescent="0.25">
      <c r="A13" s="500"/>
      <c r="C13" s="726" t="s">
        <v>228</v>
      </c>
      <c r="D13" s="726"/>
      <c r="E13" s="533">
        <f>'Dec''18 AR Aging '!G14</f>
        <v>31828.959999999999</v>
      </c>
      <c r="F13" s="492"/>
      <c r="G13" s="492"/>
      <c r="H13" s="500"/>
    </row>
    <row r="14" spans="1:8" ht="15.75" customHeight="1" x14ac:dyDescent="0.25">
      <c r="A14" s="500"/>
      <c r="C14" s="726" t="s">
        <v>230</v>
      </c>
      <c r="D14" s="726"/>
      <c r="E14" s="533">
        <f>'Dec''18 AR Aging '!G40</f>
        <v>37277.72</v>
      </c>
      <c r="F14" s="492"/>
      <c r="G14" s="492"/>
      <c r="H14" s="500"/>
    </row>
    <row r="15" spans="1:8" ht="15.75" customHeight="1" x14ac:dyDescent="0.25">
      <c r="A15" s="500"/>
      <c r="C15" s="726" t="s">
        <v>231</v>
      </c>
      <c r="D15" s="726"/>
      <c r="E15" s="533">
        <f>'Dec''18 AR Aging '!G48+'Dec''18 AR Aging '!G53+'Dec''18 AR Aging '!G55+'Dec''18 AR Aging '!G39+'Dec''18 AR Aging '!G59</f>
        <v>38672.080000000002</v>
      </c>
      <c r="F15" s="492"/>
      <c r="G15" s="492"/>
      <c r="H15" s="500"/>
    </row>
    <row r="16" spans="1:8" ht="15.75" customHeight="1" x14ac:dyDescent="0.25">
      <c r="A16" s="500"/>
      <c r="C16" s="726" t="s">
        <v>203</v>
      </c>
      <c r="D16" s="726"/>
      <c r="E16" s="533">
        <f>'Dec''18 AR Aging '!G57</f>
        <v>2923.37</v>
      </c>
      <c r="F16" s="492"/>
      <c r="G16" s="492"/>
      <c r="H16" s="500"/>
    </row>
    <row r="17" spans="1:12" ht="16.5" customHeight="1" thickBot="1" x14ac:dyDescent="0.3">
      <c r="A17" s="500"/>
      <c r="B17" s="726" t="s">
        <v>232</v>
      </c>
      <c r="C17" s="726"/>
      <c r="D17" s="726"/>
      <c r="E17" s="498">
        <f>SUM(E11:E16)</f>
        <v>245714.38</v>
      </c>
      <c r="F17" s="497"/>
      <c r="G17" s="497"/>
      <c r="H17" s="500"/>
    </row>
    <row r="18" spans="1:12" ht="38.25" customHeight="1" thickTop="1" x14ac:dyDescent="0.2">
      <c r="A18" s="618"/>
      <c r="B18" s="618"/>
      <c r="C18" s="618"/>
      <c r="D18" s="618"/>
      <c r="E18" s="618"/>
      <c r="F18" s="618"/>
      <c r="G18" s="618"/>
      <c r="H18" s="618"/>
    </row>
    <row r="19" spans="1:12" ht="88.5" customHeight="1" x14ac:dyDescent="0.2">
      <c r="A19" s="618"/>
      <c r="B19" s="618"/>
      <c r="C19" s="618"/>
      <c r="D19" s="618"/>
      <c r="E19" s="618"/>
      <c r="F19" s="618"/>
      <c r="G19" s="618"/>
      <c r="H19" s="618"/>
    </row>
    <row r="20" spans="1:12" ht="88.5" customHeight="1" x14ac:dyDescent="0.2">
      <c r="A20" s="618"/>
      <c r="B20" s="618"/>
      <c r="C20" s="618"/>
      <c r="D20" s="618"/>
      <c r="E20" s="618"/>
      <c r="F20" s="618"/>
      <c r="G20" s="618"/>
      <c r="H20" s="618"/>
    </row>
    <row r="21" spans="1:12" ht="88.5" customHeight="1" x14ac:dyDescent="0.2">
      <c r="A21" s="618"/>
      <c r="B21" s="618"/>
      <c r="C21" s="618"/>
      <c r="D21" s="618"/>
      <c r="E21" s="618"/>
      <c r="F21" s="618"/>
      <c r="G21" s="618"/>
      <c r="H21" s="618"/>
    </row>
    <row r="22" spans="1:12" ht="35.25" hidden="1" customHeight="1" x14ac:dyDescent="0.2">
      <c r="A22" s="728" t="s">
        <v>327</v>
      </c>
      <c r="B22" s="728"/>
      <c r="C22" s="728"/>
      <c r="D22" s="728"/>
      <c r="E22" s="728"/>
      <c r="F22" s="728"/>
      <c r="G22" s="728"/>
      <c r="H22" s="728"/>
    </row>
    <row r="23" spans="1:12" ht="15" customHeight="1" x14ac:dyDescent="0.2">
      <c r="A23" s="618"/>
      <c r="B23" s="618"/>
      <c r="C23" s="618"/>
      <c r="D23" s="618"/>
      <c r="E23" s="618"/>
      <c r="F23" s="618"/>
      <c r="G23" s="618"/>
      <c r="H23" s="618"/>
    </row>
    <row r="24" spans="1:12" ht="38.25" customHeight="1" x14ac:dyDescent="0.2">
      <c r="A24" s="728" t="s">
        <v>463</v>
      </c>
      <c r="B24" s="728"/>
      <c r="C24" s="728"/>
      <c r="D24" s="728"/>
      <c r="E24" s="728"/>
      <c r="F24" s="728"/>
      <c r="G24" s="728"/>
      <c r="H24" s="728"/>
    </row>
    <row r="25" spans="1:12" ht="30" customHeight="1" x14ac:dyDescent="0.25">
      <c r="A25" s="532"/>
      <c r="B25" s="718" t="s">
        <v>362</v>
      </c>
      <c r="C25" s="719" t="s">
        <v>413</v>
      </c>
      <c r="D25" s="718" t="s">
        <v>277</v>
      </c>
      <c r="E25" s="718" t="s">
        <v>367</v>
      </c>
      <c r="F25" s="720" t="s">
        <v>278</v>
      </c>
      <c r="G25" s="720" t="s">
        <v>279</v>
      </c>
      <c r="H25" s="720" t="s">
        <v>363</v>
      </c>
      <c r="I25" s="678"/>
      <c r="J25" s="679"/>
      <c r="K25" s="678"/>
    </row>
    <row r="26" spans="1:12" ht="15" x14ac:dyDescent="0.2">
      <c r="A26" s="532"/>
      <c r="B26" s="43"/>
      <c r="C26" s="670">
        <v>-0.03</v>
      </c>
      <c r="D26" s="670"/>
      <c r="E26" s="687">
        <v>-20</v>
      </c>
      <c r="F26" s="670"/>
      <c r="G26" s="688">
        <v>-19.97</v>
      </c>
      <c r="H26" s="589"/>
      <c r="I26" s="94"/>
      <c r="J26" s="18"/>
      <c r="K26" s="18"/>
    </row>
    <row r="27" spans="1:12" ht="15" x14ac:dyDescent="0.2">
      <c r="A27" s="532"/>
      <c r="B27" s="43" t="s">
        <v>280</v>
      </c>
      <c r="C27" s="698">
        <v>28578.99</v>
      </c>
      <c r="D27" s="698">
        <v>1814.59</v>
      </c>
      <c r="E27" s="698">
        <v>12500</v>
      </c>
      <c r="F27" s="698">
        <v>-4408.0200000000004</v>
      </c>
      <c r="G27" s="698">
        <v>38489.56</v>
      </c>
      <c r="H27" s="671">
        <f>G27/G$34</f>
        <v>0.24113058143957419</v>
      </c>
      <c r="I27" s="680"/>
      <c r="J27" s="681"/>
      <c r="K27" s="682"/>
    </row>
    <row r="28" spans="1:12" ht="15" x14ac:dyDescent="0.25">
      <c r="A28" s="532"/>
      <c r="B28" s="43" t="s">
        <v>281</v>
      </c>
      <c r="C28" s="698">
        <v>24970.22</v>
      </c>
      <c r="D28" s="698">
        <v>388.24</v>
      </c>
      <c r="E28" s="698">
        <v>-10000</v>
      </c>
      <c r="F28" s="698">
        <v>-459.35</v>
      </c>
      <c r="G28" s="698">
        <v>14903.11</v>
      </c>
      <c r="H28" s="671">
        <f t="shared" ref="H28:H32" si="0">G28/G$34</f>
        <v>9.3365462726981888E-2</v>
      </c>
      <c r="I28" s="683"/>
      <c r="J28" s="681"/>
      <c r="K28" s="682"/>
      <c r="L28" s="561"/>
    </row>
    <row r="29" spans="1:12" ht="15" x14ac:dyDescent="0.2">
      <c r="A29" s="532"/>
      <c r="B29" s="43" t="s">
        <v>282</v>
      </c>
      <c r="C29" s="698">
        <v>32561.09</v>
      </c>
      <c r="D29" s="698">
        <v>552.09</v>
      </c>
      <c r="E29" s="698">
        <v>14000</v>
      </c>
      <c r="F29" s="698">
        <v>-3028.09</v>
      </c>
      <c r="G29" s="698">
        <v>44091.09</v>
      </c>
      <c r="H29" s="671">
        <f t="shared" si="0"/>
        <v>0.276223219179554</v>
      </c>
      <c r="I29" s="680"/>
      <c r="J29" s="681"/>
      <c r="K29" s="682"/>
      <c r="L29" s="561"/>
    </row>
    <row r="30" spans="1:12" ht="15" x14ac:dyDescent="0.25">
      <c r="A30" s="532"/>
      <c r="B30" s="43" t="s">
        <v>283</v>
      </c>
      <c r="C30" s="698">
        <v>25065.79</v>
      </c>
      <c r="D30" s="698">
        <v>434.15</v>
      </c>
      <c r="E30" s="698">
        <v>-4000</v>
      </c>
      <c r="F30" s="698">
        <v>-369.9</v>
      </c>
      <c r="G30" s="698">
        <v>21132.04</v>
      </c>
      <c r="H30" s="671">
        <f t="shared" si="0"/>
        <v>0.13238865531859392</v>
      </c>
      <c r="I30" s="683"/>
      <c r="J30" s="681"/>
      <c r="K30" s="682"/>
      <c r="L30" s="561"/>
    </row>
    <row r="31" spans="1:12" ht="15" x14ac:dyDescent="0.25">
      <c r="A31" s="532"/>
      <c r="B31" s="43" t="s">
        <v>284</v>
      </c>
      <c r="C31" s="698">
        <v>26568.45</v>
      </c>
      <c r="D31" s="698">
        <v>803.99</v>
      </c>
      <c r="E31" s="698">
        <v>-5000</v>
      </c>
      <c r="F31" s="698">
        <v>-1282.8699999999999</v>
      </c>
      <c r="G31" s="698">
        <v>21091.57</v>
      </c>
      <c r="H31" s="671">
        <f t="shared" si="0"/>
        <v>0.13213511761562044</v>
      </c>
      <c r="I31" s="683"/>
      <c r="J31" s="681"/>
      <c r="K31" s="682"/>
      <c r="L31" s="561"/>
    </row>
    <row r="32" spans="1:12" ht="15" x14ac:dyDescent="0.25">
      <c r="A32" s="532"/>
      <c r="B32" s="43" t="s">
        <v>285</v>
      </c>
      <c r="C32" s="698">
        <v>27193.3</v>
      </c>
      <c r="D32" s="698">
        <v>1187.96</v>
      </c>
      <c r="E32" s="698">
        <v>-7500</v>
      </c>
      <c r="F32" s="698">
        <v>-949.43</v>
      </c>
      <c r="G32" s="698">
        <v>19933.830000000002</v>
      </c>
      <c r="H32" s="671">
        <f t="shared" si="0"/>
        <v>0.12488207239099713</v>
      </c>
      <c r="I32" s="683"/>
      <c r="J32" s="681"/>
      <c r="K32" s="682"/>
      <c r="L32" s="561"/>
    </row>
    <row r="33" spans="1:12" ht="9.75" customHeight="1" x14ac:dyDescent="0.2">
      <c r="A33" s="532"/>
      <c r="B33" s="43"/>
      <c r="C33" s="670"/>
      <c r="D33" s="589"/>
      <c r="E33" s="589"/>
      <c r="F33" s="670"/>
      <c r="G33" s="670"/>
      <c r="H33" s="589"/>
      <c r="I33" s="680"/>
      <c r="J33" s="681"/>
      <c r="K33" s="18"/>
      <c r="L33" s="561"/>
    </row>
    <row r="34" spans="1:12" ht="15" x14ac:dyDescent="0.25">
      <c r="A34" s="532"/>
      <c r="B34" s="672" t="s">
        <v>299</v>
      </c>
      <c r="C34" s="673">
        <f>SUM(C27:C33)</f>
        <v>164937.84</v>
      </c>
      <c r="D34" s="674">
        <f>SUM(D27:D33)</f>
        <v>5181.0200000000004</v>
      </c>
      <c r="E34" s="672">
        <f>SUM(E27:E33)</f>
        <v>0</v>
      </c>
      <c r="F34" s="673">
        <f>SUM(F27:F33)</f>
        <v>-10497.66</v>
      </c>
      <c r="G34" s="673">
        <f>SUM(G26:G33)</f>
        <v>159621.22999999998</v>
      </c>
      <c r="H34" s="696">
        <f>SUM(H27:H33)</f>
        <v>1.0001251086713214</v>
      </c>
      <c r="I34" s="684"/>
      <c r="J34" s="685"/>
      <c r="K34" s="686"/>
    </row>
    <row r="35" spans="1:12" ht="15.75" thickBot="1" x14ac:dyDescent="0.25">
      <c r="A35" s="546"/>
      <c r="B35" s="18"/>
      <c r="C35" s="591"/>
      <c r="D35" s="590"/>
      <c r="E35" s="590"/>
      <c r="F35" s="591"/>
      <c r="G35" s="591"/>
      <c r="H35" s="563"/>
      <c r="I35" s="1"/>
      <c r="J35" s="1"/>
      <c r="K35" s="1"/>
    </row>
    <row r="36" spans="1:12" ht="15.75" thickTop="1" x14ac:dyDescent="0.2">
      <c r="A36" s="532"/>
      <c r="B36" s="532"/>
      <c r="C36" s="532"/>
      <c r="D36" s="532"/>
      <c r="E36" s="532"/>
      <c r="F36" s="532"/>
      <c r="G36" s="532"/>
      <c r="H36" s="532"/>
    </row>
    <row r="37" spans="1:12" ht="47.25" customHeight="1" x14ac:dyDescent="0.2">
      <c r="A37" s="532"/>
      <c r="B37" s="738" t="s">
        <v>291</v>
      </c>
      <c r="C37" s="739"/>
      <c r="D37" s="739"/>
      <c r="E37" s="739"/>
      <c r="F37" s="739"/>
      <c r="G37" s="739"/>
      <c r="H37" s="562"/>
    </row>
    <row r="38" spans="1:12" ht="47.25" customHeight="1" x14ac:dyDescent="0.2">
      <c r="A38" s="532"/>
      <c r="B38" s="738" t="s">
        <v>292</v>
      </c>
      <c r="C38" s="739"/>
      <c r="D38" s="739"/>
      <c r="E38" s="739"/>
      <c r="F38" s="739"/>
      <c r="G38" s="739"/>
      <c r="H38" s="562"/>
    </row>
    <row r="39" spans="1:12" ht="47.25" customHeight="1" x14ac:dyDescent="0.2">
      <c r="A39" s="532"/>
      <c r="B39" s="738" t="s">
        <v>293</v>
      </c>
      <c r="C39" s="739"/>
      <c r="D39" s="739"/>
      <c r="E39" s="739"/>
      <c r="F39" s="739"/>
      <c r="G39" s="739"/>
      <c r="H39" s="562"/>
    </row>
    <row r="40" spans="1:12" ht="47.25" customHeight="1" x14ac:dyDescent="0.2">
      <c r="A40" s="532"/>
      <c r="B40" s="740" t="s">
        <v>294</v>
      </c>
      <c r="C40" s="741"/>
      <c r="D40" s="741"/>
      <c r="E40" s="741"/>
      <c r="F40" s="741"/>
      <c r="G40" s="741"/>
      <c r="H40" s="562"/>
    </row>
    <row r="41" spans="1:12" ht="47.25" customHeight="1" x14ac:dyDescent="0.2">
      <c r="A41" s="532"/>
      <c r="B41" s="738" t="s">
        <v>297</v>
      </c>
      <c r="C41" s="739"/>
      <c r="D41" s="739"/>
      <c r="E41" s="739"/>
      <c r="F41" s="739"/>
      <c r="G41" s="739"/>
      <c r="H41" s="562"/>
    </row>
    <row r="42" spans="1:12" ht="47.25" customHeight="1" x14ac:dyDescent="0.2">
      <c r="A42" s="532"/>
      <c r="B42" s="738" t="s">
        <v>295</v>
      </c>
      <c r="C42" s="739"/>
      <c r="D42" s="739"/>
      <c r="E42" s="739"/>
      <c r="F42" s="739"/>
      <c r="G42" s="739"/>
      <c r="H42" s="562"/>
    </row>
    <row r="43" spans="1:12" ht="7.5" customHeight="1" x14ac:dyDescent="0.2">
      <c r="A43" s="532"/>
      <c r="B43" s="532"/>
      <c r="C43" s="532"/>
      <c r="D43" s="532"/>
      <c r="E43" s="532"/>
      <c r="F43" s="532"/>
      <c r="G43" s="532"/>
      <c r="H43" s="532"/>
    </row>
    <row r="44" spans="1:12" ht="32.25" customHeight="1" x14ac:dyDescent="0.25">
      <c r="A44" s="729" t="s">
        <v>468</v>
      </c>
      <c r="B44" s="729"/>
      <c r="C44" s="729"/>
      <c r="D44" s="729"/>
      <c r="E44" s="729"/>
      <c r="F44" s="729"/>
      <c r="G44" s="729"/>
      <c r="H44" s="729"/>
    </row>
    <row r="45" spans="1:12" ht="15" hidden="1" x14ac:dyDescent="0.25">
      <c r="A45" s="532"/>
      <c r="B45" s="534" t="s">
        <v>286</v>
      </c>
      <c r="C45" s="535" t="s">
        <v>287</v>
      </c>
      <c r="D45" s="534" t="s">
        <v>288</v>
      </c>
      <c r="E45" s="731" t="s">
        <v>26</v>
      </c>
      <c r="F45" s="731"/>
      <c r="G45" s="534" t="s">
        <v>289</v>
      </c>
      <c r="H45" s="532"/>
    </row>
    <row r="46" spans="1:12" ht="15" hidden="1" x14ac:dyDescent="0.2">
      <c r="A46" s="532"/>
      <c r="B46" s="536"/>
      <c r="C46" s="543"/>
      <c r="D46" s="614"/>
      <c r="E46" s="744"/>
      <c r="F46" s="744"/>
      <c r="G46" s="538"/>
      <c r="H46" s="532"/>
    </row>
    <row r="47" spans="1:12" ht="15" hidden="1" x14ac:dyDescent="0.2">
      <c r="A47" s="532"/>
      <c r="B47" s="536"/>
      <c r="C47" s="543"/>
      <c r="D47" s="537"/>
      <c r="E47" s="744"/>
      <c r="F47" s="744"/>
      <c r="G47" s="539"/>
      <c r="H47" s="532"/>
    </row>
    <row r="48" spans="1:12" ht="15" hidden="1" x14ac:dyDescent="0.2">
      <c r="A48" s="544"/>
      <c r="B48" s="536"/>
      <c r="C48" s="543"/>
      <c r="D48" s="537"/>
      <c r="E48" s="744"/>
      <c r="F48" s="744"/>
      <c r="G48" s="539"/>
      <c r="H48" s="544"/>
    </row>
    <row r="49" spans="1:8" ht="15" hidden="1" x14ac:dyDescent="0.2">
      <c r="A49" s="602"/>
      <c r="B49" s="605"/>
      <c r="C49" s="606"/>
      <c r="D49" s="607"/>
      <c r="E49" s="608"/>
      <c r="F49" s="541" t="s">
        <v>290</v>
      </c>
      <c r="G49" s="615">
        <f>SUM(G46:G48)</f>
        <v>0</v>
      </c>
      <c r="H49" s="602"/>
    </row>
    <row r="50" spans="1:8" ht="15" hidden="1" x14ac:dyDescent="0.2">
      <c r="A50" s="602"/>
      <c r="B50" s="605"/>
      <c r="C50" s="606"/>
      <c r="D50" s="607"/>
      <c r="E50" s="608"/>
      <c r="F50" s="541"/>
      <c r="G50" s="613"/>
      <c r="H50" s="602"/>
    </row>
    <row r="51" spans="1:8" ht="15" hidden="1" x14ac:dyDescent="0.2">
      <c r="A51" s="602"/>
      <c r="B51" s="609" t="s">
        <v>318</v>
      </c>
      <c r="C51" s="610" t="s">
        <v>321</v>
      </c>
      <c r="D51" s="611" t="s">
        <v>320</v>
      </c>
      <c r="E51" s="745" t="s">
        <v>26</v>
      </c>
      <c r="F51" s="746"/>
      <c r="G51" s="612" t="s">
        <v>319</v>
      </c>
      <c r="H51" s="602"/>
    </row>
    <row r="52" spans="1:8" ht="15" hidden="1" x14ac:dyDescent="0.2">
      <c r="A52" s="602"/>
      <c r="B52" s="536"/>
      <c r="C52" s="616"/>
      <c r="D52" s="537"/>
      <c r="E52" s="744"/>
      <c r="F52" s="744"/>
      <c r="G52" s="539"/>
      <c r="H52" s="602"/>
    </row>
    <row r="53" spans="1:8" ht="15" hidden="1" x14ac:dyDescent="0.2">
      <c r="A53" s="602"/>
      <c r="B53" s="536"/>
      <c r="C53" s="616"/>
      <c r="D53" s="537"/>
      <c r="E53" s="744"/>
      <c r="F53" s="744"/>
      <c r="G53" s="539"/>
      <c r="H53" s="602"/>
    </row>
    <row r="54" spans="1:8" ht="15" hidden="1" x14ac:dyDescent="0.2">
      <c r="A54" s="532"/>
      <c r="B54" s="540"/>
      <c r="C54" s="540"/>
      <c r="D54" s="540"/>
      <c r="E54" s="540"/>
      <c r="F54" s="541" t="s">
        <v>290</v>
      </c>
      <c r="G54" s="542">
        <f>G52+G53</f>
        <v>0</v>
      </c>
      <c r="H54" s="532"/>
    </row>
    <row r="55" spans="1:8" ht="15" x14ac:dyDescent="0.25">
      <c r="A55" s="689"/>
      <c r="B55" s="690" t="s">
        <v>286</v>
      </c>
      <c r="C55" s="535" t="s">
        <v>287</v>
      </c>
      <c r="D55" s="690" t="s">
        <v>288</v>
      </c>
      <c r="E55" s="731" t="s">
        <v>26</v>
      </c>
      <c r="F55" s="731"/>
      <c r="G55" s="690" t="s">
        <v>289</v>
      </c>
      <c r="H55" s="689"/>
    </row>
    <row r="56" spans="1:8" ht="30" customHeight="1" x14ac:dyDescent="0.2">
      <c r="A56" s="689"/>
      <c r="B56" s="536">
        <v>43160</v>
      </c>
      <c r="C56" s="543" t="s">
        <v>384</v>
      </c>
      <c r="D56" s="697" t="s">
        <v>383</v>
      </c>
      <c r="E56" s="744" t="s">
        <v>385</v>
      </c>
      <c r="F56" s="744"/>
      <c r="G56" s="538">
        <v>2094</v>
      </c>
      <c r="H56" s="689"/>
    </row>
    <row r="57" spans="1:8" ht="30" customHeight="1" x14ac:dyDescent="0.2">
      <c r="A57" s="689"/>
      <c r="B57" s="536">
        <v>43160</v>
      </c>
      <c r="C57" s="543" t="s">
        <v>384</v>
      </c>
      <c r="D57" s="697" t="s">
        <v>383</v>
      </c>
      <c r="E57" s="744" t="s">
        <v>386</v>
      </c>
      <c r="F57" s="744"/>
      <c r="G57" s="538">
        <v>1010</v>
      </c>
      <c r="H57" s="689"/>
    </row>
    <row r="58" spans="1:8" ht="30" customHeight="1" x14ac:dyDescent="0.2">
      <c r="A58" s="689"/>
      <c r="B58" s="536">
        <v>43160</v>
      </c>
      <c r="C58" s="543" t="s">
        <v>384</v>
      </c>
      <c r="D58" s="697" t="s">
        <v>383</v>
      </c>
      <c r="E58" s="744" t="s">
        <v>387</v>
      </c>
      <c r="F58" s="744"/>
      <c r="G58" s="538">
        <v>896</v>
      </c>
      <c r="H58" s="689"/>
    </row>
    <row r="59" spans="1:8" ht="30" customHeight="1" x14ac:dyDescent="0.2">
      <c r="A59" s="716"/>
      <c r="B59" s="536">
        <v>43191</v>
      </c>
      <c r="C59" s="543" t="s">
        <v>380</v>
      </c>
      <c r="D59" s="614" t="s">
        <v>381</v>
      </c>
      <c r="E59" s="744" t="s">
        <v>382</v>
      </c>
      <c r="F59" s="744"/>
      <c r="G59" s="538">
        <v>21893.75</v>
      </c>
      <c r="H59" s="796"/>
    </row>
    <row r="60" spans="1:8" ht="30" customHeight="1" x14ac:dyDescent="0.2">
      <c r="A60" s="716"/>
      <c r="B60" s="536">
        <v>43434</v>
      </c>
      <c r="C60" s="543" t="s">
        <v>380</v>
      </c>
      <c r="D60" s="614" t="s">
        <v>464</v>
      </c>
      <c r="E60" s="744" t="s">
        <v>382</v>
      </c>
      <c r="F60" s="744"/>
      <c r="G60" s="538">
        <v>22992.03</v>
      </c>
      <c r="H60" s="716"/>
    </row>
    <row r="61" spans="1:8" ht="30" customHeight="1" x14ac:dyDescent="0.2">
      <c r="A61" s="716"/>
      <c r="B61" s="536">
        <v>43452</v>
      </c>
      <c r="C61" s="543" t="s">
        <v>384</v>
      </c>
      <c r="D61" s="697" t="s">
        <v>383</v>
      </c>
      <c r="E61" s="744" t="s">
        <v>467</v>
      </c>
      <c r="F61" s="744"/>
      <c r="G61" s="538">
        <f>13021.13-250</f>
        <v>12771.13</v>
      </c>
      <c r="H61" s="716"/>
    </row>
    <row r="62" spans="1:8" ht="30" customHeight="1" x14ac:dyDescent="0.2">
      <c r="A62" s="689"/>
      <c r="B62" s="536">
        <v>43452</v>
      </c>
      <c r="C62" s="543" t="s">
        <v>384</v>
      </c>
      <c r="D62" s="614" t="s">
        <v>465</v>
      </c>
      <c r="E62" s="744" t="s">
        <v>466</v>
      </c>
      <c r="F62" s="744"/>
      <c r="G62" s="538">
        <v>12485.8</v>
      </c>
      <c r="H62" s="689"/>
    </row>
    <row r="63" spans="1:8" ht="15" x14ac:dyDescent="0.2">
      <c r="A63" s="689"/>
      <c r="B63" s="605"/>
      <c r="C63" s="606"/>
      <c r="D63" s="607"/>
      <c r="E63" s="608"/>
      <c r="F63" s="541" t="s">
        <v>290</v>
      </c>
      <c r="G63" s="615">
        <f>SUM(G56:G62)</f>
        <v>74142.709999999992</v>
      </c>
      <c r="H63" s="689"/>
    </row>
    <row r="64" spans="1:8" ht="15" x14ac:dyDescent="0.2">
      <c r="A64" s="689"/>
      <c r="B64" s="605"/>
      <c r="C64" s="606"/>
      <c r="D64" s="607"/>
      <c r="E64" s="608"/>
      <c r="F64" s="541"/>
      <c r="G64" s="613"/>
      <c r="H64" s="689"/>
    </row>
    <row r="65" spans="1:23" ht="15" hidden="1" x14ac:dyDescent="0.2">
      <c r="A65" s="689"/>
      <c r="B65" s="609" t="s">
        <v>318</v>
      </c>
      <c r="C65" s="610" t="s">
        <v>321</v>
      </c>
      <c r="D65" s="611" t="s">
        <v>320</v>
      </c>
      <c r="E65" s="745" t="s">
        <v>26</v>
      </c>
      <c r="F65" s="746"/>
      <c r="G65" s="612" t="s">
        <v>319</v>
      </c>
      <c r="H65" s="689"/>
    </row>
    <row r="66" spans="1:23" ht="15" hidden="1" x14ac:dyDescent="0.2">
      <c r="A66" s="689"/>
      <c r="B66" s="536"/>
      <c r="C66" s="616"/>
      <c r="D66" s="537"/>
      <c r="E66" s="744"/>
      <c r="F66" s="744"/>
      <c r="G66" s="539"/>
      <c r="H66" s="689"/>
    </row>
    <row r="67" spans="1:23" ht="15" hidden="1" x14ac:dyDescent="0.2">
      <c r="A67" s="689"/>
      <c r="B67" s="536"/>
      <c r="C67" s="616"/>
      <c r="D67" s="537"/>
      <c r="E67" s="744"/>
      <c r="F67" s="744"/>
      <c r="G67" s="539"/>
      <c r="H67" s="689"/>
    </row>
    <row r="68" spans="1:23" ht="15" hidden="1" x14ac:dyDescent="0.2">
      <c r="A68" s="689"/>
      <c r="B68" s="540"/>
      <c r="C68" s="540"/>
      <c r="D68" s="540"/>
      <c r="E68" s="540"/>
      <c r="F68" s="541" t="s">
        <v>290</v>
      </c>
      <c r="G68" s="542">
        <f>G66+G67</f>
        <v>0</v>
      </c>
      <c r="H68" s="689"/>
    </row>
    <row r="69" spans="1:23" ht="11.25" customHeight="1" x14ac:dyDescent="0.2">
      <c r="A69" s="532"/>
      <c r="B69" s="532"/>
      <c r="C69" s="532"/>
      <c r="D69" s="532"/>
      <c r="E69" s="532"/>
      <c r="F69" s="532"/>
      <c r="G69" s="532"/>
      <c r="H69" s="532"/>
    </row>
    <row r="70" spans="1:23" ht="52.5" customHeight="1" x14ac:dyDescent="0.2">
      <c r="A70" s="728" t="s">
        <v>469</v>
      </c>
      <c r="B70" s="728"/>
      <c r="C70" s="728"/>
      <c r="D70" s="728"/>
      <c r="E70" s="728"/>
      <c r="F70" s="728"/>
      <c r="G70" s="728"/>
      <c r="H70" s="728"/>
    </row>
    <row r="71" spans="1:23" ht="15.75" hidden="1" customHeight="1" x14ac:dyDescent="0.2">
      <c r="A71" s="493"/>
      <c r="C71" s="742" t="s">
        <v>316</v>
      </c>
      <c r="D71" s="742"/>
      <c r="E71" s="548">
        <v>1823.85</v>
      </c>
      <c r="F71" s="743" t="s">
        <v>322</v>
      </c>
      <c r="G71" s="743"/>
      <c r="H71" s="493"/>
    </row>
    <row r="72" spans="1:23" ht="15.75" hidden="1" customHeight="1" x14ac:dyDescent="0.2">
      <c r="A72" s="493"/>
      <c r="C72" s="742"/>
      <c r="D72" s="742"/>
      <c r="E72" s="548"/>
      <c r="F72" s="743"/>
      <c r="G72" s="743"/>
      <c r="H72" s="493"/>
    </row>
    <row r="73" spans="1:23" ht="15.75" hidden="1" customHeight="1" x14ac:dyDescent="0.2">
      <c r="A73" s="493"/>
      <c r="C73" s="742"/>
      <c r="D73" s="742"/>
      <c r="E73" s="548"/>
      <c r="F73" s="743"/>
      <c r="G73" s="743"/>
      <c r="H73" s="493"/>
    </row>
    <row r="74" spans="1:23" ht="15.75" hidden="1" customHeight="1" x14ac:dyDescent="0.2">
      <c r="A74" s="493"/>
      <c r="C74" s="742" t="s">
        <v>268</v>
      </c>
      <c r="D74" s="742"/>
      <c r="E74" s="548">
        <f>1689.92+2978.07</f>
        <v>4667.99</v>
      </c>
      <c r="F74" s="743" t="s">
        <v>323</v>
      </c>
      <c r="G74" s="743"/>
      <c r="H74" s="493"/>
    </row>
    <row r="75" spans="1:23" ht="16.5" hidden="1" thickBot="1" x14ac:dyDescent="0.25">
      <c r="A75" s="493"/>
      <c r="B75" s="502"/>
      <c r="C75" s="733" t="s">
        <v>242</v>
      </c>
      <c r="D75" s="733"/>
      <c r="E75" s="499">
        <f>SUM(E71:E74)</f>
        <v>6491.84</v>
      </c>
      <c r="F75" s="502"/>
      <c r="G75" s="502"/>
      <c r="H75" s="493"/>
    </row>
    <row r="76" spans="1:23" ht="9.75" customHeight="1" x14ac:dyDescent="0.2">
      <c r="A76" s="493"/>
      <c r="B76" s="603"/>
      <c r="C76" s="604"/>
      <c r="D76" s="604"/>
      <c r="E76" s="617"/>
      <c r="F76" s="603"/>
      <c r="G76" s="603"/>
      <c r="H76" s="493"/>
    </row>
    <row r="77" spans="1:23" ht="33" customHeight="1" x14ac:dyDescent="0.25">
      <c r="A77" s="729" t="s">
        <v>403</v>
      </c>
      <c r="B77" s="729"/>
      <c r="C77" s="729"/>
      <c r="D77" s="729"/>
      <c r="E77" s="729"/>
      <c r="F77" s="729"/>
      <c r="G77" s="729"/>
      <c r="H77" s="729"/>
    </row>
    <row r="78" spans="1:23" ht="15.75" x14ac:dyDescent="0.2">
      <c r="A78" s="493"/>
      <c r="B78" s="603"/>
      <c r="C78" s="604"/>
      <c r="D78" s="604"/>
      <c r="E78" s="617"/>
      <c r="F78" s="603"/>
      <c r="G78" s="603"/>
      <c r="H78" s="493"/>
    </row>
    <row r="79" spans="1:23" ht="97.5" customHeight="1" x14ac:dyDescent="0.2">
      <c r="A79" s="728" t="s">
        <v>470</v>
      </c>
      <c r="B79" s="728"/>
      <c r="C79" s="728"/>
      <c r="D79" s="728"/>
      <c r="E79" s="728"/>
      <c r="F79" s="728"/>
      <c r="G79" s="728"/>
      <c r="H79" s="728"/>
      <c r="V79" s="531"/>
      <c r="W79" s="530"/>
    </row>
    <row r="80" spans="1:23" ht="47.25" x14ac:dyDescent="0.2">
      <c r="A80" s="501"/>
      <c r="B80" s="736" t="s">
        <v>233</v>
      </c>
      <c r="C80" s="736"/>
      <c r="D80" s="504" t="s">
        <v>234</v>
      </c>
      <c r="E80" s="494" t="s">
        <v>235</v>
      </c>
      <c r="F80" s="504" t="s">
        <v>236</v>
      </c>
      <c r="G80" s="504" t="s">
        <v>471</v>
      </c>
      <c r="H80" s="501"/>
      <c r="V80" s="531"/>
      <c r="W80" s="530"/>
    </row>
    <row r="81" spans="1:23" ht="15.75" customHeight="1" x14ac:dyDescent="0.2">
      <c r="A81" s="501"/>
      <c r="B81" s="735" t="s">
        <v>13</v>
      </c>
      <c r="C81" s="735"/>
      <c r="D81" s="735"/>
      <c r="E81" s="503"/>
      <c r="F81" s="503"/>
      <c r="G81" s="503"/>
      <c r="H81" s="501"/>
      <c r="V81" s="531"/>
      <c r="W81" s="530"/>
    </row>
    <row r="82" spans="1:23" ht="15.75" customHeight="1" x14ac:dyDescent="0.2">
      <c r="A82" s="501"/>
      <c r="B82" s="730" t="s">
        <v>269</v>
      </c>
      <c r="C82" s="730"/>
      <c r="D82" s="503">
        <v>8727.77</v>
      </c>
      <c r="E82" s="503"/>
      <c r="F82" s="503">
        <f>-'Dec''18 Revenues &amp; Expenses'!H38</f>
        <v>-2330</v>
      </c>
      <c r="G82" s="503">
        <f>'Dec''18 Revenues &amp; Expenses'!K38+'Dec''18 Revenues &amp; Expenses'!K39</f>
        <v>4696.5200000000004</v>
      </c>
      <c r="H82" s="501"/>
      <c r="V82" s="531"/>
      <c r="W82" s="530"/>
    </row>
    <row r="83" spans="1:23" ht="15.75" customHeight="1" x14ac:dyDescent="0.2">
      <c r="A83" s="501"/>
      <c r="B83" s="730" t="s">
        <v>270</v>
      </c>
      <c r="C83" s="730"/>
      <c r="D83" s="503">
        <v>25000</v>
      </c>
      <c r="E83" s="503"/>
      <c r="F83" s="503">
        <f>G83-E83-D83</f>
        <v>-25000</v>
      </c>
      <c r="G83" s="503">
        <f>'Dec''18 Revenues &amp; Expenses'!K36</f>
        <v>0</v>
      </c>
      <c r="H83" s="501"/>
      <c r="V83" s="531"/>
      <c r="W83" s="530"/>
    </row>
    <row r="84" spans="1:23" ht="15.75" customHeight="1" x14ac:dyDescent="0.2">
      <c r="A84" s="501"/>
      <c r="B84" s="730" t="s">
        <v>271</v>
      </c>
      <c r="C84" s="730"/>
      <c r="D84" s="503">
        <v>1745.88</v>
      </c>
      <c r="E84" s="503"/>
      <c r="F84" s="503">
        <v>-1745.88</v>
      </c>
      <c r="G84" s="503">
        <f t="shared" ref="G84" si="1">D84+E84+F84</f>
        <v>0</v>
      </c>
      <c r="H84" s="501"/>
      <c r="V84" s="531"/>
      <c r="W84" s="530"/>
    </row>
    <row r="85" spans="1:23" ht="15.75" customHeight="1" x14ac:dyDescent="0.2">
      <c r="A85" s="501"/>
      <c r="B85" s="723" t="s">
        <v>414</v>
      </c>
      <c r="C85" s="723"/>
      <c r="D85" s="699"/>
      <c r="E85" s="699">
        <v>18000</v>
      </c>
      <c r="F85" s="699">
        <f>-9000-9000</f>
        <v>-18000</v>
      </c>
      <c r="G85" s="699">
        <f>+E85+F85</f>
        <v>0</v>
      </c>
      <c r="H85" s="501"/>
      <c r="V85" s="531"/>
      <c r="W85" s="530"/>
    </row>
    <row r="86" spans="1:23" ht="15.75" customHeight="1" x14ac:dyDescent="0.2">
      <c r="A86" s="501"/>
      <c r="B86" s="735" t="s">
        <v>19</v>
      </c>
      <c r="C86" s="735"/>
      <c r="D86" s="503"/>
      <c r="E86" s="503"/>
      <c r="F86" s="503"/>
      <c r="G86" s="503"/>
      <c r="H86" s="501"/>
      <c r="V86" s="531"/>
    </row>
    <row r="87" spans="1:23" ht="15.75" customHeight="1" x14ac:dyDescent="0.2">
      <c r="A87" s="501"/>
      <c r="B87" s="730" t="s">
        <v>269</v>
      </c>
      <c r="C87" s="730"/>
      <c r="D87" s="503">
        <f>'Dec''18 Revenues &amp; Expenses'!G40</f>
        <v>4081.3</v>
      </c>
      <c r="E87" s="503">
        <v>18000</v>
      </c>
      <c r="F87" s="503">
        <f>-D87-E87+G87</f>
        <v>-15604.79</v>
      </c>
      <c r="G87" s="503">
        <f>'Dec''18 Revenues &amp; Expenses'!K40</f>
        <v>6476.5099999999984</v>
      </c>
      <c r="H87" s="501"/>
      <c r="V87" s="531"/>
    </row>
    <row r="88" spans="1:23" ht="15.75" customHeight="1" x14ac:dyDescent="0.2">
      <c r="A88" s="501"/>
      <c r="B88" s="735" t="s">
        <v>272</v>
      </c>
      <c r="C88" s="735"/>
      <c r="D88" s="503"/>
      <c r="E88" s="503"/>
      <c r="F88" s="503"/>
      <c r="G88" s="503"/>
      <c r="H88" s="501"/>
      <c r="V88" s="531"/>
    </row>
    <row r="89" spans="1:23" ht="15.75" customHeight="1" x14ac:dyDescent="0.2">
      <c r="A89" s="501"/>
      <c r="B89" s="730" t="s">
        <v>229</v>
      </c>
      <c r="C89" s="730"/>
      <c r="D89" s="503">
        <v>2878.05</v>
      </c>
      <c r="E89" s="503"/>
      <c r="F89" s="545">
        <f>-D89</f>
        <v>-2878.05</v>
      </c>
      <c r="G89" s="503">
        <f>D89+E89+F89</f>
        <v>0</v>
      </c>
      <c r="H89" s="501"/>
      <c r="V89" s="531"/>
    </row>
    <row r="90" spans="1:23" ht="15.75" customHeight="1" x14ac:dyDescent="0.2">
      <c r="A90" s="501"/>
      <c r="B90" s="730" t="s">
        <v>273</v>
      </c>
      <c r="C90" s="730"/>
      <c r="D90" s="503">
        <v>38364.69</v>
      </c>
      <c r="E90" s="709">
        <v>79750</v>
      </c>
      <c r="F90" s="709">
        <f>-D90-E90+G90</f>
        <v>-82992.570000000007</v>
      </c>
      <c r="G90" s="503">
        <f>'Dec''18 Revenues &amp; Expenses'!K11</f>
        <v>35122.120000000003</v>
      </c>
      <c r="H90" s="501"/>
      <c r="V90" s="531"/>
    </row>
    <row r="91" spans="1:23" ht="7.5" customHeight="1" x14ac:dyDescent="0.2">
      <c r="A91" s="501"/>
      <c r="B91" s="737"/>
      <c r="C91" s="737"/>
      <c r="D91" s="503"/>
      <c r="E91" s="503"/>
      <c r="F91" s="503"/>
      <c r="G91" s="503"/>
      <c r="H91" s="501"/>
      <c r="V91" s="531"/>
    </row>
    <row r="92" spans="1:23" ht="15.75" customHeight="1" thickBot="1" x14ac:dyDescent="0.25">
      <c r="A92" s="501"/>
      <c r="B92" s="734" t="s">
        <v>274</v>
      </c>
      <c r="C92" s="734"/>
      <c r="D92" s="495">
        <f>SUM(D81:D91)</f>
        <v>80797.69</v>
      </c>
      <c r="E92" s="495">
        <f>SUM(E81:E91)</f>
        <v>115750</v>
      </c>
      <c r="F92" s="495">
        <f t="shared" ref="F92:G92" si="2">SUM(F81:F91)</f>
        <v>-148551.29</v>
      </c>
      <c r="G92" s="495">
        <f t="shared" si="2"/>
        <v>46295.15</v>
      </c>
      <c r="H92" s="501"/>
      <c r="V92" s="531"/>
    </row>
    <row r="93" spans="1:23" ht="11.25" customHeight="1" thickTop="1" x14ac:dyDescent="0.2">
      <c r="A93" s="501"/>
      <c r="B93" s="528"/>
      <c r="C93" s="528"/>
      <c r="D93" s="529"/>
      <c r="E93" s="529"/>
      <c r="F93" s="529"/>
      <c r="G93" s="529"/>
      <c r="H93" s="501"/>
      <c r="V93" s="531"/>
    </row>
    <row r="94" spans="1:23" ht="67.5" customHeight="1" x14ac:dyDescent="0.2">
      <c r="A94" s="728" t="s">
        <v>472</v>
      </c>
      <c r="B94" s="728"/>
      <c r="C94" s="728"/>
      <c r="D94" s="728"/>
      <c r="E94" s="728"/>
      <c r="F94" s="728"/>
      <c r="G94" s="728"/>
      <c r="H94" s="728"/>
    </row>
    <row r="95" spans="1:23" ht="47.25" x14ac:dyDescent="0.2">
      <c r="A95" s="501"/>
      <c r="B95" s="736" t="s">
        <v>233</v>
      </c>
      <c r="C95" s="736"/>
      <c r="D95" s="504" t="s">
        <v>234</v>
      </c>
      <c r="E95" s="494" t="s">
        <v>235</v>
      </c>
      <c r="F95" s="504" t="s">
        <v>236</v>
      </c>
      <c r="G95" s="717" t="s">
        <v>471</v>
      </c>
      <c r="H95" s="501"/>
    </row>
    <row r="96" spans="1:23" ht="15.75" customHeight="1" x14ac:dyDescent="0.2">
      <c r="A96" s="501"/>
      <c r="B96" s="732" t="s">
        <v>237</v>
      </c>
      <c r="C96" s="732"/>
      <c r="D96" s="503">
        <v>0</v>
      </c>
      <c r="E96" s="503">
        <v>50000</v>
      </c>
      <c r="F96" s="503">
        <f>-'Dec''18 Revenues &amp; Expenses'!J51</f>
        <v>-50000</v>
      </c>
      <c r="G96" s="503">
        <f t="shared" ref="G96:G102" si="3">D96+E96+F96</f>
        <v>0</v>
      </c>
      <c r="H96" s="501"/>
    </row>
    <row r="97" spans="1:8" ht="15.75" customHeight="1" x14ac:dyDescent="0.2">
      <c r="A97" s="501"/>
      <c r="B97" s="732" t="s">
        <v>296</v>
      </c>
      <c r="C97" s="732"/>
      <c r="D97" s="503">
        <v>0</v>
      </c>
      <c r="E97" s="503">
        <v>19000</v>
      </c>
      <c r="F97" s="503">
        <f>-'Dec''18 Revenues &amp; Expenses'!J53</f>
        <v>-19000</v>
      </c>
      <c r="G97" s="503">
        <f t="shared" si="3"/>
        <v>0</v>
      </c>
      <c r="H97" s="501"/>
    </row>
    <row r="98" spans="1:8" ht="15.75" customHeight="1" x14ac:dyDescent="0.2">
      <c r="A98" s="501"/>
      <c r="B98" s="732" t="s">
        <v>238</v>
      </c>
      <c r="C98" s="732"/>
      <c r="D98" s="503">
        <v>22810.080000000002</v>
      </c>
      <c r="E98" s="503">
        <f>'Dec''18 Revenues &amp; Expenses'!H57</f>
        <v>13030</v>
      </c>
      <c r="F98" s="503">
        <f>-'Dec''18 Revenues &amp; Expenses'!J57</f>
        <v>-16011.62</v>
      </c>
      <c r="G98" s="503">
        <f t="shared" si="3"/>
        <v>19828.46</v>
      </c>
      <c r="H98" s="501"/>
    </row>
    <row r="99" spans="1:8" ht="15.75" customHeight="1" x14ac:dyDescent="0.2">
      <c r="A99" s="501"/>
      <c r="B99" s="732" t="s">
        <v>239</v>
      </c>
      <c r="C99" s="732"/>
      <c r="D99" s="503">
        <v>9543.2900000000009</v>
      </c>
      <c r="E99" s="503">
        <f>'Dec''18 Revenues &amp; Expenses'!H58</f>
        <v>2335</v>
      </c>
      <c r="F99" s="503">
        <f>-'Dec''18 Revenues &amp; Expenses'!J58</f>
        <v>-5047.6400000000003</v>
      </c>
      <c r="G99" s="503">
        <f t="shared" si="3"/>
        <v>6830.6500000000005</v>
      </c>
      <c r="H99" s="501"/>
    </row>
    <row r="100" spans="1:8" ht="15.75" customHeight="1" x14ac:dyDescent="0.2">
      <c r="A100" s="501"/>
      <c r="B100" s="732" t="s">
        <v>368</v>
      </c>
      <c r="C100" s="732"/>
      <c r="D100" s="503">
        <v>5384.58</v>
      </c>
      <c r="E100" s="503"/>
      <c r="F100" s="503">
        <f>-'Dec''18 Revenues &amp; Expenses'!H41</f>
        <v>-1160.8800000000001</v>
      </c>
      <c r="G100" s="503">
        <f t="shared" si="3"/>
        <v>4223.7</v>
      </c>
      <c r="H100" s="501"/>
    </row>
    <row r="101" spans="1:8" ht="15.75" x14ac:dyDescent="0.2">
      <c r="A101" s="501"/>
      <c r="B101" s="732" t="s">
        <v>240</v>
      </c>
      <c r="C101" s="732"/>
      <c r="D101" s="503">
        <v>1100.82</v>
      </c>
      <c r="E101" s="503"/>
      <c r="F101" s="503">
        <f>-'Dec''18 Revenues &amp; Expenses'!J56</f>
        <v>0</v>
      </c>
      <c r="G101" s="503">
        <f t="shared" si="3"/>
        <v>1100.82</v>
      </c>
      <c r="H101" s="501"/>
    </row>
    <row r="102" spans="1:8" ht="15.75" x14ac:dyDescent="0.2">
      <c r="A102" s="501"/>
      <c r="B102" s="732"/>
      <c r="C102" s="732"/>
      <c r="D102" s="503">
        <v>0</v>
      </c>
      <c r="E102" s="503"/>
      <c r="F102" s="503">
        <v>0</v>
      </c>
      <c r="G102" s="503">
        <f t="shared" si="3"/>
        <v>0</v>
      </c>
      <c r="H102" s="501"/>
    </row>
    <row r="103" spans="1:8" ht="15.75" customHeight="1" thickBot="1" x14ac:dyDescent="0.25">
      <c r="A103" s="501"/>
      <c r="B103" s="723" t="s">
        <v>241</v>
      </c>
      <c r="C103" s="723"/>
      <c r="D103" s="495">
        <f>SUM(D96:D102)</f>
        <v>38838.770000000004</v>
      </c>
      <c r="E103" s="495">
        <f>SUM(E96:E102)</f>
        <v>84365</v>
      </c>
      <c r="F103" s="495">
        <f>SUM(F96:F102)</f>
        <v>-91220.14</v>
      </c>
      <c r="G103" s="495">
        <f>SUM(G96:G102)</f>
        <v>31983.63</v>
      </c>
      <c r="H103" s="501"/>
    </row>
    <row r="104" spans="1:8" ht="16.5" thickTop="1" x14ac:dyDescent="0.2">
      <c r="A104" s="493"/>
      <c r="B104" s="502"/>
      <c r="C104" s="502"/>
      <c r="D104" s="502"/>
      <c r="E104" s="502"/>
      <c r="F104" s="502"/>
      <c r="G104" s="502"/>
      <c r="H104" s="493"/>
    </row>
    <row r="105" spans="1:8" ht="15.75" customHeight="1" x14ac:dyDescent="0.2"/>
    <row r="106" spans="1:8" ht="6.75" customHeight="1" x14ac:dyDescent="0.2"/>
    <row r="107" spans="1:8" ht="37.5" customHeight="1" x14ac:dyDescent="0.2"/>
  </sheetData>
  <mergeCells count="76">
    <mergeCell ref="E60:F60"/>
    <mergeCell ref="E61:F61"/>
    <mergeCell ref="E51:F51"/>
    <mergeCell ref="A70:H70"/>
    <mergeCell ref="C71:D71"/>
    <mergeCell ref="F71:G71"/>
    <mergeCell ref="E48:F48"/>
    <mergeCell ref="E52:F52"/>
    <mergeCell ref="E53:F53"/>
    <mergeCell ref="E65:F65"/>
    <mergeCell ref="E62:F62"/>
    <mergeCell ref="E66:F66"/>
    <mergeCell ref="E67:F67"/>
    <mergeCell ref="E58:F58"/>
    <mergeCell ref="E56:F56"/>
    <mergeCell ref="E55:F55"/>
    <mergeCell ref="E57:F57"/>
    <mergeCell ref="E59:F59"/>
    <mergeCell ref="C13:D13"/>
    <mergeCell ref="C14:D14"/>
    <mergeCell ref="C15:D15"/>
    <mergeCell ref="C16:D16"/>
    <mergeCell ref="B17:D17"/>
    <mergeCell ref="B86:C86"/>
    <mergeCell ref="B87:C87"/>
    <mergeCell ref="B37:G37"/>
    <mergeCell ref="B38:G38"/>
    <mergeCell ref="B39:G39"/>
    <mergeCell ref="B40:G40"/>
    <mergeCell ref="C74:D74"/>
    <mergeCell ref="F74:G74"/>
    <mergeCell ref="C72:D72"/>
    <mergeCell ref="F72:G72"/>
    <mergeCell ref="C73:D73"/>
    <mergeCell ref="F73:G73"/>
    <mergeCell ref="B41:G41"/>
    <mergeCell ref="B42:G42"/>
    <mergeCell ref="E47:F47"/>
    <mergeCell ref="E46:F46"/>
    <mergeCell ref="B96:C96"/>
    <mergeCell ref="B97:C97"/>
    <mergeCell ref="C75:D75"/>
    <mergeCell ref="B98:C98"/>
    <mergeCell ref="B90:C90"/>
    <mergeCell ref="B92:C92"/>
    <mergeCell ref="B88:C88"/>
    <mergeCell ref="B89:C89"/>
    <mergeCell ref="A79:H79"/>
    <mergeCell ref="B80:C80"/>
    <mergeCell ref="B82:C82"/>
    <mergeCell ref="B83:C83"/>
    <mergeCell ref="B95:C95"/>
    <mergeCell ref="B81:D81"/>
    <mergeCell ref="A94:H94"/>
    <mergeCell ref="B91:C91"/>
    <mergeCell ref="B99:C99"/>
    <mergeCell ref="B100:C100"/>
    <mergeCell ref="B102:C102"/>
    <mergeCell ref="B103:C103"/>
    <mergeCell ref="B101:C101"/>
    <mergeCell ref="B85:C85"/>
    <mergeCell ref="A1:H1"/>
    <mergeCell ref="A2:H2"/>
    <mergeCell ref="A3:H3"/>
    <mergeCell ref="C11:D11"/>
    <mergeCell ref="C12:D12"/>
    <mergeCell ref="B10:C10"/>
    <mergeCell ref="A4:H4"/>
    <mergeCell ref="A5:H5"/>
    <mergeCell ref="A9:H9"/>
    <mergeCell ref="A77:H77"/>
    <mergeCell ref="A22:H22"/>
    <mergeCell ref="A24:H24"/>
    <mergeCell ref="B84:C84"/>
    <mergeCell ref="E45:F45"/>
    <mergeCell ref="A44:H44"/>
  </mergeCells>
  <pageMargins left="0.75" right="0.25" top="0.75" bottom="0.75" header="0.3" footer="0.3"/>
  <pageSetup scale="77" fitToHeight="4" orientation="portrait" r:id="rId1"/>
  <headerFooter>
    <oddFooter>&amp;CPage #&amp;P of &amp;N</oddFooter>
  </headerFooter>
  <rowBreaks count="2" manualBreakCount="2">
    <brk id="22" max="7" man="1"/>
    <brk id="6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92"/>
  <sheetViews>
    <sheetView topLeftCell="A529" workbookViewId="0">
      <selection activeCell="G549" sqref="G549:G561"/>
    </sheetView>
  </sheetViews>
  <sheetFormatPr defaultRowHeight="14.25" x14ac:dyDescent="0.2"/>
  <cols>
    <col min="1" max="1" width="22.875" style="588" customWidth="1"/>
    <col min="2" max="2" width="9" style="557"/>
    <col min="7" max="7" width="15" bestFit="1" customWidth="1"/>
    <col min="8" max="8" width="9.75" bestFit="1" customWidth="1"/>
    <col min="13" max="13" width="15.125" bestFit="1" customWidth="1"/>
  </cols>
  <sheetData>
    <row r="3" spans="1:2" ht="15" thickBot="1" x14ac:dyDescent="0.25">
      <c r="A3" s="585" t="s">
        <v>305</v>
      </c>
      <c r="B3" s="553" t="s">
        <v>306</v>
      </c>
    </row>
    <row r="4" spans="1:2" ht="15" thickTop="1" x14ac:dyDescent="0.2">
      <c r="A4" s="586">
        <v>42370</v>
      </c>
      <c r="B4" s="554">
        <v>316020.78000000003</v>
      </c>
    </row>
    <row r="5" spans="1:2" x14ac:dyDescent="0.2">
      <c r="A5" s="587">
        <v>42373</v>
      </c>
      <c r="B5" s="555">
        <v>315970.78000000003</v>
      </c>
    </row>
    <row r="6" spans="1:2" x14ac:dyDescent="0.2">
      <c r="A6" s="587">
        <v>42374</v>
      </c>
      <c r="B6" s="555">
        <v>320557.63</v>
      </c>
    </row>
    <row r="7" spans="1:2" x14ac:dyDescent="0.2">
      <c r="A7" s="587">
        <v>42375</v>
      </c>
      <c r="B7" s="555">
        <f>B6</f>
        <v>320557.63</v>
      </c>
    </row>
    <row r="8" spans="1:2" x14ac:dyDescent="0.2">
      <c r="A8" s="587">
        <v>42376</v>
      </c>
      <c r="B8" s="555">
        <v>323108.86</v>
      </c>
    </row>
    <row r="9" spans="1:2" x14ac:dyDescent="0.2">
      <c r="A9" s="587">
        <v>42377</v>
      </c>
      <c r="B9" s="555">
        <f>B8</f>
        <v>323108.86</v>
      </c>
    </row>
    <row r="10" spans="1:2" x14ac:dyDescent="0.2">
      <c r="A10" s="587">
        <v>42380</v>
      </c>
      <c r="B10" s="555">
        <v>323239.86</v>
      </c>
    </row>
    <row r="11" spans="1:2" x14ac:dyDescent="0.2">
      <c r="A11" s="587">
        <v>42381</v>
      </c>
      <c r="B11" s="555">
        <v>288792.71999999997</v>
      </c>
    </row>
    <row r="12" spans="1:2" x14ac:dyDescent="0.2">
      <c r="A12" s="587">
        <v>42382</v>
      </c>
      <c r="B12" s="555">
        <f>B11</f>
        <v>288792.71999999997</v>
      </c>
    </row>
    <row r="13" spans="1:2" x14ac:dyDescent="0.2">
      <c r="A13" s="587">
        <v>42383</v>
      </c>
      <c r="B13" s="555">
        <v>277881.3</v>
      </c>
    </row>
    <row r="14" spans="1:2" x14ac:dyDescent="0.2">
      <c r="A14" s="587">
        <v>42384</v>
      </c>
      <c r="B14" s="555">
        <v>293922.15000000002</v>
      </c>
    </row>
    <row r="15" spans="1:2" x14ac:dyDescent="0.2">
      <c r="A15" s="587">
        <v>42387</v>
      </c>
      <c r="B15" s="555">
        <f>B14</f>
        <v>293922.15000000002</v>
      </c>
    </row>
    <row r="16" spans="1:2" x14ac:dyDescent="0.2">
      <c r="A16" s="587">
        <v>42388</v>
      </c>
      <c r="B16" s="555">
        <f>B14</f>
        <v>293922.15000000002</v>
      </c>
    </row>
    <row r="17" spans="1:2" x14ac:dyDescent="0.2">
      <c r="A17" s="587">
        <v>42389</v>
      </c>
      <c r="B17" s="555">
        <v>294002.2</v>
      </c>
    </row>
    <row r="18" spans="1:2" x14ac:dyDescent="0.2">
      <c r="A18" s="587">
        <v>42390</v>
      </c>
      <c r="B18" s="555">
        <v>285645.33</v>
      </c>
    </row>
    <row r="19" spans="1:2" x14ac:dyDescent="0.2">
      <c r="A19" s="587">
        <v>42391</v>
      </c>
      <c r="B19" s="555">
        <f>B18</f>
        <v>285645.33</v>
      </c>
    </row>
    <row r="20" spans="1:2" x14ac:dyDescent="0.2">
      <c r="A20" s="587">
        <v>42394</v>
      </c>
      <c r="B20" s="555">
        <v>310939.57</v>
      </c>
    </row>
    <row r="21" spans="1:2" x14ac:dyDescent="0.2">
      <c r="A21" s="587">
        <v>42395</v>
      </c>
      <c r="B21" s="555">
        <v>285520.28000000003</v>
      </c>
    </row>
    <row r="22" spans="1:2" x14ac:dyDescent="0.2">
      <c r="A22" s="587">
        <v>42396</v>
      </c>
      <c r="B22" s="555">
        <f>B21</f>
        <v>285520.28000000003</v>
      </c>
    </row>
    <row r="23" spans="1:2" x14ac:dyDescent="0.2">
      <c r="A23" s="587">
        <v>42397</v>
      </c>
      <c r="B23" s="555">
        <v>282022.58</v>
      </c>
    </row>
    <row r="24" spans="1:2" x14ac:dyDescent="0.2">
      <c r="A24" s="587">
        <v>42398</v>
      </c>
      <c r="B24" s="555">
        <v>294848.15999999997</v>
      </c>
    </row>
    <row r="25" spans="1:2" x14ac:dyDescent="0.2">
      <c r="A25" s="587">
        <v>42401</v>
      </c>
      <c r="B25" s="555">
        <v>295971.7</v>
      </c>
    </row>
    <row r="26" spans="1:2" x14ac:dyDescent="0.2">
      <c r="A26" s="587">
        <v>42402</v>
      </c>
      <c r="B26" s="555">
        <v>342700.41</v>
      </c>
    </row>
    <row r="27" spans="1:2" x14ac:dyDescent="0.2">
      <c r="A27" s="587">
        <v>42403</v>
      </c>
      <c r="B27" s="555">
        <f>B26</f>
        <v>342700.41</v>
      </c>
    </row>
    <row r="28" spans="1:2" x14ac:dyDescent="0.2">
      <c r="A28" s="587">
        <v>42404</v>
      </c>
      <c r="B28" s="555">
        <v>337638.63</v>
      </c>
    </row>
    <row r="29" spans="1:2" x14ac:dyDescent="0.2">
      <c r="A29" s="587">
        <v>42405</v>
      </c>
      <c r="B29" s="555">
        <v>367843.39</v>
      </c>
    </row>
    <row r="30" spans="1:2" x14ac:dyDescent="0.2">
      <c r="A30" s="587">
        <v>42408</v>
      </c>
      <c r="B30" s="555">
        <v>367773.39</v>
      </c>
    </row>
    <row r="31" spans="1:2" x14ac:dyDescent="0.2">
      <c r="A31" s="587">
        <v>42409</v>
      </c>
      <c r="B31" s="555">
        <v>339527.33</v>
      </c>
    </row>
    <row r="32" spans="1:2" x14ac:dyDescent="0.2">
      <c r="A32" s="587">
        <v>42410</v>
      </c>
      <c r="B32" s="555">
        <f>B31</f>
        <v>339527.33</v>
      </c>
    </row>
    <row r="33" spans="1:2" x14ac:dyDescent="0.2">
      <c r="A33" s="587">
        <v>42411</v>
      </c>
      <c r="B33" s="555">
        <v>336968.79</v>
      </c>
    </row>
    <row r="34" spans="1:2" x14ac:dyDescent="0.2">
      <c r="A34" s="587">
        <v>42412</v>
      </c>
      <c r="B34" s="555">
        <v>337055.76</v>
      </c>
    </row>
    <row r="35" spans="1:2" x14ac:dyDescent="0.2">
      <c r="A35" s="587">
        <v>42415</v>
      </c>
      <c r="B35" s="555">
        <f>B34</f>
        <v>337055.76</v>
      </c>
    </row>
    <row r="36" spans="1:2" x14ac:dyDescent="0.2">
      <c r="A36" s="587">
        <v>42416</v>
      </c>
      <c r="B36" s="555">
        <f>B35</f>
        <v>337055.76</v>
      </c>
    </row>
    <row r="37" spans="1:2" x14ac:dyDescent="0.2">
      <c r="A37" s="587">
        <v>42417</v>
      </c>
      <c r="B37" s="555">
        <v>365266.06</v>
      </c>
    </row>
    <row r="38" spans="1:2" x14ac:dyDescent="0.2">
      <c r="A38" s="587">
        <v>42418</v>
      </c>
      <c r="B38" s="555">
        <v>360871.98</v>
      </c>
    </row>
    <row r="39" spans="1:2" x14ac:dyDescent="0.2">
      <c r="A39" s="587">
        <v>42419</v>
      </c>
      <c r="B39" s="555">
        <f>B38</f>
        <v>360871.98</v>
      </c>
    </row>
    <row r="40" spans="1:2" x14ac:dyDescent="0.2">
      <c r="A40" s="587">
        <v>42421</v>
      </c>
      <c r="B40" s="555">
        <f>B39</f>
        <v>360871.98</v>
      </c>
    </row>
    <row r="41" spans="1:2" x14ac:dyDescent="0.2">
      <c r="A41" s="587">
        <v>42423</v>
      </c>
      <c r="B41" s="555">
        <v>355845.62</v>
      </c>
    </row>
    <row r="42" spans="1:2" x14ac:dyDescent="0.2">
      <c r="A42" s="587">
        <v>42424</v>
      </c>
      <c r="B42" s="555">
        <f>B41</f>
        <v>355845.62</v>
      </c>
    </row>
    <row r="43" spans="1:2" x14ac:dyDescent="0.2">
      <c r="A43" s="587">
        <v>42425</v>
      </c>
      <c r="B43" s="555">
        <v>345399.7</v>
      </c>
    </row>
    <row r="44" spans="1:2" x14ac:dyDescent="0.2">
      <c r="A44" s="587">
        <v>42426</v>
      </c>
      <c r="B44" s="555">
        <v>370500.69</v>
      </c>
    </row>
    <row r="45" spans="1:2" x14ac:dyDescent="0.2">
      <c r="A45" s="587">
        <v>42429</v>
      </c>
      <c r="B45" s="555">
        <v>389846.49</v>
      </c>
    </row>
    <row r="46" spans="1:2" x14ac:dyDescent="0.2">
      <c r="A46" s="587">
        <v>42430</v>
      </c>
      <c r="B46" s="555">
        <f>B45</f>
        <v>389846.49</v>
      </c>
    </row>
    <row r="47" spans="1:2" x14ac:dyDescent="0.2">
      <c r="A47" s="587">
        <v>42431</v>
      </c>
      <c r="B47" s="555">
        <f>B46</f>
        <v>389846.49</v>
      </c>
    </row>
    <row r="48" spans="1:2" x14ac:dyDescent="0.2">
      <c r="A48" s="587">
        <v>42432</v>
      </c>
      <c r="B48" s="555">
        <v>378391.97</v>
      </c>
    </row>
    <row r="49" spans="1:2" x14ac:dyDescent="0.2">
      <c r="A49" s="587">
        <v>42433</v>
      </c>
      <c r="B49" s="555">
        <v>424034.23</v>
      </c>
    </row>
    <row r="50" spans="1:2" x14ac:dyDescent="0.2">
      <c r="A50" s="587">
        <v>42436</v>
      </c>
      <c r="B50" s="555">
        <f>B49</f>
        <v>424034.23</v>
      </c>
    </row>
    <row r="51" spans="1:2" x14ac:dyDescent="0.2">
      <c r="A51" s="587">
        <v>42437</v>
      </c>
      <c r="B51" s="555">
        <v>386665.73</v>
      </c>
    </row>
    <row r="52" spans="1:2" x14ac:dyDescent="0.2">
      <c r="A52" s="587">
        <v>42438</v>
      </c>
      <c r="B52" s="555">
        <f>B51</f>
        <v>386665.73</v>
      </c>
    </row>
    <row r="53" spans="1:2" x14ac:dyDescent="0.2">
      <c r="A53" s="587">
        <v>42439</v>
      </c>
      <c r="B53" s="555">
        <v>389219.85</v>
      </c>
    </row>
    <row r="54" spans="1:2" x14ac:dyDescent="0.2">
      <c r="A54" s="587">
        <v>42440</v>
      </c>
      <c r="B54" s="555">
        <v>406100.98</v>
      </c>
    </row>
    <row r="55" spans="1:2" x14ac:dyDescent="0.2">
      <c r="A55" s="587">
        <v>42443</v>
      </c>
      <c r="B55" s="555">
        <v>407873.33</v>
      </c>
    </row>
    <row r="56" spans="1:2" x14ac:dyDescent="0.2">
      <c r="A56" s="587">
        <v>42444</v>
      </c>
      <c r="B56" s="555">
        <v>407992.23</v>
      </c>
    </row>
    <row r="57" spans="1:2" x14ac:dyDescent="0.2">
      <c r="A57" s="587">
        <v>42445</v>
      </c>
      <c r="B57" s="555">
        <v>433808.81</v>
      </c>
    </row>
    <row r="58" spans="1:2" x14ac:dyDescent="0.2">
      <c r="A58" s="587">
        <v>42446</v>
      </c>
      <c r="B58" s="555">
        <v>422290.94</v>
      </c>
    </row>
    <row r="59" spans="1:2" x14ac:dyDescent="0.2">
      <c r="A59" s="587">
        <v>42447</v>
      </c>
      <c r="B59" s="555">
        <v>468026.54</v>
      </c>
    </row>
    <row r="60" spans="1:2" x14ac:dyDescent="0.2">
      <c r="A60" s="587">
        <v>42450</v>
      </c>
      <c r="B60" s="555">
        <v>348026.54</v>
      </c>
    </row>
    <row r="61" spans="1:2" x14ac:dyDescent="0.2">
      <c r="A61" s="587">
        <v>42451</v>
      </c>
      <c r="B61" s="555">
        <v>312876.71000000002</v>
      </c>
    </row>
    <row r="62" spans="1:2" x14ac:dyDescent="0.2">
      <c r="A62" s="587">
        <v>42452</v>
      </c>
      <c r="B62" s="555">
        <v>314939.26</v>
      </c>
    </row>
    <row r="63" spans="1:2" x14ac:dyDescent="0.2">
      <c r="A63" s="587">
        <v>42453</v>
      </c>
      <c r="B63" s="555">
        <v>309254.23</v>
      </c>
    </row>
    <row r="64" spans="1:2" x14ac:dyDescent="0.2">
      <c r="A64" s="587">
        <v>42454</v>
      </c>
      <c r="B64" s="555">
        <v>308314.94</v>
      </c>
    </row>
    <row r="65" spans="1:2" x14ac:dyDescent="0.2">
      <c r="A65" s="587">
        <v>42457</v>
      </c>
      <c r="B65" s="555">
        <f>B64</f>
        <v>308314.94</v>
      </c>
    </row>
    <row r="66" spans="1:2" x14ac:dyDescent="0.2">
      <c r="A66" s="587">
        <v>42458</v>
      </c>
      <c r="B66" s="555">
        <v>308501.75</v>
      </c>
    </row>
    <row r="67" spans="1:2" x14ac:dyDescent="0.2">
      <c r="A67" s="587">
        <v>42459</v>
      </c>
      <c r="B67" s="555">
        <f>B66</f>
        <v>308501.75</v>
      </c>
    </row>
    <row r="68" spans="1:2" x14ac:dyDescent="0.2">
      <c r="A68" s="587">
        <v>42460</v>
      </c>
      <c r="B68" s="555">
        <v>309191.53000000003</v>
      </c>
    </row>
    <row r="69" spans="1:2" x14ac:dyDescent="0.2">
      <c r="A69" s="587">
        <v>42461</v>
      </c>
      <c r="B69" s="555">
        <f>B68</f>
        <v>309191.53000000003</v>
      </c>
    </row>
    <row r="70" spans="1:2" x14ac:dyDescent="0.2">
      <c r="A70" s="587">
        <v>42464</v>
      </c>
      <c r="B70" s="555">
        <v>273521.59999999998</v>
      </c>
    </row>
    <row r="71" spans="1:2" x14ac:dyDescent="0.2">
      <c r="A71" s="587">
        <v>42465</v>
      </c>
      <c r="B71" s="555">
        <f>B70</f>
        <v>273521.59999999998</v>
      </c>
    </row>
    <row r="72" spans="1:2" x14ac:dyDescent="0.2">
      <c r="A72" s="587">
        <v>42466</v>
      </c>
      <c r="B72" s="555">
        <v>272690.59999999998</v>
      </c>
    </row>
    <row r="73" spans="1:2" x14ac:dyDescent="0.2">
      <c r="A73" s="587">
        <v>42467</v>
      </c>
      <c r="B73" s="555">
        <v>269582.73</v>
      </c>
    </row>
    <row r="74" spans="1:2" x14ac:dyDescent="0.2">
      <c r="A74" s="587">
        <v>42468</v>
      </c>
      <c r="B74" s="555">
        <f>B73</f>
        <v>269582.73</v>
      </c>
    </row>
    <row r="75" spans="1:2" x14ac:dyDescent="0.2">
      <c r="A75" s="587">
        <v>42471</v>
      </c>
      <c r="B75" s="555">
        <v>269763.98</v>
      </c>
    </row>
    <row r="76" spans="1:2" x14ac:dyDescent="0.2">
      <c r="A76" s="587">
        <v>42472</v>
      </c>
      <c r="B76" s="555">
        <f>B75</f>
        <v>269763.98</v>
      </c>
    </row>
    <row r="77" spans="1:2" x14ac:dyDescent="0.2">
      <c r="A77" s="587">
        <v>42473</v>
      </c>
      <c r="B77" s="555">
        <v>269925.98</v>
      </c>
    </row>
    <row r="78" spans="1:2" x14ac:dyDescent="0.2">
      <c r="A78" s="587">
        <v>42474</v>
      </c>
      <c r="B78" s="555">
        <v>262853.87</v>
      </c>
    </row>
    <row r="79" spans="1:2" x14ac:dyDescent="0.2">
      <c r="A79" s="587">
        <v>42475</v>
      </c>
      <c r="B79" s="555">
        <v>285492.90999999997</v>
      </c>
    </row>
    <row r="80" spans="1:2" x14ac:dyDescent="0.2">
      <c r="A80" s="587">
        <v>42478</v>
      </c>
      <c r="B80" s="555">
        <v>248936.49</v>
      </c>
    </row>
    <row r="81" spans="1:2" x14ac:dyDescent="0.2">
      <c r="A81" s="587">
        <v>42479</v>
      </c>
      <c r="B81" s="555">
        <v>299276.93</v>
      </c>
    </row>
    <row r="82" spans="1:2" x14ac:dyDescent="0.2">
      <c r="A82" s="587">
        <v>42480</v>
      </c>
      <c r="B82" s="555">
        <v>298671.93</v>
      </c>
    </row>
    <row r="83" spans="1:2" x14ac:dyDescent="0.2">
      <c r="A83" s="587">
        <v>42481</v>
      </c>
      <c r="B83" s="555">
        <v>300188.76</v>
      </c>
    </row>
    <row r="84" spans="1:2" x14ac:dyDescent="0.2">
      <c r="A84" s="587">
        <v>42482</v>
      </c>
      <c r="B84" s="555">
        <v>320014.86</v>
      </c>
    </row>
    <row r="85" spans="1:2" x14ac:dyDescent="0.2">
      <c r="A85" s="587">
        <v>42485</v>
      </c>
      <c r="B85" s="555">
        <v>316702.44</v>
      </c>
    </row>
    <row r="86" spans="1:2" x14ac:dyDescent="0.2">
      <c r="A86" s="587">
        <v>42486</v>
      </c>
      <c r="B86" s="555">
        <f>B85</f>
        <v>316702.44</v>
      </c>
    </row>
    <row r="87" spans="1:2" x14ac:dyDescent="0.2">
      <c r="A87" s="587">
        <v>42487</v>
      </c>
      <c r="B87" s="555">
        <v>316945.44</v>
      </c>
    </row>
    <row r="88" spans="1:2" x14ac:dyDescent="0.2">
      <c r="A88" s="587">
        <v>42488</v>
      </c>
      <c r="B88" s="555">
        <v>320979.96999999997</v>
      </c>
    </row>
    <row r="89" spans="1:2" x14ac:dyDescent="0.2">
      <c r="A89" s="587">
        <v>42489</v>
      </c>
      <c r="B89" s="555">
        <f>B88</f>
        <v>320979.96999999997</v>
      </c>
    </row>
    <row r="90" spans="1:2" x14ac:dyDescent="0.2">
      <c r="A90" s="587">
        <v>42492</v>
      </c>
      <c r="B90" s="555">
        <v>285992.84000000003</v>
      </c>
    </row>
    <row r="91" spans="1:2" x14ac:dyDescent="0.2">
      <c r="A91" s="587">
        <v>42493</v>
      </c>
      <c r="B91" s="555">
        <v>286063.08</v>
      </c>
    </row>
    <row r="92" spans="1:2" x14ac:dyDescent="0.2">
      <c r="A92" s="587">
        <v>42494</v>
      </c>
      <c r="B92" s="555">
        <v>314586.46000000002</v>
      </c>
    </row>
    <row r="93" spans="1:2" x14ac:dyDescent="0.2">
      <c r="A93" s="587">
        <v>42495</v>
      </c>
      <c r="B93" s="555">
        <v>317747.52</v>
      </c>
    </row>
    <row r="94" spans="1:2" x14ac:dyDescent="0.2">
      <c r="A94" s="587">
        <v>42496</v>
      </c>
      <c r="B94" s="555">
        <f>B93</f>
        <v>317747.52</v>
      </c>
    </row>
    <row r="95" spans="1:2" x14ac:dyDescent="0.2">
      <c r="A95" s="587">
        <v>42499</v>
      </c>
      <c r="B95" s="555">
        <v>317647.52</v>
      </c>
    </row>
    <row r="96" spans="1:2" x14ac:dyDescent="0.2">
      <c r="A96" s="587">
        <v>42500</v>
      </c>
      <c r="B96" s="555">
        <v>354645.16</v>
      </c>
    </row>
    <row r="97" spans="1:2" x14ac:dyDescent="0.2">
      <c r="A97" s="587">
        <v>42501</v>
      </c>
      <c r="B97" s="555">
        <f>B96</f>
        <v>354645.16</v>
      </c>
    </row>
    <row r="98" spans="1:2" x14ac:dyDescent="0.2">
      <c r="A98" s="587">
        <v>42502</v>
      </c>
      <c r="B98" s="555">
        <v>334676.08</v>
      </c>
    </row>
    <row r="99" spans="1:2" x14ac:dyDescent="0.2">
      <c r="A99" s="587">
        <v>42503</v>
      </c>
      <c r="B99" s="555">
        <v>335053.34999999998</v>
      </c>
    </row>
    <row r="100" spans="1:2" x14ac:dyDescent="0.2">
      <c r="A100" s="587">
        <v>42506</v>
      </c>
      <c r="B100" s="555">
        <v>299641.7</v>
      </c>
    </row>
    <row r="101" spans="1:2" x14ac:dyDescent="0.2">
      <c r="A101" s="587">
        <v>42507</v>
      </c>
      <c r="B101" s="555">
        <f>B100</f>
        <v>299641.7</v>
      </c>
    </row>
    <row r="102" spans="1:2" x14ac:dyDescent="0.2">
      <c r="A102" s="587">
        <v>42508</v>
      </c>
      <c r="B102" s="555">
        <v>316034.81</v>
      </c>
    </row>
    <row r="103" spans="1:2" x14ac:dyDescent="0.2">
      <c r="A103" s="587">
        <v>42509</v>
      </c>
      <c r="B103" s="555">
        <v>320069.11</v>
      </c>
    </row>
    <row r="104" spans="1:2" x14ac:dyDescent="0.2">
      <c r="A104" s="587">
        <v>42510</v>
      </c>
      <c r="B104" s="555">
        <v>328514.03000000003</v>
      </c>
    </row>
    <row r="105" spans="1:2" x14ac:dyDescent="0.2">
      <c r="A105" s="587">
        <v>42513</v>
      </c>
      <c r="B105" s="555">
        <f>B104</f>
        <v>328514.03000000003</v>
      </c>
    </row>
    <row r="106" spans="1:2" x14ac:dyDescent="0.2">
      <c r="A106" s="587">
        <v>42514</v>
      </c>
      <c r="B106" s="555">
        <v>334541.26</v>
      </c>
    </row>
    <row r="107" spans="1:2" x14ac:dyDescent="0.2">
      <c r="A107" s="587">
        <v>42515</v>
      </c>
      <c r="B107" s="556">
        <v>329880.45</v>
      </c>
    </row>
    <row r="108" spans="1:2" x14ac:dyDescent="0.2">
      <c r="A108" s="587">
        <v>42516</v>
      </c>
      <c r="B108" s="557">
        <v>337992.17</v>
      </c>
    </row>
    <row r="109" spans="1:2" x14ac:dyDescent="0.2">
      <c r="A109" s="587">
        <v>42517</v>
      </c>
      <c r="B109" s="557">
        <v>347755.4</v>
      </c>
    </row>
    <row r="110" spans="1:2" x14ac:dyDescent="0.2">
      <c r="A110" s="587">
        <v>42520</v>
      </c>
      <c r="B110" s="557">
        <v>347755.4</v>
      </c>
    </row>
    <row r="111" spans="1:2" x14ac:dyDescent="0.2">
      <c r="A111" s="587">
        <v>42521</v>
      </c>
      <c r="B111" s="557">
        <v>312817.88</v>
      </c>
    </row>
    <row r="112" spans="1:2" x14ac:dyDescent="0.2">
      <c r="A112" s="587">
        <v>42522</v>
      </c>
      <c r="B112" s="557">
        <v>314571.3</v>
      </c>
    </row>
    <row r="113" spans="1:2" x14ac:dyDescent="0.2">
      <c r="A113" s="587">
        <v>42523</v>
      </c>
      <c r="B113" s="557">
        <v>302515.78000000003</v>
      </c>
    </row>
    <row r="114" spans="1:2" x14ac:dyDescent="0.2">
      <c r="A114" s="587">
        <v>42524</v>
      </c>
      <c r="B114" s="557">
        <v>302516</v>
      </c>
    </row>
    <row r="115" spans="1:2" x14ac:dyDescent="0.2">
      <c r="A115" s="587">
        <v>42527</v>
      </c>
      <c r="B115" s="557">
        <v>302516</v>
      </c>
    </row>
    <row r="116" spans="1:2" x14ac:dyDescent="0.2">
      <c r="A116" s="587">
        <v>42528</v>
      </c>
      <c r="B116" s="557">
        <v>302516</v>
      </c>
    </row>
    <row r="117" spans="1:2" x14ac:dyDescent="0.2">
      <c r="A117" s="587">
        <v>42529</v>
      </c>
      <c r="B117" s="557">
        <v>279865.95</v>
      </c>
    </row>
    <row r="118" spans="1:2" x14ac:dyDescent="0.2">
      <c r="A118" s="587">
        <v>42530</v>
      </c>
      <c r="B118" s="557">
        <v>279866</v>
      </c>
    </row>
    <row r="119" spans="1:2" x14ac:dyDescent="0.2">
      <c r="A119" s="587">
        <v>42531</v>
      </c>
      <c r="B119" s="557">
        <v>279866</v>
      </c>
    </row>
    <row r="120" spans="1:2" x14ac:dyDescent="0.2">
      <c r="A120" s="587">
        <v>42534</v>
      </c>
      <c r="B120" s="557">
        <v>279866</v>
      </c>
    </row>
    <row r="121" spans="1:2" x14ac:dyDescent="0.2">
      <c r="A121" s="587">
        <v>42535</v>
      </c>
      <c r="B121" s="557">
        <v>279866</v>
      </c>
    </row>
    <row r="122" spans="1:2" x14ac:dyDescent="0.2">
      <c r="A122" s="587">
        <v>42536</v>
      </c>
      <c r="B122" s="557">
        <v>290096.01</v>
      </c>
    </row>
    <row r="123" spans="1:2" x14ac:dyDescent="0.2">
      <c r="A123" s="587">
        <v>42537</v>
      </c>
      <c r="B123" s="557">
        <v>247423.5</v>
      </c>
    </row>
    <row r="124" spans="1:2" x14ac:dyDescent="0.2">
      <c r="A124" s="587">
        <v>42538</v>
      </c>
      <c r="B124" s="557">
        <v>247424</v>
      </c>
    </row>
    <row r="125" spans="1:2" x14ac:dyDescent="0.2">
      <c r="A125" s="587">
        <v>42541</v>
      </c>
      <c r="B125" s="557">
        <v>247424</v>
      </c>
    </row>
    <row r="126" spans="1:2" x14ac:dyDescent="0.2">
      <c r="A126" s="587">
        <v>42542</v>
      </c>
      <c r="B126" s="557">
        <v>255459.85</v>
      </c>
    </row>
    <row r="127" spans="1:2" x14ac:dyDescent="0.2">
      <c r="A127" s="587">
        <v>42543</v>
      </c>
      <c r="B127" s="557">
        <v>255460</v>
      </c>
    </row>
    <row r="128" spans="1:2" x14ac:dyDescent="0.2">
      <c r="A128" s="558">
        <f>A127+1</f>
        <v>42544</v>
      </c>
      <c r="B128" s="557">
        <v>240780.4</v>
      </c>
    </row>
    <row r="129" spans="1:2" x14ac:dyDescent="0.2">
      <c r="A129" s="558">
        <f>A128+1</f>
        <v>42545</v>
      </c>
      <c r="B129" s="557">
        <v>240780</v>
      </c>
    </row>
    <row r="130" spans="1:2" x14ac:dyDescent="0.2">
      <c r="A130" s="558">
        <f>A125+7</f>
        <v>42548</v>
      </c>
      <c r="B130" s="557">
        <v>205735.12</v>
      </c>
    </row>
    <row r="131" spans="1:2" x14ac:dyDescent="0.2">
      <c r="A131" s="558">
        <f>A126+7</f>
        <v>42549</v>
      </c>
      <c r="B131" s="557">
        <v>207489.37</v>
      </c>
    </row>
    <row r="132" spans="1:2" x14ac:dyDescent="0.2">
      <c r="A132" s="558">
        <f t="shared" ref="A132:A195" si="0">A127+7</f>
        <v>42550</v>
      </c>
      <c r="B132" s="557">
        <v>213757.9</v>
      </c>
    </row>
    <row r="133" spans="1:2" x14ac:dyDescent="0.2">
      <c r="A133" s="558">
        <f t="shared" si="0"/>
        <v>42551</v>
      </c>
      <c r="B133" s="557">
        <v>220332.56</v>
      </c>
    </row>
    <row r="134" spans="1:2" x14ac:dyDescent="0.2">
      <c r="A134" s="558">
        <f t="shared" si="0"/>
        <v>42552</v>
      </c>
      <c r="B134" s="557">
        <v>212813.84</v>
      </c>
    </row>
    <row r="135" spans="1:2" x14ac:dyDescent="0.2">
      <c r="A135" s="558">
        <f t="shared" si="0"/>
        <v>42555</v>
      </c>
      <c r="B135" s="557">
        <v>212814</v>
      </c>
    </row>
    <row r="136" spans="1:2" x14ac:dyDescent="0.2">
      <c r="A136" s="558">
        <f t="shared" si="0"/>
        <v>42556</v>
      </c>
      <c r="B136" s="557">
        <v>236539.45</v>
      </c>
    </row>
    <row r="137" spans="1:2" x14ac:dyDescent="0.2">
      <c r="A137" s="558">
        <f t="shared" si="0"/>
        <v>42557</v>
      </c>
      <c r="B137" s="557">
        <v>234224.42</v>
      </c>
    </row>
    <row r="138" spans="1:2" x14ac:dyDescent="0.2">
      <c r="A138" s="558">
        <f t="shared" si="0"/>
        <v>42558</v>
      </c>
      <c r="B138" s="557">
        <v>234132.08</v>
      </c>
    </row>
    <row r="139" spans="1:2" x14ac:dyDescent="0.2">
      <c r="A139" s="558">
        <f t="shared" si="0"/>
        <v>42559</v>
      </c>
      <c r="B139" s="557">
        <v>234132.08</v>
      </c>
    </row>
    <row r="140" spans="1:2" x14ac:dyDescent="0.2">
      <c r="A140" s="558">
        <f t="shared" si="0"/>
        <v>42562</v>
      </c>
      <c r="B140" s="557">
        <v>199890.85</v>
      </c>
    </row>
    <row r="141" spans="1:2" x14ac:dyDescent="0.2">
      <c r="A141" s="558">
        <f t="shared" si="0"/>
        <v>42563</v>
      </c>
      <c r="B141" s="557">
        <v>221114.27</v>
      </c>
    </row>
    <row r="142" spans="1:2" x14ac:dyDescent="0.2">
      <c r="A142" s="558">
        <f t="shared" si="0"/>
        <v>42564</v>
      </c>
      <c r="B142" s="557">
        <v>221114</v>
      </c>
    </row>
    <row r="143" spans="1:2" x14ac:dyDescent="0.2">
      <c r="A143" s="558">
        <f t="shared" si="0"/>
        <v>42565</v>
      </c>
      <c r="B143" s="557">
        <v>214752.25</v>
      </c>
    </row>
    <row r="144" spans="1:2" x14ac:dyDescent="0.2">
      <c r="A144" s="558">
        <f t="shared" si="0"/>
        <v>42566</v>
      </c>
      <c r="B144" s="557">
        <v>294578.96999999997</v>
      </c>
    </row>
    <row r="145" spans="1:2" x14ac:dyDescent="0.2">
      <c r="A145" s="558">
        <f t="shared" si="0"/>
        <v>42569</v>
      </c>
      <c r="B145" s="557">
        <v>294579</v>
      </c>
    </row>
    <row r="146" spans="1:2" x14ac:dyDescent="0.2">
      <c r="A146" s="558">
        <f t="shared" si="0"/>
        <v>42570</v>
      </c>
      <c r="B146" s="557">
        <v>294579</v>
      </c>
    </row>
    <row r="147" spans="1:2" x14ac:dyDescent="0.2">
      <c r="A147" s="558">
        <f t="shared" si="0"/>
        <v>42571</v>
      </c>
      <c r="B147" s="557">
        <v>328195.42</v>
      </c>
    </row>
    <row r="148" spans="1:2" x14ac:dyDescent="0.2">
      <c r="A148" s="558">
        <f t="shared" si="0"/>
        <v>42572</v>
      </c>
      <c r="B148" s="557">
        <v>407865.86</v>
      </c>
    </row>
    <row r="149" spans="1:2" x14ac:dyDescent="0.2">
      <c r="A149" s="558">
        <f t="shared" si="0"/>
        <v>42573</v>
      </c>
      <c r="B149" s="557">
        <v>409053.93</v>
      </c>
    </row>
    <row r="150" spans="1:2" x14ac:dyDescent="0.2">
      <c r="A150" s="558">
        <f t="shared" si="0"/>
        <v>42576</v>
      </c>
      <c r="B150" s="557">
        <v>372421.56</v>
      </c>
    </row>
    <row r="151" spans="1:2" x14ac:dyDescent="0.2">
      <c r="A151" s="558">
        <f t="shared" si="0"/>
        <v>42577</v>
      </c>
      <c r="B151" s="557">
        <v>375562.78</v>
      </c>
    </row>
    <row r="152" spans="1:2" x14ac:dyDescent="0.2">
      <c r="A152" s="558">
        <f t="shared" si="0"/>
        <v>42578</v>
      </c>
      <c r="B152" s="557">
        <v>375563</v>
      </c>
    </row>
    <row r="153" spans="1:2" x14ac:dyDescent="0.2">
      <c r="A153" s="558">
        <f t="shared" si="0"/>
        <v>42579</v>
      </c>
      <c r="B153" s="557">
        <v>366510.98</v>
      </c>
    </row>
    <row r="154" spans="1:2" x14ac:dyDescent="0.2">
      <c r="A154" s="558">
        <f t="shared" si="0"/>
        <v>42580</v>
      </c>
      <c r="B154" s="557">
        <v>366609.48</v>
      </c>
    </row>
    <row r="155" spans="1:2" x14ac:dyDescent="0.2">
      <c r="A155" s="558">
        <f t="shared" si="0"/>
        <v>42583</v>
      </c>
      <c r="B155" s="557">
        <v>382689.69</v>
      </c>
    </row>
    <row r="156" spans="1:2" x14ac:dyDescent="0.2">
      <c r="A156" s="558">
        <f t="shared" si="0"/>
        <v>42584</v>
      </c>
      <c r="B156" s="557">
        <v>382690</v>
      </c>
    </row>
    <row r="157" spans="1:2" x14ac:dyDescent="0.2">
      <c r="A157" s="558">
        <f t="shared" si="0"/>
        <v>42585</v>
      </c>
      <c r="B157" s="557">
        <v>387013.59</v>
      </c>
    </row>
    <row r="158" spans="1:2" x14ac:dyDescent="0.2">
      <c r="A158" s="558">
        <f t="shared" si="0"/>
        <v>42586</v>
      </c>
      <c r="B158" s="557">
        <v>382543.7</v>
      </c>
    </row>
    <row r="159" spans="1:2" x14ac:dyDescent="0.2">
      <c r="A159" s="558">
        <f t="shared" si="0"/>
        <v>42587</v>
      </c>
      <c r="B159" s="557">
        <v>382544</v>
      </c>
    </row>
    <row r="160" spans="1:2" x14ac:dyDescent="0.2">
      <c r="A160" s="558">
        <f t="shared" si="0"/>
        <v>42590</v>
      </c>
      <c r="B160" s="557">
        <v>344510.17</v>
      </c>
    </row>
    <row r="161" spans="1:2" x14ac:dyDescent="0.2">
      <c r="A161" s="558">
        <f t="shared" si="0"/>
        <v>42591</v>
      </c>
      <c r="B161" s="557">
        <v>350095.94</v>
      </c>
    </row>
    <row r="162" spans="1:2" x14ac:dyDescent="0.2">
      <c r="A162" s="558">
        <f t="shared" si="0"/>
        <v>42592</v>
      </c>
      <c r="B162" s="557">
        <v>350096</v>
      </c>
    </row>
    <row r="163" spans="1:2" x14ac:dyDescent="0.2">
      <c r="A163" s="558">
        <f t="shared" si="0"/>
        <v>42593</v>
      </c>
      <c r="B163" s="557">
        <v>355079.15</v>
      </c>
    </row>
    <row r="164" spans="1:2" x14ac:dyDescent="0.2">
      <c r="A164" s="558">
        <f t="shared" si="0"/>
        <v>42594</v>
      </c>
      <c r="B164" s="557">
        <v>356502.11</v>
      </c>
    </row>
    <row r="165" spans="1:2" x14ac:dyDescent="0.2">
      <c r="A165" s="558">
        <f t="shared" si="0"/>
        <v>42597</v>
      </c>
      <c r="B165" s="557">
        <v>408622.46</v>
      </c>
    </row>
    <row r="166" spans="1:2" x14ac:dyDescent="0.2">
      <c r="A166" s="558">
        <f t="shared" si="0"/>
        <v>42598</v>
      </c>
      <c r="B166" s="557">
        <v>408622</v>
      </c>
    </row>
    <row r="167" spans="1:2" x14ac:dyDescent="0.2">
      <c r="A167" s="558">
        <f t="shared" si="0"/>
        <v>42599</v>
      </c>
      <c r="B167" s="557">
        <v>408622</v>
      </c>
    </row>
    <row r="168" spans="1:2" x14ac:dyDescent="0.2">
      <c r="A168" s="558">
        <f t="shared" si="0"/>
        <v>42600</v>
      </c>
      <c r="B168" s="557">
        <v>409931.67</v>
      </c>
    </row>
    <row r="169" spans="1:2" x14ac:dyDescent="0.2">
      <c r="A169" s="558">
        <f t="shared" si="0"/>
        <v>42601</v>
      </c>
      <c r="B169" s="557">
        <v>410189.3</v>
      </c>
    </row>
    <row r="170" spans="1:2" x14ac:dyDescent="0.2">
      <c r="A170" s="558">
        <f t="shared" si="0"/>
        <v>42604</v>
      </c>
      <c r="B170" s="557">
        <v>370399.56</v>
      </c>
    </row>
    <row r="171" spans="1:2" x14ac:dyDescent="0.2">
      <c r="A171" s="558">
        <f t="shared" si="0"/>
        <v>42605</v>
      </c>
      <c r="B171" s="557">
        <v>370399.56</v>
      </c>
    </row>
    <row r="172" spans="1:2" x14ac:dyDescent="0.2">
      <c r="A172" s="558">
        <f t="shared" si="0"/>
        <v>42606</v>
      </c>
      <c r="B172" s="557">
        <v>370400</v>
      </c>
    </row>
    <row r="173" spans="1:2" x14ac:dyDescent="0.2">
      <c r="A173" s="558">
        <f t="shared" si="0"/>
        <v>42607</v>
      </c>
      <c r="B173" s="557">
        <v>359591.19</v>
      </c>
    </row>
    <row r="174" spans="1:2" x14ac:dyDescent="0.2">
      <c r="A174" s="558">
        <f t="shared" si="0"/>
        <v>42608</v>
      </c>
      <c r="B174" s="557">
        <v>399163.14</v>
      </c>
    </row>
    <row r="175" spans="1:2" x14ac:dyDescent="0.2">
      <c r="A175" s="558">
        <f t="shared" si="0"/>
        <v>42611</v>
      </c>
      <c r="B175" s="557">
        <v>407196.62</v>
      </c>
    </row>
    <row r="176" spans="1:2" x14ac:dyDescent="0.2">
      <c r="A176" s="558">
        <f t="shared" si="0"/>
        <v>42612</v>
      </c>
      <c r="B176" s="557">
        <v>422526.97</v>
      </c>
    </row>
    <row r="177" spans="1:5" x14ac:dyDescent="0.2">
      <c r="A177" s="558">
        <f t="shared" si="0"/>
        <v>42613</v>
      </c>
      <c r="B177" s="557">
        <v>479216.05</v>
      </c>
    </row>
    <row r="178" spans="1:5" x14ac:dyDescent="0.2">
      <c r="A178" s="558">
        <f t="shared" si="0"/>
        <v>42614</v>
      </c>
      <c r="B178" s="557">
        <v>479216</v>
      </c>
    </row>
    <row r="179" spans="1:5" x14ac:dyDescent="0.2">
      <c r="A179" s="558">
        <f t="shared" si="0"/>
        <v>42615</v>
      </c>
      <c r="B179" s="557">
        <v>479216</v>
      </c>
    </row>
    <row r="180" spans="1:5" x14ac:dyDescent="0.2">
      <c r="A180" s="558">
        <f t="shared" si="0"/>
        <v>42618</v>
      </c>
      <c r="B180" s="557">
        <v>479216</v>
      </c>
    </row>
    <row r="181" spans="1:5" x14ac:dyDescent="0.2">
      <c r="A181" s="558">
        <f t="shared" si="0"/>
        <v>42619</v>
      </c>
      <c r="B181" s="557">
        <v>440784.82</v>
      </c>
    </row>
    <row r="182" spans="1:5" x14ac:dyDescent="0.2">
      <c r="A182" s="558">
        <f t="shared" si="0"/>
        <v>42620</v>
      </c>
      <c r="B182" s="557">
        <v>440785</v>
      </c>
      <c r="D182" s="559"/>
      <c r="E182" s="560"/>
    </row>
    <row r="183" spans="1:5" x14ac:dyDescent="0.2">
      <c r="A183" s="558">
        <f t="shared" si="0"/>
        <v>42621</v>
      </c>
      <c r="B183" s="557">
        <v>445373.31</v>
      </c>
    </row>
    <row r="184" spans="1:5" x14ac:dyDescent="0.2">
      <c r="A184" s="558">
        <f t="shared" si="0"/>
        <v>42622</v>
      </c>
      <c r="B184" s="557">
        <v>463896.46</v>
      </c>
      <c r="D184" s="559"/>
      <c r="E184" s="560"/>
    </row>
    <row r="185" spans="1:5" x14ac:dyDescent="0.2">
      <c r="A185" s="558">
        <f t="shared" si="0"/>
        <v>42625</v>
      </c>
      <c r="B185" s="557">
        <v>463296.46</v>
      </c>
      <c r="D185" s="559"/>
      <c r="E185" s="560"/>
    </row>
    <row r="186" spans="1:5" x14ac:dyDescent="0.2">
      <c r="A186" s="558">
        <f t="shared" si="0"/>
        <v>42626</v>
      </c>
      <c r="B186" s="557">
        <v>465024.54</v>
      </c>
      <c r="D186" s="559"/>
      <c r="E186" s="560"/>
    </row>
    <row r="187" spans="1:5" x14ac:dyDescent="0.2">
      <c r="A187" s="558">
        <f t="shared" si="0"/>
        <v>42627</v>
      </c>
      <c r="B187" s="557">
        <v>465025</v>
      </c>
      <c r="D187" s="559"/>
      <c r="E187" s="560"/>
    </row>
    <row r="188" spans="1:5" x14ac:dyDescent="0.2">
      <c r="A188" s="558">
        <f t="shared" si="0"/>
        <v>42628</v>
      </c>
      <c r="B188" s="557">
        <v>447444.34</v>
      </c>
      <c r="D188" s="559"/>
      <c r="E188" s="560"/>
    </row>
    <row r="189" spans="1:5" x14ac:dyDescent="0.2">
      <c r="A189" s="558">
        <f t="shared" si="0"/>
        <v>42629</v>
      </c>
      <c r="B189" s="557">
        <v>451135.42</v>
      </c>
      <c r="D189" s="559"/>
      <c r="E189" s="560"/>
    </row>
    <row r="190" spans="1:5" x14ac:dyDescent="0.2">
      <c r="A190" s="558">
        <f t="shared" si="0"/>
        <v>42632</v>
      </c>
      <c r="B190" s="557">
        <v>413924.51</v>
      </c>
      <c r="D190" s="559"/>
      <c r="E190" s="560"/>
    </row>
    <row r="191" spans="1:5" x14ac:dyDescent="0.2">
      <c r="A191" s="558">
        <f t="shared" si="0"/>
        <v>42633</v>
      </c>
      <c r="B191" s="557">
        <v>395080.96000000002</v>
      </c>
      <c r="D191" s="559"/>
      <c r="E191" s="560"/>
    </row>
    <row r="192" spans="1:5" x14ac:dyDescent="0.2">
      <c r="A192" s="558">
        <f t="shared" si="0"/>
        <v>42634</v>
      </c>
      <c r="B192" s="557">
        <v>393852.1</v>
      </c>
      <c r="D192" s="559"/>
      <c r="E192" s="560"/>
    </row>
    <row r="193" spans="1:5" x14ac:dyDescent="0.2">
      <c r="A193" s="558">
        <f t="shared" si="0"/>
        <v>42635</v>
      </c>
      <c r="B193" s="557">
        <v>397757.18</v>
      </c>
      <c r="D193" s="559"/>
      <c r="E193" s="560"/>
    </row>
    <row r="194" spans="1:5" x14ac:dyDescent="0.2">
      <c r="A194" s="558">
        <f t="shared" si="0"/>
        <v>42636</v>
      </c>
      <c r="B194" s="557">
        <v>397757</v>
      </c>
      <c r="D194" s="559"/>
      <c r="E194" s="560"/>
    </row>
    <row r="195" spans="1:5" x14ac:dyDescent="0.2">
      <c r="A195" s="558">
        <f t="shared" si="0"/>
        <v>42639</v>
      </c>
      <c r="B195" s="557">
        <v>397757</v>
      </c>
      <c r="D195" s="559"/>
      <c r="E195" s="560"/>
    </row>
    <row r="196" spans="1:5" x14ac:dyDescent="0.2">
      <c r="A196" s="558">
        <f t="shared" ref="A196:A259" si="1">A191+7</f>
        <v>42640</v>
      </c>
      <c r="B196" s="557">
        <v>403105.59</v>
      </c>
      <c r="D196" s="559"/>
      <c r="E196" s="560"/>
    </row>
    <row r="197" spans="1:5" x14ac:dyDescent="0.2">
      <c r="A197" s="558">
        <f t="shared" si="1"/>
        <v>42641</v>
      </c>
      <c r="B197" s="557">
        <v>394170.51</v>
      </c>
      <c r="D197" s="559"/>
      <c r="E197" s="560"/>
    </row>
    <row r="198" spans="1:5" x14ac:dyDescent="0.2">
      <c r="A198" s="558">
        <f t="shared" si="1"/>
        <v>42642</v>
      </c>
      <c r="B198" s="557">
        <v>397917.56</v>
      </c>
      <c r="D198" s="559"/>
      <c r="E198" s="560"/>
    </row>
    <row r="199" spans="1:5" x14ac:dyDescent="0.2">
      <c r="A199" s="558">
        <f t="shared" si="1"/>
        <v>42643</v>
      </c>
      <c r="B199" s="557">
        <v>397918</v>
      </c>
      <c r="D199" s="559"/>
      <c r="E199" s="560"/>
    </row>
    <row r="200" spans="1:5" x14ac:dyDescent="0.2">
      <c r="A200" s="558">
        <f t="shared" si="1"/>
        <v>42646</v>
      </c>
      <c r="B200" s="557">
        <v>361701.8</v>
      </c>
      <c r="D200" s="559"/>
      <c r="E200" s="560"/>
    </row>
    <row r="201" spans="1:5" x14ac:dyDescent="0.2">
      <c r="A201" s="558">
        <f t="shared" si="1"/>
        <v>42647</v>
      </c>
      <c r="B201" s="557">
        <v>362031.95</v>
      </c>
      <c r="D201" s="559"/>
      <c r="E201" s="560"/>
    </row>
    <row r="202" spans="1:5" x14ac:dyDescent="0.2">
      <c r="A202" s="558">
        <f t="shared" si="1"/>
        <v>42648</v>
      </c>
      <c r="B202" s="557">
        <v>362032</v>
      </c>
    </row>
    <row r="203" spans="1:5" x14ac:dyDescent="0.2">
      <c r="A203" s="558">
        <f t="shared" si="1"/>
        <v>42649</v>
      </c>
      <c r="B203" s="557">
        <v>360433.13</v>
      </c>
    </row>
    <row r="204" spans="1:5" x14ac:dyDescent="0.2">
      <c r="A204" s="558">
        <f t="shared" si="1"/>
        <v>42650</v>
      </c>
      <c r="B204" s="557">
        <v>361754.66</v>
      </c>
    </row>
    <row r="205" spans="1:5" x14ac:dyDescent="0.2">
      <c r="A205" s="558">
        <f t="shared" si="1"/>
        <v>42653</v>
      </c>
      <c r="B205" s="557">
        <v>361755</v>
      </c>
    </row>
    <row r="206" spans="1:5" x14ac:dyDescent="0.2">
      <c r="A206" s="558">
        <f t="shared" si="1"/>
        <v>42654</v>
      </c>
      <c r="B206" s="557">
        <v>361755</v>
      </c>
    </row>
    <row r="207" spans="1:5" x14ac:dyDescent="0.2">
      <c r="A207" s="558">
        <f t="shared" si="1"/>
        <v>42655</v>
      </c>
      <c r="B207" s="557">
        <v>365429.62</v>
      </c>
    </row>
    <row r="208" spans="1:5" x14ac:dyDescent="0.2">
      <c r="A208" s="558">
        <f t="shared" si="1"/>
        <v>42656</v>
      </c>
      <c r="B208" s="557">
        <v>375400.83</v>
      </c>
    </row>
    <row r="209" spans="1:2" x14ac:dyDescent="0.2">
      <c r="A209" s="558">
        <f t="shared" si="1"/>
        <v>42657</v>
      </c>
      <c r="B209" s="557">
        <v>375484.03</v>
      </c>
    </row>
    <row r="210" spans="1:2" x14ac:dyDescent="0.2">
      <c r="A210" s="558">
        <f t="shared" si="1"/>
        <v>42660</v>
      </c>
      <c r="B210" s="557">
        <v>339702.96</v>
      </c>
    </row>
    <row r="211" spans="1:2" x14ac:dyDescent="0.2">
      <c r="A211" s="558">
        <f t="shared" si="1"/>
        <v>42661</v>
      </c>
      <c r="B211" s="557">
        <v>343741.39</v>
      </c>
    </row>
    <row r="212" spans="1:2" x14ac:dyDescent="0.2">
      <c r="A212" s="558">
        <f t="shared" si="1"/>
        <v>42662</v>
      </c>
      <c r="B212" s="557">
        <v>343741</v>
      </c>
    </row>
    <row r="213" spans="1:2" x14ac:dyDescent="0.2">
      <c r="A213" s="558">
        <f t="shared" si="1"/>
        <v>42663</v>
      </c>
      <c r="B213" s="557">
        <v>332267.31</v>
      </c>
    </row>
    <row r="214" spans="1:2" x14ac:dyDescent="0.2">
      <c r="A214" s="558">
        <f t="shared" si="1"/>
        <v>42664</v>
      </c>
      <c r="B214" s="557">
        <v>332482.06</v>
      </c>
    </row>
    <row r="215" spans="1:2" x14ac:dyDescent="0.2">
      <c r="A215" s="558">
        <f t="shared" si="1"/>
        <v>42667</v>
      </c>
      <c r="B215" s="557">
        <v>332482</v>
      </c>
    </row>
    <row r="216" spans="1:2" x14ac:dyDescent="0.2">
      <c r="A216" s="558">
        <f t="shared" si="1"/>
        <v>42668</v>
      </c>
      <c r="B216" s="557">
        <v>337085.39</v>
      </c>
    </row>
    <row r="217" spans="1:2" x14ac:dyDescent="0.2">
      <c r="A217" s="558">
        <f t="shared" si="1"/>
        <v>42669</v>
      </c>
      <c r="B217" s="557">
        <v>337085</v>
      </c>
    </row>
    <row r="218" spans="1:2" x14ac:dyDescent="0.2">
      <c r="A218" s="558">
        <f t="shared" si="1"/>
        <v>42670</v>
      </c>
      <c r="B218" s="557">
        <v>333113.26</v>
      </c>
    </row>
    <row r="219" spans="1:2" x14ac:dyDescent="0.2">
      <c r="A219" s="558">
        <f t="shared" si="1"/>
        <v>42671</v>
      </c>
      <c r="B219" s="557">
        <v>360993.03</v>
      </c>
    </row>
    <row r="220" spans="1:2" x14ac:dyDescent="0.2">
      <c r="A220" s="558">
        <f t="shared" si="1"/>
        <v>42674</v>
      </c>
      <c r="B220" s="557">
        <v>350567.25</v>
      </c>
    </row>
    <row r="221" spans="1:2" x14ac:dyDescent="0.2">
      <c r="A221" s="558">
        <f t="shared" si="1"/>
        <v>42675</v>
      </c>
      <c r="B221" s="557">
        <v>350939.21</v>
      </c>
    </row>
    <row r="222" spans="1:2" x14ac:dyDescent="0.2">
      <c r="A222" s="558">
        <f t="shared" si="1"/>
        <v>42676</v>
      </c>
      <c r="B222" s="557">
        <v>350939</v>
      </c>
    </row>
    <row r="223" spans="1:2" x14ac:dyDescent="0.2">
      <c r="A223" s="558">
        <f t="shared" si="1"/>
        <v>42677</v>
      </c>
      <c r="B223" s="557">
        <v>344148.64</v>
      </c>
    </row>
    <row r="224" spans="1:2" x14ac:dyDescent="0.2">
      <c r="A224" s="558">
        <f t="shared" si="1"/>
        <v>42678</v>
      </c>
      <c r="B224" s="557">
        <v>399084.27</v>
      </c>
    </row>
    <row r="225" spans="1:2" x14ac:dyDescent="0.2">
      <c r="A225" s="558">
        <f t="shared" si="1"/>
        <v>42681</v>
      </c>
      <c r="B225" s="557">
        <v>399084</v>
      </c>
    </row>
    <row r="226" spans="1:2" x14ac:dyDescent="0.2">
      <c r="A226" s="558">
        <f t="shared" si="1"/>
        <v>42682</v>
      </c>
      <c r="B226" s="557">
        <v>403667.29</v>
      </c>
    </row>
    <row r="227" spans="1:2" x14ac:dyDescent="0.2">
      <c r="A227" s="558">
        <f t="shared" si="1"/>
        <v>42683</v>
      </c>
      <c r="B227" s="557">
        <v>403667</v>
      </c>
    </row>
    <row r="228" spans="1:2" x14ac:dyDescent="0.2">
      <c r="A228" s="558">
        <f t="shared" si="1"/>
        <v>42684</v>
      </c>
      <c r="B228" s="557">
        <v>383477.25</v>
      </c>
    </row>
    <row r="229" spans="1:2" x14ac:dyDescent="0.2">
      <c r="A229" s="558">
        <f t="shared" si="1"/>
        <v>42685</v>
      </c>
      <c r="B229" s="557">
        <v>383477</v>
      </c>
    </row>
    <row r="230" spans="1:2" x14ac:dyDescent="0.2">
      <c r="A230" s="558">
        <f t="shared" si="1"/>
        <v>42688</v>
      </c>
      <c r="B230" s="557">
        <v>347717.6</v>
      </c>
    </row>
    <row r="231" spans="1:2" x14ac:dyDescent="0.2">
      <c r="A231" s="558">
        <f t="shared" si="1"/>
        <v>42689</v>
      </c>
      <c r="B231" s="557">
        <v>347836.75</v>
      </c>
    </row>
    <row r="232" spans="1:2" x14ac:dyDescent="0.2">
      <c r="A232" s="558">
        <f t="shared" si="1"/>
        <v>42690</v>
      </c>
      <c r="B232" s="557">
        <v>347836.75</v>
      </c>
    </row>
    <row r="233" spans="1:2" x14ac:dyDescent="0.2">
      <c r="A233" s="558">
        <f t="shared" si="1"/>
        <v>42691</v>
      </c>
      <c r="B233" s="557">
        <v>350935.56</v>
      </c>
    </row>
    <row r="234" spans="1:2" x14ac:dyDescent="0.2">
      <c r="A234" s="558">
        <f t="shared" si="1"/>
        <v>42692</v>
      </c>
      <c r="B234" s="557">
        <v>350936</v>
      </c>
    </row>
    <row r="235" spans="1:2" x14ac:dyDescent="0.2">
      <c r="A235" s="558">
        <f t="shared" si="1"/>
        <v>42695</v>
      </c>
      <c r="B235" s="557">
        <v>350936</v>
      </c>
    </row>
    <row r="236" spans="1:2" x14ac:dyDescent="0.2">
      <c r="A236" s="558">
        <f t="shared" si="1"/>
        <v>42696</v>
      </c>
      <c r="B236" s="557">
        <v>351588.06</v>
      </c>
    </row>
    <row r="237" spans="1:2" x14ac:dyDescent="0.2">
      <c r="A237" s="558">
        <f t="shared" si="1"/>
        <v>42697</v>
      </c>
      <c r="B237" s="557">
        <v>349477.96</v>
      </c>
    </row>
    <row r="238" spans="1:2" x14ac:dyDescent="0.2">
      <c r="A238" s="558">
        <f t="shared" si="1"/>
        <v>42698</v>
      </c>
      <c r="B238" s="557">
        <v>349478</v>
      </c>
    </row>
    <row r="239" spans="1:2" x14ac:dyDescent="0.2">
      <c r="A239" s="558">
        <f t="shared" si="1"/>
        <v>42699</v>
      </c>
      <c r="B239" s="557">
        <v>368170.66</v>
      </c>
    </row>
    <row r="240" spans="1:2" x14ac:dyDescent="0.2">
      <c r="A240" s="558">
        <f t="shared" si="1"/>
        <v>42702</v>
      </c>
      <c r="B240" s="557">
        <v>368170.66</v>
      </c>
    </row>
    <row r="241" spans="1:2" x14ac:dyDescent="0.2">
      <c r="A241" s="558">
        <f t="shared" si="1"/>
        <v>42703</v>
      </c>
      <c r="B241" s="557">
        <v>328902.64</v>
      </c>
    </row>
    <row r="242" spans="1:2" x14ac:dyDescent="0.2">
      <c r="A242" s="558">
        <f t="shared" si="1"/>
        <v>42704</v>
      </c>
      <c r="B242" s="557">
        <v>338455.85</v>
      </c>
    </row>
    <row r="243" spans="1:2" x14ac:dyDescent="0.2">
      <c r="A243" s="558">
        <f t="shared" si="1"/>
        <v>42705</v>
      </c>
      <c r="B243" s="557">
        <v>336997.18</v>
      </c>
    </row>
    <row r="244" spans="1:2" x14ac:dyDescent="0.2">
      <c r="A244" s="558">
        <f t="shared" si="1"/>
        <v>42706</v>
      </c>
      <c r="B244" s="557">
        <v>342825.59</v>
      </c>
    </row>
    <row r="245" spans="1:2" x14ac:dyDescent="0.2">
      <c r="A245" s="558">
        <f t="shared" si="1"/>
        <v>42709</v>
      </c>
      <c r="B245" s="557">
        <v>342826</v>
      </c>
    </row>
    <row r="246" spans="1:2" x14ac:dyDescent="0.2">
      <c r="A246" s="558">
        <f t="shared" si="1"/>
        <v>42710</v>
      </c>
      <c r="B246" s="557">
        <v>344457.81</v>
      </c>
    </row>
    <row r="247" spans="1:2" x14ac:dyDescent="0.2">
      <c r="A247" s="558">
        <f t="shared" si="1"/>
        <v>42711</v>
      </c>
      <c r="B247" s="557">
        <v>366772.64</v>
      </c>
    </row>
    <row r="248" spans="1:2" x14ac:dyDescent="0.2">
      <c r="A248" s="558">
        <f t="shared" si="1"/>
        <v>42712</v>
      </c>
      <c r="B248" s="557">
        <v>366772.6</v>
      </c>
    </row>
    <row r="249" spans="1:2" x14ac:dyDescent="0.2">
      <c r="A249" s="558">
        <f t="shared" si="1"/>
        <v>42713</v>
      </c>
      <c r="B249" s="557">
        <v>366773</v>
      </c>
    </row>
    <row r="250" spans="1:2" x14ac:dyDescent="0.2">
      <c r="A250" s="558">
        <f t="shared" si="1"/>
        <v>42716</v>
      </c>
      <c r="B250" s="557">
        <v>366773</v>
      </c>
    </row>
    <row r="251" spans="1:2" x14ac:dyDescent="0.2">
      <c r="A251" s="558">
        <f t="shared" si="1"/>
        <v>42717</v>
      </c>
      <c r="B251" s="557">
        <v>346535.44</v>
      </c>
    </row>
    <row r="252" spans="1:2" x14ac:dyDescent="0.2">
      <c r="A252" s="558">
        <f t="shared" si="1"/>
        <v>42718</v>
      </c>
      <c r="B252" s="557">
        <v>346535</v>
      </c>
    </row>
    <row r="253" spans="1:2" x14ac:dyDescent="0.2">
      <c r="A253" s="558">
        <f t="shared" si="1"/>
        <v>42719</v>
      </c>
      <c r="B253" s="557">
        <v>335522.11</v>
      </c>
    </row>
    <row r="254" spans="1:2" x14ac:dyDescent="0.2">
      <c r="A254" s="558">
        <f t="shared" si="1"/>
        <v>42720</v>
      </c>
      <c r="B254" s="557">
        <v>335675.99</v>
      </c>
    </row>
    <row r="255" spans="1:2" x14ac:dyDescent="0.2">
      <c r="A255" s="558">
        <f t="shared" si="1"/>
        <v>42723</v>
      </c>
      <c r="B255" s="557">
        <v>357268.43</v>
      </c>
    </row>
    <row r="256" spans="1:2" x14ac:dyDescent="0.2">
      <c r="A256" s="558">
        <f t="shared" si="1"/>
        <v>42724</v>
      </c>
      <c r="B256" s="557">
        <v>357268</v>
      </c>
    </row>
    <row r="257" spans="1:2" x14ac:dyDescent="0.2">
      <c r="A257" s="558">
        <f t="shared" si="1"/>
        <v>42725</v>
      </c>
      <c r="B257" s="557">
        <v>366192.91</v>
      </c>
    </row>
    <row r="258" spans="1:2" x14ac:dyDescent="0.2">
      <c r="A258" s="558">
        <f t="shared" si="1"/>
        <v>42726</v>
      </c>
      <c r="B258" s="557">
        <v>377001.67</v>
      </c>
    </row>
    <row r="259" spans="1:2" x14ac:dyDescent="0.2">
      <c r="A259" s="558">
        <f t="shared" si="1"/>
        <v>42727</v>
      </c>
      <c r="B259" s="557">
        <v>377329.67</v>
      </c>
    </row>
    <row r="260" spans="1:2" x14ac:dyDescent="0.2">
      <c r="A260" s="558">
        <f t="shared" ref="A260:A264" si="2">A255+7</f>
        <v>42730</v>
      </c>
      <c r="B260" s="557">
        <v>377330</v>
      </c>
    </row>
    <row r="261" spans="1:2" x14ac:dyDescent="0.2">
      <c r="A261" s="558">
        <f t="shared" si="2"/>
        <v>42731</v>
      </c>
      <c r="B261" s="557">
        <v>339782.53</v>
      </c>
    </row>
    <row r="262" spans="1:2" x14ac:dyDescent="0.2">
      <c r="A262" s="558">
        <f t="shared" si="2"/>
        <v>42732</v>
      </c>
      <c r="B262" s="557">
        <v>339783</v>
      </c>
    </row>
    <row r="263" spans="1:2" x14ac:dyDescent="0.2">
      <c r="A263" s="558">
        <f t="shared" si="2"/>
        <v>42733</v>
      </c>
      <c r="B263" s="557">
        <v>337987.77</v>
      </c>
    </row>
    <row r="264" spans="1:2" x14ac:dyDescent="0.2">
      <c r="A264" s="558">
        <f t="shared" si="2"/>
        <v>42734</v>
      </c>
      <c r="B264" s="557">
        <v>354814.33</v>
      </c>
    </row>
    <row r="265" spans="1:2" x14ac:dyDescent="0.2">
      <c r="A265" s="583">
        <v>42737</v>
      </c>
      <c r="B265" s="584">
        <v>354814</v>
      </c>
    </row>
    <row r="266" spans="1:2" x14ac:dyDescent="0.2">
      <c r="A266" s="583">
        <v>42738</v>
      </c>
      <c r="B266" s="584">
        <v>361866.86</v>
      </c>
    </row>
    <row r="267" spans="1:2" x14ac:dyDescent="0.2">
      <c r="A267" s="583">
        <v>42739</v>
      </c>
      <c r="B267" s="584">
        <v>363519.32</v>
      </c>
    </row>
    <row r="268" spans="1:2" x14ac:dyDescent="0.2">
      <c r="A268" s="583">
        <v>42740</v>
      </c>
      <c r="B268" s="584">
        <v>361866.66</v>
      </c>
    </row>
    <row r="269" spans="1:2" x14ac:dyDescent="0.2">
      <c r="A269" s="583">
        <v>42741</v>
      </c>
      <c r="B269" s="584">
        <v>363519</v>
      </c>
    </row>
    <row r="270" spans="1:2" x14ac:dyDescent="0.2">
      <c r="A270" s="583">
        <v>42744</v>
      </c>
      <c r="B270" s="584">
        <v>363543.47</v>
      </c>
    </row>
    <row r="271" spans="1:2" x14ac:dyDescent="0.2">
      <c r="A271" s="583">
        <v>42745</v>
      </c>
      <c r="B271" s="584">
        <v>328707.83</v>
      </c>
    </row>
    <row r="272" spans="1:2" x14ac:dyDescent="0.2">
      <c r="A272" s="583">
        <v>42746</v>
      </c>
      <c r="B272" s="584">
        <v>328708</v>
      </c>
    </row>
    <row r="273" spans="1:2" x14ac:dyDescent="0.2">
      <c r="A273" s="583">
        <v>42747</v>
      </c>
      <c r="B273" s="584">
        <v>321086.01</v>
      </c>
    </row>
    <row r="274" spans="1:2" x14ac:dyDescent="0.2">
      <c r="A274" s="583">
        <v>42748</v>
      </c>
      <c r="B274" s="584">
        <v>334097.28000000003</v>
      </c>
    </row>
    <row r="275" spans="1:2" x14ac:dyDescent="0.2">
      <c r="A275" s="583">
        <v>42751</v>
      </c>
      <c r="B275" s="584">
        <v>334097</v>
      </c>
    </row>
    <row r="276" spans="1:2" x14ac:dyDescent="0.2">
      <c r="A276" s="583">
        <v>42752</v>
      </c>
      <c r="B276" s="584">
        <v>268850.96000000002</v>
      </c>
    </row>
    <row r="277" spans="1:2" x14ac:dyDescent="0.2">
      <c r="A277" s="583">
        <v>42753</v>
      </c>
      <c r="B277" s="584">
        <v>268851</v>
      </c>
    </row>
    <row r="278" spans="1:2" x14ac:dyDescent="0.2">
      <c r="A278" s="583">
        <v>42754</v>
      </c>
      <c r="B278" s="584">
        <v>269075.21000000002</v>
      </c>
    </row>
    <row r="279" spans="1:2" x14ac:dyDescent="0.2">
      <c r="A279" s="583">
        <v>42755</v>
      </c>
      <c r="B279" s="584">
        <v>270983.21000000002</v>
      </c>
    </row>
    <row r="280" spans="1:2" x14ac:dyDescent="0.2">
      <c r="A280" s="583">
        <v>42758</v>
      </c>
      <c r="B280" s="584">
        <v>270983</v>
      </c>
    </row>
    <row r="281" spans="1:2" x14ac:dyDescent="0.2">
      <c r="A281" s="583">
        <v>42759</v>
      </c>
      <c r="B281" s="584">
        <v>270723.98</v>
      </c>
    </row>
    <row r="282" spans="1:2" x14ac:dyDescent="0.2">
      <c r="A282" s="583">
        <v>42760</v>
      </c>
      <c r="B282" s="584">
        <v>281353.09999999998</v>
      </c>
    </row>
    <row r="283" spans="1:2" x14ac:dyDescent="0.2">
      <c r="A283" s="583">
        <v>42761</v>
      </c>
      <c r="B283" s="584">
        <v>274313.84999999998</v>
      </c>
    </row>
    <row r="284" spans="1:2" x14ac:dyDescent="0.2">
      <c r="A284" s="583">
        <v>42762</v>
      </c>
      <c r="B284" s="584">
        <v>296447.59999999998</v>
      </c>
    </row>
    <row r="285" spans="1:2" x14ac:dyDescent="0.2">
      <c r="A285" s="583">
        <v>42765</v>
      </c>
      <c r="B285" s="584">
        <v>295107.96000000002</v>
      </c>
    </row>
    <row r="286" spans="1:2" x14ac:dyDescent="0.2">
      <c r="A286" s="583">
        <v>42766</v>
      </c>
      <c r="B286" s="584">
        <v>314030.53000000003</v>
      </c>
    </row>
    <row r="287" spans="1:2" x14ac:dyDescent="0.2">
      <c r="A287" s="583">
        <v>42767</v>
      </c>
      <c r="B287" s="584">
        <v>314031</v>
      </c>
    </row>
    <row r="288" spans="1:2" x14ac:dyDescent="0.2">
      <c r="A288" s="583">
        <v>42768</v>
      </c>
      <c r="B288" s="584">
        <v>312808.53999999998</v>
      </c>
    </row>
    <row r="289" spans="1:2" x14ac:dyDescent="0.2">
      <c r="A289" s="583">
        <v>42769</v>
      </c>
      <c r="B289" s="584">
        <v>316461.53999999998</v>
      </c>
    </row>
    <row r="290" spans="1:2" x14ac:dyDescent="0.2">
      <c r="A290" s="583">
        <v>42772</v>
      </c>
      <c r="B290" s="584">
        <v>316462</v>
      </c>
    </row>
    <row r="291" spans="1:2" x14ac:dyDescent="0.2">
      <c r="A291" s="583">
        <v>42773</v>
      </c>
      <c r="B291" s="584">
        <v>289560.21999999997</v>
      </c>
    </row>
    <row r="292" spans="1:2" x14ac:dyDescent="0.2">
      <c r="A292" s="583">
        <v>42774</v>
      </c>
      <c r="B292" s="584">
        <v>297310.21999999997</v>
      </c>
    </row>
    <row r="293" spans="1:2" x14ac:dyDescent="0.2">
      <c r="A293" s="583">
        <v>42775</v>
      </c>
      <c r="B293" s="584">
        <v>352433.91</v>
      </c>
    </row>
    <row r="294" spans="1:2" x14ac:dyDescent="0.2">
      <c r="A294" s="583">
        <v>42776</v>
      </c>
      <c r="B294" s="584">
        <v>352434</v>
      </c>
    </row>
    <row r="295" spans="1:2" x14ac:dyDescent="0.2">
      <c r="A295" s="583">
        <v>42779</v>
      </c>
      <c r="B295" s="584">
        <v>352434</v>
      </c>
    </row>
    <row r="296" spans="1:2" x14ac:dyDescent="0.2">
      <c r="A296" s="583">
        <v>42780</v>
      </c>
      <c r="B296" s="584">
        <v>352434</v>
      </c>
    </row>
    <row r="297" spans="1:2" x14ac:dyDescent="0.2">
      <c r="A297" s="583">
        <v>42781</v>
      </c>
      <c r="B297" s="584">
        <v>352542.46</v>
      </c>
    </row>
    <row r="298" spans="1:2" x14ac:dyDescent="0.2">
      <c r="A298" s="583">
        <v>42782</v>
      </c>
      <c r="B298" s="584">
        <v>383231.99</v>
      </c>
    </row>
    <row r="299" spans="1:2" x14ac:dyDescent="0.2">
      <c r="A299" s="583">
        <v>42783</v>
      </c>
      <c r="B299" s="624">
        <v>404679.36</v>
      </c>
    </row>
    <row r="300" spans="1:2" x14ac:dyDescent="0.2">
      <c r="A300" s="583">
        <v>42785</v>
      </c>
      <c r="B300" s="584">
        <v>404679</v>
      </c>
    </row>
    <row r="301" spans="1:2" x14ac:dyDescent="0.2">
      <c r="A301" s="583">
        <v>42787</v>
      </c>
      <c r="B301" s="584">
        <v>368703.72</v>
      </c>
    </row>
    <row r="302" spans="1:2" x14ac:dyDescent="0.2">
      <c r="A302" s="583">
        <v>42788</v>
      </c>
      <c r="B302" s="584">
        <v>368203.72</v>
      </c>
    </row>
    <row r="303" spans="1:2" x14ac:dyDescent="0.2">
      <c r="A303" s="583">
        <v>42789</v>
      </c>
      <c r="B303" s="584">
        <v>349211.92</v>
      </c>
    </row>
    <row r="304" spans="1:2" x14ac:dyDescent="0.2">
      <c r="A304" s="583">
        <v>42790</v>
      </c>
      <c r="B304" s="584">
        <v>384176.45</v>
      </c>
    </row>
    <row r="305" spans="1:2" x14ac:dyDescent="0.2">
      <c r="A305" s="583">
        <v>42793</v>
      </c>
      <c r="B305" s="584">
        <v>384176</v>
      </c>
    </row>
    <row r="306" spans="1:2" x14ac:dyDescent="0.2">
      <c r="A306" s="583">
        <v>42794</v>
      </c>
      <c r="B306" s="584">
        <v>384176</v>
      </c>
    </row>
    <row r="307" spans="1:2" x14ac:dyDescent="0.2">
      <c r="A307" s="583">
        <v>42795</v>
      </c>
      <c r="B307" s="584">
        <v>384176</v>
      </c>
    </row>
    <row r="308" spans="1:2" x14ac:dyDescent="0.2">
      <c r="A308" s="583">
        <v>42796</v>
      </c>
      <c r="B308" s="584">
        <v>395396.43</v>
      </c>
    </row>
    <row r="309" spans="1:2" x14ac:dyDescent="0.2">
      <c r="A309" s="583">
        <v>42797</v>
      </c>
      <c r="B309" s="584">
        <v>395396</v>
      </c>
    </row>
    <row r="310" spans="1:2" x14ac:dyDescent="0.2">
      <c r="A310" s="583">
        <v>42800</v>
      </c>
      <c r="B310" s="584">
        <v>395396</v>
      </c>
    </row>
    <row r="311" spans="1:2" x14ac:dyDescent="0.2">
      <c r="A311" s="583">
        <v>42801</v>
      </c>
      <c r="B311" s="584">
        <v>361856.47</v>
      </c>
    </row>
    <row r="312" spans="1:2" x14ac:dyDescent="0.2">
      <c r="A312" s="583">
        <v>42802</v>
      </c>
      <c r="B312" s="584">
        <v>361856</v>
      </c>
    </row>
    <row r="313" spans="1:2" x14ac:dyDescent="0.2">
      <c r="A313" s="583">
        <v>42803</v>
      </c>
      <c r="B313" s="584">
        <v>349877.16</v>
      </c>
    </row>
    <row r="314" spans="1:2" x14ac:dyDescent="0.2">
      <c r="A314" s="583">
        <v>42804</v>
      </c>
      <c r="B314" s="584">
        <v>359297.81</v>
      </c>
    </row>
    <row r="315" spans="1:2" x14ac:dyDescent="0.2">
      <c r="A315" s="583">
        <v>42807</v>
      </c>
      <c r="B315" s="584">
        <v>361678.91</v>
      </c>
    </row>
    <row r="316" spans="1:2" x14ac:dyDescent="0.2">
      <c r="A316" s="583">
        <v>42808</v>
      </c>
      <c r="B316" s="584">
        <v>361679</v>
      </c>
    </row>
    <row r="317" spans="1:2" x14ac:dyDescent="0.2">
      <c r="A317" s="583">
        <v>42809</v>
      </c>
      <c r="B317" s="584">
        <v>370843.37</v>
      </c>
    </row>
    <row r="318" spans="1:2" x14ac:dyDescent="0.2">
      <c r="A318" s="583">
        <v>42810</v>
      </c>
      <c r="B318" s="584">
        <v>377566.07</v>
      </c>
    </row>
    <row r="319" spans="1:2" x14ac:dyDescent="0.2">
      <c r="A319" s="583">
        <v>42811</v>
      </c>
      <c r="B319" s="584">
        <v>370373.97</v>
      </c>
    </row>
    <row r="320" spans="1:2" x14ac:dyDescent="0.2">
      <c r="A320" s="583">
        <v>42814</v>
      </c>
      <c r="B320" s="584">
        <v>338340.3</v>
      </c>
    </row>
    <row r="321" spans="1:2" x14ac:dyDescent="0.2">
      <c r="A321" s="583">
        <v>42815</v>
      </c>
      <c r="B321" s="584">
        <v>338340</v>
      </c>
    </row>
    <row r="322" spans="1:2" x14ac:dyDescent="0.2">
      <c r="A322" s="583">
        <v>42816</v>
      </c>
      <c r="B322" s="584">
        <v>338340</v>
      </c>
    </row>
    <row r="323" spans="1:2" x14ac:dyDescent="0.2">
      <c r="A323" s="583">
        <v>42817</v>
      </c>
      <c r="B323" s="584">
        <f>25944.71+322493.66</f>
        <v>348438.37</v>
      </c>
    </row>
    <row r="324" spans="1:2" x14ac:dyDescent="0.2">
      <c r="A324" s="583">
        <v>42818</v>
      </c>
      <c r="B324" s="584">
        <v>348438</v>
      </c>
    </row>
    <row r="325" spans="1:2" x14ac:dyDescent="0.2">
      <c r="A325" s="583">
        <v>42821</v>
      </c>
      <c r="B325" s="584">
        <v>348360.51</v>
      </c>
    </row>
    <row r="326" spans="1:2" x14ac:dyDescent="0.2">
      <c r="A326" s="583">
        <v>42822</v>
      </c>
      <c r="B326" s="557">
        <v>348440.48</v>
      </c>
    </row>
    <row r="327" spans="1:2" x14ac:dyDescent="0.2">
      <c r="A327" s="583">
        <v>42823</v>
      </c>
      <c r="B327" s="557">
        <v>348440</v>
      </c>
    </row>
    <row r="328" spans="1:2" x14ac:dyDescent="0.2">
      <c r="A328" s="583">
        <v>42824</v>
      </c>
      <c r="B328" s="557">
        <v>350305.92</v>
      </c>
    </row>
    <row r="329" spans="1:2" x14ac:dyDescent="0.2">
      <c r="A329" s="583">
        <v>42825</v>
      </c>
      <c r="B329" s="557">
        <v>350306</v>
      </c>
    </row>
    <row r="330" spans="1:2" x14ac:dyDescent="0.2">
      <c r="A330" s="583">
        <v>42828</v>
      </c>
      <c r="B330" s="557">
        <v>350306</v>
      </c>
    </row>
    <row r="331" spans="1:2" x14ac:dyDescent="0.2">
      <c r="A331" s="583">
        <v>42829</v>
      </c>
      <c r="B331" s="557">
        <v>320389.65000000002</v>
      </c>
    </row>
    <row r="332" spans="1:2" x14ac:dyDescent="0.2">
      <c r="A332" s="583">
        <v>42830</v>
      </c>
      <c r="B332" s="557">
        <v>320390</v>
      </c>
    </row>
    <row r="333" spans="1:2" x14ac:dyDescent="0.2">
      <c r="A333" s="583">
        <v>42831</v>
      </c>
      <c r="B333" s="557">
        <v>313344</v>
      </c>
    </row>
    <row r="334" spans="1:2" x14ac:dyDescent="0.2">
      <c r="A334" s="583">
        <v>42832</v>
      </c>
      <c r="B334" s="557">
        <v>313344</v>
      </c>
    </row>
    <row r="335" spans="1:2" x14ac:dyDescent="0.2">
      <c r="A335" s="583">
        <v>42835</v>
      </c>
      <c r="B335" s="557">
        <v>306132.78000000003</v>
      </c>
    </row>
    <row r="336" spans="1:2" x14ac:dyDescent="0.2">
      <c r="A336" s="583">
        <v>42836</v>
      </c>
      <c r="B336" s="557">
        <v>286047.34999999998</v>
      </c>
    </row>
    <row r="337" spans="1:2" x14ac:dyDescent="0.2">
      <c r="A337" s="583">
        <v>42837</v>
      </c>
      <c r="B337" s="557">
        <v>286047</v>
      </c>
    </row>
    <row r="338" spans="1:2" x14ac:dyDescent="0.2">
      <c r="A338" s="583">
        <v>42838</v>
      </c>
      <c r="B338" s="557">
        <v>272128.99</v>
      </c>
    </row>
    <row r="339" spans="1:2" x14ac:dyDescent="0.2">
      <c r="A339" s="583">
        <v>42839</v>
      </c>
      <c r="B339" s="557">
        <v>272229.71000000002</v>
      </c>
    </row>
    <row r="340" spans="1:2" x14ac:dyDescent="0.2">
      <c r="A340" s="583">
        <v>42842</v>
      </c>
      <c r="B340" s="557">
        <v>236683.56</v>
      </c>
    </row>
    <row r="341" spans="1:2" x14ac:dyDescent="0.2">
      <c r="A341" s="583">
        <v>42843</v>
      </c>
      <c r="B341" s="557">
        <v>244114.64</v>
      </c>
    </row>
    <row r="342" spans="1:2" x14ac:dyDescent="0.2">
      <c r="A342" s="583">
        <v>42844</v>
      </c>
      <c r="B342" s="557">
        <v>244115</v>
      </c>
    </row>
    <row r="343" spans="1:2" x14ac:dyDescent="0.2">
      <c r="A343" s="583">
        <v>42845</v>
      </c>
      <c r="B343" s="557">
        <v>241798.76</v>
      </c>
    </row>
    <row r="344" spans="1:2" x14ac:dyDescent="0.2">
      <c r="A344" s="583">
        <v>42846</v>
      </c>
      <c r="B344" s="557">
        <v>241799</v>
      </c>
    </row>
    <row r="345" spans="1:2" x14ac:dyDescent="0.2">
      <c r="A345" s="583">
        <v>42849</v>
      </c>
      <c r="B345" s="557">
        <v>241973.76000000001</v>
      </c>
    </row>
    <row r="346" spans="1:2" x14ac:dyDescent="0.2">
      <c r="A346" s="583">
        <v>42850</v>
      </c>
      <c r="B346" s="557">
        <v>243364.2</v>
      </c>
    </row>
    <row r="347" spans="1:2" x14ac:dyDescent="0.2">
      <c r="A347" s="583">
        <v>42851</v>
      </c>
      <c r="B347" s="557">
        <v>243364</v>
      </c>
    </row>
    <row r="348" spans="1:2" x14ac:dyDescent="0.2">
      <c r="A348" s="583">
        <v>42852</v>
      </c>
      <c r="B348" s="557">
        <v>259265.45</v>
      </c>
    </row>
    <row r="349" spans="1:2" x14ac:dyDescent="0.2">
      <c r="A349" s="583">
        <v>42853</v>
      </c>
      <c r="B349" s="557">
        <v>290731.18</v>
      </c>
    </row>
    <row r="350" spans="1:2" x14ac:dyDescent="0.2">
      <c r="A350" s="583">
        <v>42856</v>
      </c>
      <c r="B350" s="557">
        <v>251486.17</v>
      </c>
    </row>
    <row r="351" spans="1:2" x14ac:dyDescent="0.2">
      <c r="A351" s="583">
        <v>42857</v>
      </c>
      <c r="B351" s="557">
        <v>253188.17</v>
      </c>
    </row>
    <row r="352" spans="1:2" x14ac:dyDescent="0.2">
      <c r="A352" s="583">
        <v>42858</v>
      </c>
      <c r="B352" s="557">
        <v>253188</v>
      </c>
    </row>
    <row r="353" spans="1:2" x14ac:dyDescent="0.2">
      <c r="A353" s="583">
        <v>42859</v>
      </c>
      <c r="B353" s="557">
        <v>232739.33</v>
      </c>
    </row>
    <row r="354" spans="1:2" x14ac:dyDescent="0.2">
      <c r="A354" s="583">
        <v>42860</v>
      </c>
      <c r="B354" s="557">
        <v>234049.33</v>
      </c>
    </row>
    <row r="355" spans="1:2" x14ac:dyDescent="0.2">
      <c r="A355" s="583">
        <v>42863</v>
      </c>
      <c r="B355" s="557">
        <v>314317.77</v>
      </c>
    </row>
    <row r="356" spans="1:2" x14ac:dyDescent="0.2">
      <c r="A356" s="583">
        <v>42864</v>
      </c>
      <c r="B356" s="557">
        <v>314318</v>
      </c>
    </row>
    <row r="357" spans="1:2" x14ac:dyDescent="0.2">
      <c r="A357" s="583">
        <v>42865</v>
      </c>
      <c r="B357" s="557">
        <v>314318</v>
      </c>
    </row>
    <row r="358" spans="1:2" x14ac:dyDescent="0.2">
      <c r="A358" s="583">
        <v>42866</v>
      </c>
      <c r="B358" s="557">
        <v>313971.28000000003</v>
      </c>
    </row>
    <row r="359" spans="1:2" x14ac:dyDescent="0.2">
      <c r="A359" s="583">
        <v>42867</v>
      </c>
      <c r="B359" s="557">
        <v>313971</v>
      </c>
    </row>
    <row r="360" spans="1:2" x14ac:dyDescent="0.2">
      <c r="A360" s="583">
        <v>42870</v>
      </c>
      <c r="B360" s="557">
        <v>271063.69</v>
      </c>
    </row>
    <row r="361" spans="1:2" x14ac:dyDescent="0.2">
      <c r="A361" s="583">
        <v>42871</v>
      </c>
      <c r="B361" s="557">
        <v>271064</v>
      </c>
    </row>
    <row r="362" spans="1:2" x14ac:dyDescent="0.2">
      <c r="A362" s="583">
        <v>42872</v>
      </c>
      <c r="B362" s="557">
        <v>271064</v>
      </c>
    </row>
    <row r="363" spans="1:2" x14ac:dyDescent="0.2">
      <c r="A363" s="583">
        <v>42873</v>
      </c>
      <c r="B363" s="557">
        <v>261497.73</v>
      </c>
    </row>
    <row r="364" spans="1:2" x14ac:dyDescent="0.2">
      <c r="A364" s="583">
        <v>42874</v>
      </c>
      <c r="B364" s="557">
        <v>311507.92</v>
      </c>
    </row>
    <row r="365" spans="1:2" x14ac:dyDescent="0.2">
      <c r="A365" s="583">
        <v>42877</v>
      </c>
      <c r="B365" s="557">
        <v>290080.52</v>
      </c>
    </row>
    <row r="366" spans="1:2" x14ac:dyDescent="0.2">
      <c r="A366" s="583">
        <v>42878</v>
      </c>
      <c r="B366" s="557">
        <v>290081</v>
      </c>
    </row>
    <row r="367" spans="1:2" x14ac:dyDescent="0.2">
      <c r="A367" s="583">
        <v>42879</v>
      </c>
      <c r="B367" s="557">
        <v>327080.46000000002</v>
      </c>
    </row>
    <row r="368" spans="1:2" x14ac:dyDescent="0.2">
      <c r="A368" s="583">
        <v>42880</v>
      </c>
      <c r="B368" s="557">
        <v>327080</v>
      </c>
    </row>
    <row r="369" spans="1:2" x14ac:dyDescent="0.2">
      <c r="A369" s="583">
        <v>42881</v>
      </c>
      <c r="B369" s="557">
        <v>336844.12</v>
      </c>
    </row>
    <row r="370" spans="1:2" x14ac:dyDescent="0.2">
      <c r="A370" s="583">
        <v>42884</v>
      </c>
      <c r="B370" s="557">
        <v>336844</v>
      </c>
    </row>
    <row r="371" spans="1:2" x14ac:dyDescent="0.2">
      <c r="A371" s="583">
        <v>42885</v>
      </c>
      <c r="B371" s="557">
        <v>300553.48</v>
      </c>
    </row>
    <row r="372" spans="1:2" x14ac:dyDescent="0.2">
      <c r="A372" s="583">
        <v>42886</v>
      </c>
      <c r="B372" s="557">
        <v>296887.5</v>
      </c>
    </row>
    <row r="373" spans="1:2" x14ac:dyDescent="0.2">
      <c r="A373" s="583">
        <v>42887</v>
      </c>
      <c r="B373" s="557">
        <v>297355.68</v>
      </c>
    </row>
    <row r="374" spans="1:2" x14ac:dyDescent="0.2">
      <c r="A374" s="583">
        <v>42888</v>
      </c>
      <c r="B374" s="557">
        <v>298760.68</v>
      </c>
    </row>
    <row r="375" spans="1:2" x14ac:dyDescent="0.2">
      <c r="A375" s="583">
        <v>42891</v>
      </c>
      <c r="B375" s="557">
        <v>279006.82</v>
      </c>
    </row>
    <row r="376" spans="1:2" x14ac:dyDescent="0.2">
      <c r="A376" s="583">
        <v>42892</v>
      </c>
      <c r="B376" s="557">
        <v>279007</v>
      </c>
    </row>
    <row r="377" spans="1:2" x14ac:dyDescent="0.2">
      <c r="A377" s="583">
        <v>42893</v>
      </c>
      <c r="B377" s="557">
        <v>279007</v>
      </c>
    </row>
    <row r="378" spans="1:2" x14ac:dyDescent="0.2">
      <c r="A378" s="583">
        <v>42894</v>
      </c>
      <c r="B378" s="557">
        <v>279112.07</v>
      </c>
    </row>
    <row r="379" spans="1:2" x14ac:dyDescent="0.2">
      <c r="A379" s="583">
        <v>42895</v>
      </c>
      <c r="B379" s="557">
        <v>279112</v>
      </c>
    </row>
    <row r="380" spans="1:2" x14ac:dyDescent="0.2">
      <c r="A380" s="583">
        <v>42898</v>
      </c>
      <c r="B380" s="557">
        <v>244072.02</v>
      </c>
    </row>
    <row r="381" spans="1:2" x14ac:dyDescent="0.2">
      <c r="A381" s="583">
        <v>42899</v>
      </c>
      <c r="B381" s="557">
        <v>249325.41</v>
      </c>
    </row>
    <row r="382" spans="1:2" x14ac:dyDescent="0.2">
      <c r="A382" s="583">
        <v>42900</v>
      </c>
      <c r="B382" s="557">
        <v>249325</v>
      </c>
    </row>
    <row r="383" spans="1:2" x14ac:dyDescent="0.2">
      <c r="A383" s="583">
        <v>42901</v>
      </c>
      <c r="B383" s="557">
        <v>252874.48</v>
      </c>
    </row>
    <row r="384" spans="1:2" x14ac:dyDescent="0.2">
      <c r="A384" s="583">
        <v>42902</v>
      </c>
      <c r="B384" s="557">
        <v>253128.65</v>
      </c>
    </row>
    <row r="385" spans="1:2" x14ac:dyDescent="0.2">
      <c r="A385" s="583">
        <v>42905</v>
      </c>
      <c r="B385" s="557">
        <v>255098.96</v>
      </c>
    </row>
    <row r="386" spans="1:2" x14ac:dyDescent="0.2">
      <c r="A386" s="583">
        <v>42906</v>
      </c>
      <c r="B386" s="557">
        <v>253521.42</v>
      </c>
    </row>
    <row r="387" spans="1:2" x14ac:dyDescent="0.2">
      <c r="A387" s="583">
        <v>42907</v>
      </c>
      <c r="B387" s="557">
        <v>253521</v>
      </c>
    </row>
    <row r="388" spans="1:2" x14ac:dyDescent="0.2">
      <c r="A388" s="583">
        <v>42908</v>
      </c>
      <c r="B388" s="557">
        <v>235912.36</v>
      </c>
    </row>
    <row r="389" spans="1:2" x14ac:dyDescent="0.2">
      <c r="A389" s="583">
        <v>42909</v>
      </c>
      <c r="B389" s="557">
        <v>235912</v>
      </c>
    </row>
    <row r="390" spans="1:2" x14ac:dyDescent="0.2">
      <c r="A390" s="583">
        <v>42912</v>
      </c>
      <c r="B390" s="625">
        <v>198879.76</v>
      </c>
    </row>
    <row r="391" spans="1:2" x14ac:dyDescent="0.2">
      <c r="A391" s="583">
        <v>42913</v>
      </c>
      <c r="B391" s="557">
        <v>199009.76</v>
      </c>
    </row>
    <row r="392" spans="1:2" x14ac:dyDescent="0.2">
      <c r="A392" s="583">
        <v>42914</v>
      </c>
      <c r="B392" s="557">
        <v>199010</v>
      </c>
    </row>
    <row r="393" spans="1:2" x14ac:dyDescent="0.2">
      <c r="A393" s="583">
        <v>42915</v>
      </c>
      <c r="B393" s="557">
        <v>210354</v>
      </c>
    </row>
    <row r="394" spans="1:2" x14ac:dyDescent="0.2">
      <c r="A394" s="583">
        <v>42916</v>
      </c>
      <c r="B394" s="557">
        <v>260779.62</v>
      </c>
    </row>
    <row r="395" spans="1:2" x14ac:dyDescent="0.2">
      <c r="A395" s="583">
        <v>42919</v>
      </c>
      <c r="B395" s="557">
        <v>260780</v>
      </c>
    </row>
    <row r="396" spans="1:2" x14ac:dyDescent="0.2">
      <c r="A396" s="583">
        <v>42920</v>
      </c>
      <c r="B396" s="557">
        <v>260780</v>
      </c>
    </row>
    <row r="397" spans="1:2" x14ac:dyDescent="0.2">
      <c r="A397" s="583">
        <v>42921</v>
      </c>
      <c r="B397" s="557">
        <v>260780</v>
      </c>
    </row>
    <row r="398" spans="1:2" x14ac:dyDescent="0.2">
      <c r="A398" s="583">
        <v>42922</v>
      </c>
      <c r="B398" s="557">
        <v>261774.11</v>
      </c>
    </row>
    <row r="399" spans="1:2" x14ac:dyDescent="0.2">
      <c r="A399" s="583">
        <v>42923</v>
      </c>
      <c r="B399" s="557">
        <v>261774</v>
      </c>
    </row>
    <row r="400" spans="1:2" x14ac:dyDescent="0.2">
      <c r="A400" s="583">
        <v>42926</v>
      </c>
      <c r="B400" s="557">
        <v>226950.89</v>
      </c>
    </row>
    <row r="401" spans="1:2" x14ac:dyDescent="0.2">
      <c r="A401" s="583">
        <v>42927</v>
      </c>
      <c r="B401" s="557">
        <v>226951</v>
      </c>
    </row>
    <row r="402" spans="1:2" x14ac:dyDescent="0.2">
      <c r="A402" s="583">
        <v>42928</v>
      </c>
      <c r="B402" s="557">
        <v>248711.94</v>
      </c>
    </row>
    <row r="403" spans="1:2" x14ac:dyDescent="0.2">
      <c r="A403" s="583">
        <v>42929</v>
      </c>
      <c r="B403" s="557">
        <v>256201.58</v>
      </c>
    </row>
    <row r="404" spans="1:2" x14ac:dyDescent="0.2">
      <c r="A404" s="583">
        <v>42930</v>
      </c>
      <c r="B404" s="557">
        <v>256272.97</v>
      </c>
    </row>
    <row r="405" spans="1:2" x14ac:dyDescent="0.2">
      <c r="A405" s="583">
        <v>42933</v>
      </c>
      <c r="B405" s="557">
        <v>256056.42</v>
      </c>
    </row>
    <row r="406" spans="1:2" x14ac:dyDescent="0.2">
      <c r="A406" s="583">
        <v>42934</v>
      </c>
      <c r="B406" s="557">
        <v>257213.96</v>
      </c>
    </row>
    <row r="407" spans="1:2" x14ac:dyDescent="0.2">
      <c r="A407" s="583">
        <v>42935</v>
      </c>
      <c r="B407" s="557">
        <v>257214</v>
      </c>
    </row>
    <row r="408" spans="1:2" x14ac:dyDescent="0.2">
      <c r="A408" s="583">
        <v>42936</v>
      </c>
      <c r="B408" s="557">
        <v>260075.5</v>
      </c>
    </row>
    <row r="409" spans="1:2" x14ac:dyDescent="0.2">
      <c r="A409" s="583">
        <v>42937</v>
      </c>
      <c r="B409" s="557">
        <v>339825.5</v>
      </c>
    </row>
    <row r="410" spans="1:2" x14ac:dyDescent="0.2">
      <c r="A410" s="583">
        <v>42940</v>
      </c>
      <c r="B410" s="557">
        <v>303182.65000000002</v>
      </c>
    </row>
    <row r="411" spans="1:2" x14ac:dyDescent="0.2">
      <c r="A411" s="583">
        <v>42941</v>
      </c>
      <c r="B411" s="557">
        <v>322340.12</v>
      </c>
    </row>
    <row r="412" spans="1:2" x14ac:dyDescent="0.2">
      <c r="A412" s="583">
        <v>42942</v>
      </c>
      <c r="B412" s="557">
        <v>322340</v>
      </c>
    </row>
    <row r="413" spans="1:2" x14ac:dyDescent="0.2">
      <c r="A413" s="583">
        <v>42943</v>
      </c>
      <c r="B413" s="557">
        <v>308772.78999999998</v>
      </c>
    </row>
    <row r="414" spans="1:2" x14ac:dyDescent="0.2">
      <c r="A414" s="583">
        <v>42944</v>
      </c>
      <c r="B414" s="557">
        <v>317343.40999999997</v>
      </c>
    </row>
    <row r="415" spans="1:2" x14ac:dyDescent="0.2">
      <c r="A415" s="583">
        <v>42947</v>
      </c>
      <c r="B415" s="557">
        <v>317343</v>
      </c>
    </row>
    <row r="416" spans="1:2" x14ac:dyDescent="0.2">
      <c r="A416" s="583">
        <v>42948</v>
      </c>
      <c r="B416" s="557">
        <v>369152.35</v>
      </c>
    </row>
    <row r="417" spans="1:2" x14ac:dyDescent="0.2">
      <c r="A417" s="583">
        <v>42949</v>
      </c>
      <c r="B417" s="557">
        <v>371061.94</v>
      </c>
    </row>
    <row r="418" spans="1:2" x14ac:dyDescent="0.2">
      <c r="A418" s="583">
        <v>42950</v>
      </c>
      <c r="B418" s="557">
        <v>372080.87</v>
      </c>
    </row>
    <row r="419" spans="1:2" x14ac:dyDescent="0.2">
      <c r="A419" s="583">
        <v>42951</v>
      </c>
      <c r="B419" s="557">
        <v>372080.87</v>
      </c>
    </row>
    <row r="420" spans="1:2" x14ac:dyDescent="0.2">
      <c r="A420" s="583">
        <v>42954</v>
      </c>
      <c r="B420" s="557">
        <v>336189.47</v>
      </c>
    </row>
    <row r="421" spans="1:2" x14ac:dyDescent="0.2">
      <c r="A421" s="583">
        <v>42955</v>
      </c>
      <c r="B421" s="557">
        <v>340998.07</v>
      </c>
    </row>
    <row r="422" spans="1:2" x14ac:dyDescent="0.2">
      <c r="A422" s="583">
        <v>42956</v>
      </c>
      <c r="B422" s="557">
        <v>332763.65000000002</v>
      </c>
    </row>
    <row r="423" spans="1:2" x14ac:dyDescent="0.2">
      <c r="A423" s="583">
        <v>42957</v>
      </c>
      <c r="B423" s="557">
        <v>375651.45</v>
      </c>
    </row>
    <row r="424" spans="1:2" x14ac:dyDescent="0.2">
      <c r="A424" s="583">
        <v>42958</v>
      </c>
      <c r="B424" s="557">
        <v>378293.21</v>
      </c>
    </row>
    <row r="425" spans="1:2" x14ac:dyDescent="0.2">
      <c r="A425" s="583">
        <v>42961</v>
      </c>
      <c r="B425" s="557">
        <v>378293</v>
      </c>
    </row>
    <row r="426" spans="1:2" x14ac:dyDescent="0.2">
      <c r="A426" s="583">
        <v>42962</v>
      </c>
      <c r="B426" s="557">
        <v>401190.06</v>
      </c>
    </row>
    <row r="427" spans="1:2" x14ac:dyDescent="0.2">
      <c r="A427" s="583">
        <v>42963</v>
      </c>
      <c r="B427" s="557">
        <v>401190</v>
      </c>
    </row>
    <row r="428" spans="1:2" x14ac:dyDescent="0.2">
      <c r="A428" s="583">
        <v>42964</v>
      </c>
      <c r="B428" s="557">
        <v>401569.72</v>
      </c>
    </row>
    <row r="429" spans="1:2" x14ac:dyDescent="0.2">
      <c r="A429" s="583">
        <v>42965</v>
      </c>
      <c r="B429" s="557">
        <v>403837.72</v>
      </c>
    </row>
    <row r="430" spans="1:2" x14ac:dyDescent="0.2">
      <c r="A430" s="583">
        <v>42968</v>
      </c>
      <c r="B430" s="557">
        <v>369495.17</v>
      </c>
    </row>
    <row r="431" spans="1:2" x14ac:dyDescent="0.2">
      <c r="A431" s="583">
        <v>42969</v>
      </c>
      <c r="B431" s="557">
        <v>379169.06</v>
      </c>
    </row>
    <row r="432" spans="1:2" x14ac:dyDescent="0.2">
      <c r="A432" s="583">
        <v>42970</v>
      </c>
      <c r="B432" s="557">
        <v>379169</v>
      </c>
    </row>
    <row r="433" spans="1:2" x14ac:dyDescent="0.2">
      <c r="A433" s="583">
        <v>42971</v>
      </c>
      <c r="B433" s="557">
        <v>372540.41</v>
      </c>
    </row>
    <row r="434" spans="1:2" x14ac:dyDescent="0.2">
      <c r="A434" s="583">
        <v>42972</v>
      </c>
      <c r="B434" s="557">
        <v>372540</v>
      </c>
    </row>
    <row r="435" spans="1:2" x14ac:dyDescent="0.2">
      <c r="A435" s="583">
        <v>42975</v>
      </c>
      <c r="B435" s="557">
        <v>372540</v>
      </c>
    </row>
    <row r="436" spans="1:2" x14ac:dyDescent="0.2">
      <c r="A436" s="583">
        <v>42976</v>
      </c>
      <c r="B436" s="557">
        <v>374625.25</v>
      </c>
    </row>
    <row r="437" spans="1:2" x14ac:dyDescent="0.2">
      <c r="A437" s="583">
        <v>42977</v>
      </c>
      <c r="B437" s="557">
        <v>382658.46</v>
      </c>
    </row>
    <row r="438" spans="1:2" x14ac:dyDescent="0.2">
      <c r="A438" s="583">
        <v>42978</v>
      </c>
      <c r="B438" s="557">
        <v>389160.26</v>
      </c>
    </row>
    <row r="439" spans="1:2" x14ac:dyDescent="0.2">
      <c r="A439" s="583">
        <v>42979</v>
      </c>
      <c r="B439" s="557">
        <v>389160</v>
      </c>
    </row>
    <row r="440" spans="1:2" x14ac:dyDescent="0.2">
      <c r="A440" s="583">
        <v>42982</v>
      </c>
      <c r="B440" s="557">
        <v>389160</v>
      </c>
    </row>
    <row r="441" spans="1:2" x14ac:dyDescent="0.2">
      <c r="A441" s="583">
        <v>42983</v>
      </c>
      <c r="B441" s="557">
        <v>352908.42</v>
      </c>
    </row>
    <row r="442" spans="1:2" x14ac:dyDescent="0.2">
      <c r="A442" s="583">
        <v>42984</v>
      </c>
      <c r="B442" s="557">
        <v>383959.41</v>
      </c>
    </row>
    <row r="443" spans="1:2" x14ac:dyDescent="0.2">
      <c r="A443" s="583">
        <v>42985</v>
      </c>
      <c r="B443" s="557">
        <v>403148.81</v>
      </c>
    </row>
    <row r="444" spans="1:2" x14ac:dyDescent="0.2">
      <c r="A444" s="583">
        <v>42986</v>
      </c>
      <c r="B444" s="557">
        <v>403344.11</v>
      </c>
    </row>
    <row r="445" spans="1:2" x14ac:dyDescent="0.2">
      <c r="A445" s="583">
        <v>42989</v>
      </c>
      <c r="B445" s="557">
        <v>403344</v>
      </c>
    </row>
    <row r="446" spans="1:2" x14ac:dyDescent="0.2">
      <c r="A446" s="583">
        <v>42990</v>
      </c>
      <c r="B446" s="557">
        <v>403344</v>
      </c>
    </row>
    <row r="447" spans="1:2" x14ac:dyDescent="0.2">
      <c r="A447" s="583">
        <v>42991</v>
      </c>
      <c r="B447" s="557">
        <v>403344</v>
      </c>
    </row>
    <row r="448" spans="1:2" x14ac:dyDescent="0.2">
      <c r="A448" s="583">
        <v>42992</v>
      </c>
      <c r="B448" s="557">
        <v>400016.8</v>
      </c>
    </row>
    <row r="449" spans="1:2" x14ac:dyDescent="0.2">
      <c r="A449" s="583">
        <v>42993</v>
      </c>
      <c r="B449" s="557">
        <v>400134.96</v>
      </c>
    </row>
    <row r="450" spans="1:2" x14ac:dyDescent="0.2">
      <c r="A450" s="583">
        <v>42996</v>
      </c>
      <c r="B450" s="557">
        <v>364805.11</v>
      </c>
    </row>
    <row r="451" spans="1:2" x14ac:dyDescent="0.2">
      <c r="A451" s="583">
        <v>42997</v>
      </c>
      <c r="B451" s="557">
        <v>364805</v>
      </c>
    </row>
    <row r="452" spans="1:2" x14ac:dyDescent="0.2">
      <c r="A452" s="583">
        <v>42998</v>
      </c>
      <c r="B452" s="557">
        <v>371804.33</v>
      </c>
    </row>
    <row r="453" spans="1:2" x14ac:dyDescent="0.2">
      <c r="A453" s="583">
        <v>42999</v>
      </c>
      <c r="B453" s="557">
        <v>370759.85</v>
      </c>
    </row>
    <row r="454" spans="1:2" x14ac:dyDescent="0.2">
      <c r="A454" s="583">
        <v>43000</v>
      </c>
      <c r="B454" s="557">
        <v>389878.66</v>
      </c>
    </row>
    <row r="455" spans="1:2" x14ac:dyDescent="0.2">
      <c r="A455" s="583">
        <v>43003</v>
      </c>
      <c r="B455" s="557">
        <v>393013.02</v>
      </c>
    </row>
    <row r="456" spans="1:2" x14ac:dyDescent="0.2">
      <c r="A456" s="583">
        <v>43004</v>
      </c>
      <c r="B456" s="557">
        <v>393593.22</v>
      </c>
    </row>
    <row r="457" spans="1:2" x14ac:dyDescent="0.2">
      <c r="A457" s="583">
        <v>43005</v>
      </c>
      <c r="B457" s="557">
        <v>393593</v>
      </c>
    </row>
    <row r="458" spans="1:2" x14ac:dyDescent="0.2">
      <c r="A458" s="583">
        <v>43006</v>
      </c>
      <c r="B458" s="557">
        <v>385433.95</v>
      </c>
    </row>
    <row r="459" spans="1:2" x14ac:dyDescent="0.2">
      <c r="A459" s="583">
        <v>43007</v>
      </c>
      <c r="B459" s="557">
        <v>385678.15</v>
      </c>
    </row>
    <row r="460" spans="1:2" x14ac:dyDescent="0.2">
      <c r="A460" s="583">
        <v>43010</v>
      </c>
      <c r="B460" s="557">
        <v>350949.28</v>
      </c>
    </row>
    <row r="461" spans="1:2" x14ac:dyDescent="0.2">
      <c r="A461" s="583">
        <v>43011</v>
      </c>
      <c r="B461" s="557">
        <v>352010.98</v>
      </c>
    </row>
    <row r="462" spans="1:2" x14ac:dyDescent="0.2">
      <c r="A462" s="583">
        <v>43012</v>
      </c>
      <c r="B462" s="557">
        <v>352011</v>
      </c>
    </row>
    <row r="463" spans="1:2" x14ac:dyDescent="0.2">
      <c r="A463" s="583">
        <v>43013</v>
      </c>
      <c r="B463" s="557">
        <v>348679</v>
      </c>
    </row>
    <row r="464" spans="1:2" x14ac:dyDescent="0.2">
      <c r="A464" s="583">
        <v>43014</v>
      </c>
      <c r="B464" s="557">
        <v>348679</v>
      </c>
    </row>
    <row r="465" spans="1:2" x14ac:dyDescent="0.2">
      <c r="A465" s="583">
        <v>43017</v>
      </c>
      <c r="B465" s="557">
        <v>348679</v>
      </c>
    </row>
    <row r="466" spans="1:2" x14ac:dyDescent="0.2">
      <c r="A466" s="583">
        <v>43018</v>
      </c>
      <c r="B466" s="557">
        <v>348679</v>
      </c>
    </row>
    <row r="467" spans="1:2" x14ac:dyDescent="0.2">
      <c r="A467" s="583">
        <v>43019</v>
      </c>
      <c r="B467" s="557">
        <v>348761.24</v>
      </c>
    </row>
    <row r="468" spans="1:2" x14ac:dyDescent="0.2">
      <c r="A468" s="583">
        <v>43020</v>
      </c>
      <c r="B468" s="557">
        <v>349998.26</v>
      </c>
    </row>
    <row r="469" spans="1:2" x14ac:dyDescent="0.2">
      <c r="A469" s="583">
        <v>43021</v>
      </c>
      <c r="B469" s="557">
        <v>370561.14</v>
      </c>
    </row>
    <row r="470" spans="1:2" x14ac:dyDescent="0.2">
      <c r="A470" s="583">
        <v>43024</v>
      </c>
      <c r="B470" s="557">
        <v>336220.14</v>
      </c>
    </row>
    <row r="471" spans="1:2" x14ac:dyDescent="0.2">
      <c r="A471" s="583">
        <v>43025</v>
      </c>
      <c r="B471" s="557">
        <v>336332.14</v>
      </c>
    </row>
    <row r="472" spans="1:2" x14ac:dyDescent="0.2">
      <c r="A472" s="583">
        <v>43026</v>
      </c>
      <c r="B472" s="557">
        <v>336332</v>
      </c>
    </row>
    <row r="473" spans="1:2" x14ac:dyDescent="0.2">
      <c r="A473" s="583">
        <v>43027</v>
      </c>
      <c r="B473" s="557">
        <v>339185.02</v>
      </c>
    </row>
    <row r="474" spans="1:2" x14ac:dyDescent="0.2">
      <c r="A474" s="583">
        <v>43028</v>
      </c>
      <c r="B474" s="557">
        <v>344936.35</v>
      </c>
    </row>
    <row r="475" spans="1:2" x14ac:dyDescent="0.2">
      <c r="A475" s="583">
        <v>43031</v>
      </c>
      <c r="B475" s="557">
        <v>344564.68</v>
      </c>
    </row>
    <row r="476" spans="1:2" x14ac:dyDescent="0.2">
      <c r="A476" s="583">
        <v>43032</v>
      </c>
      <c r="B476" s="557">
        <v>344565</v>
      </c>
    </row>
    <row r="477" spans="1:2" x14ac:dyDescent="0.2">
      <c r="A477" s="583">
        <v>43033</v>
      </c>
      <c r="B477" s="557">
        <v>344829.18</v>
      </c>
    </row>
    <row r="478" spans="1:2" x14ac:dyDescent="0.2">
      <c r="A478" s="583">
        <v>43034</v>
      </c>
      <c r="B478" s="557">
        <v>339942.05</v>
      </c>
    </row>
    <row r="479" spans="1:2" x14ac:dyDescent="0.2">
      <c r="A479" s="583">
        <v>43035</v>
      </c>
      <c r="B479" s="557">
        <v>360185.72</v>
      </c>
    </row>
    <row r="480" spans="1:2" x14ac:dyDescent="0.2">
      <c r="A480" s="583">
        <v>43038</v>
      </c>
      <c r="B480" s="557">
        <v>323067.73</v>
      </c>
    </row>
    <row r="481" spans="1:2" x14ac:dyDescent="0.2">
      <c r="A481" s="583">
        <v>43039</v>
      </c>
      <c r="B481" s="557">
        <v>323197.73</v>
      </c>
    </row>
    <row r="482" spans="1:2" x14ac:dyDescent="0.2">
      <c r="A482" s="583">
        <v>43040</v>
      </c>
      <c r="B482" s="557">
        <v>323198</v>
      </c>
    </row>
    <row r="483" spans="1:2" x14ac:dyDescent="0.2">
      <c r="A483" s="583">
        <v>43041</v>
      </c>
      <c r="B483" s="557">
        <v>341044.7</v>
      </c>
    </row>
    <row r="484" spans="1:2" x14ac:dyDescent="0.2">
      <c r="A484" s="583">
        <v>43042</v>
      </c>
      <c r="B484" s="557">
        <v>341676.17</v>
      </c>
    </row>
    <row r="485" spans="1:2" x14ac:dyDescent="0.2">
      <c r="A485" s="583">
        <v>43045</v>
      </c>
      <c r="B485" s="557">
        <v>341676</v>
      </c>
    </row>
    <row r="486" spans="1:2" x14ac:dyDescent="0.2">
      <c r="A486" s="583">
        <v>43046</v>
      </c>
      <c r="B486" s="557">
        <v>341676</v>
      </c>
    </row>
    <row r="487" spans="1:2" x14ac:dyDescent="0.2">
      <c r="A487" s="583">
        <v>43047</v>
      </c>
      <c r="B487" s="557">
        <v>379863.97</v>
      </c>
    </row>
    <row r="488" spans="1:2" x14ac:dyDescent="0.2">
      <c r="A488" s="583">
        <v>43048</v>
      </c>
      <c r="B488" s="557">
        <v>378842.06</v>
      </c>
    </row>
    <row r="489" spans="1:2" x14ac:dyDescent="0.2">
      <c r="A489" s="583">
        <v>43049</v>
      </c>
      <c r="B489" s="557">
        <v>378842</v>
      </c>
    </row>
    <row r="490" spans="1:2" x14ac:dyDescent="0.2">
      <c r="A490" s="583">
        <v>43052</v>
      </c>
      <c r="B490" s="557">
        <v>340784.14</v>
      </c>
    </row>
    <row r="491" spans="1:2" x14ac:dyDescent="0.2">
      <c r="A491" s="583">
        <v>43053</v>
      </c>
      <c r="B491" s="557">
        <v>340784</v>
      </c>
    </row>
    <row r="492" spans="1:2" x14ac:dyDescent="0.2">
      <c r="A492" s="583">
        <v>43054</v>
      </c>
      <c r="B492" s="557">
        <v>340895.76</v>
      </c>
    </row>
    <row r="493" spans="1:2" x14ac:dyDescent="0.2">
      <c r="A493" s="583">
        <v>43055</v>
      </c>
      <c r="B493" s="557">
        <v>354246.44</v>
      </c>
    </row>
    <row r="494" spans="1:2" x14ac:dyDescent="0.2">
      <c r="A494" s="583">
        <v>43056</v>
      </c>
      <c r="B494" s="557">
        <v>354246.44</v>
      </c>
    </row>
    <row r="495" spans="1:2" x14ac:dyDescent="0.2">
      <c r="A495" s="583">
        <v>43059</v>
      </c>
      <c r="B495" s="557">
        <v>354264.44</v>
      </c>
    </row>
    <row r="496" spans="1:2" x14ac:dyDescent="0.2">
      <c r="A496" s="583">
        <v>43060</v>
      </c>
      <c r="B496" s="557">
        <v>354264</v>
      </c>
    </row>
    <row r="497" spans="1:2" x14ac:dyDescent="0.2">
      <c r="A497" s="583">
        <v>43061</v>
      </c>
      <c r="B497" s="557">
        <v>357804.55</v>
      </c>
    </row>
    <row r="498" spans="1:2" x14ac:dyDescent="0.2">
      <c r="A498" s="583">
        <v>43062</v>
      </c>
      <c r="B498" s="557">
        <v>357805</v>
      </c>
    </row>
    <row r="499" spans="1:2" x14ac:dyDescent="0.2">
      <c r="A499" s="583">
        <v>43063</v>
      </c>
      <c r="B499" s="557">
        <v>361119.05</v>
      </c>
    </row>
    <row r="500" spans="1:2" x14ac:dyDescent="0.2">
      <c r="A500" s="583">
        <v>43066</v>
      </c>
      <c r="B500" s="557">
        <v>318415.71000000002</v>
      </c>
    </row>
    <row r="501" spans="1:2" x14ac:dyDescent="0.2">
      <c r="A501" s="583">
        <v>43067</v>
      </c>
      <c r="B501" s="557">
        <v>320237.53999999998</v>
      </c>
    </row>
    <row r="502" spans="1:2" x14ac:dyDescent="0.2">
      <c r="A502" s="583">
        <v>43068</v>
      </c>
      <c r="B502" s="557">
        <v>320237.53999999998</v>
      </c>
    </row>
    <row r="503" spans="1:2" x14ac:dyDescent="0.2">
      <c r="A503" s="583">
        <v>43069</v>
      </c>
      <c r="B503" s="557">
        <v>325286.46999999997</v>
      </c>
    </row>
    <row r="504" spans="1:2" x14ac:dyDescent="0.2">
      <c r="A504" s="583">
        <v>43070</v>
      </c>
      <c r="B504" s="557">
        <v>334247.03000000003</v>
      </c>
    </row>
    <row r="505" spans="1:2" x14ac:dyDescent="0.2">
      <c r="A505" s="583">
        <v>43073</v>
      </c>
      <c r="B505" s="557">
        <v>334247</v>
      </c>
    </row>
    <row r="506" spans="1:2" x14ac:dyDescent="0.2">
      <c r="A506" s="583">
        <v>43074</v>
      </c>
      <c r="B506" s="557">
        <v>334247.03000000003</v>
      </c>
    </row>
    <row r="507" spans="1:2" x14ac:dyDescent="0.2">
      <c r="A507" s="583">
        <v>43075</v>
      </c>
      <c r="B507" s="557">
        <v>334247</v>
      </c>
    </row>
    <row r="508" spans="1:2" x14ac:dyDescent="0.2">
      <c r="A508" s="583">
        <v>43076</v>
      </c>
      <c r="B508" s="557">
        <v>323171.46000000002</v>
      </c>
    </row>
    <row r="509" spans="1:2" x14ac:dyDescent="0.2">
      <c r="A509" s="583">
        <v>43077</v>
      </c>
      <c r="B509" s="557">
        <v>324229.90999999997</v>
      </c>
    </row>
    <row r="510" spans="1:2" x14ac:dyDescent="0.2">
      <c r="A510" s="583">
        <v>43080</v>
      </c>
      <c r="B510" s="557">
        <v>324230</v>
      </c>
    </row>
    <row r="511" spans="1:2" x14ac:dyDescent="0.2">
      <c r="A511" s="583">
        <v>43081</v>
      </c>
      <c r="B511" s="557">
        <v>286030.39</v>
      </c>
    </row>
    <row r="512" spans="1:2" x14ac:dyDescent="0.2">
      <c r="A512" s="583">
        <v>43082</v>
      </c>
      <c r="B512" s="557">
        <v>286197.44</v>
      </c>
    </row>
    <row r="513" spans="1:8" x14ac:dyDescent="0.2">
      <c r="A513" s="583">
        <v>43083</v>
      </c>
      <c r="B513" s="557">
        <v>280065.2</v>
      </c>
    </row>
    <row r="514" spans="1:8" x14ac:dyDescent="0.2">
      <c r="A514" s="583">
        <v>43084</v>
      </c>
      <c r="B514" s="557">
        <v>284409.09999999998</v>
      </c>
    </row>
    <row r="515" spans="1:8" x14ac:dyDescent="0.2">
      <c r="A515" s="583">
        <v>43087</v>
      </c>
      <c r="B515" s="557">
        <v>285119.09999999998</v>
      </c>
    </row>
    <row r="516" spans="1:8" x14ac:dyDescent="0.2">
      <c r="A516" s="583">
        <v>43088</v>
      </c>
      <c r="B516" s="557">
        <v>285395.49</v>
      </c>
    </row>
    <row r="517" spans="1:8" x14ac:dyDescent="0.2">
      <c r="A517" s="583">
        <v>43089</v>
      </c>
      <c r="B517" s="557">
        <v>285395</v>
      </c>
    </row>
    <row r="518" spans="1:8" x14ac:dyDescent="0.2">
      <c r="A518" s="583">
        <v>43090</v>
      </c>
      <c r="B518" s="557">
        <v>285542.49</v>
      </c>
    </row>
    <row r="519" spans="1:8" x14ac:dyDescent="0.2">
      <c r="A519" s="583">
        <v>43091</v>
      </c>
      <c r="B519" s="557">
        <v>285542</v>
      </c>
    </row>
    <row r="520" spans="1:8" x14ac:dyDescent="0.2">
      <c r="A520" s="583">
        <v>43094</v>
      </c>
      <c r="B520" s="557">
        <v>285542</v>
      </c>
    </row>
    <row r="521" spans="1:8" x14ac:dyDescent="0.2">
      <c r="A521" s="583">
        <v>43095</v>
      </c>
      <c r="B521" s="557">
        <v>248584.72</v>
      </c>
    </row>
    <row r="522" spans="1:8" x14ac:dyDescent="0.2">
      <c r="A522" s="583">
        <v>43096</v>
      </c>
      <c r="B522" s="557">
        <v>248585</v>
      </c>
    </row>
    <row r="523" spans="1:8" x14ac:dyDescent="0.2">
      <c r="A523" s="583">
        <v>43097</v>
      </c>
      <c r="B523" s="557">
        <v>270685.83</v>
      </c>
    </row>
    <row r="524" spans="1:8" x14ac:dyDescent="0.2">
      <c r="A524" s="583">
        <v>43098</v>
      </c>
      <c r="B524" s="557">
        <v>282558.58</v>
      </c>
    </row>
    <row r="525" spans="1:8" x14ac:dyDescent="0.2">
      <c r="A525" s="583">
        <v>43101</v>
      </c>
      <c r="B525" s="557">
        <v>282559</v>
      </c>
      <c r="F525" s="559"/>
      <c r="G525" t="s">
        <v>209</v>
      </c>
      <c r="H525" t="s">
        <v>245</v>
      </c>
    </row>
    <row r="526" spans="1:8" x14ac:dyDescent="0.2">
      <c r="A526" s="583">
        <v>43102</v>
      </c>
      <c r="B526" s="557">
        <v>282508.58</v>
      </c>
      <c r="F526" s="559">
        <v>42370</v>
      </c>
      <c r="G526" s="560">
        <v>369484</v>
      </c>
      <c r="H526" s="695">
        <v>31036</v>
      </c>
    </row>
    <row r="527" spans="1:8" x14ac:dyDescent="0.2">
      <c r="A527" s="583">
        <v>43103</v>
      </c>
      <c r="B527" s="557">
        <v>282509</v>
      </c>
      <c r="F527" s="559">
        <v>42401</v>
      </c>
      <c r="G527" s="560">
        <v>295493.53000000003</v>
      </c>
      <c r="H527" s="695">
        <v>31035.72</v>
      </c>
    </row>
    <row r="528" spans="1:8" x14ac:dyDescent="0.2">
      <c r="A528" s="583">
        <v>43104</v>
      </c>
      <c r="B528" s="557">
        <v>283213.14</v>
      </c>
      <c r="F528" s="559">
        <v>42430</v>
      </c>
      <c r="G528" s="560">
        <v>255865.07</v>
      </c>
      <c r="H528" s="695">
        <v>151035.72</v>
      </c>
    </row>
    <row r="529" spans="1:13" x14ac:dyDescent="0.2">
      <c r="A529" s="583">
        <v>43105</v>
      </c>
      <c r="B529" s="557">
        <v>297779.06</v>
      </c>
      <c r="F529" s="559">
        <v>42461</v>
      </c>
      <c r="G529" s="560">
        <v>294098.96000000002</v>
      </c>
      <c r="H529" s="695">
        <v>151036</v>
      </c>
    </row>
    <row r="530" spans="1:13" x14ac:dyDescent="0.2">
      <c r="A530" s="583">
        <v>43108</v>
      </c>
      <c r="B530" s="557">
        <v>263886.2</v>
      </c>
      <c r="F530" s="559">
        <v>42491</v>
      </c>
      <c r="G530" s="560">
        <v>333922.02</v>
      </c>
      <c r="H530" s="695">
        <v>151087.09</v>
      </c>
    </row>
    <row r="531" spans="1:13" x14ac:dyDescent="0.2">
      <c r="A531" s="583">
        <v>43109</v>
      </c>
      <c r="B531" s="557">
        <v>277030.96999999997</v>
      </c>
      <c r="F531" s="559">
        <v>42551</v>
      </c>
      <c r="G531" s="560">
        <v>384005.8</v>
      </c>
      <c r="H531" s="695">
        <v>151336.84</v>
      </c>
    </row>
    <row r="532" spans="1:13" x14ac:dyDescent="0.2">
      <c r="A532" s="583">
        <v>43110</v>
      </c>
      <c r="B532" s="557">
        <v>277031</v>
      </c>
      <c r="F532" s="559">
        <v>42582</v>
      </c>
      <c r="G532" s="560">
        <v>292004.15999999997</v>
      </c>
      <c r="H532" s="695">
        <v>151611.29999999999</v>
      </c>
    </row>
    <row r="533" spans="1:13" x14ac:dyDescent="0.2">
      <c r="A533" s="583">
        <v>43111</v>
      </c>
      <c r="B533" s="557">
        <v>281394.14</v>
      </c>
      <c r="F533" s="559">
        <v>42583</v>
      </c>
      <c r="G533" s="560">
        <v>182562.29</v>
      </c>
      <c r="H533" s="695">
        <v>151776.70000000001</v>
      </c>
    </row>
    <row r="534" spans="1:13" x14ac:dyDescent="0.2">
      <c r="A534" s="583">
        <v>43112</v>
      </c>
      <c r="B534" s="557">
        <v>281470.18</v>
      </c>
      <c r="F534" s="559">
        <v>42614</v>
      </c>
      <c r="G534" s="560">
        <v>242442.87</v>
      </c>
      <c r="H534" s="695">
        <v>151844.44</v>
      </c>
    </row>
    <row r="535" spans="1:13" x14ac:dyDescent="0.2">
      <c r="A535" s="583">
        <v>43115</v>
      </c>
      <c r="B535" s="557">
        <v>281470</v>
      </c>
      <c r="F535" s="559">
        <v>42644</v>
      </c>
      <c r="G535" s="560">
        <v>247104.37</v>
      </c>
      <c r="H535" s="695">
        <v>152036.04</v>
      </c>
    </row>
    <row r="536" spans="1:13" x14ac:dyDescent="0.2">
      <c r="A536" s="583">
        <v>43116</v>
      </c>
      <c r="B536" s="557">
        <v>284325.94</v>
      </c>
      <c r="F536" s="559">
        <v>42675</v>
      </c>
      <c r="G536" s="560">
        <v>246462.95</v>
      </c>
      <c r="H536" s="695">
        <v>152464.91</v>
      </c>
    </row>
    <row r="537" spans="1:13" x14ac:dyDescent="0.2">
      <c r="A537" s="583">
        <v>43117</v>
      </c>
      <c r="B537" s="557">
        <v>305911.78000000003</v>
      </c>
      <c r="F537" s="559">
        <v>42705</v>
      </c>
      <c r="G537" s="560">
        <v>249839.51</v>
      </c>
      <c r="H537" s="695">
        <v>154533.13</v>
      </c>
    </row>
    <row r="538" spans="1:13" x14ac:dyDescent="0.2">
      <c r="A538" s="583">
        <v>43118</v>
      </c>
      <c r="B538" s="557">
        <v>305752.93</v>
      </c>
      <c r="F538" s="559">
        <v>42736</v>
      </c>
      <c r="G538" s="560">
        <v>351420</v>
      </c>
      <c r="H538" s="695">
        <v>155633.59</v>
      </c>
    </row>
    <row r="539" spans="1:13" x14ac:dyDescent="0.2">
      <c r="A539" s="583">
        <v>43119</v>
      </c>
      <c r="B539" s="557">
        <v>332730.14</v>
      </c>
      <c r="F539" s="559">
        <v>42767</v>
      </c>
      <c r="G539" s="560">
        <v>253330</v>
      </c>
      <c r="H539" s="695">
        <v>158448.25</v>
      </c>
    </row>
    <row r="540" spans="1:13" x14ac:dyDescent="0.2">
      <c r="A540" s="583">
        <v>43122</v>
      </c>
      <c r="B540" s="557">
        <v>291419.49</v>
      </c>
      <c r="F540" s="559">
        <v>42795</v>
      </c>
      <c r="G540" s="560">
        <v>280744</v>
      </c>
      <c r="H540" s="695">
        <v>159113.29</v>
      </c>
    </row>
    <row r="541" spans="1:13" x14ac:dyDescent="0.2">
      <c r="A541" s="583">
        <v>43123</v>
      </c>
      <c r="B541" s="557">
        <v>293419.65000000002</v>
      </c>
      <c r="F541" s="559">
        <v>42826</v>
      </c>
      <c r="G541" s="560">
        <v>319478.15999999997</v>
      </c>
      <c r="H541" s="695">
        <v>159614.53</v>
      </c>
    </row>
    <row r="542" spans="1:13" x14ac:dyDescent="0.2">
      <c r="A542" s="583">
        <v>43124</v>
      </c>
      <c r="B542" s="557">
        <v>293420</v>
      </c>
      <c r="F542" s="559">
        <v>42856</v>
      </c>
      <c r="G542" s="560">
        <v>241828.1</v>
      </c>
      <c r="H542" s="695">
        <v>160436.21</v>
      </c>
      <c r="L542" t="s">
        <v>451</v>
      </c>
    </row>
    <row r="543" spans="1:13" x14ac:dyDescent="0.2">
      <c r="A543" s="583">
        <v>43125</v>
      </c>
      <c r="B543" s="557">
        <v>301331.82</v>
      </c>
      <c r="F543" s="559">
        <v>42887</v>
      </c>
      <c r="G543" s="560">
        <v>248981.18</v>
      </c>
      <c r="H543" s="695">
        <v>160443.22</v>
      </c>
      <c r="L543" t="s">
        <v>452</v>
      </c>
      <c r="M543" s="695">
        <f>'Dec''18 State of Activities'!G9</f>
        <v>943343.57</v>
      </c>
    </row>
    <row r="544" spans="1:13" x14ac:dyDescent="0.2">
      <c r="A544" s="583">
        <v>43126</v>
      </c>
      <c r="B544" s="557">
        <v>327084.28999999998</v>
      </c>
      <c r="F544" s="559">
        <v>42917</v>
      </c>
      <c r="G544" s="560">
        <v>268937.63</v>
      </c>
      <c r="H544" s="695">
        <v>161526.35999999999</v>
      </c>
      <c r="L544" t="s">
        <v>453</v>
      </c>
      <c r="M544" s="266">
        <f>'Dec''18 State of Activities'!G11</f>
        <v>153483.23000000001</v>
      </c>
    </row>
    <row r="545" spans="1:13" x14ac:dyDescent="0.2">
      <c r="A545" s="583">
        <v>43129</v>
      </c>
      <c r="B545" s="557">
        <v>327084</v>
      </c>
      <c r="F545" s="559">
        <v>42948</v>
      </c>
      <c r="G545" s="560">
        <v>198251.6</v>
      </c>
      <c r="H545" s="695">
        <v>162013.01</v>
      </c>
      <c r="L545" t="s">
        <v>454</v>
      </c>
      <c r="M545" s="266">
        <f>'Dec''18 State of Activities'!G10</f>
        <v>4698.29</v>
      </c>
    </row>
    <row r="546" spans="1:13" x14ac:dyDescent="0.2">
      <c r="A546" s="583">
        <v>43130</v>
      </c>
      <c r="B546" s="557">
        <v>327084</v>
      </c>
      <c r="F546" s="559">
        <v>42979</v>
      </c>
      <c r="G546" s="560">
        <v>178964.63</v>
      </c>
      <c r="H546" s="695">
        <v>163493.49</v>
      </c>
      <c r="L546" t="s">
        <v>455</v>
      </c>
      <c r="M546" s="266">
        <f>'Dec''18 State of Activities'!G12</f>
        <v>44022.26</v>
      </c>
    </row>
    <row r="547" spans="1:13" x14ac:dyDescent="0.2">
      <c r="A547" s="583">
        <v>43131</v>
      </c>
      <c r="B547" s="557">
        <v>337130.63</v>
      </c>
      <c r="F547" s="559">
        <v>43009</v>
      </c>
      <c r="G547" s="560">
        <v>199171.39</v>
      </c>
      <c r="H547" s="695">
        <v>164090.28</v>
      </c>
      <c r="L547" t="s">
        <v>456</v>
      </c>
      <c r="M547" s="266">
        <f>'Dec''18 State of Activities'!G14</f>
        <v>163055.47</v>
      </c>
    </row>
    <row r="548" spans="1:13" x14ac:dyDescent="0.2">
      <c r="A548" s="583">
        <v>43132</v>
      </c>
      <c r="B548" s="557">
        <v>334292.59999999998</v>
      </c>
      <c r="F548" s="559">
        <v>43040</v>
      </c>
      <c r="G548" s="560">
        <v>180584.58</v>
      </c>
      <c r="H548" s="695">
        <v>164908.01</v>
      </c>
      <c r="L548" t="s">
        <v>457</v>
      </c>
      <c r="M548" s="266">
        <f>'Dec''18 State of Activities'!G15</f>
        <v>13000</v>
      </c>
    </row>
    <row r="549" spans="1:13" x14ac:dyDescent="0.2">
      <c r="A549" s="583">
        <v>43133</v>
      </c>
      <c r="B549" s="557">
        <v>335977.23</v>
      </c>
      <c r="F549" s="559">
        <v>43070</v>
      </c>
      <c r="G549" s="560">
        <v>258260.86</v>
      </c>
      <c r="H549" s="695">
        <v>164937.87</v>
      </c>
      <c r="L549" t="s">
        <v>458</v>
      </c>
      <c r="M549">
        <v>50000</v>
      </c>
    </row>
    <row r="550" spans="1:13" x14ac:dyDescent="0.2">
      <c r="A550" s="583">
        <v>43136</v>
      </c>
      <c r="B550" s="557">
        <v>300614.99</v>
      </c>
      <c r="F550" s="559">
        <v>43101</v>
      </c>
      <c r="G550" s="560">
        <v>297556.56</v>
      </c>
      <c r="H550" s="695">
        <v>167966.33</v>
      </c>
      <c r="L550" t="s">
        <v>459</v>
      </c>
      <c r="M550">
        <v>19000</v>
      </c>
    </row>
    <row r="551" spans="1:13" x14ac:dyDescent="0.2">
      <c r="A551" s="583">
        <v>43137</v>
      </c>
      <c r="B551" s="557">
        <v>295509.53999999998</v>
      </c>
      <c r="F551" s="559">
        <v>43132</v>
      </c>
      <c r="G551" s="560">
        <v>287550</v>
      </c>
      <c r="H551" s="695">
        <v>164746.72</v>
      </c>
    </row>
    <row r="552" spans="1:13" x14ac:dyDescent="0.2">
      <c r="A552" s="583">
        <v>43138</v>
      </c>
      <c r="B552" s="557">
        <v>295510</v>
      </c>
      <c r="F552" s="559">
        <v>43160</v>
      </c>
      <c r="G552" s="560">
        <v>277699.34999999998</v>
      </c>
      <c r="H552" s="695">
        <v>163400.39000000001</v>
      </c>
      <c r="L552" t="s">
        <v>461</v>
      </c>
      <c r="M552" s="695">
        <f>SUM(M543:M551)</f>
        <v>1390602.82</v>
      </c>
    </row>
    <row r="553" spans="1:13" x14ac:dyDescent="0.2">
      <c r="A553" s="583">
        <v>43139</v>
      </c>
      <c r="B553" s="557">
        <v>295623.09999999998</v>
      </c>
      <c r="F553" s="559">
        <v>43191</v>
      </c>
      <c r="G553" s="560">
        <v>310068.02</v>
      </c>
      <c r="H553" s="695">
        <v>163874.63</v>
      </c>
    </row>
    <row r="554" spans="1:13" x14ac:dyDescent="0.2">
      <c r="A554" s="583">
        <v>43140</v>
      </c>
      <c r="B554" s="557">
        <v>295623</v>
      </c>
      <c r="F554" s="559">
        <v>43221</v>
      </c>
      <c r="G554" s="560">
        <v>338828.68</v>
      </c>
      <c r="H554" s="695">
        <v>165109.67000000001</v>
      </c>
      <c r="L554" t="s">
        <v>460</v>
      </c>
      <c r="M554" s="560">
        <f>AVERAGE(G550:G561)</f>
        <v>280889.89</v>
      </c>
    </row>
    <row r="555" spans="1:13" x14ac:dyDescent="0.2">
      <c r="A555" s="583">
        <v>43143</v>
      </c>
      <c r="B555" s="557">
        <v>299232.09999999998</v>
      </c>
      <c r="F555" s="559">
        <v>43252</v>
      </c>
      <c r="G555" s="560">
        <v>316601.96000000002</v>
      </c>
      <c r="H555" s="695">
        <v>164894.5</v>
      </c>
    </row>
    <row r="556" spans="1:13" x14ac:dyDescent="0.2">
      <c r="A556" s="583">
        <v>43144</v>
      </c>
      <c r="B556" s="557">
        <v>304422.01</v>
      </c>
      <c r="F556" s="559">
        <v>43282</v>
      </c>
      <c r="G556" s="560">
        <v>282196.90999999997</v>
      </c>
      <c r="H556" s="695">
        <v>168308.43</v>
      </c>
      <c r="M556" s="795">
        <f>365*M554</f>
        <v>102524809.85000001</v>
      </c>
    </row>
    <row r="557" spans="1:13" x14ac:dyDescent="0.2">
      <c r="A557" s="583">
        <v>43145</v>
      </c>
      <c r="B557" s="557">
        <v>330191.24</v>
      </c>
      <c r="F557" s="559">
        <v>43313</v>
      </c>
      <c r="G557" s="560">
        <v>287391.71999999997</v>
      </c>
      <c r="H557" s="695">
        <v>169314.31</v>
      </c>
      <c r="M557">
        <f>M556/M552</f>
        <v>73.726881878464766</v>
      </c>
    </row>
    <row r="558" spans="1:13" x14ac:dyDescent="0.2">
      <c r="A558" s="583">
        <v>43146</v>
      </c>
      <c r="B558" s="557">
        <v>313471.64</v>
      </c>
      <c r="F558" s="559">
        <v>43344</v>
      </c>
      <c r="G558" s="560">
        <v>327095.84000000003</v>
      </c>
      <c r="H558" s="695">
        <v>170138.99</v>
      </c>
    </row>
    <row r="559" spans="1:13" x14ac:dyDescent="0.2">
      <c r="A559" s="583">
        <v>43147</v>
      </c>
      <c r="B559" s="557">
        <v>313472</v>
      </c>
      <c r="F559" s="559">
        <v>43374</v>
      </c>
      <c r="G559" s="560">
        <v>233470.24</v>
      </c>
      <c r="H559" s="695">
        <v>164332.01</v>
      </c>
    </row>
    <row r="560" spans="1:13" x14ac:dyDescent="0.2">
      <c r="A560" s="583">
        <v>43150</v>
      </c>
      <c r="B560" s="557">
        <v>313472</v>
      </c>
      <c r="F560" s="559">
        <v>43405</v>
      </c>
      <c r="G560" s="560">
        <v>166505.09</v>
      </c>
    </row>
    <row r="561" spans="1:7" x14ac:dyDescent="0.2">
      <c r="A561" s="583">
        <v>43151</v>
      </c>
      <c r="B561" s="557">
        <v>277471.58</v>
      </c>
      <c r="F561" s="559">
        <v>43435</v>
      </c>
      <c r="G561" s="560">
        <f>245464.81+249.5</f>
        <v>245714.31</v>
      </c>
    </row>
    <row r="562" spans="1:7" x14ac:dyDescent="0.2">
      <c r="A562" s="583">
        <v>43152</v>
      </c>
      <c r="B562" s="557">
        <v>287526.92</v>
      </c>
      <c r="F562" s="559">
        <v>43466</v>
      </c>
      <c r="G562" s="560"/>
    </row>
    <row r="563" spans="1:7" x14ac:dyDescent="0.2">
      <c r="A563" s="583">
        <v>43153</v>
      </c>
      <c r="B563" s="557">
        <v>296486.64</v>
      </c>
      <c r="F563" s="559">
        <v>43497</v>
      </c>
      <c r="G563" s="560"/>
    </row>
    <row r="564" spans="1:7" x14ac:dyDescent="0.2">
      <c r="A564" s="583">
        <v>43154</v>
      </c>
      <c r="B564" s="557">
        <v>296487</v>
      </c>
      <c r="F564" s="559">
        <v>43525</v>
      </c>
      <c r="G564" s="560"/>
    </row>
    <row r="565" spans="1:7" x14ac:dyDescent="0.2">
      <c r="A565" s="583">
        <v>43157</v>
      </c>
      <c r="B565" s="557">
        <v>296487</v>
      </c>
      <c r="F565" s="559">
        <v>43556</v>
      </c>
      <c r="G565" s="560"/>
    </row>
    <row r="566" spans="1:7" x14ac:dyDescent="0.2">
      <c r="A566" s="583">
        <v>43158</v>
      </c>
      <c r="B566" s="557">
        <v>335911.5</v>
      </c>
      <c r="F566" s="559">
        <v>43586</v>
      </c>
      <c r="G566" s="560"/>
    </row>
    <row r="567" spans="1:7" x14ac:dyDescent="0.2">
      <c r="A567" s="583">
        <v>43159</v>
      </c>
      <c r="B567" s="557">
        <v>335912</v>
      </c>
      <c r="F567" s="559">
        <v>43617</v>
      </c>
      <c r="G567" s="560"/>
    </row>
    <row r="568" spans="1:7" x14ac:dyDescent="0.2">
      <c r="A568" s="583">
        <v>43160</v>
      </c>
      <c r="B568" s="557">
        <v>330042.21999999997</v>
      </c>
    </row>
    <row r="569" spans="1:7" x14ac:dyDescent="0.2">
      <c r="A569" s="583">
        <v>43161</v>
      </c>
      <c r="B569" s="625">
        <v>367034.5</v>
      </c>
    </row>
    <row r="570" spans="1:7" x14ac:dyDescent="0.2">
      <c r="A570" s="583">
        <v>43164</v>
      </c>
      <c r="B570" s="557">
        <v>330990.42</v>
      </c>
    </row>
    <row r="571" spans="1:7" x14ac:dyDescent="0.2">
      <c r="A571" s="583">
        <v>43165</v>
      </c>
      <c r="B571" s="557">
        <v>333065.89</v>
      </c>
    </row>
    <row r="572" spans="1:7" x14ac:dyDescent="0.2">
      <c r="A572" s="583">
        <v>43166</v>
      </c>
      <c r="B572" s="557">
        <v>331065.89</v>
      </c>
    </row>
    <row r="573" spans="1:7" x14ac:dyDescent="0.2">
      <c r="A573" s="583">
        <v>43167</v>
      </c>
      <c r="B573" s="557">
        <v>331092.17</v>
      </c>
    </row>
    <row r="574" spans="1:7" x14ac:dyDescent="0.2">
      <c r="A574" s="583">
        <v>43168</v>
      </c>
      <c r="B574" s="557">
        <v>311733.17</v>
      </c>
    </row>
    <row r="575" spans="1:7" x14ac:dyDescent="0.2">
      <c r="A575" s="583">
        <v>43171</v>
      </c>
      <c r="B575" s="557">
        <v>317116.19</v>
      </c>
    </row>
    <row r="576" spans="1:7" x14ac:dyDescent="0.2">
      <c r="A576" s="583">
        <v>43172</v>
      </c>
      <c r="B576" s="557">
        <v>317116</v>
      </c>
    </row>
    <row r="577" spans="1:4" x14ac:dyDescent="0.2">
      <c r="A577" s="583">
        <v>43173</v>
      </c>
      <c r="B577" s="557">
        <v>317496.19</v>
      </c>
    </row>
    <row r="578" spans="1:4" x14ac:dyDescent="0.2">
      <c r="A578" s="583">
        <v>43174</v>
      </c>
      <c r="B578" s="557">
        <v>317772.45</v>
      </c>
    </row>
    <row r="579" spans="1:4" x14ac:dyDescent="0.2">
      <c r="A579" s="583">
        <v>43175</v>
      </c>
      <c r="B579" s="557">
        <v>317772</v>
      </c>
      <c r="C579" s="583"/>
      <c r="D579" s="557"/>
    </row>
    <row r="580" spans="1:4" x14ac:dyDescent="0.2">
      <c r="A580" s="583">
        <v>43178</v>
      </c>
      <c r="B580" s="557">
        <v>279446.55</v>
      </c>
      <c r="C580" s="583"/>
      <c r="D580" s="557"/>
    </row>
    <row r="581" spans="1:4" x14ac:dyDescent="0.2">
      <c r="A581" s="583">
        <v>43179</v>
      </c>
      <c r="B581" s="557">
        <v>272785.62</v>
      </c>
      <c r="C581" s="583"/>
      <c r="D581" s="557"/>
    </row>
    <row r="582" spans="1:4" x14ac:dyDescent="0.2">
      <c r="A582" s="583">
        <v>43180</v>
      </c>
      <c r="B582" s="557">
        <v>288240.15999999997</v>
      </c>
      <c r="C582" s="583"/>
      <c r="D582" s="557"/>
    </row>
    <row r="583" spans="1:4" x14ac:dyDescent="0.2">
      <c r="A583" s="583">
        <v>43181</v>
      </c>
      <c r="B583" s="557">
        <v>278742.74</v>
      </c>
      <c r="C583" s="583"/>
      <c r="D583" s="557"/>
    </row>
    <row r="584" spans="1:4" x14ac:dyDescent="0.2">
      <c r="A584" s="583">
        <v>43182</v>
      </c>
      <c r="B584" s="557">
        <v>278840.24</v>
      </c>
      <c r="C584" s="583"/>
      <c r="D584" s="557"/>
    </row>
    <row r="585" spans="1:4" x14ac:dyDescent="0.2">
      <c r="A585" s="583">
        <v>43185</v>
      </c>
      <c r="B585" s="557">
        <v>278942.24</v>
      </c>
      <c r="C585" s="583"/>
      <c r="D585" s="557"/>
    </row>
    <row r="586" spans="1:4" x14ac:dyDescent="0.2">
      <c r="A586" s="583">
        <v>43186</v>
      </c>
      <c r="B586" s="557">
        <v>257048.49</v>
      </c>
      <c r="C586" s="583"/>
      <c r="D586" s="557"/>
    </row>
    <row r="587" spans="1:4" x14ac:dyDescent="0.2">
      <c r="A587" s="583">
        <v>43187</v>
      </c>
      <c r="B587" s="557">
        <v>252662.47</v>
      </c>
      <c r="C587" s="583"/>
      <c r="D587" s="557"/>
    </row>
    <row r="588" spans="1:4" x14ac:dyDescent="0.2">
      <c r="A588" s="583">
        <v>43188</v>
      </c>
      <c r="B588" s="557">
        <v>254708.73</v>
      </c>
      <c r="C588" s="583"/>
      <c r="D588" s="557"/>
    </row>
    <row r="589" spans="1:4" x14ac:dyDescent="0.2">
      <c r="A589" s="583">
        <v>43189</v>
      </c>
      <c r="B589" s="557">
        <v>281702.86</v>
      </c>
      <c r="C589" s="583"/>
      <c r="D589" s="557"/>
    </row>
    <row r="590" spans="1:4" x14ac:dyDescent="0.2">
      <c r="A590" s="583">
        <v>43192</v>
      </c>
      <c r="B590" s="557">
        <v>244220.77</v>
      </c>
      <c r="C590" s="583"/>
      <c r="D590" s="557"/>
    </row>
    <row r="591" spans="1:4" x14ac:dyDescent="0.2">
      <c r="A591" s="583">
        <v>43193</v>
      </c>
      <c r="B591" s="557">
        <v>244221</v>
      </c>
      <c r="C591" s="583"/>
      <c r="D591" s="557"/>
    </row>
    <row r="592" spans="1:4" x14ac:dyDescent="0.2">
      <c r="A592" s="583">
        <v>43194</v>
      </c>
      <c r="B592" s="557">
        <v>244221</v>
      </c>
      <c r="C592" s="583"/>
      <c r="D592" s="557"/>
    </row>
    <row r="593" spans="1:4" x14ac:dyDescent="0.2">
      <c r="A593" s="583">
        <v>43195</v>
      </c>
      <c r="B593" s="557">
        <v>225503.87</v>
      </c>
      <c r="C593" s="583"/>
      <c r="D593" s="557"/>
    </row>
    <row r="594" spans="1:4" x14ac:dyDescent="0.2">
      <c r="A594" s="583">
        <v>43196</v>
      </c>
      <c r="B594" s="557">
        <v>225504</v>
      </c>
      <c r="C594" s="583"/>
      <c r="D594" s="557"/>
    </row>
    <row r="595" spans="1:4" x14ac:dyDescent="0.2">
      <c r="A595" s="583">
        <v>43199</v>
      </c>
      <c r="B595" s="557">
        <v>225503.8</v>
      </c>
      <c r="C595" s="583"/>
      <c r="D595" s="557"/>
    </row>
    <row r="596" spans="1:4" x14ac:dyDescent="0.2">
      <c r="A596" s="583">
        <v>43200</v>
      </c>
      <c r="B596" s="557">
        <v>227389.96</v>
      </c>
      <c r="C596" s="583"/>
      <c r="D596" s="557"/>
    </row>
    <row r="597" spans="1:4" x14ac:dyDescent="0.2">
      <c r="A597" s="583">
        <v>43201</v>
      </c>
      <c r="B597" s="557">
        <v>235472.53</v>
      </c>
      <c r="C597" s="583"/>
      <c r="D597" s="557"/>
    </row>
    <row r="598" spans="1:4" x14ac:dyDescent="0.2">
      <c r="A598" s="583">
        <v>43202</v>
      </c>
      <c r="B598" s="557">
        <v>222207.84</v>
      </c>
      <c r="C598" s="583"/>
      <c r="D598" s="557"/>
    </row>
    <row r="599" spans="1:4" x14ac:dyDescent="0.2">
      <c r="A599" s="583">
        <v>43203</v>
      </c>
      <c r="B599" s="557">
        <v>222287.93</v>
      </c>
      <c r="C599" s="583"/>
      <c r="D599" s="557"/>
    </row>
    <row r="600" spans="1:4" x14ac:dyDescent="0.2">
      <c r="A600" s="583">
        <v>43206</v>
      </c>
      <c r="B600" s="557">
        <v>186664.28</v>
      </c>
      <c r="C600" s="583"/>
      <c r="D600" s="557"/>
    </row>
    <row r="601" spans="1:4" x14ac:dyDescent="0.2">
      <c r="A601" s="583">
        <v>43207</v>
      </c>
      <c r="B601" s="557">
        <v>188484.95</v>
      </c>
      <c r="C601" s="583"/>
      <c r="D601" s="557"/>
    </row>
    <row r="602" spans="1:4" x14ac:dyDescent="0.2">
      <c r="A602" s="583">
        <v>43208</v>
      </c>
      <c r="B602" s="557">
        <v>188485</v>
      </c>
      <c r="C602" s="583"/>
      <c r="D602" s="557"/>
    </row>
    <row r="603" spans="1:4" x14ac:dyDescent="0.2">
      <c r="A603" s="583">
        <v>43209</v>
      </c>
      <c r="B603" s="557">
        <v>180474.73</v>
      </c>
      <c r="C603" s="583"/>
      <c r="D603" s="557"/>
    </row>
    <row r="604" spans="1:4" x14ac:dyDescent="0.2">
      <c r="A604" s="583">
        <v>43210</v>
      </c>
      <c r="B604" s="557">
        <v>188207.38</v>
      </c>
      <c r="C604" s="583"/>
      <c r="D604" s="557"/>
    </row>
    <row r="605" spans="1:4" x14ac:dyDescent="0.2">
      <c r="A605" s="583">
        <v>43213</v>
      </c>
      <c r="B605" s="557">
        <v>198618.83</v>
      </c>
      <c r="C605" s="583"/>
      <c r="D605" s="557"/>
    </row>
    <row r="606" spans="1:4" x14ac:dyDescent="0.2">
      <c r="A606" s="583">
        <v>43214</v>
      </c>
      <c r="B606" s="557">
        <v>198619</v>
      </c>
      <c r="C606" s="583"/>
      <c r="D606" s="557"/>
    </row>
    <row r="607" spans="1:4" x14ac:dyDescent="0.2">
      <c r="A607" s="583">
        <v>43215</v>
      </c>
      <c r="B607" s="557">
        <v>198619</v>
      </c>
      <c r="C607" s="583"/>
      <c r="D607" s="557"/>
    </row>
    <row r="608" spans="1:4" x14ac:dyDescent="0.2">
      <c r="A608" s="583">
        <v>43216</v>
      </c>
      <c r="B608" s="557">
        <v>189089.55</v>
      </c>
      <c r="C608" s="583"/>
      <c r="D608" s="557"/>
    </row>
    <row r="609" spans="1:4" x14ac:dyDescent="0.2">
      <c r="A609" s="583">
        <v>43217</v>
      </c>
      <c r="B609" s="557">
        <v>216053.77</v>
      </c>
      <c r="C609" s="583"/>
      <c r="D609" s="557"/>
    </row>
    <row r="610" spans="1:4" x14ac:dyDescent="0.2">
      <c r="A610" s="583">
        <v>43220</v>
      </c>
      <c r="B610" s="557">
        <v>179849.52</v>
      </c>
      <c r="C610" s="583"/>
      <c r="D610" s="557"/>
    </row>
    <row r="611" spans="1:4" x14ac:dyDescent="0.2">
      <c r="A611" s="583">
        <v>43221</v>
      </c>
      <c r="B611" s="557">
        <v>179850</v>
      </c>
      <c r="C611" s="583"/>
      <c r="D611" s="557"/>
    </row>
    <row r="612" spans="1:4" x14ac:dyDescent="0.2">
      <c r="A612" s="583">
        <v>43222</v>
      </c>
      <c r="B612" s="557">
        <v>173749.01</v>
      </c>
      <c r="C612" s="583"/>
      <c r="D612" s="557"/>
    </row>
    <row r="613" spans="1:4" x14ac:dyDescent="0.2">
      <c r="A613" s="583">
        <v>43223</v>
      </c>
      <c r="B613" s="557">
        <v>200792.85</v>
      </c>
      <c r="C613" s="583"/>
      <c r="D613" s="557"/>
    </row>
    <row r="614" spans="1:4" x14ac:dyDescent="0.2">
      <c r="A614" s="583">
        <v>43224</v>
      </c>
      <c r="B614" s="557">
        <v>202331.91</v>
      </c>
      <c r="C614" s="583"/>
      <c r="D614" s="557"/>
    </row>
    <row r="615" spans="1:4" x14ac:dyDescent="0.2">
      <c r="A615" s="583">
        <v>43227</v>
      </c>
      <c r="B615" s="557">
        <v>203517.87</v>
      </c>
      <c r="C615" s="583"/>
      <c r="D615" s="557"/>
    </row>
    <row r="616" spans="1:4" x14ac:dyDescent="0.2">
      <c r="A616" s="583">
        <v>43228</v>
      </c>
      <c r="B616" s="557">
        <v>203518</v>
      </c>
      <c r="C616" s="583"/>
      <c r="D616" s="557"/>
    </row>
    <row r="617" spans="1:4" x14ac:dyDescent="0.2">
      <c r="A617" s="583">
        <v>43229</v>
      </c>
      <c r="B617" s="557">
        <v>203518</v>
      </c>
      <c r="C617" s="583"/>
      <c r="D617" s="557"/>
    </row>
    <row r="618" spans="1:4" x14ac:dyDescent="0.2">
      <c r="A618" s="583">
        <v>43230</v>
      </c>
      <c r="B618" s="557">
        <v>191114.58</v>
      </c>
      <c r="C618" s="583"/>
      <c r="D618" s="557"/>
    </row>
    <row r="619" spans="1:4" x14ac:dyDescent="0.2">
      <c r="A619" s="583">
        <v>43231</v>
      </c>
      <c r="B619" s="625">
        <v>153114.57999999999</v>
      </c>
      <c r="C619" s="583"/>
      <c r="D619" s="557"/>
    </row>
    <row r="620" spans="1:4" x14ac:dyDescent="0.2">
      <c r="A620" s="583">
        <v>43234</v>
      </c>
      <c r="B620" s="625">
        <v>153115</v>
      </c>
      <c r="C620" s="583"/>
      <c r="D620" s="557"/>
    </row>
    <row r="621" spans="1:4" x14ac:dyDescent="0.2">
      <c r="A621" s="583">
        <v>43235</v>
      </c>
      <c r="B621" s="557">
        <v>182792.08</v>
      </c>
      <c r="C621" s="583"/>
      <c r="D621" s="557"/>
    </row>
    <row r="622" spans="1:4" x14ac:dyDescent="0.2">
      <c r="A622" s="583">
        <v>43236</v>
      </c>
      <c r="B622" s="557">
        <v>182792</v>
      </c>
      <c r="C622" s="583"/>
      <c r="D622" s="557"/>
    </row>
    <row r="623" spans="1:4" x14ac:dyDescent="0.2">
      <c r="A623" s="583">
        <v>43237</v>
      </c>
      <c r="B623" s="557">
        <v>222152.66</v>
      </c>
      <c r="C623" s="583"/>
      <c r="D623" s="557"/>
    </row>
    <row r="624" spans="1:4" x14ac:dyDescent="0.2">
      <c r="A624" s="583">
        <v>43238</v>
      </c>
      <c r="B624" s="557">
        <v>222153</v>
      </c>
      <c r="C624" s="583"/>
      <c r="D624" s="557"/>
    </row>
    <row r="625" spans="1:4" x14ac:dyDescent="0.2">
      <c r="A625" s="583">
        <v>43241</v>
      </c>
      <c r="B625" s="557">
        <v>222153</v>
      </c>
      <c r="C625" s="583"/>
      <c r="D625" s="557"/>
    </row>
    <row r="626" spans="1:4" x14ac:dyDescent="0.2">
      <c r="A626" s="583">
        <v>43242</v>
      </c>
      <c r="B626" s="557">
        <v>222153</v>
      </c>
      <c r="C626" s="583"/>
      <c r="D626" s="557"/>
    </row>
    <row r="627" spans="1:4" x14ac:dyDescent="0.2">
      <c r="A627" s="583">
        <v>43243</v>
      </c>
      <c r="B627" s="557">
        <v>222152</v>
      </c>
      <c r="C627" s="583"/>
      <c r="D627" s="557"/>
    </row>
    <row r="628" spans="1:4" x14ac:dyDescent="0.2">
      <c r="A628" s="583">
        <v>43244</v>
      </c>
      <c r="B628" s="557">
        <v>211720.43</v>
      </c>
      <c r="C628" s="583"/>
      <c r="D628" s="557"/>
    </row>
    <row r="629" spans="1:4" x14ac:dyDescent="0.2">
      <c r="A629" s="583">
        <v>43245</v>
      </c>
      <c r="B629" s="557">
        <v>211720</v>
      </c>
      <c r="C629" s="583"/>
      <c r="D629" s="557"/>
    </row>
    <row r="630" spans="1:4" x14ac:dyDescent="0.2">
      <c r="A630" s="583">
        <v>43248</v>
      </c>
      <c r="B630" s="557">
        <v>211720</v>
      </c>
      <c r="C630" s="583"/>
      <c r="D630" s="557"/>
    </row>
    <row r="631" spans="1:4" x14ac:dyDescent="0.2">
      <c r="A631" s="583">
        <v>43249</v>
      </c>
      <c r="B631" s="557">
        <v>176327.95</v>
      </c>
      <c r="C631" s="583"/>
      <c r="D631" s="557"/>
    </row>
    <row r="632" spans="1:4" x14ac:dyDescent="0.2">
      <c r="A632" s="583">
        <v>43250</v>
      </c>
      <c r="B632" s="557">
        <v>176328</v>
      </c>
      <c r="C632" s="583"/>
      <c r="D632" s="557"/>
    </row>
    <row r="633" spans="1:4" x14ac:dyDescent="0.2">
      <c r="A633" s="583">
        <v>43251</v>
      </c>
      <c r="B633" s="557">
        <v>169004.5</v>
      </c>
      <c r="C633" s="583"/>
      <c r="D633" s="557"/>
    </row>
    <row r="634" spans="1:4" x14ac:dyDescent="0.2">
      <c r="A634" s="583">
        <v>43252</v>
      </c>
      <c r="B634" s="557">
        <v>261992.26</v>
      </c>
      <c r="C634" s="583"/>
      <c r="D634" s="557"/>
    </row>
    <row r="635" spans="1:4" x14ac:dyDescent="0.2">
      <c r="A635" s="583">
        <v>43255</v>
      </c>
      <c r="B635" s="557">
        <v>270521.09000000003</v>
      </c>
      <c r="C635" s="583"/>
      <c r="D635" s="557"/>
    </row>
    <row r="636" spans="1:4" x14ac:dyDescent="0.2">
      <c r="A636" s="583">
        <v>43256</v>
      </c>
      <c r="B636" s="557">
        <v>285365.09000000003</v>
      </c>
      <c r="C636" s="583"/>
      <c r="D636" s="557"/>
    </row>
    <row r="637" spans="1:4" x14ac:dyDescent="0.2">
      <c r="A637" s="583">
        <v>43257</v>
      </c>
      <c r="B637" s="557">
        <v>285365</v>
      </c>
      <c r="C637" s="583"/>
      <c r="D637" s="557"/>
    </row>
    <row r="638" spans="1:4" x14ac:dyDescent="0.2">
      <c r="A638" s="583">
        <v>43258</v>
      </c>
      <c r="B638" s="557">
        <v>287246.65999999997</v>
      </c>
      <c r="C638" s="583"/>
      <c r="D638" s="557"/>
    </row>
    <row r="639" spans="1:4" x14ac:dyDescent="0.2">
      <c r="A639" s="583">
        <v>43259</v>
      </c>
      <c r="B639" s="557">
        <v>287247</v>
      </c>
      <c r="C639" s="583"/>
      <c r="D639" s="557"/>
    </row>
    <row r="640" spans="1:4" x14ac:dyDescent="0.2">
      <c r="A640" s="583">
        <v>43262</v>
      </c>
      <c r="B640" s="557">
        <v>287247</v>
      </c>
      <c r="C640" s="583"/>
      <c r="D640" s="557"/>
    </row>
    <row r="641" spans="1:4" x14ac:dyDescent="0.2">
      <c r="A641" s="583">
        <v>43263</v>
      </c>
      <c r="B641" s="557">
        <v>253042.79</v>
      </c>
      <c r="C641" s="583"/>
      <c r="D641" s="557"/>
    </row>
    <row r="642" spans="1:4" x14ac:dyDescent="0.2">
      <c r="A642" s="583">
        <v>43264</v>
      </c>
      <c r="B642" s="557">
        <v>253043</v>
      </c>
      <c r="C642" s="583"/>
      <c r="D642" s="557"/>
    </row>
    <row r="643" spans="1:4" x14ac:dyDescent="0.2">
      <c r="A643" s="583">
        <v>43265</v>
      </c>
      <c r="B643" s="557">
        <v>246521.36</v>
      </c>
      <c r="C643" s="583"/>
      <c r="D643" s="557"/>
    </row>
    <row r="644" spans="1:4" x14ac:dyDescent="0.2">
      <c r="A644" s="583">
        <v>43266</v>
      </c>
      <c r="B644" s="557">
        <v>246593.56</v>
      </c>
      <c r="C644" s="583"/>
      <c r="D644" s="557"/>
    </row>
    <row r="645" spans="1:4" x14ac:dyDescent="0.2">
      <c r="A645" s="583">
        <v>43269</v>
      </c>
      <c r="B645" s="557">
        <v>246594</v>
      </c>
      <c r="C645" s="583"/>
      <c r="D645" s="557"/>
    </row>
    <row r="646" spans="1:4" x14ac:dyDescent="0.2">
      <c r="A646" s="583">
        <v>43270</v>
      </c>
      <c r="B646" s="557">
        <v>246594</v>
      </c>
      <c r="C646" s="583"/>
      <c r="D646" s="557"/>
    </row>
    <row r="647" spans="1:4" x14ac:dyDescent="0.2">
      <c r="A647" s="583">
        <v>43271</v>
      </c>
      <c r="B647" s="557">
        <v>246594</v>
      </c>
      <c r="C647" s="583"/>
      <c r="D647" s="557"/>
    </row>
    <row r="648" spans="1:4" x14ac:dyDescent="0.2">
      <c r="A648" s="583">
        <v>43272</v>
      </c>
      <c r="B648" s="557">
        <v>228395.48</v>
      </c>
      <c r="C648" s="583"/>
      <c r="D648" s="557"/>
    </row>
    <row r="649" spans="1:4" x14ac:dyDescent="0.2">
      <c r="A649" s="583">
        <v>43273</v>
      </c>
      <c r="B649" s="557">
        <v>228395</v>
      </c>
      <c r="C649" s="583"/>
      <c r="D649" s="557"/>
    </row>
    <row r="650" spans="1:4" x14ac:dyDescent="0.2">
      <c r="A650" s="583">
        <v>43276</v>
      </c>
      <c r="B650" s="557">
        <v>192627.9</v>
      </c>
      <c r="C650" s="583"/>
      <c r="D650" s="557"/>
    </row>
    <row r="651" spans="1:4" x14ac:dyDescent="0.2">
      <c r="A651" s="583">
        <v>43277</v>
      </c>
      <c r="B651" s="557">
        <v>192628</v>
      </c>
      <c r="C651" s="583"/>
      <c r="D651" s="557"/>
    </row>
    <row r="652" spans="1:4" x14ac:dyDescent="0.2">
      <c r="A652" s="583">
        <v>43278</v>
      </c>
      <c r="B652" s="557">
        <v>192628</v>
      </c>
      <c r="C652" s="583"/>
      <c r="D652" s="557"/>
    </row>
    <row r="653" spans="1:4" x14ac:dyDescent="0.2">
      <c r="A653" s="583">
        <v>43279</v>
      </c>
      <c r="B653" s="557">
        <v>193904.61</v>
      </c>
      <c r="C653" s="583"/>
      <c r="D653" s="557"/>
    </row>
    <row r="654" spans="1:4" x14ac:dyDescent="0.2">
      <c r="A654" s="583">
        <v>43280</v>
      </c>
      <c r="B654" s="557">
        <v>195328.48</v>
      </c>
      <c r="C654" s="583"/>
      <c r="D654" s="557"/>
    </row>
    <row r="655" spans="1:4" x14ac:dyDescent="0.2">
      <c r="A655" s="583">
        <v>43283</v>
      </c>
      <c r="B655" s="557">
        <v>199304.09</v>
      </c>
      <c r="C655" s="583"/>
      <c r="D655" s="557"/>
    </row>
    <row r="656" spans="1:4" x14ac:dyDescent="0.2">
      <c r="A656" s="583">
        <v>43284</v>
      </c>
      <c r="B656" s="557">
        <v>201071.11</v>
      </c>
      <c r="C656" s="583"/>
      <c r="D656" s="557"/>
    </row>
    <row r="657" spans="1:4" x14ac:dyDescent="0.2">
      <c r="A657" s="583">
        <v>43285</v>
      </c>
      <c r="B657" s="557">
        <v>201071</v>
      </c>
      <c r="C657" s="583"/>
      <c r="D657" s="557"/>
    </row>
    <row r="658" spans="1:4" x14ac:dyDescent="0.2">
      <c r="A658" s="583">
        <v>43286</v>
      </c>
      <c r="B658" s="557">
        <v>223298.16</v>
      </c>
      <c r="C658" s="583"/>
      <c r="D658" s="557"/>
    </row>
    <row r="659" spans="1:4" x14ac:dyDescent="0.2">
      <c r="A659" s="583">
        <v>43287</v>
      </c>
      <c r="B659" s="557">
        <v>238962.66</v>
      </c>
      <c r="C659" s="583"/>
      <c r="D659" s="557"/>
    </row>
    <row r="660" spans="1:4" x14ac:dyDescent="0.2">
      <c r="A660" s="583">
        <v>43290</v>
      </c>
      <c r="B660" s="557">
        <v>203086.22</v>
      </c>
      <c r="C660" s="583"/>
      <c r="D660" s="557"/>
    </row>
    <row r="661" spans="1:4" x14ac:dyDescent="0.2">
      <c r="A661" s="583">
        <v>43291</v>
      </c>
      <c r="B661" s="557">
        <v>226930.31</v>
      </c>
      <c r="C661" s="583"/>
      <c r="D661" s="557"/>
    </row>
    <row r="662" spans="1:4" x14ac:dyDescent="0.2">
      <c r="A662" s="583">
        <v>43292</v>
      </c>
      <c r="B662" s="557">
        <v>226930</v>
      </c>
      <c r="C662" s="583"/>
      <c r="D662" s="557"/>
    </row>
    <row r="663" spans="1:4" x14ac:dyDescent="0.2">
      <c r="A663" s="583">
        <v>43293</v>
      </c>
      <c r="B663" s="557">
        <v>220822.05</v>
      </c>
      <c r="C663" s="583"/>
      <c r="D663" s="557"/>
    </row>
    <row r="664" spans="1:4" x14ac:dyDescent="0.2">
      <c r="A664" s="583">
        <v>43294</v>
      </c>
      <c r="B664" s="557">
        <v>220986.35</v>
      </c>
      <c r="C664" s="583"/>
      <c r="D664" s="557"/>
    </row>
    <row r="665" spans="1:4" x14ac:dyDescent="0.2">
      <c r="A665" s="583">
        <v>43297</v>
      </c>
      <c r="B665" s="557">
        <v>220986</v>
      </c>
      <c r="C665" s="583"/>
      <c r="D665" s="557"/>
    </row>
    <row r="666" spans="1:4" x14ac:dyDescent="0.2">
      <c r="A666" s="583">
        <v>43298</v>
      </c>
      <c r="B666" s="557">
        <v>220986</v>
      </c>
      <c r="C666" s="583"/>
      <c r="D666" s="557"/>
    </row>
    <row r="667" spans="1:4" x14ac:dyDescent="0.2">
      <c r="A667" s="583">
        <v>43299</v>
      </c>
      <c r="B667" s="557">
        <v>197995.27</v>
      </c>
      <c r="C667" s="583"/>
      <c r="D667" s="557"/>
    </row>
    <row r="668" spans="1:4" x14ac:dyDescent="0.2">
      <c r="A668" s="583">
        <v>43300</v>
      </c>
      <c r="B668" s="557">
        <v>202931.61</v>
      </c>
      <c r="C668" s="583"/>
      <c r="D668" s="557"/>
    </row>
    <row r="669" spans="1:4" x14ac:dyDescent="0.2">
      <c r="A669" s="583">
        <v>43301</v>
      </c>
      <c r="B669" s="557">
        <v>202932</v>
      </c>
      <c r="C669" s="583"/>
      <c r="D669" s="557"/>
    </row>
    <row r="670" spans="1:4" x14ac:dyDescent="0.2">
      <c r="A670" s="583">
        <v>43304</v>
      </c>
      <c r="B670" s="557">
        <v>167839.6</v>
      </c>
      <c r="C670" s="583"/>
      <c r="D670" s="557"/>
    </row>
    <row r="671" spans="1:4" x14ac:dyDescent="0.2">
      <c r="A671" s="583">
        <v>43305</v>
      </c>
      <c r="B671" s="557">
        <v>167840</v>
      </c>
      <c r="C671" s="583"/>
      <c r="D671" s="557"/>
    </row>
    <row r="672" spans="1:4" x14ac:dyDescent="0.2">
      <c r="A672" s="583">
        <v>43306</v>
      </c>
      <c r="B672" s="557">
        <v>167840</v>
      </c>
      <c r="C672" s="583"/>
      <c r="D672" s="557"/>
    </row>
    <row r="673" spans="1:4" x14ac:dyDescent="0.2">
      <c r="A673" s="583">
        <v>43307</v>
      </c>
      <c r="B673" s="557">
        <v>180485.58</v>
      </c>
      <c r="C673" s="583"/>
      <c r="D673" s="557"/>
    </row>
    <row r="674" spans="1:4" x14ac:dyDescent="0.2">
      <c r="A674" s="583">
        <v>43308</v>
      </c>
      <c r="B674" s="557">
        <v>205676.09</v>
      </c>
      <c r="C674" s="583"/>
      <c r="D674" s="557"/>
    </row>
    <row r="675" spans="1:4" x14ac:dyDescent="0.2">
      <c r="A675" s="583">
        <v>43311</v>
      </c>
      <c r="B675" s="557">
        <v>199229.46</v>
      </c>
      <c r="C675" s="583"/>
      <c r="D675" s="557"/>
    </row>
    <row r="676" spans="1:4" x14ac:dyDescent="0.2">
      <c r="A676" s="583">
        <v>43312</v>
      </c>
      <c r="B676" s="557">
        <v>199612.46</v>
      </c>
      <c r="C676" s="583"/>
      <c r="D676" s="557"/>
    </row>
    <row r="677" spans="1:4" x14ac:dyDescent="0.2">
      <c r="A677" s="583">
        <v>43313</v>
      </c>
      <c r="B677" s="557">
        <v>327321.84000000003</v>
      </c>
      <c r="C677" s="583"/>
      <c r="D677" s="557"/>
    </row>
    <row r="678" spans="1:4" x14ac:dyDescent="0.2">
      <c r="A678" s="583">
        <v>43314</v>
      </c>
      <c r="B678" s="557">
        <v>328551.67</v>
      </c>
      <c r="C678" s="583"/>
      <c r="D678" s="557"/>
    </row>
    <row r="679" spans="1:4" x14ac:dyDescent="0.2">
      <c r="A679" s="583">
        <v>43315</v>
      </c>
      <c r="B679" s="557">
        <v>328552</v>
      </c>
      <c r="C679" s="583"/>
      <c r="D679" s="557"/>
    </row>
    <row r="680" spans="1:4" x14ac:dyDescent="0.2">
      <c r="A680" s="583">
        <v>43318</v>
      </c>
      <c r="B680" s="557">
        <v>293600.95</v>
      </c>
      <c r="C680" s="583"/>
      <c r="D680" s="557"/>
    </row>
    <row r="681" spans="1:4" x14ac:dyDescent="0.2">
      <c r="A681" s="583">
        <v>43319</v>
      </c>
      <c r="B681" s="557">
        <v>298153.56</v>
      </c>
      <c r="C681" s="583"/>
      <c r="D681" s="557"/>
    </row>
    <row r="682" spans="1:4" x14ac:dyDescent="0.2">
      <c r="A682" s="583">
        <v>43320</v>
      </c>
      <c r="B682" s="557">
        <v>298154</v>
      </c>
      <c r="C682" s="583"/>
      <c r="D682" s="557"/>
    </row>
    <row r="683" spans="1:4" x14ac:dyDescent="0.2">
      <c r="A683" s="583">
        <v>43321</v>
      </c>
      <c r="B683" s="557">
        <v>294180.65999999997</v>
      </c>
      <c r="C683" s="583"/>
      <c r="D683" s="557"/>
    </row>
    <row r="684" spans="1:4" x14ac:dyDescent="0.2">
      <c r="A684" s="583">
        <v>43322</v>
      </c>
      <c r="B684" s="557">
        <v>294181</v>
      </c>
      <c r="C684" s="583"/>
      <c r="D684" s="557"/>
    </row>
    <row r="685" spans="1:4" x14ac:dyDescent="0.2">
      <c r="A685" s="583">
        <v>43325</v>
      </c>
      <c r="B685" s="557">
        <v>294679.65999999997</v>
      </c>
      <c r="C685" s="583"/>
      <c r="D685" s="557"/>
    </row>
    <row r="686" spans="1:4" x14ac:dyDescent="0.2">
      <c r="A686" s="583">
        <v>43326</v>
      </c>
      <c r="B686" s="557">
        <v>294680</v>
      </c>
      <c r="C686" s="583"/>
      <c r="D686" s="557"/>
    </row>
    <row r="687" spans="1:4" x14ac:dyDescent="0.2">
      <c r="A687" s="583">
        <v>43327</v>
      </c>
      <c r="B687" s="557">
        <v>294761.65000000002</v>
      </c>
      <c r="C687" s="583"/>
      <c r="D687" s="557"/>
    </row>
    <row r="688" spans="1:4" x14ac:dyDescent="0.2">
      <c r="A688" s="583">
        <v>43328</v>
      </c>
      <c r="B688" s="557">
        <v>290632.52</v>
      </c>
      <c r="C688" s="583"/>
      <c r="D688" s="557"/>
    </row>
    <row r="689" spans="1:4" x14ac:dyDescent="0.2">
      <c r="A689" s="583">
        <v>43329</v>
      </c>
      <c r="B689" s="557">
        <v>290633</v>
      </c>
      <c r="C689" s="583"/>
      <c r="D689" s="557"/>
    </row>
    <row r="690" spans="1:4" x14ac:dyDescent="0.2">
      <c r="A690" s="583">
        <v>43332</v>
      </c>
      <c r="B690" s="557">
        <v>254427.11</v>
      </c>
      <c r="C690" s="583"/>
      <c r="D690" s="557"/>
    </row>
    <row r="691" spans="1:4" x14ac:dyDescent="0.2">
      <c r="A691" s="583">
        <v>43333</v>
      </c>
      <c r="B691" s="557">
        <v>255823.93</v>
      </c>
      <c r="C691" s="583"/>
      <c r="D691" s="557"/>
    </row>
    <row r="692" spans="1:4" x14ac:dyDescent="0.2">
      <c r="A692" s="583">
        <v>43334</v>
      </c>
      <c r="B692" s="557">
        <v>255419.13</v>
      </c>
      <c r="C692" s="583"/>
      <c r="D692" s="557"/>
    </row>
    <row r="693" spans="1:4" x14ac:dyDescent="0.2">
      <c r="A693" s="583">
        <v>43335</v>
      </c>
      <c r="B693" s="557">
        <v>272759.37</v>
      </c>
      <c r="C693" s="583"/>
      <c r="D693" s="557"/>
    </row>
    <row r="694" spans="1:4" x14ac:dyDescent="0.2">
      <c r="A694" s="583">
        <v>43336</v>
      </c>
      <c r="B694" s="557">
        <v>272846.37</v>
      </c>
      <c r="C694" s="583"/>
      <c r="D694" s="557"/>
    </row>
    <row r="695" spans="1:4" x14ac:dyDescent="0.2">
      <c r="A695" s="583">
        <v>43339</v>
      </c>
      <c r="B695" s="557">
        <v>272846</v>
      </c>
      <c r="C695" s="583"/>
      <c r="D695" s="557"/>
    </row>
    <row r="696" spans="1:4" x14ac:dyDescent="0.2">
      <c r="A696" s="583">
        <v>43340</v>
      </c>
      <c r="B696" s="557">
        <v>272846</v>
      </c>
      <c r="C696" s="583"/>
      <c r="D696" s="557"/>
    </row>
    <row r="697" spans="1:4" x14ac:dyDescent="0.2">
      <c r="A697" s="583">
        <v>43341</v>
      </c>
      <c r="B697" s="557">
        <v>276622.58</v>
      </c>
      <c r="C697" s="583"/>
      <c r="D697" s="557"/>
    </row>
    <row r="698" spans="1:4" x14ac:dyDescent="0.2">
      <c r="A698" s="583">
        <v>43342</v>
      </c>
      <c r="B698" s="557">
        <v>276623</v>
      </c>
      <c r="C698" s="583"/>
      <c r="D698" s="557"/>
    </row>
    <row r="699" spans="1:4" x14ac:dyDescent="0.2">
      <c r="A699" s="583">
        <v>43343</v>
      </c>
      <c r="B699" s="557">
        <v>276773.33</v>
      </c>
      <c r="C699" s="583"/>
      <c r="D699" s="557"/>
    </row>
    <row r="700" spans="1:4" x14ac:dyDescent="0.2">
      <c r="A700" s="583">
        <v>43346</v>
      </c>
      <c r="B700" s="557">
        <v>276773</v>
      </c>
      <c r="C700" s="583"/>
      <c r="D700" s="557"/>
    </row>
    <row r="701" spans="1:4" x14ac:dyDescent="0.2">
      <c r="A701" s="583">
        <v>43347</v>
      </c>
      <c r="B701" s="557">
        <v>240090.56</v>
      </c>
      <c r="C701" s="583"/>
      <c r="D701" s="557"/>
    </row>
    <row r="702" spans="1:4" x14ac:dyDescent="0.2">
      <c r="A702" s="583">
        <v>43348</v>
      </c>
      <c r="B702" s="557">
        <v>240091</v>
      </c>
      <c r="C702" s="583"/>
      <c r="D702" s="557"/>
    </row>
    <row r="703" spans="1:4" x14ac:dyDescent="0.2">
      <c r="A703" s="583">
        <v>43349</v>
      </c>
      <c r="B703" s="557">
        <v>237779.31</v>
      </c>
      <c r="C703" s="583"/>
      <c r="D703" s="557"/>
    </row>
    <row r="704" spans="1:4" x14ac:dyDescent="0.2">
      <c r="A704" s="583">
        <v>43350</v>
      </c>
      <c r="B704" s="557">
        <v>237779</v>
      </c>
      <c r="C704" s="583"/>
      <c r="D704" s="557"/>
    </row>
    <row r="705" spans="1:4" x14ac:dyDescent="0.2">
      <c r="A705" s="583">
        <v>43353</v>
      </c>
      <c r="B705" s="557">
        <v>243552.34</v>
      </c>
      <c r="C705" s="583"/>
      <c r="D705" s="557"/>
    </row>
    <row r="706" spans="1:4" x14ac:dyDescent="0.2">
      <c r="A706" s="583">
        <v>43354</v>
      </c>
      <c r="B706" s="557">
        <v>243552</v>
      </c>
      <c r="C706" s="583"/>
      <c r="D706" s="557"/>
    </row>
    <row r="707" spans="1:4" x14ac:dyDescent="0.2">
      <c r="A707" s="583">
        <v>43355</v>
      </c>
      <c r="B707" s="557">
        <v>243552</v>
      </c>
      <c r="C707" s="583"/>
      <c r="D707" s="557"/>
    </row>
    <row r="708" spans="1:4" x14ac:dyDescent="0.2">
      <c r="A708" s="583">
        <v>43356</v>
      </c>
      <c r="B708" s="557">
        <v>266009.96000000002</v>
      </c>
      <c r="C708" s="583"/>
      <c r="D708" s="557"/>
    </row>
    <row r="709" spans="1:4" x14ac:dyDescent="0.2">
      <c r="A709" s="583">
        <v>43357</v>
      </c>
      <c r="B709" s="557">
        <v>266087.59999999998</v>
      </c>
      <c r="C709" s="583"/>
      <c r="D709" s="557"/>
    </row>
    <row r="710" spans="1:4" x14ac:dyDescent="0.2">
      <c r="A710" s="583">
        <v>43360</v>
      </c>
      <c r="B710" s="557">
        <v>229939.6</v>
      </c>
      <c r="C710" s="583"/>
      <c r="D710" s="557"/>
    </row>
    <row r="711" spans="1:4" x14ac:dyDescent="0.2">
      <c r="A711" s="583">
        <v>43361</v>
      </c>
      <c r="B711" s="557">
        <v>229940</v>
      </c>
      <c r="C711" s="583"/>
      <c r="D711" s="557"/>
    </row>
    <row r="712" spans="1:4" x14ac:dyDescent="0.2">
      <c r="A712" s="583">
        <v>43362</v>
      </c>
      <c r="B712" s="557">
        <v>229940</v>
      </c>
      <c r="C712" s="583"/>
      <c r="D712" s="557"/>
    </row>
    <row r="713" spans="1:4" x14ac:dyDescent="0.2">
      <c r="A713" s="583">
        <v>43363</v>
      </c>
      <c r="B713" s="557">
        <v>226983.82</v>
      </c>
      <c r="C713" s="583"/>
      <c r="D713" s="557"/>
    </row>
    <row r="714" spans="1:4" x14ac:dyDescent="0.2">
      <c r="A714" s="583">
        <v>43364</v>
      </c>
      <c r="B714" s="557">
        <v>226983.82</v>
      </c>
      <c r="C714" s="583"/>
      <c r="D714" s="557"/>
    </row>
    <row r="715" spans="1:4" x14ac:dyDescent="0.2">
      <c r="A715" s="583">
        <v>43367</v>
      </c>
      <c r="B715" s="557">
        <v>231167.41</v>
      </c>
      <c r="C715" s="583"/>
      <c r="D715" s="557"/>
    </row>
    <row r="716" spans="1:4" x14ac:dyDescent="0.2">
      <c r="A716" s="583">
        <v>43368</v>
      </c>
      <c r="B716" s="557">
        <v>231298.26</v>
      </c>
      <c r="C716" s="583"/>
      <c r="D716" s="557"/>
    </row>
    <row r="717" spans="1:4" x14ac:dyDescent="0.2">
      <c r="A717" s="583">
        <v>43369</v>
      </c>
      <c r="B717" s="557">
        <v>231298</v>
      </c>
      <c r="C717" s="583"/>
      <c r="D717" s="557"/>
    </row>
    <row r="718" spans="1:4" x14ac:dyDescent="0.2">
      <c r="A718" s="583">
        <v>43370</v>
      </c>
      <c r="B718" s="557">
        <v>218195.44</v>
      </c>
      <c r="C718" s="583"/>
      <c r="D718" s="557"/>
    </row>
    <row r="719" spans="1:4" x14ac:dyDescent="0.2">
      <c r="A719" s="583">
        <v>43371</v>
      </c>
      <c r="B719" s="557">
        <v>218195</v>
      </c>
      <c r="C719" s="583"/>
      <c r="D719" s="557"/>
    </row>
    <row r="720" spans="1:4" x14ac:dyDescent="0.2">
      <c r="A720" s="583">
        <v>43374</v>
      </c>
      <c r="B720" s="557">
        <v>181738.47</v>
      </c>
      <c r="C720" s="583"/>
      <c r="D720" s="557"/>
    </row>
    <row r="721" spans="1:4" x14ac:dyDescent="0.2">
      <c r="A721" s="583">
        <v>43375</v>
      </c>
      <c r="B721" s="557">
        <v>175674.86</v>
      </c>
      <c r="C721" s="583"/>
      <c r="D721" s="557"/>
    </row>
    <row r="722" spans="1:4" x14ac:dyDescent="0.2">
      <c r="A722" s="583">
        <v>43376</v>
      </c>
      <c r="B722" s="557">
        <v>175890.11</v>
      </c>
      <c r="C722" s="583"/>
      <c r="D722" s="557"/>
    </row>
    <row r="723" spans="1:4" x14ac:dyDescent="0.2">
      <c r="A723" s="583">
        <v>43377</v>
      </c>
      <c r="B723" s="557">
        <v>176908.84</v>
      </c>
      <c r="C723" s="583"/>
      <c r="D723" s="557"/>
    </row>
    <row r="724" spans="1:4" x14ac:dyDescent="0.2">
      <c r="A724" s="583">
        <v>43378</v>
      </c>
      <c r="B724" s="557">
        <v>176909</v>
      </c>
      <c r="C724" s="583"/>
      <c r="D724" s="557"/>
    </row>
    <row r="725" spans="1:4" x14ac:dyDescent="0.2">
      <c r="A725" s="583">
        <v>43381</v>
      </c>
      <c r="B725" s="557">
        <v>176909</v>
      </c>
      <c r="C725" s="583"/>
      <c r="D725" s="557"/>
    </row>
    <row r="726" spans="1:4" x14ac:dyDescent="0.2">
      <c r="A726" s="583">
        <v>43382</v>
      </c>
      <c r="B726" s="557">
        <v>226038.22</v>
      </c>
      <c r="C726" s="583"/>
      <c r="D726" s="557"/>
    </row>
    <row r="727" spans="1:4" x14ac:dyDescent="0.2">
      <c r="A727" s="583">
        <v>43383</v>
      </c>
      <c r="B727" s="557">
        <v>226038</v>
      </c>
      <c r="C727" s="583"/>
      <c r="D727" s="557"/>
    </row>
    <row r="728" spans="1:4" x14ac:dyDescent="0.2">
      <c r="A728" s="583">
        <v>43384</v>
      </c>
      <c r="B728" s="557">
        <v>223293.31</v>
      </c>
      <c r="C728" s="583"/>
      <c r="D728" s="557"/>
    </row>
    <row r="729" spans="1:4" x14ac:dyDescent="0.2">
      <c r="A729" s="583">
        <v>43385</v>
      </c>
      <c r="B729" s="557">
        <v>272327.27</v>
      </c>
      <c r="C729" s="583"/>
      <c r="D729" s="557"/>
    </row>
    <row r="730" spans="1:4" x14ac:dyDescent="0.2">
      <c r="A730" s="583">
        <v>43388</v>
      </c>
      <c r="B730" s="557">
        <v>236397.34</v>
      </c>
      <c r="C730" s="583"/>
      <c r="D730" s="557"/>
    </row>
    <row r="731" spans="1:4" x14ac:dyDescent="0.2">
      <c r="A731" s="583">
        <v>43389</v>
      </c>
      <c r="B731" s="557">
        <v>236553.84</v>
      </c>
      <c r="C731" s="583"/>
      <c r="D731" s="557"/>
    </row>
    <row r="732" spans="1:4" x14ac:dyDescent="0.2">
      <c r="A732" s="583">
        <v>43390</v>
      </c>
      <c r="B732" s="557">
        <v>249133.92</v>
      </c>
      <c r="C732" s="583"/>
      <c r="D732" s="557"/>
    </row>
    <row r="733" spans="1:4" x14ac:dyDescent="0.2">
      <c r="A733" s="583">
        <v>43391</v>
      </c>
      <c r="B733" s="557">
        <v>254043.68</v>
      </c>
      <c r="C733" s="583"/>
      <c r="D733" s="557"/>
    </row>
    <row r="734" spans="1:4" x14ac:dyDescent="0.2">
      <c r="A734" s="583">
        <v>43392</v>
      </c>
      <c r="B734" s="557">
        <v>254064.5</v>
      </c>
      <c r="C734" s="583"/>
      <c r="D734" s="557"/>
    </row>
    <row r="735" spans="1:4" x14ac:dyDescent="0.2">
      <c r="A735" s="583">
        <v>43395</v>
      </c>
      <c r="B735" s="557">
        <v>290142.09999999998</v>
      </c>
      <c r="C735" s="583"/>
      <c r="D735" s="557"/>
    </row>
    <row r="736" spans="1:4" x14ac:dyDescent="0.2">
      <c r="A736" s="583">
        <v>43396</v>
      </c>
      <c r="B736" s="557">
        <v>290142</v>
      </c>
      <c r="C736" s="583"/>
      <c r="D736" s="557"/>
    </row>
    <row r="737" spans="1:4" x14ac:dyDescent="0.2">
      <c r="A737" s="583">
        <v>43397</v>
      </c>
      <c r="B737" s="557">
        <v>290034.38</v>
      </c>
      <c r="C737" s="583"/>
      <c r="D737" s="557"/>
    </row>
    <row r="738" spans="1:4" x14ac:dyDescent="0.2">
      <c r="A738" s="583">
        <v>43398</v>
      </c>
      <c r="B738" s="557">
        <v>291747.36</v>
      </c>
      <c r="C738" s="583"/>
      <c r="D738" s="557"/>
    </row>
    <row r="739" spans="1:4" x14ac:dyDescent="0.2">
      <c r="A739" s="583">
        <v>43399</v>
      </c>
      <c r="B739" s="557">
        <v>306637.48</v>
      </c>
      <c r="C739" s="583"/>
      <c r="D739" s="557"/>
    </row>
    <row r="740" spans="1:4" x14ac:dyDescent="0.2">
      <c r="A740" s="583">
        <v>43402</v>
      </c>
      <c r="B740" s="557">
        <v>270401.28999999998</v>
      </c>
      <c r="C740" s="583"/>
      <c r="D740" s="557"/>
    </row>
    <row r="741" spans="1:4" x14ac:dyDescent="0.2">
      <c r="A741" s="583">
        <v>43403</v>
      </c>
      <c r="B741" s="557">
        <v>278028.58</v>
      </c>
      <c r="C741" s="583"/>
      <c r="D741" s="557"/>
    </row>
    <row r="742" spans="1:4" x14ac:dyDescent="0.2">
      <c r="A742" s="583">
        <v>43404</v>
      </c>
      <c r="B742" s="557">
        <v>278029</v>
      </c>
      <c r="C742" s="583"/>
      <c r="D742" s="557"/>
    </row>
    <row r="743" spans="1:4" x14ac:dyDescent="0.2">
      <c r="A743" s="583">
        <v>43405</v>
      </c>
      <c r="B743" s="557">
        <v>279523.53000000003</v>
      </c>
      <c r="C743" s="583"/>
      <c r="D743" s="557"/>
    </row>
    <row r="744" spans="1:4" x14ac:dyDescent="0.2">
      <c r="A744" s="583">
        <v>43406</v>
      </c>
      <c r="B744" s="557">
        <v>303100.06</v>
      </c>
      <c r="C744" s="583"/>
      <c r="D744" s="557"/>
    </row>
    <row r="745" spans="1:4" x14ac:dyDescent="0.2">
      <c r="A745" s="583">
        <v>43409</v>
      </c>
      <c r="B745" s="557">
        <v>303100.06</v>
      </c>
      <c r="C745" s="583"/>
      <c r="D745" s="557"/>
    </row>
    <row r="746" spans="1:4" x14ac:dyDescent="0.2">
      <c r="A746" s="583">
        <v>43410</v>
      </c>
      <c r="B746" s="557">
        <v>303100.06</v>
      </c>
      <c r="C746" s="583"/>
      <c r="D746" s="557"/>
    </row>
    <row r="747" spans="1:4" x14ac:dyDescent="0.2">
      <c r="A747" s="583">
        <v>43411</v>
      </c>
      <c r="B747" s="557">
        <v>303954.14</v>
      </c>
      <c r="C747" s="583"/>
      <c r="D747" s="557"/>
    </row>
    <row r="748" spans="1:4" x14ac:dyDescent="0.2">
      <c r="A748" s="583">
        <v>43412</v>
      </c>
      <c r="B748" s="557">
        <v>294843.14</v>
      </c>
      <c r="C748" s="583"/>
      <c r="D748" s="557"/>
    </row>
    <row r="749" spans="1:4" x14ac:dyDescent="0.2">
      <c r="A749" s="583">
        <v>43413</v>
      </c>
      <c r="B749" s="557">
        <v>294843</v>
      </c>
      <c r="C749" s="583"/>
      <c r="D749" s="557"/>
    </row>
    <row r="750" spans="1:4" x14ac:dyDescent="0.2">
      <c r="A750" s="583">
        <v>43416</v>
      </c>
      <c r="B750" s="557">
        <v>294843</v>
      </c>
      <c r="C750" s="583"/>
      <c r="D750" s="557"/>
    </row>
    <row r="751" spans="1:4" x14ac:dyDescent="0.2">
      <c r="A751" s="583">
        <v>43417</v>
      </c>
      <c r="B751" s="557">
        <v>294843</v>
      </c>
      <c r="C751" s="583"/>
      <c r="D751" s="557"/>
    </row>
    <row r="752" spans="1:4" x14ac:dyDescent="0.2">
      <c r="A752" s="583">
        <v>43418</v>
      </c>
      <c r="B752" s="557">
        <v>259514.47</v>
      </c>
      <c r="C752" s="583"/>
      <c r="D752" s="557"/>
    </row>
    <row r="753" spans="1:4" x14ac:dyDescent="0.2">
      <c r="A753" s="583">
        <v>43419</v>
      </c>
      <c r="B753" s="557">
        <v>255987.45</v>
      </c>
      <c r="C753" s="583"/>
      <c r="D753" s="557"/>
    </row>
    <row r="754" spans="1:4" x14ac:dyDescent="0.2">
      <c r="A754" s="583">
        <v>43420</v>
      </c>
      <c r="B754" s="557">
        <v>255987.45</v>
      </c>
      <c r="C754" s="583"/>
      <c r="D754" s="557"/>
    </row>
    <row r="755" spans="1:4" x14ac:dyDescent="0.2">
      <c r="A755" s="583">
        <v>43423</v>
      </c>
      <c r="B755" s="557">
        <v>255987.45</v>
      </c>
      <c r="C755" s="583"/>
      <c r="D755" s="557"/>
    </row>
    <row r="756" spans="1:4" x14ac:dyDescent="0.2">
      <c r="A756" s="583">
        <v>43424</v>
      </c>
      <c r="B756" s="557">
        <v>254650.75</v>
      </c>
      <c r="C756" s="583"/>
      <c r="D756" s="557"/>
    </row>
    <row r="757" spans="1:4" x14ac:dyDescent="0.2">
      <c r="A757" s="583">
        <v>43425</v>
      </c>
      <c r="B757" s="557">
        <v>298403.21000000002</v>
      </c>
      <c r="C757" s="583"/>
      <c r="D757" s="557"/>
    </row>
    <row r="758" spans="1:4" x14ac:dyDescent="0.2">
      <c r="A758" s="583">
        <v>43426</v>
      </c>
      <c r="B758" s="557">
        <v>300529.64</v>
      </c>
      <c r="C758" s="583"/>
      <c r="D758" s="557"/>
    </row>
    <row r="759" spans="1:4" x14ac:dyDescent="0.2">
      <c r="A759" s="583">
        <v>43427</v>
      </c>
      <c r="B759" s="557">
        <v>300229.64</v>
      </c>
      <c r="C759" s="583"/>
      <c r="D759" s="557"/>
    </row>
    <row r="760" spans="1:4" x14ac:dyDescent="0.2">
      <c r="A760" s="583">
        <v>43430</v>
      </c>
      <c r="B760" s="557">
        <v>300230</v>
      </c>
      <c r="C760" s="583"/>
      <c r="D760" s="557"/>
    </row>
    <row r="761" spans="1:4" x14ac:dyDescent="0.2">
      <c r="A761" s="583">
        <v>43431</v>
      </c>
      <c r="B761" s="557">
        <v>267674.82</v>
      </c>
      <c r="C761" s="583"/>
      <c r="D761" s="557"/>
    </row>
    <row r="762" spans="1:4" x14ac:dyDescent="0.2">
      <c r="A762" s="583">
        <v>43432</v>
      </c>
      <c r="B762" s="557">
        <v>273448.82</v>
      </c>
      <c r="C762" s="583"/>
      <c r="D762" s="557"/>
    </row>
    <row r="763" spans="1:4" x14ac:dyDescent="0.2">
      <c r="A763" s="583">
        <v>43433</v>
      </c>
      <c r="B763" s="557">
        <v>252527.09</v>
      </c>
      <c r="C763" s="583"/>
      <c r="D763" s="557"/>
    </row>
    <row r="764" spans="1:4" x14ac:dyDescent="0.2">
      <c r="A764" s="583">
        <v>43434</v>
      </c>
      <c r="B764" s="557">
        <v>321968.59000000003</v>
      </c>
      <c r="C764" s="583"/>
      <c r="D764" s="557"/>
    </row>
    <row r="765" spans="1:4" x14ac:dyDescent="0.2">
      <c r="A765" s="583">
        <v>43437</v>
      </c>
      <c r="B765" s="557">
        <v>321969</v>
      </c>
      <c r="C765" s="583"/>
      <c r="D765" s="557"/>
    </row>
    <row r="766" spans="1:4" x14ac:dyDescent="0.2">
      <c r="A766" s="583">
        <v>43438</v>
      </c>
      <c r="B766" s="557">
        <v>321969</v>
      </c>
      <c r="C766" s="583"/>
      <c r="D766" s="557"/>
    </row>
    <row r="767" spans="1:4" x14ac:dyDescent="0.2">
      <c r="A767" s="583">
        <v>43439</v>
      </c>
      <c r="B767" s="557">
        <v>321969</v>
      </c>
      <c r="C767" s="583"/>
      <c r="D767" s="557"/>
    </row>
    <row r="768" spans="1:4" x14ac:dyDescent="0.2">
      <c r="A768" s="583">
        <v>43440</v>
      </c>
      <c r="B768" s="557">
        <v>314251.55</v>
      </c>
      <c r="C768" s="583"/>
      <c r="D768" s="557"/>
    </row>
    <row r="769" spans="1:4" x14ac:dyDescent="0.2">
      <c r="A769" s="583">
        <v>43441</v>
      </c>
      <c r="B769" s="557">
        <v>315739.42</v>
      </c>
      <c r="C769" s="583"/>
      <c r="D769" s="557"/>
    </row>
    <row r="770" spans="1:4" x14ac:dyDescent="0.2">
      <c r="A770" s="583">
        <v>43444</v>
      </c>
      <c r="B770" s="557">
        <v>315739</v>
      </c>
      <c r="C770" s="583"/>
      <c r="D770" s="557"/>
    </row>
    <row r="771" spans="1:4" x14ac:dyDescent="0.2">
      <c r="A771" s="583">
        <v>43445</v>
      </c>
      <c r="B771" s="557">
        <v>275506.94</v>
      </c>
      <c r="C771" s="583"/>
      <c r="D771" s="557"/>
    </row>
    <row r="772" spans="1:4" x14ac:dyDescent="0.2">
      <c r="A772" s="583">
        <v>43446</v>
      </c>
      <c r="B772" s="557">
        <v>275507</v>
      </c>
      <c r="C772" s="583"/>
      <c r="D772" s="557"/>
    </row>
    <row r="773" spans="1:4" x14ac:dyDescent="0.2">
      <c r="A773" s="583">
        <v>43447</v>
      </c>
      <c r="B773" s="557">
        <v>289896.89</v>
      </c>
      <c r="C773" s="583"/>
      <c r="D773" s="557"/>
    </row>
    <row r="774" spans="1:4" x14ac:dyDescent="0.2">
      <c r="A774" s="583">
        <v>43448</v>
      </c>
      <c r="B774" s="557">
        <v>313281.34999999998</v>
      </c>
      <c r="C774" s="583"/>
      <c r="D774" s="557"/>
    </row>
    <row r="775" spans="1:4" x14ac:dyDescent="0.2">
      <c r="A775" s="583">
        <v>43451</v>
      </c>
      <c r="B775" s="557">
        <v>313281</v>
      </c>
      <c r="C775" s="583"/>
      <c r="D775" s="557"/>
    </row>
    <row r="776" spans="1:4" x14ac:dyDescent="0.2">
      <c r="A776" s="583">
        <v>43452</v>
      </c>
      <c r="B776" s="557">
        <v>317556.84999999998</v>
      </c>
      <c r="C776" s="583"/>
      <c r="D776" s="557"/>
    </row>
    <row r="777" spans="1:4" x14ac:dyDescent="0.2">
      <c r="A777" s="583">
        <v>43453</v>
      </c>
      <c r="B777" s="557">
        <v>317557</v>
      </c>
      <c r="C777" s="583"/>
      <c r="D777" s="557"/>
    </row>
    <row r="778" spans="1:4" x14ac:dyDescent="0.2">
      <c r="A778" s="583">
        <v>43454</v>
      </c>
      <c r="B778" s="557">
        <v>297159.33</v>
      </c>
      <c r="C778" s="583"/>
      <c r="D778" s="557"/>
    </row>
    <row r="779" spans="1:4" x14ac:dyDescent="0.2">
      <c r="A779" s="583">
        <v>43455</v>
      </c>
      <c r="B779" s="557">
        <v>297159</v>
      </c>
      <c r="C779" s="583"/>
      <c r="D779" s="557"/>
    </row>
    <row r="780" spans="1:4" x14ac:dyDescent="0.2">
      <c r="A780" s="583">
        <v>43458</v>
      </c>
      <c r="B780" s="557">
        <v>260233.37</v>
      </c>
      <c r="C780" s="583"/>
      <c r="D780" s="557"/>
    </row>
    <row r="781" spans="1:4" x14ac:dyDescent="0.2">
      <c r="A781" s="583">
        <v>43459</v>
      </c>
      <c r="B781" s="557">
        <v>260233</v>
      </c>
      <c r="C781" s="583"/>
      <c r="D781" s="557"/>
    </row>
    <row r="782" spans="1:4" x14ac:dyDescent="0.2">
      <c r="A782" s="583">
        <v>43460</v>
      </c>
      <c r="B782" s="557">
        <v>261845.78</v>
      </c>
      <c r="C782" s="583"/>
      <c r="D782" s="557"/>
    </row>
    <row r="783" spans="1:4" x14ac:dyDescent="0.2">
      <c r="A783" s="583">
        <v>43461</v>
      </c>
      <c r="B783" s="557">
        <v>261846</v>
      </c>
      <c r="C783" s="583"/>
      <c r="D783" s="557"/>
    </row>
    <row r="784" spans="1:4" x14ac:dyDescent="0.2">
      <c r="A784" s="583">
        <v>43462</v>
      </c>
      <c r="B784" s="557">
        <v>273805.40000000002</v>
      </c>
      <c r="C784" s="583"/>
      <c r="D784" s="557"/>
    </row>
    <row r="785" spans="1:4" x14ac:dyDescent="0.2">
      <c r="A785" s="583">
        <v>43465</v>
      </c>
      <c r="B785" s="557">
        <v>274104.40000000002</v>
      </c>
      <c r="C785" s="583"/>
      <c r="D785" s="557"/>
    </row>
    <row r="786" spans="1:4" x14ac:dyDescent="0.2">
      <c r="A786" s="583"/>
      <c r="C786" s="583"/>
      <c r="D786" s="557"/>
    </row>
    <row r="787" spans="1:4" x14ac:dyDescent="0.2">
      <c r="A787" s="583"/>
      <c r="C787" s="583"/>
      <c r="D787" s="557"/>
    </row>
    <row r="788" spans="1:4" x14ac:dyDescent="0.2">
      <c r="A788" s="583"/>
      <c r="C788" s="583"/>
      <c r="D788" s="557"/>
    </row>
    <row r="789" spans="1:4" x14ac:dyDescent="0.2">
      <c r="A789" s="583"/>
      <c r="C789" s="583"/>
      <c r="D789" s="557"/>
    </row>
    <row r="791" spans="1:4" x14ac:dyDescent="0.2">
      <c r="A791" s="588" t="s">
        <v>314</v>
      </c>
      <c r="B791" s="557">
        <f>MAX(B525:B785)</f>
        <v>367034.5</v>
      </c>
    </row>
    <row r="792" spans="1:4" x14ac:dyDescent="0.2">
      <c r="A792" s="588" t="s">
        <v>315</v>
      </c>
      <c r="B792" s="557">
        <f>MIN(B525:B785)</f>
        <v>153114.57999999999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2"/>
  <sheetViews>
    <sheetView topLeftCell="A51" zoomScaleNormal="100" workbookViewId="0">
      <selection activeCell="E40" sqref="E40"/>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438</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173</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91" t="s">
        <v>24</v>
      </c>
      <c r="B6" s="444" t="s">
        <v>14</v>
      </c>
      <c r="C6" s="663" t="s">
        <v>1</v>
      </c>
      <c r="D6" s="444" t="s">
        <v>2</v>
      </c>
      <c r="E6" s="663" t="s">
        <v>3</v>
      </c>
      <c r="F6" s="282" t="s">
        <v>11</v>
      </c>
      <c r="G6" s="666" t="s">
        <v>29</v>
      </c>
      <c r="H6" s="282" t="s">
        <v>222</v>
      </c>
      <c r="I6" s="666" t="s">
        <v>28</v>
      </c>
      <c r="J6" s="282" t="s">
        <v>21</v>
      </c>
      <c r="K6" s="282" t="s">
        <v>101</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1" t="s">
        <v>364</v>
      </c>
      <c r="B7" s="781" t="s">
        <v>16</v>
      </c>
      <c r="C7" s="6" t="s">
        <v>168</v>
      </c>
      <c r="D7" s="317">
        <v>43191</v>
      </c>
      <c r="E7" s="7">
        <v>43465</v>
      </c>
      <c r="F7" s="339">
        <v>183868</v>
      </c>
      <c r="G7" s="340">
        <f>+(+I7-H7)</f>
        <v>99688.819999999992</v>
      </c>
      <c r="H7" s="321">
        <f>'Dec''18 AR Aging '!G7</f>
        <v>84179.21</v>
      </c>
      <c r="I7" s="340">
        <f>183618.53+249.5</f>
        <v>183868.03</v>
      </c>
      <c r="J7" s="339">
        <f>F7-I7</f>
        <v>-2.9999999998835847E-2</v>
      </c>
      <c r="K7" s="332"/>
      <c r="L7" s="46"/>
      <c r="M7" s="29"/>
      <c r="N7" s="29"/>
    </row>
    <row r="8" spans="1:48" x14ac:dyDescent="0.2">
      <c r="A8" s="778" t="s">
        <v>487</v>
      </c>
      <c r="B8" s="782" t="s">
        <v>16</v>
      </c>
      <c r="C8" s="784"/>
      <c r="D8" s="336">
        <v>43466</v>
      </c>
      <c r="E8" s="664">
        <v>43830</v>
      </c>
      <c r="F8" s="337">
        <v>190000</v>
      </c>
      <c r="G8" s="667"/>
      <c r="H8" s="338"/>
      <c r="I8" s="667"/>
      <c r="J8" s="337"/>
      <c r="K8" s="398"/>
      <c r="L8" s="272"/>
      <c r="M8" s="309"/>
      <c r="N8" s="29"/>
    </row>
    <row r="9" spans="1:48" hidden="1" x14ac:dyDescent="0.2">
      <c r="A9" s="779" t="s">
        <v>298</v>
      </c>
      <c r="B9" s="781" t="s">
        <v>15</v>
      </c>
      <c r="C9" s="6" t="s">
        <v>175</v>
      </c>
      <c r="D9" s="317">
        <v>42826</v>
      </c>
      <c r="E9" s="7">
        <v>43190</v>
      </c>
      <c r="F9" s="339"/>
      <c r="G9" s="340"/>
      <c r="H9" s="321"/>
      <c r="I9" s="340"/>
      <c r="J9" s="339"/>
      <c r="K9" s="321"/>
      <c r="L9" s="272"/>
      <c r="M9" s="309"/>
      <c r="N9" s="29"/>
    </row>
    <row r="10" spans="1:48" hidden="1" x14ac:dyDescent="0.2">
      <c r="A10" s="779" t="s">
        <v>326</v>
      </c>
      <c r="B10" s="781" t="s">
        <v>15</v>
      </c>
      <c r="C10" s="6" t="s">
        <v>175</v>
      </c>
      <c r="D10" s="317">
        <v>42917</v>
      </c>
      <c r="E10" s="7">
        <v>43281</v>
      </c>
      <c r="F10" s="339"/>
      <c r="G10" s="340"/>
      <c r="H10" s="321">
        <f>'Dec''18 AR Aging '!G12</f>
        <v>0</v>
      </c>
      <c r="I10" s="340"/>
      <c r="J10" s="339"/>
      <c r="K10" s="332"/>
      <c r="L10" s="272"/>
      <c r="M10" s="309"/>
      <c r="N10" s="29"/>
    </row>
    <row r="11" spans="1:48" x14ac:dyDescent="0.2">
      <c r="A11" s="778" t="s">
        <v>377</v>
      </c>
      <c r="B11" s="782" t="s">
        <v>15</v>
      </c>
      <c r="C11" s="784" t="s">
        <v>175</v>
      </c>
      <c r="D11" s="336">
        <v>43282</v>
      </c>
      <c r="E11" s="664">
        <v>43646</v>
      </c>
      <c r="F11" s="337">
        <v>319000</v>
      </c>
      <c r="G11" s="667">
        <f>I11-H11</f>
        <v>95679.25</v>
      </c>
      <c r="H11" s="338">
        <f>'Dec''18 AR Aging '!G13</f>
        <v>31828.959999999999</v>
      </c>
      <c r="I11" s="667">
        <v>127508.21</v>
      </c>
      <c r="J11" s="337">
        <f>F11-I11</f>
        <v>191491.78999999998</v>
      </c>
      <c r="K11" s="398">
        <v>35122.120000000003</v>
      </c>
      <c r="L11" s="272"/>
      <c r="M11" s="309"/>
      <c r="N11" s="29"/>
    </row>
    <row r="12" spans="1:48" s="4" customFormat="1" hidden="1" x14ac:dyDescent="0.2">
      <c r="A12" s="779" t="s">
        <v>355</v>
      </c>
      <c r="B12" s="781" t="s">
        <v>15</v>
      </c>
      <c r="C12" s="6" t="s">
        <v>176</v>
      </c>
      <c r="D12" s="317">
        <v>43191</v>
      </c>
      <c r="E12" s="7">
        <v>43373</v>
      </c>
      <c r="F12" s="339"/>
      <c r="G12" s="340"/>
      <c r="H12" s="321"/>
      <c r="I12" s="340"/>
      <c r="J12" s="339"/>
      <c r="K12" s="321"/>
      <c r="L12" s="272"/>
      <c r="M12" s="309"/>
      <c r="N12" s="29"/>
      <c r="O12" s="29"/>
      <c r="P12" s="29"/>
      <c r="Q12" s="29"/>
      <c r="R12" s="29"/>
      <c r="S12" s="29"/>
      <c r="T12" s="29"/>
      <c r="U12" s="29"/>
      <c r="V12" s="29"/>
      <c r="W12" s="29"/>
      <c r="X12" s="29"/>
      <c r="Y12" s="29"/>
      <c r="Z12" s="29"/>
      <c r="AA12" s="29"/>
      <c r="AB12" s="11"/>
      <c r="AC12" s="11"/>
      <c r="AD12" s="11"/>
      <c r="AE12" s="11"/>
      <c r="AF12" s="11"/>
      <c r="AG12" s="11"/>
      <c r="AH12" s="11"/>
      <c r="AI12" s="11"/>
      <c r="AJ12" s="11"/>
      <c r="AK12" s="11"/>
      <c r="AL12" s="11"/>
      <c r="AM12" s="1"/>
      <c r="AN12" s="1"/>
      <c r="AO12" s="1"/>
      <c r="AP12" s="1"/>
      <c r="AQ12" s="1"/>
      <c r="AR12" s="1"/>
      <c r="AS12" s="1"/>
      <c r="AT12" s="1"/>
      <c r="AU12" s="1"/>
      <c r="AV12" s="1"/>
    </row>
    <row r="13" spans="1:48" s="4" customFormat="1" hidden="1" x14ac:dyDescent="0.2">
      <c r="A13" s="779" t="s">
        <v>354</v>
      </c>
      <c r="B13" s="781" t="s">
        <v>15</v>
      </c>
      <c r="C13" s="6" t="s">
        <v>177</v>
      </c>
      <c r="D13" s="317">
        <v>43191</v>
      </c>
      <c r="E13" s="7">
        <v>43373</v>
      </c>
      <c r="F13" s="787"/>
      <c r="G13" s="340"/>
      <c r="H13" s="321"/>
      <c r="I13" s="340"/>
      <c r="J13" s="339"/>
      <c r="K13" s="321"/>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hidden="1" x14ac:dyDescent="0.2">
      <c r="A14" s="778" t="s">
        <v>396</v>
      </c>
      <c r="B14" s="782" t="s">
        <v>171</v>
      </c>
      <c r="C14" s="784" t="s">
        <v>397</v>
      </c>
      <c r="D14" s="336">
        <v>43281</v>
      </c>
      <c r="E14" s="664">
        <v>43373</v>
      </c>
      <c r="F14" s="474"/>
      <c r="G14" s="667"/>
      <c r="H14" s="338"/>
      <c r="I14" s="667"/>
      <c r="J14" s="474"/>
      <c r="K14" s="338"/>
      <c r="L14" s="272"/>
      <c r="M14" s="309"/>
      <c r="N14" s="29"/>
    </row>
    <row r="15" spans="1:48" hidden="1" x14ac:dyDescent="0.2">
      <c r="A15" s="779" t="s">
        <v>301</v>
      </c>
      <c r="B15" s="781" t="s">
        <v>15</v>
      </c>
      <c r="C15" s="6" t="s">
        <v>169</v>
      </c>
      <c r="D15" s="317">
        <v>42644</v>
      </c>
      <c r="E15" s="7">
        <v>43008</v>
      </c>
      <c r="F15" s="339"/>
      <c r="G15" s="340"/>
      <c r="H15" s="321"/>
      <c r="I15" s="340"/>
      <c r="J15" s="339"/>
      <c r="K15" s="332"/>
      <c r="L15" s="272"/>
      <c r="M15" s="309"/>
      <c r="N15" s="29"/>
    </row>
    <row r="16" spans="1:48" hidden="1" x14ac:dyDescent="0.2">
      <c r="A16" s="779" t="s">
        <v>329</v>
      </c>
      <c r="B16" s="781" t="s">
        <v>15</v>
      </c>
      <c r="C16" s="6" t="s">
        <v>169</v>
      </c>
      <c r="D16" s="317">
        <v>43009</v>
      </c>
      <c r="E16" s="7">
        <v>43373</v>
      </c>
      <c r="F16" s="339"/>
      <c r="G16" s="340"/>
      <c r="H16" s="791"/>
      <c r="I16" s="340"/>
      <c r="J16" s="339"/>
      <c r="K16" s="321"/>
      <c r="L16" s="272"/>
      <c r="M16" s="309"/>
      <c r="N16" s="29"/>
    </row>
    <row r="17" spans="1:48" x14ac:dyDescent="0.2">
      <c r="A17" s="778" t="s">
        <v>388</v>
      </c>
      <c r="B17" s="782" t="s">
        <v>15</v>
      </c>
      <c r="C17" s="784" t="s">
        <v>169</v>
      </c>
      <c r="D17" s="336">
        <v>43374</v>
      </c>
      <c r="E17" s="664">
        <v>43585</v>
      </c>
      <c r="F17" s="337">
        <v>183750</v>
      </c>
      <c r="G17" s="667">
        <f>I17-H17</f>
        <v>23300.879999999997</v>
      </c>
      <c r="H17" s="338">
        <f>'Dec''18 AR Aging '!G31</f>
        <v>50833.04</v>
      </c>
      <c r="I17" s="667">
        <v>74133.919999999998</v>
      </c>
      <c r="J17" s="337">
        <f>F17-I17</f>
        <v>109616.08</v>
      </c>
      <c r="K17" s="338"/>
      <c r="L17" s="272"/>
      <c r="M17" s="309"/>
      <c r="N17" s="29"/>
    </row>
    <row r="18" spans="1:48" s="3" customFormat="1" x14ac:dyDescent="0.2">
      <c r="A18" s="779" t="s">
        <v>353</v>
      </c>
      <c r="B18" s="781" t="s">
        <v>18</v>
      </c>
      <c r="C18" s="6" t="s">
        <v>5</v>
      </c>
      <c r="D18" s="317">
        <v>43101</v>
      </c>
      <c r="E18" s="7">
        <v>43465</v>
      </c>
      <c r="F18" s="339">
        <v>42500</v>
      </c>
      <c r="G18" s="340">
        <f>I18-H18</f>
        <v>35416.660000000003</v>
      </c>
      <c r="H18" s="321">
        <f>'Dec''18 AR Aging '!G39</f>
        <v>7083.34</v>
      </c>
      <c r="I18" s="340">
        <f>42500</f>
        <v>42500</v>
      </c>
      <c r="J18" s="339">
        <f>F18-I18</f>
        <v>0</v>
      </c>
      <c r="K18" s="321"/>
      <c r="L18" s="272"/>
      <c r="M18" s="309"/>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x14ac:dyDescent="0.2">
      <c r="A19" s="779" t="s">
        <v>439</v>
      </c>
      <c r="B19" s="781" t="s">
        <v>18</v>
      </c>
      <c r="C19" s="6" t="s">
        <v>5</v>
      </c>
      <c r="D19" s="317">
        <v>43466</v>
      </c>
      <c r="E19" s="7">
        <v>43830</v>
      </c>
      <c r="F19" s="792">
        <f>3708.33*12</f>
        <v>44499.96</v>
      </c>
      <c r="G19" s="340">
        <f>I19-H19</f>
        <v>0</v>
      </c>
      <c r="H19" s="321"/>
      <c r="I19" s="340"/>
      <c r="J19" s="339"/>
      <c r="K19" s="321"/>
      <c r="L19" s="272"/>
      <c r="M19" s="309"/>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779" t="s">
        <v>202</v>
      </c>
      <c r="B20" s="781" t="s">
        <v>18</v>
      </c>
      <c r="C20" s="6" t="s">
        <v>23</v>
      </c>
      <c r="D20" s="317">
        <v>43191</v>
      </c>
      <c r="E20" s="7">
        <v>43372</v>
      </c>
      <c r="F20" s="339"/>
      <c r="G20" s="340"/>
      <c r="H20" s="321"/>
      <c r="I20" s="340"/>
      <c r="J20" s="339"/>
      <c r="K20" s="321"/>
      <c r="L20" s="272"/>
      <c r="M20" s="309"/>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idden="1" x14ac:dyDescent="0.2">
      <c r="A21" s="779" t="s">
        <v>300</v>
      </c>
      <c r="B21" s="781" t="s">
        <v>18</v>
      </c>
      <c r="C21" s="6" t="s">
        <v>23</v>
      </c>
      <c r="D21" s="317">
        <v>42644</v>
      </c>
      <c r="E21" s="7">
        <v>43008</v>
      </c>
      <c r="F21" s="339"/>
      <c r="G21" s="340"/>
      <c r="H21" s="339"/>
      <c r="I21" s="340"/>
      <c r="J21" s="339"/>
      <c r="K21" s="517"/>
      <c r="L21" s="272"/>
      <c r="M21" s="309"/>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idden="1" x14ac:dyDescent="0.2">
      <c r="A22" s="779"/>
      <c r="B22" s="781"/>
      <c r="C22" s="6"/>
      <c r="D22" s="317"/>
      <c r="E22" s="7"/>
      <c r="F22" s="339"/>
      <c r="G22" s="340"/>
      <c r="H22" s="339"/>
      <c r="I22" s="340"/>
      <c r="J22" s="339"/>
      <c r="K22" s="517"/>
      <c r="L22" s="272"/>
      <c r="M22" s="309"/>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
      <c r="A23" s="778" t="s">
        <v>220</v>
      </c>
      <c r="B23" s="782" t="s">
        <v>18</v>
      </c>
      <c r="C23" s="784" t="s">
        <v>23</v>
      </c>
      <c r="D23" s="336">
        <v>43191</v>
      </c>
      <c r="E23" s="664">
        <v>43555</v>
      </c>
      <c r="F23" s="474">
        <v>141928</v>
      </c>
      <c r="G23" s="667">
        <f>+(+I23-H23)</f>
        <v>58188.570000000007</v>
      </c>
      <c r="H23" s="337">
        <f>'Dec''18 AR Aging '!G46</f>
        <v>28143.56</v>
      </c>
      <c r="I23" s="667">
        <v>86332.13</v>
      </c>
      <c r="J23" s="337">
        <f>F23-I23</f>
        <v>55595.869999999995</v>
      </c>
      <c r="K23" s="338"/>
      <c r="L23" s="272"/>
      <c r="M23" s="30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779" t="s">
        <v>182</v>
      </c>
      <c r="B24" s="781" t="s">
        <v>370</v>
      </c>
      <c r="C24" s="6" t="s">
        <v>23</v>
      </c>
      <c r="D24" s="317">
        <v>43101</v>
      </c>
      <c r="E24" s="7">
        <v>43465</v>
      </c>
      <c r="F24" s="339">
        <v>13000</v>
      </c>
      <c r="G24" s="340">
        <f>I24-H24</f>
        <v>10750</v>
      </c>
      <c r="H24" s="339">
        <f>'Dec''18 AR Aging '!G51</f>
        <v>2250</v>
      </c>
      <c r="I24" s="340">
        <v>13000</v>
      </c>
      <c r="J24" s="339">
        <f>F24-I24</f>
        <v>0</v>
      </c>
      <c r="K24" s="321"/>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779" t="s">
        <v>182</v>
      </c>
      <c r="B25" s="781" t="s">
        <v>370</v>
      </c>
      <c r="C25" s="6" t="s">
        <v>23</v>
      </c>
      <c r="D25" s="317">
        <v>43466</v>
      </c>
      <c r="E25" s="7">
        <v>43830</v>
      </c>
      <c r="F25" s="792">
        <v>13000</v>
      </c>
      <c r="G25" s="340">
        <f>I25-H25</f>
        <v>0</v>
      </c>
      <c r="H25" s="339"/>
      <c r="I25" s="340"/>
      <c r="J25" s="339"/>
      <c r="K25" s="321"/>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780" t="s">
        <v>398</v>
      </c>
      <c r="B26" s="783" t="s">
        <v>399</v>
      </c>
      <c r="C26" s="785" t="s">
        <v>23</v>
      </c>
      <c r="D26" s="703">
        <v>43344</v>
      </c>
      <c r="E26" s="704">
        <v>43524</v>
      </c>
      <c r="F26" s="706">
        <v>5497</v>
      </c>
      <c r="G26" s="789">
        <f>I26-H26</f>
        <v>2238.2600000000002</v>
      </c>
      <c r="H26" s="706">
        <f>'Dec''18 AR Aging '!G55</f>
        <v>1195.18</v>
      </c>
      <c r="I26" s="789">
        <v>3433.44</v>
      </c>
      <c r="J26" s="706">
        <f>F26-I26</f>
        <v>2063.56</v>
      </c>
      <c r="K26" s="705"/>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idden="1" x14ac:dyDescent="0.2">
      <c r="A27" s="708" t="s">
        <v>317</v>
      </c>
      <c r="B27" s="707" t="s">
        <v>150</v>
      </c>
      <c r="C27" s="6" t="s">
        <v>23</v>
      </c>
      <c r="D27" s="317"/>
      <c r="E27" s="7"/>
      <c r="F27" s="332"/>
      <c r="G27" s="340"/>
      <c r="H27" s="339"/>
      <c r="I27" s="340"/>
      <c r="J27" s="339"/>
      <c r="K27" s="321"/>
      <c r="L27" s="272"/>
      <c r="M27" s="30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thickBot="1" x14ac:dyDescent="0.25">
      <c r="A28" s="692" t="s">
        <v>412</v>
      </c>
      <c r="B28" s="424" t="s">
        <v>150</v>
      </c>
      <c r="C28" s="786" t="s">
        <v>23</v>
      </c>
      <c r="D28" s="425">
        <v>43318</v>
      </c>
      <c r="E28" s="665">
        <v>43574</v>
      </c>
      <c r="F28" s="788">
        <v>36955</v>
      </c>
      <c r="G28" s="790">
        <f>+(+I28-H28)</f>
        <v>8177.4900000000007</v>
      </c>
      <c r="H28" s="333">
        <f>'Dec''18 AR Aging '!G57</f>
        <v>2923.37</v>
      </c>
      <c r="I28" s="790">
        <f>10460.86+640</f>
        <v>11100.86</v>
      </c>
      <c r="J28" s="333">
        <f t="shared" ref="J28" si="0">+F28-I28</f>
        <v>25854.14</v>
      </c>
      <c r="K28" s="322"/>
      <c r="L28" s="272"/>
      <c r="M28" s="30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7" customFormat="1" ht="16.5" thickBot="1" x14ac:dyDescent="0.3">
      <c r="A29" s="283" t="s">
        <v>39</v>
      </c>
      <c r="B29" s="284"/>
      <c r="C29" s="285"/>
      <c r="D29" s="286"/>
      <c r="E29" s="286"/>
      <c r="F29" s="311"/>
      <c r="G29" s="311">
        <f>SUM(G8:G28)</f>
        <v>233751.11000000002</v>
      </c>
      <c r="H29" s="311">
        <f>SUM(H7:H28)</f>
        <v>208436.66</v>
      </c>
      <c r="I29" s="311">
        <f>SUM(I8:I28)</f>
        <v>358008.56</v>
      </c>
      <c r="J29" s="311">
        <f>SUM(J8:J28)</f>
        <v>384621.44</v>
      </c>
      <c r="K29" s="311">
        <f>SUM(K8:K28)</f>
        <v>35122.120000000003</v>
      </c>
      <c r="L29" s="47"/>
      <c r="M29" s="37"/>
      <c r="N29" s="37"/>
      <c r="O29" s="37"/>
      <c r="P29" s="37"/>
      <c r="Q29" s="37"/>
      <c r="R29" s="37"/>
      <c r="S29" s="37"/>
      <c r="T29" s="37"/>
      <c r="U29" s="37"/>
      <c r="V29" s="37"/>
      <c r="W29" s="37"/>
      <c r="X29" s="37"/>
      <c r="Y29" s="37"/>
      <c r="Z29" s="37"/>
      <c r="AA29" s="37"/>
      <c r="AB29" s="38"/>
      <c r="AC29" s="38"/>
      <c r="AD29" s="38"/>
      <c r="AE29" s="38"/>
      <c r="AF29" s="38"/>
      <c r="AG29" s="38"/>
      <c r="AH29" s="38"/>
      <c r="AI29" s="38"/>
      <c r="AJ29" s="38"/>
      <c r="AK29" s="38"/>
      <c r="AL29" s="38"/>
      <c r="AM29" s="39"/>
      <c r="AN29" s="39"/>
      <c r="AO29" s="39"/>
      <c r="AP29" s="39"/>
      <c r="AQ29" s="39"/>
      <c r="AR29" s="39"/>
      <c r="AS29" s="39"/>
      <c r="AT29" s="39"/>
      <c r="AU29" s="39"/>
      <c r="AV29" s="39"/>
    </row>
    <row r="30" spans="1:48" s="18" customFormat="1" x14ac:dyDescent="0.2">
      <c r="A30" s="55"/>
      <c r="B30" s="55"/>
      <c r="C30" s="19"/>
      <c r="D30" s="55"/>
      <c r="E30" s="310"/>
      <c r="F30" s="29"/>
      <c r="G30" s="29"/>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8" customFormat="1" ht="10.5" customHeight="1" thickBot="1" x14ac:dyDescent="0.25">
      <c r="A31" s="1"/>
      <c r="B31" s="44"/>
      <c r="C31" s="6"/>
      <c r="D31" s="6"/>
      <c r="E31" s="6"/>
      <c r="F31" s="29"/>
      <c r="G31" s="29"/>
      <c r="H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2" customFormat="1" ht="16.5" thickBot="1" x14ac:dyDescent="0.3">
      <c r="A32" s="326" t="s">
        <v>41</v>
      </c>
      <c r="B32" s="158"/>
      <c r="C32" s="159"/>
      <c r="D32" s="159"/>
      <c r="E32" s="159"/>
      <c r="F32" s="160"/>
      <c r="G32" s="160"/>
      <c r="H32" s="160"/>
      <c r="I32" s="160"/>
      <c r="J32" s="160"/>
      <c r="K32" s="161"/>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0" customFormat="1" ht="45.75" thickBot="1" x14ac:dyDescent="0.25">
      <c r="A33" s="348" t="s">
        <v>24</v>
      </c>
      <c r="B33" s="758" t="s">
        <v>14</v>
      </c>
      <c r="C33" s="759"/>
      <c r="D33" s="348" t="s">
        <v>2</v>
      </c>
      <c r="E33" s="348" t="s">
        <v>3</v>
      </c>
      <c r="F33" s="353" t="s">
        <v>25</v>
      </c>
      <c r="G33" s="353" t="s">
        <v>365</v>
      </c>
      <c r="H33" s="353" t="s">
        <v>181</v>
      </c>
      <c r="I33" s="353" t="s">
        <v>21</v>
      </c>
      <c r="J33" s="353" t="s">
        <v>10</v>
      </c>
      <c r="K33" s="353" t="s">
        <v>4</v>
      </c>
      <c r="L33" s="35"/>
      <c r="M33" s="35"/>
      <c r="N33" s="35"/>
      <c r="O33" s="35"/>
      <c r="P33" s="35"/>
      <c r="Q33" s="35"/>
      <c r="R33" s="35"/>
      <c r="S33" s="35"/>
      <c r="T33" s="35"/>
      <c r="U33" s="6"/>
      <c r="V33" s="35"/>
      <c r="W33" s="35"/>
      <c r="X33" s="35"/>
      <c r="Y33" s="35"/>
      <c r="Z33" s="35"/>
      <c r="AA33" s="35"/>
      <c r="AB33" s="36"/>
      <c r="AC33" s="36"/>
      <c r="AD33" s="36"/>
      <c r="AE33" s="36"/>
      <c r="AF33" s="36"/>
      <c r="AG33" s="36"/>
      <c r="AH33" s="36"/>
      <c r="AI33" s="36"/>
      <c r="AJ33" s="36"/>
      <c r="AK33" s="36"/>
      <c r="AL33" s="36"/>
      <c r="AM33" s="6"/>
      <c r="AN33" s="6"/>
      <c r="AO33" s="6"/>
      <c r="AP33" s="6"/>
      <c r="AQ33" s="6"/>
      <c r="AR33" s="6"/>
      <c r="AS33" s="6"/>
      <c r="AT33" s="6"/>
      <c r="AU33" s="6"/>
      <c r="AV33" s="6"/>
    </row>
    <row r="34" spans="1:48" hidden="1" x14ac:dyDescent="0.2">
      <c r="A34" s="313" t="s">
        <v>17</v>
      </c>
      <c r="B34" s="747" t="s">
        <v>13</v>
      </c>
      <c r="C34" s="748"/>
      <c r="D34" s="346">
        <v>41275</v>
      </c>
      <c r="E34" s="317">
        <v>41639</v>
      </c>
      <c r="F34" s="321"/>
      <c r="G34" s="321">
        <v>0</v>
      </c>
      <c r="H34" s="321"/>
      <c r="I34" s="321">
        <f>F34-H34</f>
        <v>0</v>
      </c>
      <c r="J34" s="321">
        <v>0</v>
      </c>
      <c r="K34" s="321">
        <f t="shared" ref="K34:K40" si="1">I34</f>
        <v>0</v>
      </c>
      <c r="L34" s="29"/>
      <c r="M34" s="29"/>
      <c r="N34" s="29"/>
    </row>
    <row r="35" spans="1:48" hidden="1" x14ac:dyDescent="0.2">
      <c r="A35" s="313" t="s">
        <v>307</v>
      </c>
      <c r="B35" s="747" t="s">
        <v>13</v>
      </c>
      <c r="C35" s="748"/>
      <c r="D35" s="346">
        <v>42736</v>
      </c>
      <c r="E35" s="317">
        <v>43100</v>
      </c>
      <c r="F35" s="321"/>
      <c r="G35" s="321">
        <v>0</v>
      </c>
      <c r="H35" s="321">
        <v>25000</v>
      </c>
      <c r="I35" s="321">
        <f>25000-H35</f>
        <v>0</v>
      </c>
      <c r="J35" s="321"/>
      <c r="K35" s="423">
        <f t="shared" ref="K35" si="2">I35</f>
        <v>0</v>
      </c>
      <c r="L35" s="29"/>
      <c r="M35" s="29"/>
      <c r="N35" s="29"/>
    </row>
    <row r="36" spans="1:48" x14ac:dyDescent="0.2">
      <c r="A36" s="313" t="s">
        <v>356</v>
      </c>
      <c r="B36" s="747" t="s">
        <v>13</v>
      </c>
      <c r="C36" s="748"/>
      <c r="D36" s="346">
        <v>43101</v>
      </c>
      <c r="E36" s="317">
        <v>43465</v>
      </c>
      <c r="F36" s="321">
        <v>25000</v>
      </c>
      <c r="G36" s="321">
        <v>0</v>
      </c>
      <c r="H36" s="321">
        <v>25000</v>
      </c>
      <c r="I36" s="321">
        <f>25000-H36</f>
        <v>0</v>
      </c>
      <c r="J36" s="321"/>
      <c r="K36" s="423">
        <f>I36</f>
        <v>0</v>
      </c>
      <c r="L36" s="29"/>
      <c r="M36" s="29"/>
      <c r="N36" s="29"/>
    </row>
    <row r="37" spans="1:48" x14ac:dyDescent="0.2">
      <c r="A37" s="313" t="s">
        <v>411</v>
      </c>
      <c r="B37" s="747" t="s">
        <v>13</v>
      </c>
      <c r="C37" s="748"/>
      <c r="D37" s="346">
        <v>43466</v>
      </c>
      <c r="E37" s="317">
        <v>43830</v>
      </c>
      <c r="F37" s="321">
        <v>25000</v>
      </c>
      <c r="G37" s="321"/>
      <c r="H37" s="321"/>
      <c r="I37" s="321"/>
      <c r="J37" s="321"/>
      <c r="K37" s="423"/>
      <c r="L37" s="29"/>
      <c r="M37" s="29"/>
      <c r="N37" s="29"/>
    </row>
    <row r="38" spans="1:48" x14ac:dyDescent="0.2">
      <c r="A38" s="313" t="s">
        <v>199</v>
      </c>
      <c r="B38" s="747" t="s">
        <v>13</v>
      </c>
      <c r="C38" s="748"/>
      <c r="D38" s="346">
        <v>42248</v>
      </c>
      <c r="E38" s="317">
        <v>43465</v>
      </c>
      <c r="F38" s="321">
        <f>7125*2</f>
        <v>14250</v>
      </c>
      <c r="G38" s="321">
        <f>8727.77-G39</f>
        <v>2329.7700000000004</v>
      </c>
      <c r="H38" s="321">
        <v>2330</v>
      </c>
      <c r="I38" s="321">
        <f>G38-H38</f>
        <v>-0.22999999999956344</v>
      </c>
      <c r="J38" s="321">
        <v>0</v>
      </c>
      <c r="K38" s="321">
        <f t="shared" si="1"/>
        <v>-0.22999999999956344</v>
      </c>
      <c r="L38" s="29"/>
      <c r="M38" s="29"/>
      <c r="N38" s="29"/>
    </row>
    <row r="39" spans="1:48" x14ac:dyDescent="0.2">
      <c r="A39" s="313" t="s">
        <v>226</v>
      </c>
      <c r="B39" s="747" t="s">
        <v>13</v>
      </c>
      <c r="C39" s="748"/>
      <c r="D39" s="346">
        <v>42370</v>
      </c>
      <c r="E39" s="317">
        <v>43830</v>
      </c>
      <c r="F39" s="321">
        <v>7125</v>
      </c>
      <c r="G39" s="321">
        <f>7125-727</f>
        <v>6398</v>
      </c>
      <c r="H39" s="321">
        <f>4031.25-2330</f>
        <v>1701.25</v>
      </c>
      <c r="I39" s="321">
        <f t="shared" ref="I39" si="3">G39-H39</f>
        <v>4696.75</v>
      </c>
      <c r="J39" s="321"/>
      <c r="K39" s="321">
        <f t="shared" si="1"/>
        <v>4696.75</v>
      </c>
      <c r="L39" s="29"/>
      <c r="M39" s="29"/>
      <c r="N39" s="29"/>
    </row>
    <row r="40" spans="1:48" s="4" customFormat="1" x14ac:dyDescent="0.2">
      <c r="A40" s="313" t="s">
        <v>195</v>
      </c>
      <c r="B40" s="798" t="s">
        <v>19</v>
      </c>
      <c r="C40" s="799"/>
      <c r="D40" s="346">
        <v>42736</v>
      </c>
      <c r="E40" s="317">
        <v>43585</v>
      </c>
      <c r="F40" s="321">
        <v>40000</v>
      </c>
      <c r="G40" s="321">
        <v>4081.3</v>
      </c>
      <c r="H40" s="321">
        <v>15604.79</v>
      </c>
      <c r="I40" s="321">
        <f>18000+G40-H40</f>
        <v>6476.5099999999984</v>
      </c>
      <c r="J40" s="321"/>
      <c r="K40" s="321">
        <f t="shared" si="1"/>
        <v>6476.5099999999984</v>
      </c>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 customFormat="1" ht="15" thickBot="1" x14ac:dyDescent="0.25">
      <c r="A41" s="313" t="s">
        <v>20</v>
      </c>
      <c r="B41" s="749" t="s">
        <v>45</v>
      </c>
      <c r="C41" s="751"/>
      <c r="D41" s="346">
        <v>40226</v>
      </c>
      <c r="E41" s="318" t="s">
        <v>27</v>
      </c>
      <c r="F41" s="321">
        <f>8007.78+5000+50</f>
        <v>13057.779999999999</v>
      </c>
      <c r="G41" s="321">
        <v>5384.58</v>
      </c>
      <c r="H41" s="321">
        <v>1160.8800000000001</v>
      </c>
      <c r="I41" s="321">
        <f>+G41-H41</f>
        <v>4223.7</v>
      </c>
      <c r="J41" s="321">
        <f>I41</f>
        <v>4223.7</v>
      </c>
      <c r="K41" s="321">
        <v>0</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2" customFormat="1" ht="15.75" thickBot="1" x14ac:dyDescent="0.3">
      <c r="A42" s="314"/>
      <c r="B42" s="761"/>
      <c r="C42" s="762"/>
      <c r="D42" s="347"/>
      <c r="E42" s="319"/>
      <c r="F42" s="322"/>
      <c r="G42" s="322"/>
      <c r="H42" s="322">
        <v>0</v>
      </c>
      <c r="I42" s="322"/>
      <c r="J42" s="322"/>
      <c r="K42" s="322">
        <v>0</v>
      </c>
      <c r="L42" s="278" t="s">
        <v>106</v>
      </c>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76" customFormat="1" ht="15.75" thickBot="1" x14ac:dyDescent="0.3">
      <c r="A43" s="312" t="s">
        <v>30</v>
      </c>
      <c r="B43" s="315"/>
      <c r="C43" s="315"/>
      <c r="D43" s="316"/>
      <c r="E43" s="316"/>
      <c r="F43" s="320">
        <f>SUM(F34:F42)</f>
        <v>124432.78</v>
      </c>
      <c r="G43" s="323">
        <f>SUM(G34:G42)</f>
        <v>18193.650000000001</v>
      </c>
      <c r="H43" s="320">
        <f>SUM(H34:H42)</f>
        <v>70796.920000000013</v>
      </c>
      <c r="I43" s="320">
        <f>SUM(I34:I42)</f>
        <v>15396.73</v>
      </c>
      <c r="J43" s="324">
        <f>SUM(J34:J42)</f>
        <v>4223.7</v>
      </c>
      <c r="K43" s="325">
        <f>SUM(K34:K42)</f>
        <v>11173.029999999999</v>
      </c>
      <c r="L43" s="487">
        <f>K29+K43</f>
        <v>46295.15</v>
      </c>
      <c r="M43" s="274"/>
      <c r="N43" s="274"/>
      <c r="O43" s="274"/>
      <c r="P43" s="274"/>
      <c r="Q43" s="274"/>
      <c r="R43" s="274"/>
      <c r="S43" s="274"/>
      <c r="T43" s="274"/>
      <c r="U43" s="275"/>
      <c r="V43" s="274"/>
      <c r="W43" s="274"/>
      <c r="X43" s="274"/>
      <c r="Y43" s="274"/>
      <c r="Z43" s="274"/>
      <c r="AA43" s="274"/>
      <c r="AB43" s="274"/>
      <c r="AC43" s="274"/>
      <c r="AD43" s="274"/>
      <c r="AE43" s="274"/>
      <c r="AF43" s="274"/>
      <c r="AG43" s="274"/>
      <c r="AH43" s="274"/>
      <c r="AI43" s="274"/>
      <c r="AJ43" s="274"/>
      <c r="AK43" s="274"/>
      <c r="AL43" s="274"/>
      <c r="AM43" s="275"/>
      <c r="AN43" s="275"/>
      <c r="AO43" s="275"/>
      <c r="AP43" s="275"/>
      <c r="AQ43" s="275"/>
      <c r="AR43" s="275"/>
      <c r="AS43" s="275"/>
      <c r="AT43" s="275"/>
      <c r="AU43" s="275"/>
      <c r="AV43" s="275"/>
    </row>
    <row r="44" spans="1:48" s="18" customFormat="1" ht="15" thickBot="1" x14ac:dyDescent="0.25">
      <c r="B44" s="1"/>
      <c r="C44" s="6"/>
      <c r="D44" s="6"/>
      <c r="E44" s="6"/>
      <c r="F44" s="29"/>
      <c r="G44" s="29"/>
      <c r="H44" s="29"/>
      <c r="I44" s="29"/>
      <c r="J44" s="29"/>
      <c r="K44" s="29"/>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1" customFormat="1" ht="18.75" thickBot="1" x14ac:dyDescent="0.3">
      <c r="A45" s="326" t="s">
        <v>149</v>
      </c>
      <c r="B45" s="327"/>
      <c r="C45" s="328"/>
      <c r="D45" s="328"/>
      <c r="E45" s="328"/>
      <c r="F45" s="331"/>
      <c r="G45" s="331"/>
      <c r="H45" s="331"/>
      <c r="I45" s="331"/>
      <c r="J45" s="331"/>
      <c r="K45" s="334"/>
      <c r="L45" s="331"/>
      <c r="M45" s="335"/>
      <c r="N45" s="40"/>
      <c r="O45" s="40"/>
      <c r="P45" s="40"/>
      <c r="Q45" s="40"/>
      <c r="R45" s="40"/>
      <c r="S45" s="40"/>
      <c r="T45" s="40"/>
      <c r="U45" s="41"/>
      <c r="V45" s="40"/>
      <c r="W45" s="40"/>
      <c r="X45" s="40"/>
      <c r="Y45" s="40"/>
      <c r="Z45" s="40"/>
      <c r="AA45" s="40"/>
      <c r="AB45" s="42"/>
      <c r="AC45" s="42"/>
      <c r="AD45" s="42"/>
      <c r="AE45" s="42"/>
      <c r="AF45" s="42"/>
      <c r="AG45" s="42"/>
      <c r="AH45" s="42"/>
      <c r="AI45" s="42"/>
      <c r="AJ45" s="42"/>
      <c r="AK45" s="42"/>
      <c r="AL45" s="42"/>
      <c r="AM45" s="41"/>
      <c r="AN45" s="41"/>
      <c r="AO45" s="41"/>
      <c r="AP45" s="41"/>
      <c r="AQ45" s="41"/>
      <c r="AR45" s="41"/>
      <c r="AS45" s="41"/>
      <c r="AT45" s="41"/>
      <c r="AU45" s="41"/>
      <c r="AV45" s="41"/>
    </row>
    <row r="46" spans="1:48" s="23" customFormat="1" ht="33" customHeight="1" thickBot="1" x14ac:dyDescent="0.25">
      <c r="A46" s="348" t="s">
        <v>33</v>
      </c>
      <c r="B46" s="758" t="s">
        <v>26</v>
      </c>
      <c r="C46" s="760"/>
      <c r="D46" s="760"/>
      <c r="E46" s="759"/>
      <c r="F46" s="352" t="s">
        <v>42</v>
      </c>
      <c r="G46" s="282" t="s">
        <v>365</v>
      </c>
      <c r="H46" s="282" t="s">
        <v>180</v>
      </c>
      <c r="I46" s="282" t="s">
        <v>221</v>
      </c>
      <c r="J46" s="282" t="s">
        <v>46</v>
      </c>
      <c r="K46" s="282" t="s">
        <v>12</v>
      </c>
      <c r="L46" s="282" t="s">
        <v>9</v>
      </c>
      <c r="M46" s="282" t="s">
        <v>4</v>
      </c>
      <c r="N46" s="35"/>
      <c r="O46" s="35"/>
      <c r="P46" s="35"/>
      <c r="Q46" s="35"/>
      <c r="R46" s="35"/>
      <c r="S46" s="35"/>
      <c r="T46" s="35"/>
      <c r="U46" s="6"/>
      <c r="V46" s="35"/>
      <c r="W46" s="35"/>
      <c r="X46" s="35"/>
      <c r="Y46" s="35"/>
      <c r="Z46" s="35"/>
      <c r="AA46" s="35"/>
      <c r="AB46" s="36"/>
      <c r="AC46" s="36"/>
      <c r="AD46" s="36"/>
      <c r="AE46" s="36"/>
      <c r="AF46" s="36"/>
      <c r="AG46" s="36"/>
      <c r="AH46" s="36"/>
      <c r="AI46" s="36"/>
      <c r="AJ46" s="36"/>
      <c r="AK46" s="36"/>
      <c r="AL46" s="36"/>
      <c r="AM46" s="6"/>
      <c r="AN46" s="6"/>
      <c r="AO46" s="6"/>
      <c r="AP46" s="6"/>
      <c r="AQ46" s="6"/>
      <c r="AR46" s="6"/>
      <c r="AS46" s="6"/>
      <c r="AT46" s="6"/>
      <c r="AU46" s="6"/>
      <c r="AV46" s="6"/>
    </row>
    <row r="47" spans="1:48" s="18" customFormat="1" hidden="1" x14ac:dyDescent="0.2">
      <c r="A47" s="313" t="s">
        <v>34</v>
      </c>
      <c r="B47" s="749" t="s">
        <v>37</v>
      </c>
      <c r="C47" s="750"/>
      <c r="D47" s="750"/>
      <c r="E47" s="751"/>
      <c r="F47" s="321"/>
      <c r="G47" s="321"/>
      <c r="H47" s="321">
        <v>0</v>
      </c>
      <c r="I47" s="321"/>
      <c r="J47" s="321"/>
      <c r="K47" s="321"/>
      <c r="L47" s="321"/>
      <c r="M47" s="321">
        <v>0</v>
      </c>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hidden="1" x14ac:dyDescent="0.2">
      <c r="A48" s="313" t="s">
        <v>35</v>
      </c>
      <c r="B48" s="749" t="s">
        <v>38</v>
      </c>
      <c r="C48" s="750"/>
      <c r="D48" s="750"/>
      <c r="E48" s="751"/>
      <c r="F48" s="321"/>
      <c r="G48" s="321"/>
      <c r="H48" s="321"/>
      <c r="I48" s="332"/>
      <c r="J48" s="321"/>
      <c r="K48" s="321"/>
      <c r="L48" s="321"/>
      <c r="M48" s="321">
        <v>0</v>
      </c>
      <c r="N48" s="29"/>
    </row>
    <row r="49" spans="1:48" ht="15" hidden="1" customHeight="1" x14ac:dyDescent="0.2">
      <c r="A49" s="313"/>
      <c r="B49" s="749"/>
      <c r="C49" s="750"/>
      <c r="D49" s="750"/>
      <c r="E49" s="751"/>
      <c r="F49" s="321"/>
      <c r="G49" s="321"/>
      <c r="H49" s="321"/>
      <c r="I49" s="573"/>
      <c r="J49" s="321"/>
      <c r="K49" s="423"/>
      <c r="L49" s="321"/>
      <c r="M49" s="321"/>
      <c r="N49" s="29"/>
    </row>
    <row r="50" spans="1:48" s="18" customFormat="1" hidden="1" x14ac:dyDescent="0.2">
      <c r="A50" s="313"/>
      <c r="B50" s="749"/>
      <c r="C50" s="750"/>
      <c r="D50" s="750"/>
      <c r="E50" s="751"/>
      <c r="F50" s="321"/>
      <c r="G50" s="321"/>
      <c r="H50" s="321"/>
      <c r="I50" s="321"/>
      <c r="J50" s="321"/>
      <c r="K50" s="423"/>
      <c r="L50" s="321"/>
      <c r="M50" s="321"/>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x14ac:dyDescent="0.2">
      <c r="A51" s="313" t="s">
        <v>357</v>
      </c>
      <c r="B51" s="749" t="s">
        <v>358</v>
      </c>
      <c r="C51" s="750"/>
      <c r="D51" s="750"/>
      <c r="E51" s="751"/>
      <c r="F51" s="321">
        <v>50000</v>
      </c>
      <c r="G51" s="321"/>
      <c r="H51" s="321">
        <v>50000</v>
      </c>
      <c r="I51" s="397"/>
      <c r="J51" s="339">
        <v>50000</v>
      </c>
      <c r="K51" s="423">
        <f>H51-J51</f>
        <v>0</v>
      </c>
      <c r="L51" s="321"/>
      <c r="M51" s="321"/>
      <c r="N51" s="29"/>
    </row>
    <row r="52" spans="1:48" x14ac:dyDescent="0.2">
      <c r="A52" s="313" t="s">
        <v>440</v>
      </c>
      <c r="B52" s="626" t="s">
        <v>442</v>
      </c>
      <c r="C52" s="627"/>
      <c r="D52" s="627"/>
      <c r="E52" s="628"/>
      <c r="F52" s="793">
        <v>51000</v>
      </c>
      <c r="G52" s="321">
        <v>0</v>
      </c>
      <c r="H52" s="321"/>
      <c r="I52" s="675"/>
      <c r="J52" s="339"/>
      <c r="K52" s="423">
        <f>H52-J52</f>
        <v>0</v>
      </c>
      <c r="L52" s="321">
        <f>K52</f>
        <v>0</v>
      </c>
      <c r="M52" s="321"/>
      <c r="N52" s="29"/>
    </row>
    <row r="53" spans="1:48" s="18" customFormat="1" x14ac:dyDescent="0.2">
      <c r="A53" s="313" t="s">
        <v>359</v>
      </c>
      <c r="B53" s="749" t="s">
        <v>360</v>
      </c>
      <c r="C53" s="750"/>
      <c r="D53" s="750"/>
      <c r="E53" s="751"/>
      <c r="F53" s="321">
        <v>19000</v>
      </c>
      <c r="G53" s="321"/>
      <c r="H53" s="321">
        <v>19000</v>
      </c>
      <c r="I53" s="321"/>
      <c r="J53" s="339">
        <v>19000</v>
      </c>
      <c r="K53" s="423">
        <f>H53-J53</f>
        <v>0</v>
      </c>
      <c r="L53" s="321">
        <f>K53</f>
        <v>0</v>
      </c>
      <c r="M53" s="321"/>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s="18" customFormat="1" x14ac:dyDescent="0.2">
      <c r="A54" s="313" t="s">
        <v>441</v>
      </c>
      <c r="B54" s="749" t="s">
        <v>443</v>
      </c>
      <c r="C54" s="750"/>
      <c r="D54" s="750"/>
      <c r="E54" s="751"/>
      <c r="F54" s="793">
        <f>6500+3500+2000+3500+3500</f>
        <v>19000</v>
      </c>
      <c r="G54" s="321"/>
      <c r="H54" s="321"/>
      <c r="I54" s="321"/>
      <c r="J54" s="339"/>
      <c r="K54" s="423">
        <f>H54-J54</f>
        <v>0</v>
      </c>
      <c r="L54" s="321">
        <f>K54</f>
        <v>0</v>
      </c>
      <c r="M54" s="321"/>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x14ac:dyDescent="0.2">
      <c r="A55" s="313" t="s">
        <v>22</v>
      </c>
      <c r="B55" s="749" t="s">
        <v>151</v>
      </c>
      <c r="C55" s="750"/>
      <c r="D55" s="750"/>
      <c r="E55" s="751"/>
      <c r="F55" s="321"/>
      <c r="G55" s="321">
        <v>0</v>
      </c>
      <c r="H55" s="321">
        <v>12796</v>
      </c>
      <c r="I55" s="321"/>
      <c r="J55" s="339">
        <f>H55</f>
        <v>12796</v>
      </c>
      <c r="K55" s="423">
        <f>H55-J55</f>
        <v>0</v>
      </c>
      <c r="L55" s="321">
        <v>0</v>
      </c>
      <c r="M55" s="321">
        <v>0</v>
      </c>
      <c r="N55" s="29"/>
    </row>
    <row r="56" spans="1:48" x14ac:dyDescent="0.2">
      <c r="A56" s="313" t="s">
        <v>22</v>
      </c>
      <c r="B56" s="749" t="s">
        <v>6</v>
      </c>
      <c r="C56" s="750"/>
      <c r="D56" s="750"/>
      <c r="E56" s="751"/>
      <c r="F56" s="321"/>
      <c r="G56" s="321">
        <v>1100.82</v>
      </c>
      <c r="H56" s="321"/>
      <c r="I56" s="321"/>
      <c r="J56" s="339">
        <v>0</v>
      </c>
      <c r="K56" s="423">
        <v>1100.82</v>
      </c>
      <c r="L56" s="321">
        <f>K56</f>
        <v>1100.82</v>
      </c>
      <c r="M56" s="321">
        <v>0</v>
      </c>
      <c r="N56" s="29"/>
    </row>
    <row r="57" spans="1:48" x14ac:dyDescent="0.2">
      <c r="A57" s="313" t="s">
        <v>22</v>
      </c>
      <c r="B57" s="749" t="s">
        <v>7</v>
      </c>
      <c r="C57" s="750"/>
      <c r="D57" s="750"/>
      <c r="E57" s="751"/>
      <c r="F57" s="321"/>
      <c r="G57" s="321">
        <v>22810.080000000002</v>
      </c>
      <c r="H57" s="321">
        <v>13030</v>
      </c>
      <c r="I57" s="321"/>
      <c r="J57" s="339">
        <v>16011.62</v>
      </c>
      <c r="K57" s="423">
        <f>G57+H57-J57</f>
        <v>19828.46</v>
      </c>
      <c r="L57" s="321">
        <f>K57</f>
        <v>19828.46</v>
      </c>
      <c r="M57" s="321">
        <v>0</v>
      </c>
      <c r="N57" s="29"/>
    </row>
    <row r="58" spans="1:48" x14ac:dyDescent="0.2">
      <c r="A58" s="313" t="s">
        <v>22</v>
      </c>
      <c r="B58" s="749" t="s">
        <v>8</v>
      </c>
      <c r="C58" s="750"/>
      <c r="D58" s="750"/>
      <c r="E58" s="751"/>
      <c r="F58" s="321"/>
      <c r="G58" s="321">
        <v>9543.2900000000009</v>
      </c>
      <c r="H58" s="321">
        <v>2335</v>
      </c>
      <c r="I58" s="321"/>
      <c r="J58" s="339">
        <v>5047.6400000000003</v>
      </c>
      <c r="K58" s="423">
        <f>G58+H58-J58</f>
        <v>6830.6500000000005</v>
      </c>
      <c r="L58" s="321">
        <f>K58</f>
        <v>6830.6500000000005</v>
      </c>
      <c r="M58" s="321">
        <v>0</v>
      </c>
      <c r="N58" s="29"/>
    </row>
    <row r="59" spans="1:48" s="25" customFormat="1" ht="15" thickBot="1" x14ac:dyDescent="0.25">
      <c r="A59" s="313"/>
      <c r="B59" s="749"/>
      <c r="C59" s="750"/>
      <c r="D59" s="750"/>
      <c r="E59" s="751"/>
      <c r="F59" s="321"/>
      <c r="G59" s="321"/>
      <c r="H59" s="321"/>
      <c r="I59" s="321"/>
      <c r="J59" s="321"/>
      <c r="K59" s="321"/>
      <c r="L59" s="321">
        <f>K59</f>
        <v>0</v>
      </c>
      <c r="M59" s="321">
        <v>0</v>
      </c>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25" customFormat="1" ht="15" hidden="1" thickBot="1" x14ac:dyDescent="0.25">
      <c r="A60" s="313" t="s">
        <v>22</v>
      </c>
      <c r="B60" s="329" t="s">
        <v>83</v>
      </c>
      <c r="C60" s="304"/>
      <c r="D60" s="304"/>
      <c r="E60" s="330"/>
      <c r="F60" s="321"/>
      <c r="G60" s="321"/>
      <c r="H60" s="321"/>
      <c r="I60" s="321"/>
      <c r="J60" s="321"/>
      <c r="K60" s="321"/>
      <c r="L60" s="321"/>
      <c r="M60" s="321"/>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ht="15" hidden="1" customHeight="1" thickBot="1" x14ac:dyDescent="0.25">
      <c r="A61" s="314"/>
      <c r="B61" s="749"/>
      <c r="C61" s="750"/>
      <c r="D61" s="750"/>
      <c r="E61" s="751"/>
      <c r="F61" s="322"/>
      <c r="G61" s="322">
        <v>0</v>
      </c>
      <c r="H61" s="322"/>
      <c r="I61" s="333"/>
      <c r="J61" s="322"/>
      <c r="K61" s="322"/>
      <c r="L61" s="322"/>
      <c r="M61" s="322">
        <v>0</v>
      </c>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276" customFormat="1" ht="15.75" thickBot="1" x14ac:dyDescent="0.3">
      <c r="A62" s="349" t="s">
        <v>40</v>
      </c>
      <c r="B62" s="350"/>
      <c r="C62" s="350"/>
      <c r="D62" s="350"/>
      <c r="E62" s="351"/>
      <c r="F62" s="416">
        <f t="shared" ref="F62:M62" si="4">SUM(F47:F61)</f>
        <v>139000</v>
      </c>
      <c r="G62" s="417">
        <f t="shared" si="4"/>
        <v>33454.19</v>
      </c>
      <c r="H62" s="417">
        <f t="shared" si="4"/>
        <v>97161</v>
      </c>
      <c r="I62" s="417">
        <f t="shared" si="4"/>
        <v>0</v>
      </c>
      <c r="J62" s="417">
        <f t="shared" si="4"/>
        <v>102855.26</v>
      </c>
      <c r="K62" s="418">
        <f t="shared" si="4"/>
        <v>27759.93</v>
      </c>
      <c r="L62" s="419">
        <f>SUM(L47:L61)</f>
        <v>27759.93</v>
      </c>
      <c r="M62" s="418">
        <f t="shared" si="4"/>
        <v>0</v>
      </c>
      <c r="N62" s="274"/>
      <c r="O62" s="274"/>
      <c r="P62" s="274"/>
      <c r="Q62" s="274"/>
      <c r="R62" s="274"/>
      <c r="S62" s="274"/>
      <c r="T62" s="274"/>
      <c r="U62" s="275"/>
      <c r="V62" s="274"/>
      <c r="W62" s="274"/>
      <c r="X62" s="274"/>
      <c r="Y62" s="274"/>
      <c r="Z62" s="274"/>
      <c r="AA62" s="274"/>
      <c r="AB62" s="274"/>
      <c r="AC62" s="274"/>
      <c r="AD62" s="274"/>
      <c r="AE62" s="274"/>
      <c r="AF62" s="274"/>
      <c r="AG62" s="274"/>
      <c r="AH62" s="274"/>
      <c r="AI62" s="274"/>
      <c r="AJ62" s="274"/>
      <c r="AK62" s="274"/>
      <c r="AL62" s="274"/>
      <c r="AM62" s="275"/>
      <c r="AN62" s="275"/>
      <c r="AO62" s="275"/>
      <c r="AP62" s="275"/>
      <c r="AQ62" s="275"/>
      <c r="AR62" s="275"/>
      <c r="AS62" s="275"/>
      <c r="AT62" s="275"/>
      <c r="AU62" s="275"/>
      <c r="AV62" s="275"/>
    </row>
    <row r="63" spans="1:48" ht="15.75" thickBot="1" x14ac:dyDescent="0.3">
      <c r="H63" s="28"/>
      <c r="L63" s="277" t="s">
        <v>107</v>
      </c>
      <c r="N63" s="29"/>
    </row>
    <row r="64" spans="1:48" s="48" customFormat="1" ht="16.5" thickBot="1" x14ac:dyDescent="0.3">
      <c r="A64" s="52"/>
      <c r="B64" s="53"/>
      <c r="C64" s="53"/>
      <c r="D64" s="53"/>
      <c r="E64" s="53"/>
      <c r="F64" s="53"/>
      <c r="G64" s="53"/>
      <c r="H64" s="53"/>
      <c r="I64" s="53"/>
      <c r="J64" s="53"/>
      <c r="K64" s="53"/>
      <c r="L64" s="550">
        <f>L62+J43</f>
        <v>31983.63</v>
      </c>
      <c r="M64" s="49"/>
      <c r="N64" s="29"/>
      <c r="O64" s="29"/>
      <c r="P64" s="29"/>
      <c r="Q64" s="29"/>
      <c r="R64" s="29"/>
      <c r="S64" s="29"/>
      <c r="T64" s="29"/>
      <c r="U64" s="29"/>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51" customFormat="1" ht="32.25" hidden="1" thickBot="1" x14ac:dyDescent="0.3">
      <c r="A65" s="54"/>
      <c r="B65" s="50"/>
      <c r="C65" s="50"/>
      <c r="D65" s="50"/>
      <c r="E65" s="50"/>
      <c r="F65" s="50"/>
      <c r="G65" s="151" t="s">
        <v>190</v>
      </c>
      <c r="H65" s="152" t="s">
        <v>180</v>
      </c>
      <c r="I65" s="152" t="s">
        <v>105</v>
      </c>
      <c r="J65" s="152" t="s">
        <v>60</v>
      </c>
      <c r="K65" s="153" t="s">
        <v>48</v>
      </c>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row>
    <row r="66" spans="1:48" s="43" customFormat="1" ht="20.25" hidden="1" customHeight="1" x14ac:dyDescent="0.2">
      <c r="A66" s="369" t="s">
        <v>78</v>
      </c>
      <c r="B66" s="754" t="s">
        <v>47</v>
      </c>
      <c r="C66" s="754"/>
      <c r="D66" s="754"/>
      <c r="E66" s="754"/>
      <c r="F66" s="370"/>
      <c r="G66" s="370">
        <f>104647.76-J50-1250-1250</f>
        <v>102147.76</v>
      </c>
      <c r="H66" s="370">
        <f>90450.47-J66-H69</f>
        <v>53172.75</v>
      </c>
      <c r="I66" s="370">
        <f>H55</f>
        <v>12796</v>
      </c>
      <c r="J66" s="370">
        <f>'Dec''18 AR Aging '!G40</f>
        <v>37277.72</v>
      </c>
      <c r="K66" s="371">
        <f>+I66+J66+H66-G66</f>
        <v>1098.7100000000064</v>
      </c>
      <c r="L66" s="46"/>
      <c r="M66" s="46"/>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25" customFormat="1" hidden="1" x14ac:dyDescent="0.2">
      <c r="A67" s="372" t="s">
        <v>36</v>
      </c>
      <c r="B67" s="753" t="s">
        <v>31</v>
      </c>
      <c r="C67" s="753"/>
      <c r="D67" s="753"/>
      <c r="E67" s="753"/>
      <c r="F67" s="367"/>
      <c r="G67" s="367"/>
      <c r="H67" s="367">
        <v>0</v>
      </c>
      <c r="I67" s="368"/>
      <c r="J67" s="367">
        <v>0</v>
      </c>
      <c r="K67" s="373"/>
      <c r="L67" s="340"/>
      <c r="M67" s="340">
        <v>0</v>
      </c>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18" customFormat="1" hidden="1" x14ac:dyDescent="0.2">
      <c r="A68" s="372" t="s">
        <v>22</v>
      </c>
      <c r="B68" s="755" t="s">
        <v>160</v>
      </c>
      <c r="C68" s="756"/>
      <c r="D68" s="756"/>
      <c r="E68" s="757"/>
      <c r="F68" s="367"/>
      <c r="G68" s="367"/>
      <c r="H68" s="367"/>
      <c r="I68" s="368"/>
      <c r="J68" s="367"/>
      <c r="K68" s="373"/>
      <c r="L68" s="340"/>
      <c r="M68" s="340"/>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t="15" hidden="1" thickBot="1" x14ac:dyDescent="0.25">
      <c r="A69" s="374" t="s">
        <v>159</v>
      </c>
      <c r="B69" s="752" t="s">
        <v>47</v>
      </c>
      <c r="C69" s="752"/>
      <c r="D69" s="752"/>
      <c r="E69" s="752"/>
      <c r="F69" s="375"/>
      <c r="G69" s="375"/>
      <c r="H69" s="375">
        <v>0</v>
      </c>
      <c r="I69" s="375"/>
      <c r="J69" s="375"/>
      <c r="K69" s="376"/>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x14ac:dyDescent="0.2">
      <c r="F70" s="250"/>
      <c r="G70" s="251"/>
      <c r="H70" s="250"/>
      <c r="I70" s="250"/>
      <c r="J70" s="250">
        <f>J66+I62+H29+J69</f>
        <v>245714.38</v>
      </c>
      <c r="K70" s="250" t="s">
        <v>53</v>
      </c>
      <c r="N70" s="29"/>
    </row>
    <row r="71" spans="1:48" x14ac:dyDescent="0.2">
      <c r="F71" s="250"/>
      <c r="G71" s="251"/>
      <c r="H71" s="250"/>
      <c r="I71" s="250"/>
      <c r="J71" s="271">
        <f>'Dec''18 AR Aging '!G61</f>
        <v>245714.38</v>
      </c>
      <c r="K71" s="250" t="s">
        <v>444</v>
      </c>
      <c r="N71" s="29"/>
    </row>
    <row r="72" spans="1:48" ht="15" customHeight="1" x14ac:dyDescent="0.2">
      <c r="F72" s="250"/>
      <c r="G72" s="251"/>
      <c r="H72" s="250"/>
      <c r="I72" s="250"/>
      <c r="J72" s="566">
        <f>J71-J70</f>
        <v>0</v>
      </c>
      <c r="K72" s="250" t="s">
        <v>409</v>
      </c>
      <c r="N72" s="29"/>
    </row>
    <row r="73" spans="1:48" ht="15" customHeight="1" x14ac:dyDescent="0.2">
      <c r="C73" s="8"/>
      <c r="E73" s="9"/>
    </row>
    <row r="82" spans="1:12" x14ac:dyDescent="0.2">
      <c r="A82" s="10"/>
      <c r="B82" s="1"/>
      <c r="C82" s="6"/>
      <c r="D82" s="6"/>
      <c r="E82" s="7"/>
      <c r="F82" s="29"/>
      <c r="G82" s="29"/>
      <c r="I82" s="29"/>
      <c r="J82" s="29"/>
      <c r="K82" s="29"/>
      <c r="L82" s="29"/>
    </row>
  </sheetData>
  <mergeCells count="28">
    <mergeCell ref="B33:C33"/>
    <mergeCell ref="B57:E57"/>
    <mergeCell ref="B46:E46"/>
    <mergeCell ref="B35:C35"/>
    <mergeCell ref="B41:C41"/>
    <mergeCell ref="B42:C42"/>
    <mergeCell ref="B47:E47"/>
    <mergeCell ref="B48:E48"/>
    <mergeCell ref="B55:E55"/>
    <mergeCell ref="B56:E56"/>
    <mergeCell ref="B34:C34"/>
    <mergeCell ref="B36:C36"/>
    <mergeCell ref="B49:E49"/>
    <mergeCell ref="B50:E50"/>
    <mergeCell ref="B51:E51"/>
    <mergeCell ref="B53:E53"/>
    <mergeCell ref="B69:E69"/>
    <mergeCell ref="B59:E59"/>
    <mergeCell ref="B67:E67"/>
    <mergeCell ref="B61:E61"/>
    <mergeCell ref="B66:E66"/>
    <mergeCell ref="B68:E68"/>
    <mergeCell ref="B37:C37"/>
    <mergeCell ref="B58:E58"/>
    <mergeCell ref="B38:C38"/>
    <mergeCell ref="B39:C39"/>
    <mergeCell ref="B40:C40"/>
    <mergeCell ref="B54:E54"/>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6"/>
  <sheetViews>
    <sheetView topLeftCell="A38" zoomScale="75" zoomScaleNormal="75" workbookViewId="0">
      <selection activeCell="B92" sqref="B92"/>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425</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426</v>
      </c>
      <c r="D4" s="93" t="s">
        <v>430</v>
      </c>
      <c r="E4" s="93" t="s">
        <v>405</v>
      </c>
      <c r="F4" s="93" t="s">
        <v>431</v>
      </c>
      <c r="G4" s="93" t="s">
        <v>77</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63" t="s">
        <v>72</v>
      </c>
      <c r="B5" s="764"/>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6" customFormat="1" ht="24.95" hidden="1" customHeight="1" x14ac:dyDescent="0.25">
      <c r="A6" s="361"/>
      <c r="B6" s="125"/>
      <c r="C6" s="362"/>
      <c r="D6" s="164"/>
      <c r="E6" s="581"/>
      <c r="F6" s="363"/>
      <c r="G6" s="166">
        <f>ROUND(SUM(C6:F6),5)</f>
        <v>0</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5"/>
      <c r="OJ6" s="365"/>
      <c r="OK6" s="365"/>
      <c r="OL6" s="365"/>
      <c r="OM6" s="365"/>
      <c r="ON6" s="365"/>
      <c r="OO6" s="365"/>
      <c r="OP6" s="365"/>
      <c r="OQ6" s="365"/>
      <c r="OR6" s="365"/>
      <c r="OS6" s="365"/>
      <c r="OT6" s="365"/>
      <c r="OU6" s="365"/>
      <c r="OV6" s="365"/>
      <c r="OW6" s="365"/>
      <c r="OX6" s="365"/>
      <c r="OY6" s="365"/>
      <c r="OZ6" s="365"/>
      <c r="PA6" s="365"/>
      <c r="PB6" s="365"/>
      <c r="PC6" s="365"/>
      <c r="PD6" s="365"/>
      <c r="PE6" s="365"/>
      <c r="PF6" s="365"/>
      <c r="PG6" s="365"/>
      <c r="PH6" s="365"/>
      <c r="PI6" s="365"/>
      <c r="PJ6" s="365"/>
      <c r="PK6" s="365"/>
      <c r="PL6" s="365"/>
      <c r="PM6" s="365"/>
      <c r="PN6" s="365"/>
      <c r="PO6" s="365"/>
      <c r="PP6" s="365"/>
      <c r="PQ6" s="365"/>
      <c r="PR6" s="365"/>
      <c r="PS6" s="365"/>
      <c r="PT6" s="365"/>
      <c r="PU6" s="365"/>
      <c r="PV6" s="365"/>
      <c r="PW6" s="365"/>
      <c r="PX6" s="365"/>
      <c r="PY6" s="365"/>
      <c r="PZ6" s="365"/>
      <c r="QA6" s="365"/>
      <c r="QB6" s="365"/>
      <c r="QC6" s="365"/>
      <c r="QD6" s="365"/>
      <c r="QE6" s="365"/>
      <c r="QF6" s="365"/>
      <c r="QG6" s="365"/>
      <c r="QH6" s="365"/>
      <c r="QI6" s="365"/>
      <c r="QJ6" s="365"/>
      <c r="QK6" s="365"/>
      <c r="QL6" s="365"/>
      <c r="QM6" s="365"/>
      <c r="QN6" s="365"/>
      <c r="QO6" s="365"/>
      <c r="QP6" s="365"/>
      <c r="QQ6" s="365"/>
      <c r="QR6" s="365"/>
      <c r="QS6" s="365"/>
      <c r="QT6" s="365"/>
      <c r="QU6" s="365"/>
      <c r="QV6" s="365"/>
      <c r="QW6" s="365"/>
      <c r="QX6" s="365"/>
      <c r="QY6" s="365"/>
      <c r="QZ6" s="365"/>
      <c r="RA6" s="365"/>
      <c r="RB6" s="365"/>
      <c r="RC6" s="365"/>
      <c r="RD6" s="365"/>
      <c r="RE6" s="365"/>
      <c r="RF6" s="365"/>
      <c r="RG6" s="365"/>
      <c r="RH6" s="365"/>
      <c r="RI6" s="365"/>
      <c r="RJ6" s="365"/>
      <c r="RK6" s="365"/>
      <c r="RL6" s="365"/>
      <c r="RM6" s="365"/>
      <c r="RN6" s="365"/>
      <c r="RO6" s="365"/>
      <c r="RP6" s="365"/>
      <c r="RQ6" s="365"/>
      <c r="RR6" s="365"/>
      <c r="RS6" s="365"/>
      <c r="RT6" s="365"/>
      <c r="RU6" s="365"/>
      <c r="RV6" s="365"/>
      <c r="RW6" s="365"/>
      <c r="RX6" s="365"/>
      <c r="RY6" s="365"/>
      <c r="RZ6" s="365"/>
      <c r="SA6" s="365"/>
      <c r="SB6" s="365"/>
      <c r="SC6" s="365"/>
      <c r="SD6" s="365"/>
      <c r="SE6" s="365"/>
      <c r="SF6" s="365"/>
      <c r="SG6" s="365"/>
      <c r="SH6" s="365"/>
      <c r="SI6" s="365"/>
      <c r="SJ6" s="365"/>
      <c r="SK6" s="365"/>
      <c r="SL6" s="365"/>
      <c r="SM6" s="365"/>
      <c r="SN6" s="365"/>
      <c r="SO6" s="365"/>
      <c r="SP6" s="365"/>
      <c r="SQ6" s="365"/>
      <c r="SR6" s="365"/>
      <c r="SS6" s="365"/>
      <c r="ST6" s="365"/>
      <c r="SU6" s="365"/>
      <c r="SV6" s="365"/>
      <c r="SW6" s="365"/>
      <c r="SX6" s="365"/>
      <c r="SY6" s="365"/>
      <c r="SZ6" s="365"/>
      <c r="TA6" s="365"/>
      <c r="TB6" s="365"/>
      <c r="TC6" s="365"/>
      <c r="TD6" s="365"/>
      <c r="TE6" s="365"/>
      <c r="TF6" s="365"/>
      <c r="TG6" s="365"/>
      <c r="TH6" s="365"/>
      <c r="TI6" s="365"/>
      <c r="TJ6" s="365"/>
      <c r="TK6" s="365"/>
      <c r="TL6" s="365"/>
      <c r="TM6" s="365"/>
      <c r="TN6" s="365"/>
      <c r="TO6" s="365"/>
      <c r="TP6" s="365"/>
      <c r="TQ6" s="365"/>
      <c r="TR6" s="365"/>
      <c r="TS6" s="365"/>
      <c r="TT6" s="365"/>
      <c r="TU6" s="365"/>
      <c r="TV6" s="365"/>
      <c r="TW6" s="365"/>
      <c r="TX6" s="365"/>
      <c r="TY6" s="365"/>
      <c r="TZ6" s="365"/>
      <c r="UA6" s="365"/>
      <c r="UB6" s="365"/>
      <c r="UC6" s="365"/>
      <c r="UD6" s="365"/>
      <c r="UE6" s="365"/>
      <c r="UF6" s="365"/>
      <c r="UG6" s="365"/>
      <c r="UH6" s="365"/>
      <c r="UI6" s="365"/>
      <c r="UJ6" s="365"/>
      <c r="UK6" s="365"/>
      <c r="UL6" s="365"/>
      <c r="UM6" s="365"/>
      <c r="UN6" s="365"/>
      <c r="UO6" s="365"/>
      <c r="UP6" s="365"/>
      <c r="UQ6" s="365"/>
      <c r="UR6" s="365"/>
      <c r="US6" s="365"/>
      <c r="UT6" s="365"/>
      <c r="UU6" s="365"/>
      <c r="UV6" s="365"/>
      <c r="UW6" s="365"/>
      <c r="UX6" s="365"/>
      <c r="UY6" s="365"/>
      <c r="UZ6" s="365"/>
      <c r="VA6" s="365"/>
      <c r="VB6" s="365"/>
      <c r="VC6" s="365"/>
      <c r="VD6" s="365"/>
      <c r="VE6" s="365"/>
      <c r="VF6" s="365"/>
      <c r="VG6" s="365"/>
      <c r="VH6" s="365"/>
      <c r="VI6" s="365"/>
      <c r="VJ6" s="365"/>
      <c r="VK6" s="365"/>
      <c r="VL6" s="365"/>
      <c r="VM6" s="365"/>
      <c r="VN6" s="365"/>
      <c r="VO6" s="365"/>
      <c r="VP6" s="365"/>
      <c r="VQ6" s="365"/>
      <c r="VR6" s="365"/>
      <c r="VS6" s="365"/>
      <c r="VT6" s="365"/>
      <c r="VU6" s="365"/>
      <c r="VV6" s="365"/>
      <c r="VW6" s="365"/>
      <c r="VX6" s="365"/>
      <c r="VY6" s="365"/>
      <c r="VZ6" s="365"/>
      <c r="WA6" s="365"/>
      <c r="WB6" s="365"/>
      <c r="WC6" s="365"/>
      <c r="WD6" s="365"/>
      <c r="WE6" s="365"/>
      <c r="WF6" s="365"/>
      <c r="WG6" s="365"/>
      <c r="WH6" s="365"/>
      <c r="WI6" s="365"/>
      <c r="WJ6" s="365"/>
      <c r="WK6" s="365"/>
      <c r="WL6" s="365"/>
      <c r="WM6" s="365"/>
      <c r="WN6" s="365"/>
      <c r="WO6" s="365"/>
      <c r="WP6" s="365"/>
      <c r="WQ6" s="365"/>
      <c r="WR6" s="365"/>
      <c r="WS6" s="365"/>
      <c r="WT6" s="365"/>
      <c r="WU6" s="365"/>
      <c r="WV6" s="365"/>
      <c r="WW6" s="365"/>
      <c r="WX6" s="365"/>
      <c r="WY6" s="365"/>
      <c r="WZ6" s="365"/>
      <c r="XA6" s="365"/>
      <c r="XB6" s="365"/>
      <c r="XC6" s="365"/>
      <c r="XD6" s="365"/>
      <c r="XE6" s="365"/>
      <c r="XF6" s="365"/>
      <c r="XG6" s="365"/>
      <c r="XH6" s="365"/>
      <c r="XI6" s="365"/>
      <c r="XJ6" s="365"/>
      <c r="XK6" s="365"/>
      <c r="XL6" s="365"/>
      <c r="XM6" s="365"/>
      <c r="XN6" s="365"/>
      <c r="XO6" s="365"/>
      <c r="XP6" s="365"/>
      <c r="XQ6" s="365"/>
      <c r="XR6" s="365"/>
      <c r="XS6" s="365"/>
      <c r="XT6" s="365"/>
      <c r="XU6" s="365"/>
      <c r="XV6" s="365"/>
      <c r="XW6" s="365"/>
      <c r="XX6" s="365"/>
      <c r="XY6" s="365"/>
      <c r="XZ6" s="365"/>
      <c r="YA6" s="365"/>
      <c r="YB6" s="365"/>
      <c r="YC6" s="365"/>
      <c r="YD6" s="365"/>
      <c r="YE6" s="365"/>
      <c r="YF6" s="365"/>
      <c r="YG6" s="365"/>
      <c r="YH6" s="365"/>
      <c r="YI6" s="365"/>
      <c r="YJ6" s="365"/>
      <c r="YK6" s="365"/>
      <c r="YL6" s="365"/>
      <c r="YM6" s="365"/>
      <c r="YN6" s="365"/>
      <c r="YO6" s="365"/>
      <c r="YP6" s="365"/>
      <c r="YQ6" s="365"/>
      <c r="YR6" s="365"/>
      <c r="YS6" s="365"/>
      <c r="YT6" s="365"/>
      <c r="YU6" s="365"/>
      <c r="YV6" s="365"/>
      <c r="YW6" s="365"/>
      <c r="YX6" s="365"/>
      <c r="YY6" s="365"/>
      <c r="YZ6" s="365"/>
      <c r="ZA6" s="365"/>
      <c r="ZB6" s="365"/>
      <c r="ZC6" s="365"/>
      <c r="ZD6" s="365"/>
      <c r="ZE6" s="365"/>
      <c r="ZF6" s="365"/>
      <c r="ZG6" s="365"/>
      <c r="ZH6" s="365"/>
      <c r="ZI6" s="365"/>
      <c r="ZJ6" s="365"/>
      <c r="ZK6" s="365"/>
      <c r="ZL6" s="365"/>
      <c r="ZM6" s="365"/>
      <c r="ZN6" s="365"/>
      <c r="ZO6" s="365"/>
      <c r="ZP6" s="365"/>
      <c r="ZQ6" s="365"/>
      <c r="ZR6" s="365"/>
      <c r="ZS6" s="365"/>
      <c r="ZT6" s="365"/>
      <c r="ZU6" s="365"/>
      <c r="ZV6" s="365"/>
      <c r="ZW6" s="365"/>
      <c r="ZX6" s="365"/>
      <c r="ZY6" s="365"/>
      <c r="ZZ6" s="365"/>
      <c r="AAA6" s="365"/>
      <c r="AAB6" s="365"/>
      <c r="AAC6" s="365"/>
      <c r="AAD6" s="365"/>
      <c r="AAE6" s="365"/>
      <c r="AAF6" s="365"/>
      <c r="AAG6" s="365"/>
      <c r="AAH6" s="365"/>
      <c r="AAI6" s="365"/>
      <c r="AAJ6" s="365"/>
      <c r="AAK6" s="365"/>
      <c r="AAL6" s="365"/>
      <c r="AAM6" s="365"/>
      <c r="AAN6" s="365"/>
      <c r="AAO6" s="365"/>
      <c r="AAP6" s="365"/>
      <c r="AAQ6" s="365"/>
      <c r="AAR6" s="365"/>
      <c r="AAS6" s="365"/>
      <c r="AAT6" s="365"/>
      <c r="AAU6" s="365"/>
      <c r="AAV6" s="365"/>
      <c r="AAW6" s="365"/>
      <c r="AAX6" s="365"/>
      <c r="AAY6" s="365"/>
      <c r="AAZ6" s="365"/>
      <c r="ABA6" s="365"/>
      <c r="ABB6" s="365"/>
      <c r="ABC6" s="365"/>
      <c r="ABD6" s="365"/>
      <c r="ABE6" s="365"/>
      <c r="ABF6" s="365"/>
      <c r="ABG6" s="365"/>
      <c r="ABH6" s="365"/>
      <c r="ABI6" s="365"/>
      <c r="ABJ6" s="365"/>
      <c r="ABK6" s="365"/>
      <c r="ABL6" s="365"/>
      <c r="ABM6" s="365"/>
      <c r="ABN6" s="365"/>
      <c r="ABO6" s="365"/>
      <c r="ABP6" s="365"/>
      <c r="ABQ6" s="365"/>
      <c r="ABR6" s="365"/>
      <c r="ABS6" s="365"/>
      <c r="ABT6" s="365"/>
      <c r="ABU6" s="365"/>
      <c r="ABV6" s="365"/>
      <c r="ABW6" s="365"/>
      <c r="ABX6" s="365"/>
      <c r="ABY6" s="365"/>
      <c r="ABZ6" s="365"/>
      <c r="ACA6" s="365"/>
      <c r="ACB6" s="365"/>
      <c r="ACC6" s="365"/>
      <c r="ACD6" s="365"/>
      <c r="ACE6" s="365"/>
      <c r="ACF6" s="365"/>
      <c r="ACG6" s="365"/>
      <c r="ACH6" s="365"/>
      <c r="ACI6" s="365"/>
      <c r="ACJ6" s="365"/>
      <c r="ACK6" s="365"/>
      <c r="ACL6" s="365"/>
      <c r="ACM6" s="365"/>
      <c r="ACN6" s="365"/>
      <c r="ACO6" s="365"/>
      <c r="ACP6" s="365"/>
      <c r="ACQ6" s="365"/>
      <c r="ACR6" s="365"/>
      <c r="ACS6" s="365"/>
      <c r="ACT6" s="365"/>
      <c r="ACU6" s="365"/>
      <c r="ACV6" s="365"/>
      <c r="ACW6" s="365"/>
      <c r="ACX6" s="365"/>
      <c r="ACY6" s="365"/>
      <c r="ACZ6" s="365"/>
      <c r="ADA6" s="365"/>
      <c r="ADB6" s="365"/>
      <c r="ADC6" s="365"/>
      <c r="ADD6" s="365"/>
      <c r="ADE6" s="365"/>
      <c r="ADF6" s="365"/>
      <c r="ADG6" s="365"/>
      <c r="ADH6" s="365"/>
      <c r="ADI6" s="365"/>
      <c r="ADJ6" s="365"/>
      <c r="ADK6" s="365"/>
      <c r="ADL6" s="365"/>
      <c r="ADM6" s="365"/>
      <c r="ADN6" s="365"/>
      <c r="ADO6" s="365"/>
      <c r="ADP6" s="365"/>
      <c r="ADQ6" s="365"/>
      <c r="ADR6" s="365"/>
      <c r="ADS6" s="365"/>
      <c r="ADT6" s="365"/>
      <c r="ADU6" s="365"/>
      <c r="ADV6" s="365"/>
      <c r="ADW6" s="365"/>
      <c r="ADX6" s="365"/>
      <c r="ADY6" s="365"/>
      <c r="ADZ6" s="365"/>
      <c r="AEA6" s="365"/>
      <c r="AEB6" s="365"/>
      <c r="AEC6" s="365"/>
      <c r="AED6" s="365"/>
      <c r="AEE6" s="365"/>
      <c r="AEF6" s="365"/>
      <c r="AEG6" s="365"/>
      <c r="AEH6" s="365"/>
      <c r="AEI6" s="365"/>
      <c r="AEJ6" s="365"/>
      <c r="AEK6" s="365"/>
      <c r="AEL6" s="365"/>
      <c r="AEM6" s="365"/>
      <c r="AEN6" s="365"/>
      <c r="AEO6" s="365"/>
      <c r="AEP6" s="365"/>
      <c r="AEQ6" s="365"/>
      <c r="AER6" s="365"/>
      <c r="AES6" s="365"/>
      <c r="AET6" s="365"/>
      <c r="AEU6" s="365"/>
      <c r="AEV6" s="365"/>
      <c r="AEW6" s="365"/>
      <c r="AEX6" s="365"/>
      <c r="AEY6" s="365"/>
      <c r="AEZ6" s="365"/>
      <c r="AFA6" s="365"/>
      <c r="AFB6" s="365"/>
      <c r="AFC6" s="365"/>
      <c r="AFD6" s="365"/>
      <c r="AFE6" s="365"/>
      <c r="AFF6" s="365"/>
      <c r="AFG6" s="365"/>
      <c r="AFH6" s="365"/>
      <c r="AFI6" s="365"/>
      <c r="AFJ6" s="365"/>
      <c r="AFK6" s="365"/>
      <c r="AFL6" s="365"/>
      <c r="AFM6" s="365"/>
      <c r="AFN6" s="365"/>
      <c r="AFO6" s="365"/>
      <c r="AFP6" s="365"/>
      <c r="AFQ6" s="365"/>
      <c r="AFR6" s="365"/>
      <c r="AFS6" s="365"/>
      <c r="AFT6" s="365"/>
      <c r="AFU6" s="365"/>
      <c r="AFV6" s="365"/>
      <c r="AFW6" s="365"/>
      <c r="AFX6" s="365"/>
      <c r="AFY6" s="365"/>
      <c r="AFZ6" s="365"/>
      <c r="AGA6" s="365"/>
      <c r="AGB6" s="365"/>
      <c r="AGC6" s="365"/>
      <c r="AGD6" s="365"/>
      <c r="AGE6" s="365"/>
      <c r="AGF6" s="365"/>
      <c r="AGG6" s="365"/>
      <c r="AGH6" s="365"/>
      <c r="AGI6" s="365"/>
      <c r="AGJ6" s="365"/>
      <c r="AGK6" s="365"/>
      <c r="AGL6" s="365"/>
      <c r="AGM6" s="365"/>
      <c r="AGN6" s="365"/>
      <c r="AGO6" s="365"/>
      <c r="AGP6" s="365"/>
      <c r="AGQ6" s="365"/>
      <c r="AGR6" s="365"/>
      <c r="AGS6" s="365"/>
      <c r="AGT6" s="365"/>
      <c r="AGU6" s="365"/>
      <c r="AGV6" s="365"/>
      <c r="AGW6" s="365"/>
      <c r="AGX6" s="365"/>
      <c r="AGY6" s="365"/>
      <c r="AGZ6" s="365"/>
      <c r="AHA6" s="365"/>
      <c r="AHB6" s="365"/>
      <c r="AHC6" s="365"/>
      <c r="AHD6" s="365"/>
      <c r="AHE6" s="365"/>
      <c r="AHF6" s="365"/>
      <c r="AHG6" s="365"/>
      <c r="AHH6" s="365"/>
      <c r="AHI6" s="365"/>
      <c r="AHJ6" s="365"/>
      <c r="AHK6" s="365"/>
      <c r="AHL6" s="365"/>
      <c r="AHM6" s="365"/>
      <c r="AHN6" s="365"/>
      <c r="AHO6" s="365"/>
      <c r="AHP6" s="365"/>
      <c r="AHQ6" s="365"/>
      <c r="AHR6" s="365"/>
      <c r="AHS6" s="365"/>
      <c r="AHT6" s="365"/>
      <c r="AHU6" s="365"/>
      <c r="AHV6" s="365"/>
      <c r="AHW6" s="365"/>
      <c r="AHX6" s="365"/>
      <c r="AHY6" s="365"/>
      <c r="AHZ6" s="365"/>
      <c r="AIA6" s="365"/>
      <c r="AIB6" s="365"/>
      <c r="AIC6" s="365"/>
      <c r="AID6" s="365"/>
      <c r="AIE6" s="365"/>
      <c r="AIF6" s="365"/>
      <c r="AIG6" s="365"/>
      <c r="AIH6" s="365"/>
      <c r="AII6" s="365"/>
      <c r="AIJ6" s="365"/>
      <c r="AIK6" s="365"/>
      <c r="AIL6" s="365"/>
      <c r="AIM6" s="365"/>
      <c r="AIN6" s="365"/>
      <c r="AIO6" s="365"/>
      <c r="AIP6" s="365"/>
      <c r="AIQ6" s="365"/>
      <c r="AIR6" s="365"/>
      <c r="AIS6" s="365"/>
      <c r="AIT6" s="365"/>
      <c r="AIU6" s="365"/>
      <c r="AIV6" s="365"/>
      <c r="AIW6" s="365"/>
      <c r="AIX6" s="365"/>
      <c r="AIY6" s="365"/>
      <c r="AIZ6" s="365"/>
      <c r="AJA6" s="365"/>
      <c r="AJB6" s="365"/>
      <c r="AJC6" s="365"/>
      <c r="AJD6" s="365"/>
      <c r="AJE6" s="365"/>
      <c r="AJF6" s="365"/>
      <c r="AJG6" s="365"/>
      <c r="AJH6" s="365"/>
      <c r="AJI6" s="365"/>
      <c r="AJJ6" s="365"/>
      <c r="AJK6" s="365"/>
      <c r="AJL6" s="365"/>
      <c r="AJM6" s="365"/>
      <c r="AJN6" s="365"/>
      <c r="AJO6" s="365"/>
      <c r="AJP6" s="365"/>
      <c r="AJQ6" s="365"/>
      <c r="AJR6" s="365"/>
      <c r="AJS6" s="365"/>
      <c r="AJT6" s="365"/>
      <c r="AJU6" s="365"/>
      <c r="AJV6" s="365"/>
      <c r="AJW6" s="365"/>
      <c r="AJX6" s="365"/>
      <c r="AJY6" s="365"/>
      <c r="AJZ6" s="365"/>
      <c r="AKA6" s="365"/>
      <c r="AKB6" s="365"/>
      <c r="AKC6" s="365"/>
      <c r="AKD6" s="365"/>
      <c r="AKE6" s="365"/>
      <c r="AKF6" s="365"/>
      <c r="AKG6" s="365"/>
      <c r="AKH6" s="365"/>
      <c r="AKI6" s="365"/>
      <c r="AKJ6" s="365"/>
      <c r="AKK6" s="365"/>
      <c r="AKL6" s="365"/>
      <c r="AKM6" s="365"/>
      <c r="AKN6" s="365"/>
      <c r="AKO6" s="365"/>
      <c r="AKP6" s="365"/>
      <c r="AKQ6" s="365"/>
      <c r="AKR6" s="365"/>
      <c r="AKS6" s="365"/>
      <c r="AKT6" s="365"/>
      <c r="AKU6" s="365"/>
      <c r="AKV6" s="365"/>
      <c r="AKW6" s="365"/>
      <c r="AKX6" s="365"/>
      <c r="AKY6" s="365"/>
      <c r="AKZ6" s="365"/>
      <c r="ALA6" s="365"/>
      <c r="ALB6" s="365"/>
      <c r="ALC6" s="365"/>
      <c r="ALD6" s="365"/>
      <c r="ALE6" s="365"/>
      <c r="ALF6" s="365"/>
      <c r="ALG6" s="365"/>
      <c r="ALH6" s="365"/>
      <c r="ALI6" s="365"/>
      <c r="ALJ6" s="365"/>
      <c r="ALK6" s="365"/>
      <c r="ALL6" s="365"/>
      <c r="ALM6" s="365"/>
      <c r="ALN6" s="365"/>
      <c r="ALO6" s="365"/>
      <c r="ALP6" s="365"/>
      <c r="ALQ6" s="365"/>
      <c r="ALR6" s="365"/>
      <c r="ALS6" s="365"/>
      <c r="ALT6" s="365"/>
      <c r="ALU6" s="365"/>
      <c r="ALV6" s="365"/>
      <c r="ALW6" s="365"/>
      <c r="ALX6" s="365"/>
      <c r="ALY6" s="365"/>
      <c r="ALZ6" s="365"/>
      <c r="AMA6" s="365"/>
      <c r="AMB6" s="365"/>
      <c r="AMC6" s="365"/>
      <c r="AMD6" s="365"/>
      <c r="AME6" s="365"/>
      <c r="AMF6" s="365"/>
      <c r="AMG6" s="365"/>
      <c r="AMH6" s="365"/>
      <c r="AMI6" s="365"/>
      <c r="AMJ6" s="365"/>
      <c r="AMK6" s="365"/>
      <c r="AML6" s="365"/>
      <c r="AMM6" s="365"/>
      <c r="AMN6" s="365"/>
      <c r="AMO6" s="365"/>
      <c r="AMP6" s="365"/>
      <c r="AMQ6" s="365"/>
      <c r="AMR6" s="365"/>
      <c r="AMS6" s="365"/>
      <c r="AMT6" s="365"/>
      <c r="AMU6" s="365"/>
      <c r="AMV6" s="365"/>
      <c r="AMW6" s="365"/>
      <c r="AMX6" s="365"/>
      <c r="AMY6" s="365"/>
      <c r="AMZ6" s="365"/>
      <c r="ANA6" s="365"/>
      <c r="ANB6" s="365"/>
      <c r="ANC6" s="365"/>
      <c r="AND6" s="365"/>
      <c r="ANE6" s="365"/>
      <c r="ANF6" s="365"/>
      <c r="ANG6" s="365"/>
      <c r="ANH6" s="365"/>
      <c r="ANI6" s="365"/>
      <c r="ANJ6" s="365"/>
      <c r="ANK6" s="365"/>
      <c r="ANL6" s="365"/>
      <c r="ANM6" s="365"/>
      <c r="ANN6" s="365"/>
      <c r="ANO6" s="365"/>
      <c r="ANP6" s="365"/>
      <c r="ANQ6" s="365"/>
      <c r="ANR6" s="365"/>
      <c r="ANS6" s="365"/>
      <c r="ANT6" s="365"/>
      <c r="ANU6" s="365"/>
      <c r="ANV6" s="365"/>
      <c r="ANW6" s="365"/>
      <c r="ANX6" s="365"/>
      <c r="ANY6" s="365"/>
      <c r="ANZ6" s="365"/>
      <c r="AOA6" s="365"/>
      <c r="AOB6" s="365"/>
      <c r="AOC6" s="365"/>
      <c r="AOD6" s="365"/>
      <c r="AOE6" s="365"/>
      <c r="AOF6" s="365"/>
      <c r="AOG6" s="365"/>
      <c r="AOH6" s="365"/>
      <c r="AOI6" s="365"/>
      <c r="AOJ6" s="365"/>
      <c r="AOK6" s="365"/>
      <c r="AOL6" s="365"/>
      <c r="AOM6" s="365"/>
      <c r="AON6" s="365"/>
      <c r="AOO6" s="365"/>
      <c r="AOP6" s="365"/>
      <c r="AOQ6" s="365"/>
      <c r="AOR6" s="365"/>
      <c r="AOS6" s="365"/>
      <c r="AOT6" s="365"/>
      <c r="AOU6" s="365"/>
      <c r="AOV6" s="365"/>
      <c r="AOW6" s="365"/>
      <c r="AOX6" s="365"/>
      <c r="AOY6" s="365"/>
      <c r="AOZ6" s="365"/>
      <c r="APA6" s="365"/>
      <c r="APB6" s="365"/>
      <c r="APC6" s="365"/>
      <c r="APD6" s="365"/>
      <c r="APE6" s="365"/>
      <c r="APF6" s="365"/>
      <c r="APG6" s="365"/>
      <c r="APH6" s="365"/>
      <c r="API6" s="365"/>
      <c r="APJ6" s="365"/>
      <c r="APK6" s="365"/>
      <c r="APL6" s="365"/>
      <c r="APM6" s="365"/>
      <c r="APN6" s="365"/>
      <c r="APO6" s="365"/>
      <c r="APP6" s="365"/>
      <c r="APQ6" s="365"/>
      <c r="APR6" s="365"/>
      <c r="APS6" s="365"/>
      <c r="APT6" s="365"/>
      <c r="APU6" s="365"/>
      <c r="APV6" s="365"/>
      <c r="APW6" s="365"/>
      <c r="APX6" s="365"/>
      <c r="APY6" s="365"/>
      <c r="APZ6" s="365"/>
      <c r="AQA6" s="365"/>
      <c r="AQB6" s="365"/>
      <c r="AQC6" s="365"/>
      <c r="AQD6" s="365"/>
      <c r="AQE6" s="365"/>
      <c r="AQF6" s="365"/>
      <c r="AQG6" s="365"/>
      <c r="AQH6" s="365"/>
      <c r="AQI6" s="365"/>
      <c r="AQJ6" s="365"/>
      <c r="AQK6" s="365"/>
      <c r="AQL6" s="365"/>
      <c r="AQM6" s="365"/>
      <c r="AQN6" s="365"/>
      <c r="AQO6" s="365"/>
      <c r="AQP6" s="365"/>
      <c r="AQQ6" s="365"/>
      <c r="AQR6" s="365"/>
      <c r="AQS6" s="365"/>
      <c r="AQT6" s="365"/>
      <c r="AQU6" s="365"/>
      <c r="AQV6" s="365"/>
      <c r="AQW6" s="365"/>
      <c r="AQX6" s="365"/>
      <c r="AQY6" s="365"/>
      <c r="AQZ6" s="365"/>
      <c r="ARA6" s="365"/>
      <c r="ARB6" s="365"/>
      <c r="ARC6" s="365"/>
      <c r="ARD6" s="365"/>
      <c r="ARE6" s="365"/>
      <c r="ARF6" s="365"/>
      <c r="ARG6" s="365"/>
      <c r="ARH6" s="365"/>
      <c r="ARI6" s="365"/>
      <c r="ARJ6" s="365"/>
      <c r="ARK6" s="365"/>
      <c r="ARL6" s="365"/>
      <c r="ARM6" s="365"/>
      <c r="ARN6" s="365"/>
      <c r="ARO6" s="365"/>
      <c r="ARP6" s="365"/>
      <c r="ARQ6" s="365"/>
      <c r="ARR6" s="365"/>
      <c r="ARS6" s="365"/>
      <c r="ART6" s="365"/>
      <c r="ARU6" s="365"/>
      <c r="ARV6" s="365"/>
      <c r="ARW6" s="365"/>
      <c r="ARX6" s="365"/>
      <c r="ARY6" s="365"/>
      <c r="ARZ6" s="365"/>
      <c r="ASA6" s="365"/>
      <c r="ASB6" s="365"/>
      <c r="ASC6" s="365"/>
      <c r="ASD6" s="365"/>
      <c r="ASE6" s="365"/>
      <c r="ASF6" s="365"/>
      <c r="ASG6" s="365"/>
      <c r="ASH6" s="365"/>
      <c r="ASI6" s="365"/>
      <c r="ASJ6" s="365"/>
      <c r="ASK6" s="365"/>
      <c r="ASL6" s="365"/>
      <c r="ASM6" s="365"/>
      <c r="ASN6" s="365"/>
      <c r="ASO6" s="365"/>
      <c r="ASP6" s="365"/>
      <c r="ASQ6" s="365"/>
      <c r="ASR6" s="365"/>
      <c r="ASS6" s="365"/>
      <c r="AST6" s="365"/>
      <c r="ASU6" s="365"/>
      <c r="ASV6" s="365"/>
      <c r="ASW6" s="365"/>
      <c r="ASX6" s="365"/>
      <c r="ASY6" s="365"/>
      <c r="ASZ6" s="365"/>
      <c r="ATA6" s="365"/>
      <c r="ATB6" s="365"/>
      <c r="ATC6" s="365"/>
      <c r="ATD6" s="365"/>
      <c r="ATE6" s="365"/>
      <c r="ATF6" s="365"/>
      <c r="ATG6" s="365"/>
      <c r="ATH6" s="365"/>
      <c r="ATI6" s="365"/>
      <c r="ATJ6" s="365"/>
      <c r="ATK6" s="365"/>
      <c r="ATL6" s="365"/>
      <c r="ATM6" s="365"/>
      <c r="ATN6" s="365"/>
      <c r="ATO6" s="365"/>
      <c r="ATP6" s="365"/>
      <c r="ATQ6" s="365"/>
      <c r="ATR6" s="365"/>
      <c r="ATS6" s="365"/>
      <c r="ATT6" s="365"/>
      <c r="ATU6" s="365"/>
      <c r="ATV6" s="365"/>
      <c r="ATW6" s="365"/>
      <c r="ATX6" s="365"/>
      <c r="ATY6" s="365"/>
      <c r="ATZ6" s="365"/>
      <c r="AUA6" s="365"/>
      <c r="AUB6" s="365"/>
      <c r="AUC6" s="365"/>
      <c r="AUD6" s="365"/>
      <c r="AUE6" s="365"/>
      <c r="AUF6" s="365"/>
      <c r="AUG6" s="365"/>
      <c r="AUH6" s="365"/>
      <c r="AUI6" s="365"/>
      <c r="AUJ6" s="365"/>
      <c r="AUK6" s="365"/>
      <c r="AUL6" s="365"/>
      <c r="AUM6" s="365"/>
      <c r="AUN6" s="365"/>
      <c r="AUO6" s="365"/>
      <c r="AUP6" s="365"/>
      <c r="AUQ6" s="365"/>
      <c r="AUR6" s="365"/>
      <c r="AUS6" s="365"/>
      <c r="AUT6" s="365"/>
      <c r="AUU6" s="365"/>
      <c r="AUV6" s="365"/>
      <c r="AUW6" s="365"/>
      <c r="AUX6" s="365"/>
      <c r="AUY6" s="365"/>
      <c r="AUZ6" s="365"/>
      <c r="AVA6" s="365"/>
      <c r="AVB6" s="365"/>
      <c r="AVC6" s="365"/>
      <c r="AVD6" s="365"/>
      <c r="AVE6" s="365"/>
      <c r="AVF6" s="365"/>
      <c r="AVG6" s="365"/>
      <c r="AVH6" s="365"/>
      <c r="AVI6" s="365"/>
      <c r="AVJ6" s="365"/>
      <c r="AVK6" s="365"/>
      <c r="AVL6" s="365"/>
      <c r="AVM6" s="365"/>
      <c r="AVN6" s="365"/>
      <c r="AVO6" s="365"/>
      <c r="AVP6" s="365"/>
      <c r="AVQ6" s="365"/>
      <c r="AVR6" s="365"/>
      <c r="AVS6" s="365"/>
      <c r="AVT6" s="365"/>
      <c r="AVU6" s="365"/>
      <c r="AVV6" s="365"/>
      <c r="AVW6" s="365"/>
      <c r="AVX6" s="365"/>
      <c r="AVY6" s="365"/>
      <c r="AVZ6" s="365"/>
      <c r="AWA6" s="365"/>
      <c r="AWB6" s="365"/>
      <c r="AWC6" s="365"/>
      <c r="AWD6" s="365"/>
      <c r="AWE6" s="365"/>
      <c r="AWF6" s="365"/>
      <c r="AWG6" s="365"/>
      <c r="AWH6" s="365"/>
      <c r="AWI6" s="365"/>
      <c r="AWJ6" s="365"/>
      <c r="AWK6" s="365"/>
      <c r="AWL6" s="365"/>
      <c r="AWM6" s="365"/>
      <c r="AWN6" s="365"/>
      <c r="AWO6" s="365"/>
      <c r="AWP6" s="365"/>
      <c r="AWQ6" s="365"/>
      <c r="AWR6" s="365"/>
      <c r="AWS6" s="365"/>
      <c r="AWT6" s="365"/>
      <c r="AWU6" s="365"/>
      <c r="AWV6" s="365"/>
      <c r="AWW6" s="365"/>
      <c r="AWX6" s="365"/>
      <c r="AWY6" s="365"/>
      <c r="AWZ6" s="365"/>
      <c r="AXA6" s="365"/>
      <c r="AXB6" s="365"/>
      <c r="AXC6" s="365"/>
      <c r="AXD6" s="365"/>
      <c r="AXE6" s="365"/>
      <c r="AXF6" s="365"/>
      <c r="AXG6" s="365"/>
      <c r="AXH6" s="365"/>
      <c r="AXI6" s="365"/>
      <c r="AXJ6" s="365"/>
      <c r="AXK6" s="365"/>
      <c r="AXL6" s="365"/>
      <c r="AXM6" s="365"/>
      <c r="AXN6" s="365"/>
      <c r="AXO6" s="365"/>
      <c r="AXP6" s="365"/>
      <c r="AXQ6" s="365"/>
      <c r="AXR6" s="365"/>
      <c r="AXS6" s="365"/>
      <c r="AXT6" s="365"/>
      <c r="AXU6" s="365"/>
      <c r="AXV6" s="365"/>
      <c r="AXW6" s="365"/>
      <c r="AXX6" s="365"/>
      <c r="AXY6" s="365"/>
      <c r="AXZ6" s="365"/>
      <c r="AYA6" s="365"/>
      <c r="AYB6" s="365"/>
      <c r="AYC6" s="365"/>
      <c r="AYD6" s="365"/>
      <c r="AYE6" s="365"/>
      <c r="AYF6" s="365"/>
      <c r="AYG6" s="365"/>
      <c r="AYH6" s="365"/>
      <c r="AYI6" s="365"/>
      <c r="AYJ6" s="365"/>
      <c r="AYK6" s="365"/>
      <c r="AYL6" s="365"/>
      <c r="AYM6" s="365"/>
      <c r="AYN6" s="365"/>
      <c r="AYO6" s="365"/>
      <c r="AYP6" s="365"/>
      <c r="AYQ6" s="365"/>
      <c r="AYR6" s="365"/>
      <c r="AYS6" s="365"/>
      <c r="AYT6" s="365"/>
      <c r="AYU6" s="365"/>
      <c r="AYV6" s="365"/>
      <c r="AYW6" s="365"/>
      <c r="AYX6" s="365"/>
      <c r="AYY6" s="365"/>
      <c r="AYZ6" s="365"/>
      <c r="AZA6" s="365"/>
      <c r="AZB6" s="365"/>
      <c r="AZC6" s="365"/>
      <c r="AZD6" s="365"/>
      <c r="AZE6" s="365"/>
      <c r="AZF6" s="365"/>
      <c r="AZG6" s="365"/>
      <c r="AZH6" s="365"/>
      <c r="AZI6" s="365"/>
      <c r="AZJ6" s="365"/>
      <c r="AZK6" s="365"/>
      <c r="AZL6" s="365"/>
      <c r="AZM6" s="365"/>
      <c r="AZN6" s="365"/>
      <c r="AZO6" s="365"/>
      <c r="AZP6" s="365"/>
      <c r="AZQ6" s="365"/>
      <c r="AZR6" s="365"/>
      <c r="AZS6" s="365"/>
      <c r="AZT6" s="365"/>
      <c r="AZU6" s="365"/>
      <c r="AZV6" s="365"/>
      <c r="AZW6" s="365"/>
      <c r="AZX6" s="365"/>
      <c r="AZY6" s="365"/>
      <c r="AZZ6" s="365"/>
      <c r="BAA6" s="365"/>
      <c r="BAB6" s="365"/>
      <c r="BAC6" s="365"/>
      <c r="BAD6" s="365"/>
      <c r="BAE6" s="365"/>
      <c r="BAF6" s="365"/>
      <c r="BAG6" s="365"/>
      <c r="BAH6" s="365"/>
      <c r="BAI6" s="365"/>
      <c r="BAJ6" s="365"/>
      <c r="BAK6" s="365"/>
      <c r="BAL6" s="365"/>
      <c r="BAM6" s="365"/>
      <c r="BAN6" s="365"/>
      <c r="BAO6" s="365"/>
      <c r="BAP6" s="365"/>
      <c r="BAQ6" s="365"/>
      <c r="BAR6" s="365"/>
      <c r="BAS6" s="365"/>
      <c r="BAT6" s="365"/>
      <c r="BAU6" s="365"/>
      <c r="BAV6" s="365"/>
      <c r="BAW6" s="365"/>
      <c r="BAX6" s="365"/>
      <c r="BAY6" s="365"/>
      <c r="BAZ6" s="365"/>
      <c r="BBA6" s="365"/>
      <c r="BBB6" s="365"/>
      <c r="BBC6" s="365"/>
      <c r="BBD6" s="365"/>
      <c r="BBE6" s="365"/>
      <c r="BBF6" s="365"/>
      <c r="BBG6" s="365"/>
      <c r="BBH6" s="365"/>
      <c r="BBI6" s="365"/>
      <c r="BBJ6" s="365"/>
      <c r="BBK6" s="365"/>
      <c r="BBL6" s="365"/>
      <c r="BBM6" s="365"/>
      <c r="BBN6" s="365"/>
      <c r="BBO6" s="365"/>
      <c r="BBP6" s="365"/>
      <c r="BBQ6" s="365"/>
      <c r="BBR6" s="365"/>
      <c r="BBS6" s="365"/>
      <c r="BBT6" s="365"/>
      <c r="BBU6" s="365"/>
      <c r="BBV6" s="365"/>
      <c r="BBW6" s="365"/>
      <c r="BBX6" s="365"/>
      <c r="BBY6" s="365"/>
      <c r="BBZ6" s="365"/>
      <c r="BCA6" s="365"/>
      <c r="BCB6" s="365"/>
      <c r="BCC6" s="365"/>
      <c r="BCD6" s="365"/>
      <c r="BCE6" s="365"/>
      <c r="BCF6" s="365"/>
      <c r="BCG6" s="365"/>
      <c r="BCH6" s="365"/>
      <c r="BCI6" s="365"/>
      <c r="BCJ6" s="365"/>
      <c r="BCK6" s="365"/>
      <c r="BCL6" s="365"/>
      <c r="BCM6" s="365"/>
      <c r="BCN6" s="365"/>
      <c r="BCO6" s="365"/>
      <c r="BCP6" s="365"/>
      <c r="BCQ6" s="365"/>
      <c r="BCR6" s="365"/>
      <c r="BCS6" s="365"/>
      <c r="BCT6" s="365"/>
      <c r="BCU6" s="365"/>
      <c r="BCV6" s="365"/>
      <c r="BCW6" s="365"/>
      <c r="BCX6" s="365"/>
      <c r="BCY6" s="365"/>
      <c r="BCZ6" s="365"/>
      <c r="BDA6" s="365"/>
      <c r="BDB6" s="365"/>
      <c r="BDC6" s="365"/>
      <c r="BDD6" s="365"/>
      <c r="BDE6" s="365"/>
      <c r="BDF6" s="365"/>
      <c r="BDG6" s="365"/>
      <c r="BDH6" s="365"/>
      <c r="BDI6" s="365"/>
      <c r="BDJ6" s="365"/>
      <c r="BDK6" s="365"/>
      <c r="BDL6" s="365"/>
      <c r="BDM6" s="365"/>
      <c r="BDN6" s="365"/>
      <c r="BDO6" s="365"/>
      <c r="BDP6" s="365"/>
      <c r="BDQ6" s="365"/>
      <c r="BDR6" s="365"/>
      <c r="BDS6" s="365"/>
      <c r="BDT6" s="365"/>
      <c r="BDU6" s="365"/>
      <c r="BDV6" s="365"/>
      <c r="BDW6" s="365"/>
      <c r="BDX6" s="365"/>
      <c r="BDY6" s="365"/>
      <c r="BDZ6" s="365"/>
      <c r="BEA6" s="365"/>
      <c r="BEB6" s="365"/>
      <c r="BEC6" s="365"/>
      <c r="BED6" s="365"/>
      <c r="BEE6" s="365"/>
      <c r="BEF6" s="365"/>
      <c r="BEG6" s="365"/>
      <c r="BEH6" s="365"/>
      <c r="BEI6" s="365"/>
      <c r="BEJ6" s="365"/>
      <c r="BEK6" s="365"/>
      <c r="BEL6" s="365"/>
      <c r="BEM6" s="365"/>
      <c r="BEN6" s="365"/>
      <c r="BEO6" s="365"/>
      <c r="BEP6" s="365"/>
      <c r="BEQ6" s="365"/>
      <c r="BER6" s="365"/>
      <c r="BES6" s="365"/>
      <c r="BET6" s="365"/>
      <c r="BEU6" s="365"/>
      <c r="BEV6" s="365"/>
      <c r="BEW6" s="365"/>
      <c r="BEX6" s="365"/>
      <c r="BEY6" s="365"/>
      <c r="BEZ6" s="365"/>
      <c r="BFA6" s="365"/>
      <c r="BFB6" s="365"/>
      <c r="BFC6" s="365"/>
      <c r="BFD6" s="365"/>
      <c r="BFE6" s="365"/>
      <c r="BFF6" s="365"/>
      <c r="BFG6" s="365"/>
      <c r="BFH6" s="365"/>
      <c r="BFI6" s="365"/>
      <c r="BFJ6" s="365"/>
      <c r="BFK6" s="365"/>
      <c r="BFL6" s="365"/>
      <c r="BFM6" s="365"/>
      <c r="BFN6" s="365"/>
      <c r="BFO6" s="365"/>
      <c r="BFP6" s="365"/>
      <c r="BFQ6" s="365"/>
      <c r="BFR6" s="365"/>
      <c r="BFS6" s="365"/>
      <c r="BFT6" s="365"/>
      <c r="BFU6" s="365"/>
      <c r="BFV6" s="365"/>
      <c r="BFW6" s="365"/>
      <c r="BFX6" s="365"/>
      <c r="BFY6" s="365"/>
      <c r="BFZ6" s="365"/>
      <c r="BGA6" s="365"/>
      <c r="BGB6" s="365"/>
      <c r="BGC6" s="365"/>
      <c r="BGD6" s="365"/>
      <c r="BGE6" s="365"/>
      <c r="BGF6" s="365"/>
      <c r="BGG6" s="365"/>
      <c r="BGH6" s="365"/>
      <c r="BGI6" s="365"/>
      <c r="BGJ6" s="365"/>
      <c r="BGK6" s="365"/>
      <c r="BGL6" s="365"/>
      <c r="BGM6" s="365"/>
      <c r="BGN6" s="365"/>
      <c r="BGO6" s="365"/>
      <c r="BGP6" s="365"/>
      <c r="BGQ6" s="365"/>
      <c r="BGR6" s="365"/>
      <c r="BGS6" s="365"/>
      <c r="BGT6" s="365"/>
      <c r="BGU6" s="365"/>
      <c r="BGV6" s="365"/>
      <c r="BGW6" s="365"/>
      <c r="BGX6" s="365"/>
      <c r="BGY6" s="365"/>
      <c r="BGZ6" s="365"/>
      <c r="BHA6" s="365"/>
      <c r="BHB6" s="365"/>
      <c r="BHC6" s="365"/>
      <c r="BHD6" s="365"/>
      <c r="BHE6" s="365"/>
      <c r="BHF6" s="365"/>
      <c r="BHG6" s="365"/>
      <c r="BHH6" s="365"/>
      <c r="BHI6" s="365"/>
      <c r="BHJ6" s="365"/>
      <c r="BHK6" s="365"/>
      <c r="BHL6" s="365"/>
      <c r="BHM6" s="365"/>
      <c r="BHN6" s="365"/>
      <c r="BHO6" s="365"/>
      <c r="BHP6" s="365"/>
      <c r="BHQ6" s="365"/>
      <c r="BHR6" s="365"/>
      <c r="BHS6" s="365"/>
      <c r="BHT6" s="365"/>
      <c r="BHU6" s="365"/>
      <c r="BHV6" s="365"/>
      <c r="BHW6" s="365"/>
      <c r="BHX6" s="365"/>
      <c r="BHY6" s="365"/>
      <c r="BHZ6" s="365"/>
      <c r="BIA6" s="365"/>
      <c r="BIB6" s="365"/>
      <c r="BIC6" s="365"/>
      <c r="BID6" s="365"/>
      <c r="BIE6" s="365"/>
      <c r="BIF6" s="365"/>
      <c r="BIG6" s="365"/>
      <c r="BIH6" s="365"/>
      <c r="BII6" s="365"/>
      <c r="BIJ6" s="365"/>
      <c r="BIK6" s="365"/>
      <c r="BIL6" s="365"/>
      <c r="BIM6" s="365"/>
      <c r="BIN6" s="365"/>
      <c r="BIO6" s="365"/>
      <c r="BIP6" s="365"/>
      <c r="BIQ6" s="365"/>
      <c r="BIR6" s="365"/>
      <c r="BIS6" s="365"/>
      <c r="BIT6" s="365"/>
      <c r="BIU6" s="365"/>
      <c r="BIV6" s="365"/>
      <c r="BIW6" s="365"/>
      <c r="BIX6" s="365"/>
      <c r="BIY6" s="365"/>
      <c r="BIZ6" s="365"/>
      <c r="BJA6" s="365"/>
      <c r="BJB6" s="365"/>
      <c r="BJC6" s="365"/>
      <c r="BJD6" s="365"/>
      <c r="BJE6" s="365"/>
      <c r="BJF6" s="365"/>
      <c r="BJG6" s="365"/>
      <c r="BJH6" s="365"/>
      <c r="BJI6" s="365"/>
      <c r="BJJ6" s="365"/>
      <c r="BJK6" s="365"/>
      <c r="BJL6" s="365"/>
      <c r="BJM6" s="365"/>
      <c r="BJN6" s="365"/>
      <c r="BJO6" s="365"/>
      <c r="BJP6" s="365"/>
      <c r="BJQ6" s="365"/>
      <c r="BJR6" s="365"/>
      <c r="BJS6" s="365"/>
      <c r="BJT6" s="365"/>
      <c r="BJU6" s="365"/>
      <c r="BJV6" s="365"/>
      <c r="BJW6" s="365"/>
      <c r="BJX6" s="365"/>
      <c r="BJY6" s="365"/>
      <c r="BJZ6" s="365"/>
      <c r="BKA6" s="365"/>
      <c r="BKB6" s="365"/>
      <c r="BKC6" s="365"/>
      <c r="BKD6" s="365"/>
      <c r="BKE6" s="365"/>
      <c r="BKF6" s="365"/>
      <c r="BKG6" s="365"/>
      <c r="BKH6" s="365"/>
      <c r="BKI6" s="365"/>
      <c r="BKJ6" s="365"/>
      <c r="BKK6" s="365"/>
      <c r="BKL6" s="365"/>
      <c r="BKM6" s="365"/>
      <c r="BKN6" s="365"/>
      <c r="BKO6" s="365"/>
      <c r="BKP6" s="365"/>
      <c r="BKQ6" s="365"/>
      <c r="BKR6" s="365"/>
      <c r="BKS6" s="365"/>
      <c r="BKT6" s="365"/>
      <c r="BKU6" s="365"/>
      <c r="BKV6" s="365"/>
      <c r="BKW6" s="365"/>
      <c r="BKX6" s="365"/>
      <c r="BKY6" s="365"/>
      <c r="BKZ6" s="365"/>
      <c r="BLA6" s="365"/>
      <c r="BLB6" s="365"/>
      <c r="BLC6" s="365"/>
      <c r="BLD6" s="365"/>
      <c r="BLE6" s="365"/>
      <c r="BLF6" s="365"/>
      <c r="BLG6" s="365"/>
      <c r="BLH6" s="365"/>
      <c r="BLI6" s="365"/>
      <c r="BLJ6" s="365"/>
      <c r="BLK6" s="365"/>
      <c r="BLL6" s="365"/>
      <c r="BLM6" s="365"/>
      <c r="BLN6" s="365"/>
      <c r="BLO6" s="365"/>
      <c r="BLP6" s="365"/>
      <c r="BLQ6" s="365"/>
      <c r="BLR6" s="365"/>
      <c r="BLS6" s="365"/>
      <c r="BLT6" s="365"/>
      <c r="BLU6" s="365"/>
      <c r="BLV6" s="365"/>
      <c r="BLW6" s="365"/>
      <c r="BLX6" s="365"/>
      <c r="BLY6" s="365"/>
      <c r="BLZ6" s="365"/>
      <c r="BMA6" s="365"/>
      <c r="BMB6" s="365"/>
      <c r="BMC6" s="365"/>
      <c r="BMD6" s="365"/>
      <c r="BME6" s="365"/>
      <c r="BMF6" s="365"/>
      <c r="BMG6" s="365"/>
      <c r="BMH6" s="365"/>
      <c r="BMI6" s="365"/>
      <c r="BMJ6" s="365"/>
      <c r="BMK6" s="365"/>
      <c r="BML6" s="365"/>
      <c r="BMM6" s="365"/>
      <c r="BMN6" s="365"/>
      <c r="BMO6" s="365"/>
      <c r="BMP6" s="365"/>
      <c r="BMQ6" s="365"/>
      <c r="BMR6" s="365"/>
      <c r="BMS6" s="365"/>
      <c r="BMT6" s="365"/>
      <c r="BMU6" s="365"/>
      <c r="BMV6" s="365"/>
      <c r="BMW6" s="365"/>
      <c r="BMX6" s="365"/>
      <c r="BMY6" s="365"/>
      <c r="BMZ6" s="365"/>
      <c r="BNA6" s="365"/>
      <c r="BNB6" s="365"/>
      <c r="BNC6" s="365"/>
      <c r="BND6" s="365"/>
      <c r="BNE6" s="365"/>
      <c r="BNF6" s="365"/>
      <c r="BNG6" s="365"/>
      <c r="BNH6" s="365"/>
      <c r="BNI6" s="365"/>
      <c r="BNJ6" s="365"/>
      <c r="BNK6" s="365"/>
      <c r="BNL6" s="365"/>
      <c r="BNM6" s="365"/>
      <c r="BNN6" s="365"/>
      <c r="BNO6" s="365"/>
      <c r="BNP6" s="365"/>
      <c r="BNQ6" s="365"/>
      <c r="BNR6" s="365"/>
      <c r="BNS6" s="365"/>
      <c r="BNT6" s="365"/>
      <c r="BNU6" s="365"/>
      <c r="BNV6" s="365"/>
      <c r="BNW6" s="365"/>
      <c r="BNX6" s="365"/>
      <c r="BNY6" s="365"/>
      <c r="BNZ6" s="365"/>
      <c r="BOA6" s="365"/>
      <c r="BOB6" s="365"/>
      <c r="BOC6" s="365"/>
      <c r="BOD6" s="365"/>
      <c r="BOE6" s="365"/>
      <c r="BOF6" s="365"/>
      <c r="BOG6" s="365"/>
      <c r="BOH6" s="365"/>
      <c r="BOI6" s="365"/>
      <c r="BOJ6" s="365"/>
      <c r="BOK6" s="365"/>
      <c r="BOL6" s="365"/>
      <c r="BOM6" s="365"/>
      <c r="BON6" s="365"/>
      <c r="BOO6" s="365"/>
      <c r="BOP6" s="365"/>
      <c r="BOQ6" s="365"/>
      <c r="BOR6" s="365"/>
      <c r="BOS6" s="365"/>
      <c r="BOT6" s="365"/>
      <c r="BOU6" s="365"/>
      <c r="BOV6" s="365"/>
      <c r="BOW6" s="365"/>
      <c r="BOX6" s="365"/>
      <c r="BOY6" s="365"/>
      <c r="BOZ6" s="365"/>
      <c r="BPA6" s="365"/>
      <c r="BPB6" s="365"/>
      <c r="BPC6" s="365"/>
      <c r="BPD6" s="365"/>
      <c r="BPE6" s="365"/>
      <c r="BPF6" s="365"/>
      <c r="BPG6" s="365"/>
      <c r="BPH6" s="365"/>
      <c r="BPI6" s="365"/>
      <c r="BPJ6" s="365"/>
      <c r="BPK6" s="365"/>
      <c r="BPL6" s="365"/>
      <c r="BPM6" s="365"/>
      <c r="BPN6" s="365"/>
      <c r="BPO6" s="365"/>
      <c r="BPP6" s="365"/>
      <c r="BPQ6" s="365"/>
      <c r="BPR6" s="365"/>
      <c r="BPS6" s="365"/>
      <c r="BPT6" s="365"/>
      <c r="BPU6" s="365"/>
      <c r="BPV6" s="365"/>
      <c r="BPW6" s="365"/>
      <c r="BPX6" s="365"/>
      <c r="BPY6" s="365"/>
      <c r="BPZ6" s="365"/>
      <c r="BQA6" s="365"/>
      <c r="BQB6" s="365"/>
      <c r="BQC6" s="365"/>
      <c r="BQD6" s="365"/>
      <c r="BQE6" s="365"/>
      <c r="BQF6" s="365"/>
      <c r="BQG6" s="365"/>
      <c r="BQH6" s="365"/>
      <c r="BQI6" s="365"/>
      <c r="BQJ6" s="365"/>
      <c r="BQK6" s="365"/>
      <c r="BQL6" s="365"/>
      <c r="BQM6" s="365"/>
      <c r="BQN6" s="365"/>
      <c r="BQO6" s="365"/>
      <c r="BQP6" s="365"/>
      <c r="BQQ6" s="365"/>
      <c r="BQR6" s="365"/>
      <c r="BQS6" s="365"/>
      <c r="BQT6" s="365"/>
      <c r="BQU6" s="365"/>
      <c r="BQV6" s="365"/>
      <c r="BQW6" s="365"/>
      <c r="BQX6" s="365"/>
      <c r="BQY6" s="365"/>
      <c r="BQZ6" s="365"/>
      <c r="BRA6" s="365"/>
      <c r="BRB6" s="365"/>
      <c r="BRC6" s="365"/>
      <c r="BRD6" s="365"/>
      <c r="BRE6" s="365"/>
      <c r="BRF6" s="365"/>
      <c r="BRG6" s="365"/>
      <c r="BRH6" s="365"/>
      <c r="BRI6" s="365"/>
      <c r="BRJ6" s="365"/>
      <c r="BRK6" s="365"/>
      <c r="BRL6" s="365"/>
      <c r="BRM6" s="365"/>
      <c r="BRN6" s="365"/>
      <c r="BRO6" s="365"/>
      <c r="BRP6" s="365"/>
      <c r="BRQ6" s="365"/>
      <c r="BRR6" s="365"/>
      <c r="BRS6" s="365"/>
      <c r="BRT6" s="365"/>
      <c r="BRU6" s="365"/>
      <c r="BRV6" s="365"/>
      <c r="BRW6" s="365"/>
      <c r="BRX6" s="365"/>
      <c r="BRY6" s="365"/>
      <c r="BRZ6" s="365"/>
      <c r="BSA6" s="365"/>
      <c r="BSB6" s="365"/>
      <c r="BSC6" s="365"/>
      <c r="BSD6" s="365"/>
      <c r="BSE6" s="365"/>
      <c r="BSF6" s="365"/>
      <c r="BSG6" s="365"/>
      <c r="BSH6" s="365"/>
      <c r="BSI6" s="365"/>
      <c r="BSJ6" s="365"/>
      <c r="BSK6" s="365"/>
      <c r="BSL6" s="365"/>
      <c r="BSM6" s="365"/>
      <c r="BSN6" s="365"/>
      <c r="BSO6" s="365"/>
      <c r="BSP6" s="365"/>
      <c r="BSQ6" s="365"/>
      <c r="BSR6" s="365"/>
      <c r="BSS6" s="365"/>
      <c r="BST6" s="365"/>
      <c r="BSU6" s="365"/>
      <c r="BSV6" s="365"/>
      <c r="BSW6" s="365"/>
      <c r="BSX6" s="365"/>
      <c r="BSY6" s="365"/>
      <c r="BSZ6" s="365"/>
      <c r="BTA6" s="365"/>
      <c r="BTB6" s="365"/>
      <c r="BTC6" s="365"/>
      <c r="BTD6" s="365"/>
      <c r="BTE6" s="365"/>
      <c r="BTF6" s="365"/>
      <c r="BTG6" s="365"/>
      <c r="BTH6" s="365"/>
      <c r="BTI6" s="365"/>
      <c r="BTJ6" s="365"/>
      <c r="BTK6" s="365"/>
      <c r="BTL6" s="365"/>
      <c r="BTM6" s="365"/>
      <c r="BTN6" s="365"/>
      <c r="BTO6" s="365"/>
      <c r="BTP6" s="365"/>
      <c r="BTQ6" s="365"/>
      <c r="BTR6" s="365"/>
      <c r="BTS6" s="365"/>
      <c r="BTT6" s="365"/>
      <c r="BTU6" s="365"/>
      <c r="BTV6" s="365"/>
      <c r="BTW6" s="365"/>
      <c r="BTX6" s="365"/>
      <c r="BTY6" s="365"/>
      <c r="BTZ6" s="365"/>
      <c r="BUA6" s="365"/>
      <c r="BUB6" s="365"/>
      <c r="BUC6" s="365"/>
      <c r="BUD6" s="365"/>
      <c r="BUE6" s="365"/>
      <c r="BUF6" s="365"/>
      <c r="BUG6" s="365"/>
      <c r="BUH6" s="365"/>
      <c r="BUI6" s="365"/>
      <c r="BUJ6" s="365"/>
      <c r="BUK6" s="365"/>
      <c r="BUL6" s="365"/>
      <c r="BUM6" s="365"/>
      <c r="BUN6" s="365"/>
      <c r="BUO6" s="365"/>
      <c r="BUP6" s="365"/>
      <c r="BUQ6" s="365"/>
      <c r="BUR6" s="365"/>
      <c r="BUS6" s="365"/>
      <c r="BUT6" s="365"/>
      <c r="BUU6" s="365"/>
      <c r="BUV6" s="365"/>
      <c r="BUW6" s="365"/>
      <c r="BUX6" s="365"/>
      <c r="BUY6" s="365"/>
      <c r="BUZ6" s="365"/>
      <c r="BVA6" s="365"/>
      <c r="BVB6" s="365"/>
      <c r="BVC6" s="365"/>
      <c r="BVD6" s="365"/>
      <c r="BVE6" s="365"/>
      <c r="BVF6" s="365"/>
      <c r="BVG6" s="365"/>
      <c r="BVH6" s="365"/>
      <c r="BVI6" s="365"/>
      <c r="BVJ6" s="365"/>
      <c r="BVK6" s="365"/>
      <c r="BVL6" s="365"/>
      <c r="BVM6" s="365"/>
      <c r="BVN6" s="365"/>
      <c r="BVO6" s="365"/>
      <c r="BVP6" s="365"/>
      <c r="BVQ6" s="365"/>
      <c r="BVR6" s="365"/>
      <c r="BVS6" s="365"/>
      <c r="BVT6" s="365"/>
      <c r="BVU6" s="365"/>
      <c r="BVV6" s="365"/>
      <c r="BVW6" s="365"/>
      <c r="BVX6" s="365"/>
      <c r="BVY6" s="365"/>
      <c r="BVZ6" s="365"/>
      <c r="BWA6" s="365"/>
      <c r="BWB6" s="365"/>
      <c r="BWC6" s="365"/>
      <c r="BWD6" s="365"/>
      <c r="BWE6" s="365"/>
      <c r="BWF6" s="365"/>
      <c r="BWG6" s="365"/>
      <c r="BWH6" s="365"/>
      <c r="BWI6" s="365"/>
      <c r="BWJ6" s="365"/>
      <c r="BWK6" s="365"/>
      <c r="BWL6" s="365"/>
      <c r="BWM6" s="365"/>
      <c r="BWN6" s="365"/>
      <c r="BWO6" s="365"/>
      <c r="BWP6" s="365"/>
      <c r="BWQ6" s="365"/>
      <c r="BWR6" s="365"/>
      <c r="BWS6" s="365"/>
      <c r="BWT6" s="365"/>
      <c r="BWU6" s="365"/>
      <c r="BWV6" s="365"/>
      <c r="BWW6" s="365"/>
      <c r="BWX6" s="365"/>
      <c r="BWY6" s="365"/>
      <c r="BWZ6" s="365"/>
      <c r="BXA6" s="365"/>
      <c r="BXB6" s="365"/>
      <c r="BXC6" s="365"/>
      <c r="BXD6" s="365"/>
      <c r="BXE6" s="365"/>
      <c r="BXF6" s="365"/>
      <c r="BXG6" s="365"/>
      <c r="BXH6" s="365"/>
      <c r="BXI6" s="365"/>
      <c r="BXJ6" s="365"/>
      <c r="BXK6" s="365"/>
      <c r="BXL6" s="365"/>
      <c r="BXM6" s="365"/>
      <c r="BXN6" s="365"/>
      <c r="BXO6" s="365"/>
      <c r="BXP6" s="365"/>
      <c r="BXQ6" s="365"/>
      <c r="BXR6" s="365"/>
      <c r="BXS6" s="365"/>
      <c r="BXT6" s="365"/>
      <c r="BXU6" s="365"/>
      <c r="BXV6" s="365"/>
      <c r="BXW6" s="365"/>
      <c r="BXX6" s="365"/>
      <c r="BXY6" s="365"/>
      <c r="BXZ6" s="365"/>
      <c r="BYA6" s="365"/>
      <c r="BYB6" s="365"/>
      <c r="BYC6" s="365"/>
      <c r="BYD6" s="365"/>
      <c r="BYE6" s="365"/>
      <c r="BYF6" s="365"/>
      <c r="BYG6" s="365"/>
    </row>
    <row r="7" spans="1:2009" s="97" customFormat="1" ht="24.95" customHeight="1" x14ac:dyDescent="0.25">
      <c r="A7" s="130"/>
      <c r="B7" s="125" t="s">
        <v>372</v>
      </c>
      <c r="C7" s="164">
        <f>83929.71+249.5</f>
        <v>84179.21</v>
      </c>
      <c r="D7" s="164"/>
      <c r="E7" s="164"/>
      <c r="F7" s="165"/>
      <c r="G7" s="166">
        <f>ROUND(SUM(C7:F7),5)</f>
        <v>84179.21</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167</v>
      </c>
      <c r="C8" s="209">
        <f>SUM(C7)</f>
        <v>84179.21</v>
      </c>
      <c r="D8" s="209"/>
      <c r="E8" s="209"/>
      <c r="F8" s="209"/>
      <c r="G8" s="210">
        <f>ROUND(SUM(G3:G7),5)</f>
        <v>84179.21</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73</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49</v>
      </c>
      <c r="C11" s="171"/>
      <c r="D11" s="171"/>
      <c r="E11" s="172"/>
      <c r="F11" s="172"/>
      <c r="G11" s="173">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324</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394</v>
      </c>
      <c r="C13" s="171">
        <v>20210.68</v>
      </c>
      <c r="D13" s="171">
        <v>11618.28</v>
      </c>
      <c r="E13" s="172"/>
      <c r="F13" s="172"/>
      <c r="G13" s="173">
        <f>ROUND(SUM(C13:F13),5)</f>
        <v>31828.959999999999</v>
      </c>
      <c r="H13" s="94"/>
      <c r="I13" s="619"/>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147</v>
      </c>
      <c r="C14" s="216">
        <f>ROUND(SUM(C10:C13),5)</f>
        <v>20210.68</v>
      </c>
      <c r="D14" s="216">
        <f>SUM(D11:D13)</f>
        <v>11618.28</v>
      </c>
      <c r="E14" s="216"/>
      <c r="F14" s="216"/>
      <c r="G14" s="217">
        <f>ROUND(SUM(G10:G13),5)</f>
        <v>31828.959999999999</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74</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223</v>
      </c>
      <c r="C17" s="179"/>
      <c r="D17" s="179"/>
      <c r="E17" s="180"/>
      <c r="F17" s="180"/>
      <c r="G17" s="181">
        <f t="shared" ref="G17:G20" si="0">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311</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373</v>
      </c>
      <c r="C19" s="179"/>
      <c r="D19" s="179"/>
      <c r="E19" s="180"/>
      <c r="F19" s="180"/>
      <c r="G19" s="181"/>
      <c r="H19" s="94"/>
      <c r="I19" s="668"/>
      <c r="J19" s="94"/>
      <c r="K19" s="668"/>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312</v>
      </c>
      <c r="C20" s="179"/>
      <c r="D20" s="179"/>
      <c r="E20" s="180"/>
      <c r="F20" s="180"/>
      <c r="G20" s="181">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374</v>
      </c>
      <c r="C21" s="179"/>
      <c r="D21" s="179"/>
      <c r="E21" s="180"/>
      <c r="F21" s="180"/>
      <c r="G21" s="181"/>
      <c r="H21" s="94"/>
      <c r="I21" s="668"/>
      <c r="J21" s="94"/>
      <c r="K21" s="668"/>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395</v>
      </c>
      <c r="C22" s="179"/>
      <c r="D22" s="179"/>
      <c r="E22" s="180"/>
      <c r="F22" s="180"/>
      <c r="G22" s="181"/>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hidden="1" customHeight="1" thickBot="1" x14ac:dyDescent="0.3">
      <c r="A23" s="219"/>
      <c r="B23" s="220" t="s">
        <v>75</v>
      </c>
      <c r="C23" s="221"/>
      <c r="D23" s="221"/>
      <c r="E23" s="221"/>
      <c r="F23" s="221"/>
      <c r="G23" s="222"/>
      <c r="H23" s="223"/>
      <c r="I23" s="223"/>
      <c r="J23" s="223"/>
      <c r="K23" s="461"/>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62"/>
      <c r="L24" s="461">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100</v>
      </c>
      <c r="B25" s="139"/>
      <c r="C25" s="183"/>
      <c r="D25" s="183"/>
      <c r="E25" s="184"/>
      <c r="F25" s="184"/>
      <c r="G25" s="185"/>
      <c r="H25" s="94"/>
      <c r="I25" s="94"/>
      <c r="J25" s="94"/>
      <c r="K25" s="462"/>
      <c r="L25" s="462" t="s">
        <v>219</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166</v>
      </c>
      <c r="C26" s="186"/>
      <c r="D26" s="186"/>
      <c r="E26" s="187"/>
      <c r="F26" s="187"/>
      <c r="G26" s="188"/>
      <c r="H26" s="94"/>
      <c r="I26" s="94"/>
      <c r="J26" s="94"/>
      <c r="K26" s="463"/>
      <c r="L26"/>
      <c r="M26" s="464">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148</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hidden="1"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164</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5"/>
      <c r="B30" s="114" t="s">
        <v>328</v>
      </c>
      <c r="C30" s="192"/>
      <c r="D30" s="192"/>
      <c r="E30" s="193"/>
      <c r="F30" s="193"/>
      <c r="G30" s="194"/>
      <c r="H30" s="94"/>
      <c r="I30" s="71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407</v>
      </c>
      <c r="C31" s="192">
        <v>28140.18</v>
      </c>
      <c r="D31" s="192">
        <v>22692.86</v>
      </c>
      <c r="E31" s="193"/>
      <c r="F31" s="193"/>
      <c r="G31" s="194">
        <f>SUM(C31:F31)</f>
        <v>50833.04</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165</v>
      </c>
      <c r="C32" s="234">
        <f>SUM(C30:C31)</f>
        <v>28140.18</v>
      </c>
      <c r="D32" s="234">
        <f>D30+D31</f>
        <v>22692.86</v>
      </c>
      <c r="E32" s="234"/>
      <c r="F32" s="235"/>
      <c r="G32" s="236">
        <f>SUM(G30:G31)</f>
        <v>50833.04</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76</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146</v>
      </c>
      <c r="C39" s="201">
        <v>3541.67</v>
      </c>
      <c r="D39" s="201">
        <v>3541.67</v>
      </c>
      <c r="E39" s="202"/>
      <c r="F39" s="202"/>
      <c r="G39" s="203">
        <f>ROUND(SUM(C39:F39),5)</f>
        <v>7083.34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51</v>
      </c>
      <c r="C40" s="201">
        <v>11062.22</v>
      </c>
      <c r="D40" s="201">
        <v>11729.69</v>
      </c>
      <c r="E40" s="202">
        <f>14485.81</f>
        <v>14485.81</v>
      </c>
      <c r="F40" s="202"/>
      <c r="G40" s="203">
        <f>ROUND(SUM(C40:F40),5)</f>
        <v>37277.72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4" customFormat="1" ht="24.95" customHeight="1" thickBot="1" x14ac:dyDescent="0.3">
      <c r="A41" s="240"/>
      <c r="B41" s="241" t="s">
        <v>52</v>
      </c>
      <c r="C41" s="242">
        <f>SUM(C39:C40)</f>
        <v>14603.89</v>
      </c>
      <c r="D41" s="242">
        <f>SUM(D39:D40)</f>
        <v>15271.36</v>
      </c>
      <c r="E41" s="242">
        <f t="shared" ref="E41:F41" si="1">SUM(E39:E40)</f>
        <v>14485.81</v>
      </c>
      <c r="F41" s="242"/>
      <c r="G41" s="243">
        <f>SUM(G39:G40)</f>
        <v>44361.06</v>
      </c>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c r="IM41" s="224"/>
      <c r="IN41" s="224"/>
      <c r="IO41" s="224"/>
      <c r="IP41" s="224"/>
      <c r="IQ41" s="224"/>
      <c r="IR41" s="224"/>
      <c r="IS41" s="224"/>
      <c r="IT41" s="224"/>
      <c r="IU41" s="224"/>
      <c r="IV41" s="224"/>
      <c r="IW41" s="224"/>
      <c r="IX41" s="224"/>
      <c r="IY41" s="224"/>
      <c r="IZ41" s="224"/>
      <c r="JA41" s="224"/>
      <c r="JB41" s="224"/>
      <c r="JC41" s="224"/>
      <c r="JD41" s="224"/>
      <c r="JE41" s="224"/>
      <c r="JF41" s="224"/>
      <c r="JG41" s="224"/>
      <c r="JH41" s="224"/>
      <c r="JI41" s="224"/>
      <c r="JJ41" s="224"/>
      <c r="JK41" s="224"/>
      <c r="JL41" s="224"/>
      <c r="JM41" s="224"/>
      <c r="JN41" s="224"/>
      <c r="JO41" s="224"/>
      <c r="JP41" s="224"/>
      <c r="JQ41" s="224"/>
      <c r="JR41" s="224"/>
      <c r="JS41" s="224"/>
      <c r="JT41" s="224"/>
      <c r="JU41" s="224"/>
      <c r="JV41" s="224"/>
      <c r="JW41" s="224"/>
      <c r="JX41" s="224"/>
      <c r="JY41" s="224"/>
      <c r="JZ41" s="224"/>
      <c r="KA41" s="224"/>
      <c r="KB41" s="224"/>
      <c r="KC41" s="224"/>
      <c r="KD41" s="224"/>
      <c r="KE41" s="224"/>
      <c r="KF41" s="224"/>
      <c r="KG41" s="224"/>
      <c r="KH41" s="224"/>
      <c r="KI41" s="224"/>
      <c r="KJ41" s="224"/>
      <c r="KK41" s="224"/>
      <c r="KL41" s="224"/>
      <c r="KM41" s="224"/>
      <c r="KN41" s="224"/>
      <c r="KO41" s="224"/>
      <c r="KP41" s="224"/>
      <c r="KQ41" s="224"/>
      <c r="KR41" s="224"/>
      <c r="KS41" s="224"/>
      <c r="KT41" s="224"/>
      <c r="KU41" s="224"/>
      <c r="KV41" s="224"/>
      <c r="KW41" s="224"/>
      <c r="KX41" s="224"/>
      <c r="KY41" s="224"/>
      <c r="KZ41" s="224"/>
      <c r="LA41" s="224"/>
      <c r="LB41" s="224"/>
      <c r="LC41" s="224"/>
      <c r="LD41" s="224"/>
      <c r="LE41" s="224"/>
      <c r="LF41" s="224"/>
      <c r="LG41" s="224"/>
      <c r="LH41" s="224"/>
      <c r="LI41" s="224"/>
      <c r="LJ41" s="224"/>
      <c r="LK41" s="224"/>
      <c r="LL41" s="224"/>
      <c r="LM41" s="224"/>
      <c r="LN41" s="224"/>
      <c r="LO41" s="224"/>
      <c r="LP41" s="224"/>
      <c r="LQ41" s="224"/>
      <c r="LR41" s="224"/>
      <c r="LS41" s="224"/>
      <c r="LT41" s="224"/>
      <c r="LU41" s="224"/>
      <c r="LV41" s="224"/>
      <c r="LW41" s="224"/>
      <c r="LX41" s="224"/>
      <c r="LY41" s="224"/>
      <c r="LZ41" s="224"/>
      <c r="MA41" s="224"/>
      <c r="MB41" s="224"/>
      <c r="MC41" s="224"/>
      <c r="MD41" s="224"/>
      <c r="ME41" s="224"/>
      <c r="MF41" s="224"/>
      <c r="MG41" s="224"/>
      <c r="MH41" s="224"/>
      <c r="MI41" s="224"/>
      <c r="MJ41" s="224"/>
      <c r="MK41" s="224"/>
      <c r="ML41" s="224"/>
      <c r="MM41" s="224"/>
      <c r="MN41" s="224"/>
      <c r="MO41" s="224"/>
      <c r="MP41" s="224"/>
      <c r="MQ41" s="224"/>
      <c r="MR41" s="224"/>
      <c r="MS41" s="224"/>
      <c r="MT41" s="224"/>
      <c r="MU41" s="224"/>
      <c r="MV41" s="224"/>
      <c r="MW41" s="224"/>
      <c r="MX41" s="224"/>
      <c r="MY41" s="224"/>
      <c r="MZ41" s="224"/>
      <c r="NA41" s="224"/>
      <c r="NB41" s="224"/>
      <c r="NC41" s="224"/>
      <c r="ND41" s="224"/>
      <c r="NE41" s="224"/>
      <c r="NF41" s="224"/>
      <c r="NG41" s="224"/>
      <c r="NH41" s="224"/>
      <c r="NI41" s="224"/>
      <c r="NJ41" s="224"/>
      <c r="NK41" s="224"/>
      <c r="NL41" s="224"/>
      <c r="NM41" s="224"/>
      <c r="NN41" s="224"/>
      <c r="NO41" s="224"/>
      <c r="NP41" s="224"/>
      <c r="NQ41" s="224"/>
      <c r="NR41" s="224"/>
      <c r="NS41" s="224"/>
      <c r="NT41" s="224"/>
      <c r="NU41" s="224"/>
      <c r="NV41" s="224"/>
      <c r="NW41" s="224"/>
      <c r="NX41" s="224"/>
      <c r="NY41" s="224"/>
      <c r="NZ41" s="224"/>
      <c r="OA41" s="224"/>
      <c r="OB41" s="224"/>
      <c r="OC41" s="224"/>
      <c r="OD41" s="224"/>
      <c r="OE41" s="224"/>
      <c r="OF41" s="224"/>
      <c r="OG41" s="224"/>
      <c r="OH41" s="224"/>
      <c r="OI41" s="224"/>
      <c r="OJ41" s="224"/>
      <c r="OK41" s="224"/>
      <c r="OL41" s="224"/>
      <c r="OM41" s="224"/>
      <c r="ON41" s="224"/>
      <c r="OO41" s="224"/>
      <c r="OP41" s="224"/>
      <c r="OQ41" s="224"/>
      <c r="OR41" s="224"/>
      <c r="OS41" s="224"/>
      <c r="OT41" s="224"/>
      <c r="OU41" s="224"/>
      <c r="OV41" s="224"/>
      <c r="OW41" s="224"/>
      <c r="OX41" s="224"/>
      <c r="OY41" s="224"/>
      <c r="OZ41" s="224"/>
      <c r="PA41" s="224"/>
      <c r="PB41" s="224"/>
      <c r="PC41" s="224"/>
      <c r="PD41" s="224"/>
      <c r="PE41" s="224"/>
      <c r="PF41" s="224"/>
      <c r="PG41" s="224"/>
      <c r="PH41" s="224"/>
      <c r="PI41" s="224"/>
      <c r="PJ41" s="224"/>
      <c r="PK41" s="224"/>
      <c r="PL41" s="224"/>
      <c r="PM41" s="224"/>
      <c r="PN41" s="224"/>
      <c r="PO41" s="224"/>
      <c r="PP41" s="224"/>
      <c r="PQ41" s="224"/>
      <c r="PR41" s="224"/>
      <c r="PS41" s="224"/>
      <c r="PT41" s="224"/>
      <c r="PU41" s="224"/>
      <c r="PV41" s="224"/>
      <c r="PW41" s="224"/>
      <c r="PX41" s="224"/>
      <c r="PY41" s="224"/>
      <c r="PZ41" s="224"/>
      <c r="QA41" s="224"/>
      <c r="QB41" s="224"/>
      <c r="QC41" s="224"/>
      <c r="QD41" s="224"/>
      <c r="QE41" s="224"/>
      <c r="QF41" s="224"/>
      <c r="QG41" s="224"/>
      <c r="QH41" s="224"/>
      <c r="QI41" s="224"/>
      <c r="QJ41" s="224"/>
      <c r="QK41" s="224"/>
      <c r="QL41" s="224"/>
      <c r="QM41" s="224"/>
      <c r="QN41" s="224"/>
      <c r="QO41" s="224"/>
      <c r="QP41" s="224"/>
      <c r="QQ41" s="224"/>
      <c r="QR41" s="224"/>
      <c r="QS41" s="224"/>
      <c r="QT41" s="224"/>
      <c r="QU41" s="224"/>
      <c r="QV41" s="224"/>
      <c r="QW41" s="224"/>
      <c r="QX41" s="224"/>
      <c r="QY41" s="224"/>
      <c r="QZ41" s="224"/>
      <c r="RA41" s="224"/>
      <c r="RB41" s="224"/>
      <c r="RC41" s="224"/>
      <c r="RD41" s="224"/>
      <c r="RE41" s="224"/>
      <c r="RF41" s="224"/>
      <c r="RG41" s="224"/>
      <c r="RH41" s="224"/>
      <c r="RI41" s="224"/>
      <c r="RJ41" s="224"/>
      <c r="RK41" s="224"/>
      <c r="RL41" s="224"/>
      <c r="RM41" s="224"/>
      <c r="RN41" s="224"/>
      <c r="RO41" s="224"/>
      <c r="RP41" s="224"/>
      <c r="RQ41" s="224"/>
      <c r="RR41" s="224"/>
      <c r="RS41" s="224"/>
      <c r="RT41" s="224"/>
      <c r="RU41" s="224"/>
      <c r="RV41" s="224"/>
      <c r="RW41" s="224"/>
      <c r="RX41" s="224"/>
      <c r="RY41" s="224"/>
      <c r="RZ41" s="224"/>
      <c r="SA41" s="224"/>
      <c r="SB41" s="224"/>
      <c r="SC41" s="224"/>
      <c r="SD41" s="224"/>
      <c r="SE41" s="224"/>
      <c r="SF41" s="224"/>
      <c r="SG41" s="224"/>
      <c r="SH41" s="224"/>
      <c r="SI41" s="224"/>
      <c r="SJ41" s="224"/>
      <c r="SK41" s="224"/>
      <c r="SL41" s="224"/>
      <c r="SM41" s="224"/>
      <c r="SN41" s="224"/>
      <c r="SO41" s="224"/>
      <c r="SP41" s="224"/>
      <c r="SQ41" s="224"/>
      <c r="SR41" s="224"/>
      <c r="SS41" s="224"/>
      <c r="ST41" s="224"/>
      <c r="SU41" s="224"/>
      <c r="SV41" s="224"/>
      <c r="SW41" s="224"/>
      <c r="SX41" s="224"/>
      <c r="SY41" s="224"/>
      <c r="SZ41" s="224"/>
      <c r="TA41" s="224"/>
      <c r="TB41" s="224"/>
      <c r="TC41" s="224"/>
      <c r="TD41" s="224"/>
      <c r="TE41" s="224"/>
      <c r="TF41" s="224"/>
      <c r="TG41" s="224"/>
      <c r="TH41" s="224"/>
      <c r="TI41" s="224"/>
      <c r="TJ41" s="224"/>
      <c r="TK41" s="224"/>
      <c r="TL41" s="224"/>
      <c r="TM41" s="224"/>
      <c r="TN41" s="224"/>
      <c r="TO41" s="224"/>
      <c r="TP41" s="224"/>
      <c r="TQ41" s="224"/>
      <c r="TR41" s="224"/>
      <c r="TS41" s="224"/>
      <c r="TT41" s="224"/>
      <c r="TU41" s="224"/>
      <c r="TV41" s="224"/>
      <c r="TW41" s="224"/>
      <c r="TX41" s="224"/>
      <c r="TY41" s="224"/>
      <c r="TZ41" s="224"/>
      <c r="UA41" s="224"/>
      <c r="UB41" s="224"/>
      <c r="UC41" s="224"/>
      <c r="UD41" s="224"/>
      <c r="UE41" s="224"/>
      <c r="UF41" s="224"/>
      <c r="UG41" s="224"/>
      <c r="UH41" s="224"/>
      <c r="UI41" s="224"/>
      <c r="UJ41" s="224"/>
      <c r="UK41" s="224"/>
      <c r="UL41" s="224"/>
      <c r="UM41" s="224"/>
      <c r="UN41" s="224"/>
      <c r="UO41" s="224"/>
      <c r="UP41" s="224"/>
      <c r="UQ41" s="224"/>
      <c r="UR41" s="224"/>
      <c r="US41" s="224"/>
      <c r="UT41" s="224"/>
      <c r="UU41" s="224"/>
      <c r="UV41" s="224"/>
      <c r="UW41" s="224"/>
      <c r="UX41" s="224"/>
      <c r="UY41" s="224"/>
      <c r="UZ41" s="224"/>
      <c r="VA41" s="224"/>
      <c r="VB41" s="224"/>
      <c r="VC41" s="224"/>
      <c r="VD41" s="224"/>
      <c r="VE41" s="224"/>
      <c r="VF41" s="224"/>
      <c r="VG41" s="224"/>
      <c r="VH41" s="224"/>
      <c r="VI41" s="224"/>
      <c r="VJ41" s="224"/>
      <c r="VK41" s="224"/>
      <c r="VL41" s="224"/>
      <c r="VM41" s="224"/>
      <c r="VN41" s="224"/>
      <c r="VO41" s="224"/>
      <c r="VP41" s="224"/>
      <c r="VQ41" s="224"/>
      <c r="VR41" s="224"/>
      <c r="VS41" s="224"/>
      <c r="VT41" s="224"/>
      <c r="VU41" s="224"/>
      <c r="VV41" s="224"/>
      <c r="VW41" s="224"/>
      <c r="VX41" s="224"/>
      <c r="VY41" s="224"/>
      <c r="VZ41" s="224"/>
      <c r="WA41" s="224"/>
      <c r="WB41" s="224"/>
      <c r="WC41" s="224"/>
      <c r="WD41" s="224"/>
      <c r="WE41" s="224"/>
      <c r="WF41" s="224"/>
      <c r="WG41" s="224"/>
      <c r="WH41" s="224"/>
      <c r="WI41" s="224"/>
      <c r="WJ41" s="224"/>
      <c r="WK41" s="224"/>
      <c r="WL41" s="224"/>
      <c r="WM41" s="224"/>
      <c r="WN41" s="224"/>
      <c r="WO41" s="224"/>
      <c r="WP41" s="224"/>
      <c r="WQ41" s="224"/>
      <c r="WR41" s="224"/>
      <c r="WS41" s="224"/>
      <c r="WT41" s="224"/>
      <c r="WU41" s="224"/>
      <c r="WV41" s="224"/>
      <c r="WW41" s="224"/>
      <c r="WX41" s="224"/>
      <c r="WY41" s="224"/>
      <c r="WZ41" s="224"/>
      <c r="XA41" s="224"/>
      <c r="XB41" s="224"/>
      <c r="XC41" s="224"/>
      <c r="XD41" s="224"/>
      <c r="XE41" s="224"/>
      <c r="XF41" s="224"/>
      <c r="XG41" s="224"/>
      <c r="XH41" s="224"/>
      <c r="XI41" s="224"/>
      <c r="XJ41" s="224"/>
      <c r="XK41" s="224"/>
      <c r="XL41" s="224"/>
      <c r="XM41" s="224"/>
      <c r="XN41" s="224"/>
      <c r="XO41" s="224"/>
      <c r="XP41" s="224"/>
      <c r="XQ41" s="224"/>
      <c r="XR41" s="224"/>
      <c r="XS41" s="224"/>
      <c r="XT41" s="224"/>
      <c r="XU41" s="224"/>
      <c r="XV41" s="224"/>
      <c r="XW41" s="224"/>
      <c r="XX41" s="224"/>
      <c r="XY41" s="224"/>
      <c r="XZ41" s="224"/>
      <c r="YA41" s="224"/>
      <c r="YB41" s="224"/>
      <c r="YC41" s="224"/>
      <c r="YD41" s="224"/>
      <c r="YE41" s="224"/>
      <c r="YF41" s="224"/>
      <c r="YG41" s="224"/>
      <c r="YH41" s="224"/>
      <c r="YI41" s="224"/>
      <c r="YJ41" s="224"/>
      <c r="YK41" s="224"/>
      <c r="YL41" s="224"/>
      <c r="YM41" s="224"/>
      <c r="YN41" s="224"/>
      <c r="YO41" s="224"/>
      <c r="YP41" s="224"/>
      <c r="YQ41" s="224"/>
      <c r="YR41" s="224"/>
      <c r="YS41" s="224"/>
      <c r="YT41" s="224"/>
      <c r="YU41" s="224"/>
      <c r="YV41" s="224"/>
      <c r="YW41" s="224"/>
      <c r="YX41" s="224"/>
      <c r="YY41" s="224"/>
      <c r="YZ41" s="224"/>
      <c r="ZA41" s="224"/>
      <c r="ZB41" s="224"/>
      <c r="ZC41" s="224"/>
      <c r="ZD41" s="224"/>
      <c r="ZE41" s="224"/>
      <c r="ZF41" s="224"/>
      <c r="ZG41" s="224"/>
      <c r="ZH41" s="224"/>
      <c r="ZI41" s="224"/>
      <c r="ZJ41" s="224"/>
      <c r="ZK41" s="224"/>
      <c r="ZL41" s="224"/>
      <c r="ZM41" s="224"/>
      <c r="ZN41" s="224"/>
      <c r="ZO41" s="224"/>
      <c r="ZP41" s="224"/>
      <c r="ZQ41" s="224"/>
      <c r="ZR41" s="224"/>
      <c r="ZS41" s="224"/>
      <c r="ZT41" s="224"/>
      <c r="ZU41" s="224"/>
      <c r="ZV41" s="224"/>
      <c r="ZW41" s="224"/>
      <c r="ZX41" s="224"/>
      <c r="ZY41" s="224"/>
      <c r="ZZ41" s="224"/>
      <c r="AAA41" s="224"/>
      <c r="AAB41" s="224"/>
      <c r="AAC41" s="224"/>
      <c r="AAD41" s="224"/>
      <c r="AAE41" s="224"/>
      <c r="AAF41" s="224"/>
      <c r="AAG41" s="224"/>
      <c r="AAH41" s="224"/>
      <c r="AAI41" s="224"/>
      <c r="AAJ41" s="224"/>
      <c r="AAK41" s="224"/>
      <c r="AAL41" s="224"/>
      <c r="AAM41" s="224"/>
      <c r="AAN41" s="224"/>
      <c r="AAO41" s="224"/>
      <c r="AAP41" s="224"/>
      <c r="AAQ41" s="224"/>
      <c r="AAR41" s="224"/>
      <c r="AAS41" s="224"/>
      <c r="AAT41" s="224"/>
      <c r="AAU41" s="224"/>
      <c r="AAV41" s="224"/>
      <c r="AAW41" s="224"/>
      <c r="AAX41" s="224"/>
      <c r="AAY41" s="224"/>
      <c r="AAZ41" s="224"/>
      <c r="ABA41" s="224"/>
      <c r="ABB41" s="224"/>
      <c r="ABC41" s="224"/>
      <c r="ABD41" s="224"/>
      <c r="ABE41" s="224"/>
      <c r="ABF41" s="224"/>
      <c r="ABG41" s="224"/>
      <c r="ABH41" s="224"/>
      <c r="ABI41" s="224"/>
      <c r="ABJ41" s="224"/>
      <c r="ABK41" s="224"/>
      <c r="ABL41" s="224"/>
      <c r="ABM41" s="224"/>
      <c r="ABN41" s="224"/>
      <c r="ABO41" s="224"/>
      <c r="ABP41" s="224"/>
      <c r="ABQ41" s="224"/>
      <c r="ABR41" s="224"/>
      <c r="ABS41" s="224"/>
      <c r="ABT41" s="224"/>
      <c r="ABU41" s="224"/>
      <c r="ABV41" s="224"/>
      <c r="ABW41" s="224"/>
      <c r="ABX41" s="224"/>
      <c r="ABY41" s="224"/>
      <c r="ABZ41" s="224"/>
      <c r="ACA41" s="224"/>
      <c r="ACB41" s="224"/>
      <c r="ACC41" s="224"/>
      <c r="ACD41" s="224"/>
      <c r="ACE41" s="224"/>
      <c r="ACF41" s="224"/>
      <c r="ACG41" s="224"/>
      <c r="ACH41" s="224"/>
      <c r="ACI41" s="224"/>
      <c r="ACJ41" s="224"/>
      <c r="ACK41" s="224"/>
      <c r="ACL41" s="224"/>
      <c r="ACM41" s="224"/>
      <c r="ACN41" s="224"/>
      <c r="ACO41" s="224"/>
      <c r="ACP41" s="224"/>
      <c r="ACQ41" s="224"/>
      <c r="ACR41" s="224"/>
      <c r="ACS41" s="224"/>
      <c r="ACT41" s="224"/>
      <c r="ACU41" s="224"/>
      <c r="ACV41" s="224"/>
      <c r="ACW41" s="224"/>
      <c r="ACX41" s="224"/>
      <c r="ACY41" s="224"/>
      <c r="ACZ41" s="224"/>
      <c r="ADA41" s="224"/>
      <c r="ADB41" s="224"/>
      <c r="ADC41" s="224"/>
      <c r="ADD41" s="224"/>
      <c r="ADE41" s="224"/>
      <c r="ADF41" s="224"/>
      <c r="ADG41" s="224"/>
      <c r="ADH41" s="224"/>
      <c r="ADI41" s="224"/>
      <c r="ADJ41" s="224"/>
      <c r="ADK41" s="224"/>
      <c r="ADL41" s="224"/>
      <c r="ADM41" s="224"/>
      <c r="ADN41" s="224"/>
      <c r="ADO41" s="224"/>
      <c r="ADP41" s="224"/>
      <c r="ADQ41" s="224"/>
      <c r="ADR41" s="224"/>
      <c r="ADS41" s="224"/>
      <c r="ADT41" s="224"/>
      <c r="ADU41" s="224"/>
      <c r="ADV41" s="224"/>
      <c r="ADW41" s="224"/>
      <c r="ADX41" s="224"/>
      <c r="ADY41" s="224"/>
      <c r="ADZ41" s="224"/>
      <c r="AEA41" s="224"/>
      <c r="AEB41" s="224"/>
      <c r="AEC41" s="224"/>
      <c r="AED41" s="224"/>
      <c r="AEE41" s="224"/>
      <c r="AEF41" s="224"/>
      <c r="AEG41" s="224"/>
      <c r="AEH41" s="224"/>
      <c r="AEI41" s="224"/>
      <c r="AEJ41" s="224"/>
      <c r="AEK41" s="224"/>
      <c r="AEL41" s="224"/>
      <c r="AEM41" s="224"/>
      <c r="AEN41" s="224"/>
      <c r="AEO41" s="224"/>
      <c r="AEP41" s="224"/>
      <c r="AEQ41" s="224"/>
      <c r="AER41" s="224"/>
      <c r="AES41" s="224"/>
      <c r="AET41" s="224"/>
      <c r="AEU41" s="224"/>
      <c r="AEV41" s="224"/>
      <c r="AEW41" s="224"/>
      <c r="AEX41" s="224"/>
      <c r="AEY41" s="224"/>
      <c r="AEZ41" s="224"/>
      <c r="AFA41" s="224"/>
      <c r="AFB41" s="224"/>
      <c r="AFC41" s="224"/>
      <c r="AFD41" s="224"/>
      <c r="AFE41" s="224"/>
      <c r="AFF41" s="224"/>
      <c r="AFG41" s="224"/>
      <c r="AFH41" s="224"/>
      <c r="AFI41" s="224"/>
      <c r="AFJ41" s="224"/>
      <c r="AFK41" s="224"/>
      <c r="AFL41" s="224"/>
      <c r="AFM41" s="224"/>
      <c r="AFN41" s="224"/>
      <c r="AFO41" s="224"/>
      <c r="AFP41" s="224"/>
      <c r="AFQ41" s="224"/>
      <c r="AFR41" s="224"/>
      <c r="AFS41" s="224"/>
      <c r="AFT41" s="224"/>
      <c r="AFU41" s="224"/>
      <c r="AFV41" s="224"/>
      <c r="AFW41" s="224"/>
      <c r="AFX41" s="224"/>
      <c r="AFY41" s="224"/>
      <c r="AFZ41" s="224"/>
      <c r="AGA41" s="224"/>
      <c r="AGB41" s="224"/>
      <c r="AGC41" s="224"/>
      <c r="AGD41" s="224"/>
      <c r="AGE41" s="224"/>
      <c r="AGF41" s="224"/>
      <c r="AGG41" s="224"/>
      <c r="AGH41" s="224"/>
      <c r="AGI41" s="224"/>
      <c r="AGJ41" s="224"/>
      <c r="AGK41" s="224"/>
      <c r="AGL41" s="224"/>
      <c r="AGM41" s="224"/>
      <c r="AGN41" s="224"/>
      <c r="AGO41" s="224"/>
      <c r="AGP41" s="224"/>
      <c r="AGQ41" s="224"/>
      <c r="AGR41" s="224"/>
      <c r="AGS41" s="224"/>
      <c r="AGT41" s="224"/>
      <c r="AGU41" s="224"/>
      <c r="AGV41" s="224"/>
      <c r="AGW41" s="224"/>
      <c r="AGX41" s="224"/>
      <c r="AGY41" s="224"/>
      <c r="AGZ41" s="224"/>
      <c r="AHA41" s="224"/>
      <c r="AHB41" s="224"/>
      <c r="AHC41" s="224"/>
      <c r="AHD41" s="224"/>
      <c r="AHE41" s="224"/>
      <c r="AHF41" s="224"/>
      <c r="AHG41" s="224"/>
      <c r="AHH41" s="224"/>
      <c r="AHI41" s="224"/>
      <c r="AHJ41" s="224"/>
      <c r="AHK41" s="224"/>
      <c r="AHL41" s="224"/>
      <c r="AHM41" s="224"/>
      <c r="AHN41" s="224"/>
      <c r="AHO41" s="224"/>
      <c r="AHP41" s="224"/>
      <c r="AHQ41" s="224"/>
      <c r="AHR41" s="224"/>
      <c r="AHS41" s="224"/>
      <c r="AHT41" s="224"/>
      <c r="AHU41" s="224"/>
      <c r="AHV41" s="224"/>
      <c r="AHW41" s="224"/>
      <c r="AHX41" s="224"/>
      <c r="AHY41" s="224"/>
      <c r="AHZ41" s="224"/>
      <c r="AIA41" s="224"/>
      <c r="AIB41" s="224"/>
      <c r="AIC41" s="224"/>
      <c r="AID41" s="224"/>
      <c r="AIE41" s="224"/>
      <c r="AIF41" s="224"/>
      <c r="AIG41" s="224"/>
      <c r="AIH41" s="224"/>
      <c r="AII41" s="224"/>
      <c r="AIJ41" s="224"/>
      <c r="AIK41" s="224"/>
      <c r="AIL41" s="224"/>
      <c r="AIM41" s="224"/>
      <c r="AIN41" s="224"/>
      <c r="AIO41" s="224"/>
      <c r="AIP41" s="224"/>
      <c r="AIQ41" s="224"/>
      <c r="AIR41" s="224"/>
      <c r="AIS41" s="224"/>
      <c r="AIT41" s="224"/>
      <c r="AIU41" s="224"/>
      <c r="AIV41" s="224"/>
      <c r="AIW41" s="224"/>
      <c r="AIX41" s="224"/>
      <c r="AIY41" s="224"/>
      <c r="AIZ41" s="224"/>
      <c r="AJA41" s="224"/>
      <c r="AJB41" s="224"/>
      <c r="AJC41" s="224"/>
      <c r="AJD41" s="224"/>
      <c r="AJE41" s="224"/>
      <c r="AJF41" s="224"/>
      <c r="AJG41" s="224"/>
      <c r="AJH41" s="224"/>
      <c r="AJI41" s="224"/>
      <c r="AJJ41" s="224"/>
      <c r="AJK41" s="224"/>
      <c r="AJL41" s="224"/>
      <c r="AJM41" s="224"/>
      <c r="AJN41" s="224"/>
      <c r="AJO41" s="224"/>
      <c r="AJP41" s="224"/>
      <c r="AJQ41" s="224"/>
      <c r="AJR41" s="224"/>
      <c r="AJS41" s="224"/>
      <c r="AJT41" s="224"/>
      <c r="AJU41" s="224"/>
      <c r="AJV41" s="224"/>
      <c r="AJW41" s="224"/>
      <c r="AJX41" s="224"/>
      <c r="AJY41" s="224"/>
      <c r="AJZ41" s="224"/>
      <c r="AKA41" s="224"/>
      <c r="AKB41" s="224"/>
      <c r="AKC41" s="224"/>
      <c r="AKD41" s="224"/>
      <c r="AKE41" s="224"/>
      <c r="AKF41" s="224"/>
      <c r="AKG41" s="224"/>
      <c r="AKH41" s="224"/>
      <c r="AKI41" s="224"/>
      <c r="AKJ41" s="224"/>
      <c r="AKK41" s="224"/>
      <c r="AKL41" s="224"/>
      <c r="AKM41" s="224"/>
      <c r="AKN41" s="224"/>
      <c r="AKO41" s="224"/>
      <c r="AKP41" s="224"/>
      <c r="AKQ41" s="224"/>
      <c r="AKR41" s="224"/>
      <c r="AKS41" s="224"/>
      <c r="AKT41" s="224"/>
      <c r="AKU41" s="224"/>
      <c r="AKV41" s="224"/>
      <c r="AKW41" s="224"/>
      <c r="AKX41" s="224"/>
      <c r="AKY41" s="224"/>
      <c r="AKZ41" s="224"/>
      <c r="ALA41" s="224"/>
      <c r="ALB41" s="224"/>
      <c r="ALC41" s="224"/>
      <c r="ALD41" s="224"/>
      <c r="ALE41" s="224"/>
      <c r="ALF41" s="224"/>
      <c r="ALG41" s="224"/>
      <c r="ALH41" s="224"/>
      <c r="ALI41" s="224"/>
      <c r="ALJ41" s="224"/>
      <c r="ALK41" s="224"/>
      <c r="ALL41" s="224"/>
      <c r="ALM41" s="224"/>
      <c r="ALN41" s="224"/>
      <c r="ALO41" s="224"/>
      <c r="ALP41" s="224"/>
      <c r="ALQ41" s="224"/>
      <c r="ALR41" s="224"/>
      <c r="ALS41" s="224"/>
      <c r="ALT41" s="224"/>
      <c r="ALU41" s="224"/>
      <c r="ALV41" s="224"/>
      <c r="ALW41" s="224"/>
      <c r="ALX41" s="224"/>
      <c r="ALY41" s="224"/>
      <c r="ALZ41" s="224"/>
      <c r="AMA41" s="224"/>
      <c r="AMB41" s="224"/>
      <c r="AMC41" s="224"/>
      <c r="AMD41" s="224"/>
      <c r="AME41" s="224"/>
      <c r="AMF41" s="224"/>
      <c r="AMG41" s="224"/>
      <c r="AMH41" s="224"/>
      <c r="AMI41" s="224"/>
      <c r="AMJ41" s="224"/>
      <c r="AMK41" s="224"/>
      <c r="AML41" s="224"/>
      <c r="AMM41" s="224"/>
      <c r="AMN41" s="224"/>
      <c r="AMO41" s="224"/>
      <c r="AMP41" s="224"/>
      <c r="AMQ41" s="224"/>
      <c r="AMR41" s="224"/>
      <c r="AMS41" s="224"/>
      <c r="AMT41" s="224"/>
      <c r="AMU41" s="224"/>
      <c r="AMV41" s="224"/>
      <c r="AMW41" s="224"/>
      <c r="AMX41" s="224"/>
      <c r="AMY41" s="224"/>
      <c r="AMZ41" s="224"/>
      <c r="ANA41" s="224"/>
      <c r="ANB41" s="224"/>
      <c r="ANC41" s="224"/>
      <c r="AND41" s="224"/>
      <c r="ANE41" s="224"/>
      <c r="ANF41" s="224"/>
      <c r="ANG41" s="224"/>
      <c r="ANH41" s="224"/>
      <c r="ANI41" s="224"/>
      <c r="ANJ41" s="224"/>
      <c r="ANK41" s="224"/>
      <c r="ANL41" s="224"/>
      <c r="ANM41" s="224"/>
      <c r="ANN41" s="224"/>
      <c r="ANO41" s="224"/>
      <c r="ANP41" s="224"/>
      <c r="ANQ41" s="224"/>
      <c r="ANR41" s="224"/>
      <c r="ANS41" s="224"/>
      <c r="ANT41" s="224"/>
      <c r="ANU41" s="224"/>
      <c r="ANV41" s="224"/>
      <c r="ANW41" s="224"/>
      <c r="ANX41" s="224"/>
      <c r="ANY41" s="224"/>
      <c r="ANZ41" s="224"/>
      <c r="AOA41" s="224"/>
      <c r="AOB41" s="224"/>
      <c r="AOC41" s="224"/>
      <c r="AOD41" s="224"/>
      <c r="AOE41" s="224"/>
      <c r="AOF41" s="224"/>
      <c r="AOG41" s="224"/>
      <c r="AOH41" s="224"/>
      <c r="AOI41" s="224"/>
      <c r="AOJ41" s="224"/>
      <c r="AOK41" s="224"/>
      <c r="AOL41" s="224"/>
      <c r="AOM41" s="224"/>
      <c r="AON41" s="224"/>
      <c r="AOO41" s="224"/>
      <c r="AOP41" s="224"/>
      <c r="AOQ41" s="224"/>
      <c r="AOR41" s="224"/>
      <c r="AOS41" s="224"/>
      <c r="AOT41" s="224"/>
      <c r="AOU41" s="224"/>
      <c r="AOV41" s="224"/>
      <c r="AOW41" s="224"/>
      <c r="AOX41" s="224"/>
      <c r="AOY41" s="224"/>
      <c r="AOZ41" s="224"/>
      <c r="APA41" s="224"/>
      <c r="APB41" s="224"/>
      <c r="APC41" s="224"/>
      <c r="APD41" s="224"/>
      <c r="APE41" s="224"/>
      <c r="APF41" s="224"/>
      <c r="APG41" s="224"/>
      <c r="APH41" s="224"/>
      <c r="API41" s="224"/>
      <c r="APJ41" s="224"/>
      <c r="APK41" s="224"/>
      <c r="APL41" s="224"/>
      <c r="APM41" s="224"/>
      <c r="APN41" s="224"/>
      <c r="APO41" s="224"/>
      <c r="APP41" s="224"/>
      <c r="APQ41" s="224"/>
      <c r="APR41" s="224"/>
      <c r="APS41" s="224"/>
      <c r="APT41" s="224"/>
      <c r="APU41" s="224"/>
      <c r="APV41" s="224"/>
      <c r="APW41" s="224"/>
      <c r="APX41" s="224"/>
      <c r="APY41" s="224"/>
      <c r="APZ41" s="224"/>
      <c r="AQA41" s="224"/>
      <c r="AQB41" s="224"/>
      <c r="AQC41" s="224"/>
      <c r="AQD41" s="224"/>
      <c r="AQE41" s="224"/>
      <c r="AQF41" s="224"/>
      <c r="AQG41" s="224"/>
      <c r="AQH41" s="224"/>
      <c r="AQI41" s="224"/>
      <c r="AQJ41" s="224"/>
      <c r="AQK41" s="224"/>
      <c r="AQL41" s="224"/>
      <c r="AQM41" s="224"/>
      <c r="AQN41" s="224"/>
      <c r="AQO41" s="224"/>
      <c r="AQP41" s="224"/>
      <c r="AQQ41" s="224"/>
      <c r="AQR41" s="224"/>
      <c r="AQS41" s="224"/>
      <c r="AQT41" s="224"/>
      <c r="AQU41" s="224"/>
      <c r="AQV41" s="224"/>
      <c r="AQW41" s="224"/>
      <c r="AQX41" s="224"/>
      <c r="AQY41" s="224"/>
      <c r="AQZ41" s="224"/>
      <c r="ARA41" s="224"/>
      <c r="ARB41" s="224"/>
      <c r="ARC41" s="224"/>
      <c r="ARD41" s="224"/>
      <c r="ARE41" s="224"/>
      <c r="ARF41" s="224"/>
      <c r="ARG41" s="224"/>
      <c r="ARH41" s="224"/>
      <c r="ARI41" s="224"/>
      <c r="ARJ41" s="224"/>
      <c r="ARK41" s="224"/>
      <c r="ARL41" s="224"/>
      <c r="ARM41" s="224"/>
      <c r="ARN41" s="224"/>
      <c r="ARO41" s="224"/>
      <c r="ARP41" s="224"/>
      <c r="ARQ41" s="224"/>
      <c r="ARR41" s="224"/>
      <c r="ARS41" s="224"/>
      <c r="ART41" s="224"/>
      <c r="ARU41" s="224"/>
      <c r="ARV41" s="224"/>
      <c r="ARW41" s="224"/>
      <c r="ARX41" s="224"/>
      <c r="ARY41" s="224"/>
      <c r="ARZ41" s="224"/>
      <c r="ASA41" s="224"/>
      <c r="ASB41" s="224"/>
      <c r="ASC41" s="224"/>
      <c r="ASD41" s="224"/>
      <c r="ASE41" s="224"/>
      <c r="ASF41" s="224"/>
      <c r="ASG41" s="224"/>
      <c r="ASH41" s="224"/>
      <c r="ASI41" s="224"/>
      <c r="ASJ41" s="224"/>
      <c r="ASK41" s="224"/>
      <c r="ASL41" s="224"/>
      <c r="ASM41" s="224"/>
      <c r="ASN41" s="224"/>
      <c r="ASO41" s="224"/>
      <c r="ASP41" s="224"/>
      <c r="ASQ41" s="224"/>
      <c r="ASR41" s="224"/>
      <c r="ASS41" s="224"/>
      <c r="AST41" s="224"/>
      <c r="ASU41" s="224"/>
      <c r="ASV41" s="224"/>
      <c r="ASW41" s="224"/>
      <c r="ASX41" s="224"/>
      <c r="ASY41" s="224"/>
      <c r="ASZ41" s="224"/>
      <c r="ATA41" s="224"/>
      <c r="ATB41" s="224"/>
      <c r="ATC41" s="224"/>
      <c r="ATD41" s="224"/>
      <c r="ATE41" s="224"/>
      <c r="ATF41" s="224"/>
      <c r="ATG41" s="224"/>
      <c r="ATH41" s="224"/>
      <c r="ATI41" s="224"/>
      <c r="ATJ41" s="224"/>
      <c r="ATK41" s="224"/>
      <c r="ATL41" s="224"/>
      <c r="ATM41" s="224"/>
      <c r="ATN41" s="224"/>
      <c r="ATO41" s="224"/>
      <c r="ATP41" s="224"/>
      <c r="ATQ41" s="224"/>
      <c r="ATR41" s="224"/>
      <c r="ATS41" s="224"/>
      <c r="ATT41" s="224"/>
      <c r="ATU41" s="224"/>
      <c r="ATV41" s="224"/>
      <c r="ATW41" s="224"/>
      <c r="ATX41" s="224"/>
      <c r="ATY41" s="224"/>
      <c r="ATZ41" s="224"/>
      <c r="AUA41" s="224"/>
      <c r="AUB41" s="224"/>
      <c r="AUC41" s="224"/>
      <c r="AUD41" s="224"/>
      <c r="AUE41" s="224"/>
      <c r="AUF41" s="224"/>
      <c r="AUG41" s="224"/>
      <c r="AUH41" s="224"/>
      <c r="AUI41" s="224"/>
      <c r="AUJ41" s="224"/>
      <c r="AUK41" s="224"/>
      <c r="AUL41" s="224"/>
      <c r="AUM41" s="224"/>
      <c r="AUN41" s="224"/>
      <c r="AUO41" s="224"/>
      <c r="AUP41" s="224"/>
      <c r="AUQ41" s="224"/>
      <c r="AUR41" s="224"/>
      <c r="AUS41" s="224"/>
      <c r="AUT41" s="224"/>
      <c r="AUU41" s="224"/>
      <c r="AUV41" s="224"/>
      <c r="AUW41" s="224"/>
      <c r="AUX41" s="224"/>
      <c r="AUY41" s="224"/>
      <c r="AUZ41" s="224"/>
      <c r="AVA41" s="224"/>
      <c r="AVB41" s="224"/>
      <c r="AVC41" s="224"/>
      <c r="AVD41" s="224"/>
      <c r="AVE41" s="224"/>
      <c r="AVF41" s="224"/>
      <c r="AVG41" s="224"/>
      <c r="AVH41" s="224"/>
      <c r="AVI41" s="224"/>
      <c r="AVJ41" s="224"/>
      <c r="AVK41" s="224"/>
      <c r="AVL41" s="224"/>
      <c r="AVM41" s="224"/>
      <c r="AVN41" s="224"/>
      <c r="AVO41" s="224"/>
      <c r="AVP41" s="224"/>
      <c r="AVQ41" s="224"/>
      <c r="AVR41" s="224"/>
      <c r="AVS41" s="224"/>
      <c r="AVT41" s="224"/>
      <c r="AVU41" s="224"/>
      <c r="AVV41" s="224"/>
      <c r="AVW41" s="224"/>
      <c r="AVX41" s="224"/>
      <c r="AVY41" s="224"/>
      <c r="AVZ41" s="224"/>
      <c r="AWA41" s="224"/>
      <c r="AWB41" s="224"/>
      <c r="AWC41" s="224"/>
      <c r="AWD41" s="224"/>
      <c r="AWE41" s="224"/>
      <c r="AWF41" s="224"/>
      <c r="AWG41" s="224"/>
      <c r="AWH41" s="224"/>
      <c r="AWI41" s="224"/>
      <c r="AWJ41" s="224"/>
      <c r="AWK41" s="224"/>
      <c r="AWL41" s="224"/>
      <c r="AWM41" s="224"/>
      <c r="AWN41" s="224"/>
      <c r="AWO41" s="224"/>
      <c r="AWP41" s="224"/>
      <c r="AWQ41" s="224"/>
      <c r="AWR41" s="224"/>
      <c r="AWS41" s="224"/>
      <c r="AWT41" s="224"/>
      <c r="AWU41" s="224"/>
      <c r="AWV41" s="224"/>
      <c r="AWW41" s="224"/>
      <c r="AWX41" s="224"/>
      <c r="AWY41" s="224"/>
      <c r="AWZ41" s="224"/>
      <c r="AXA41" s="224"/>
      <c r="AXB41" s="224"/>
      <c r="AXC41" s="224"/>
      <c r="AXD41" s="224"/>
      <c r="AXE41" s="224"/>
      <c r="AXF41" s="224"/>
      <c r="AXG41" s="224"/>
      <c r="AXH41" s="224"/>
      <c r="AXI41" s="224"/>
      <c r="AXJ41" s="224"/>
      <c r="AXK41" s="224"/>
      <c r="AXL41" s="224"/>
      <c r="AXM41" s="224"/>
      <c r="AXN41" s="224"/>
      <c r="AXO41" s="224"/>
      <c r="AXP41" s="224"/>
      <c r="AXQ41" s="224"/>
      <c r="AXR41" s="224"/>
      <c r="AXS41" s="224"/>
      <c r="AXT41" s="224"/>
      <c r="AXU41" s="224"/>
      <c r="AXV41" s="224"/>
      <c r="AXW41" s="224"/>
      <c r="AXX41" s="224"/>
      <c r="AXY41" s="224"/>
      <c r="AXZ41" s="224"/>
      <c r="AYA41" s="224"/>
      <c r="AYB41" s="224"/>
      <c r="AYC41" s="224"/>
      <c r="AYD41" s="224"/>
      <c r="AYE41" s="224"/>
      <c r="AYF41" s="224"/>
      <c r="AYG41" s="224"/>
      <c r="AYH41" s="224"/>
      <c r="AYI41" s="224"/>
      <c r="AYJ41" s="224"/>
      <c r="AYK41" s="224"/>
      <c r="AYL41" s="224"/>
      <c r="AYM41" s="224"/>
      <c r="AYN41" s="224"/>
      <c r="AYO41" s="224"/>
      <c r="AYP41" s="224"/>
      <c r="AYQ41" s="224"/>
      <c r="AYR41" s="224"/>
      <c r="AYS41" s="224"/>
      <c r="AYT41" s="224"/>
      <c r="AYU41" s="224"/>
      <c r="AYV41" s="224"/>
      <c r="AYW41" s="224"/>
      <c r="AYX41" s="224"/>
      <c r="AYY41" s="224"/>
      <c r="AYZ41" s="224"/>
      <c r="AZA41" s="224"/>
      <c r="AZB41" s="224"/>
      <c r="AZC41" s="224"/>
      <c r="AZD41" s="224"/>
      <c r="AZE41" s="224"/>
      <c r="AZF41" s="224"/>
      <c r="AZG41" s="224"/>
      <c r="AZH41" s="224"/>
      <c r="AZI41" s="224"/>
      <c r="AZJ41" s="224"/>
      <c r="AZK41" s="224"/>
      <c r="AZL41" s="224"/>
      <c r="AZM41" s="224"/>
      <c r="AZN41" s="224"/>
      <c r="AZO41" s="224"/>
      <c r="AZP41" s="224"/>
      <c r="AZQ41" s="224"/>
      <c r="AZR41" s="224"/>
      <c r="AZS41" s="224"/>
      <c r="AZT41" s="224"/>
      <c r="AZU41" s="224"/>
      <c r="AZV41" s="224"/>
      <c r="AZW41" s="224"/>
      <c r="AZX41" s="224"/>
      <c r="AZY41" s="224"/>
      <c r="AZZ41" s="224"/>
      <c r="BAA41" s="224"/>
      <c r="BAB41" s="224"/>
      <c r="BAC41" s="224"/>
      <c r="BAD41" s="224"/>
      <c r="BAE41" s="224"/>
      <c r="BAF41" s="224"/>
      <c r="BAG41" s="224"/>
      <c r="BAH41" s="224"/>
      <c r="BAI41" s="224"/>
      <c r="BAJ41" s="224"/>
      <c r="BAK41" s="224"/>
      <c r="BAL41" s="224"/>
      <c r="BAM41" s="224"/>
      <c r="BAN41" s="224"/>
      <c r="BAO41" s="224"/>
      <c r="BAP41" s="224"/>
      <c r="BAQ41" s="224"/>
      <c r="BAR41" s="224"/>
      <c r="BAS41" s="224"/>
      <c r="BAT41" s="224"/>
      <c r="BAU41" s="224"/>
      <c r="BAV41" s="224"/>
      <c r="BAW41" s="224"/>
      <c r="BAX41" s="224"/>
      <c r="BAY41" s="224"/>
      <c r="BAZ41" s="224"/>
      <c r="BBA41" s="224"/>
      <c r="BBB41" s="224"/>
      <c r="BBC41" s="224"/>
      <c r="BBD41" s="224"/>
      <c r="BBE41" s="224"/>
      <c r="BBF41" s="224"/>
      <c r="BBG41" s="224"/>
      <c r="BBH41" s="224"/>
      <c r="BBI41" s="224"/>
      <c r="BBJ41" s="224"/>
      <c r="BBK41" s="224"/>
      <c r="BBL41" s="224"/>
      <c r="BBM41" s="224"/>
      <c r="BBN41" s="224"/>
      <c r="BBO41" s="224"/>
      <c r="BBP41" s="224"/>
      <c r="BBQ41" s="224"/>
      <c r="BBR41" s="224"/>
      <c r="BBS41" s="224"/>
      <c r="BBT41" s="224"/>
      <c r="BBU41" s="224"/>
      <c r="BBV41" s="224"/>
      <c r="BBW41" s="224"/>
      <c r="BBX41" s="224"/>
      <c r="BBY41" s="224"/>
      <c r="BBZ41" s="224"/>
      <c r="BCA41" s="224"/>
      <c r="BCB41" s="224"/>
      <c r="BCC41" s="224"/>
      <c r="BCD41" s="224"/>
      <c r="BCE41" s="224"/>
      <c r="BCF41" s="224"/>
      <c r="BCG41" s="224"/>
      <c r="BCH41" s="224"/>
      <c r="BCI41" s="224"/>
      <c r="BCJ41" s="224"/>
      <c r="BCK41" s="224"/>
      <c r="BCL41" s="224"/>
      <c r="BCM41" s="224"/>
      <c r="BCN41" s="224"/>
      <c r="BCO41" s="224"/>
      <c r="BCP41" s="224"/>
      <c r="BCQ41" s="224"/>
      <c r="BCR41" s="224"/>
      <c r="BCS41" s="224"/>
      <c r="BCT41" s="224"/>
      <c r="BCU41" s="224"/>
      <c r="BCV41" s="224"/>
      <c r="BCW41" s="224"/>
      <c r="BCX41" s="224"/>
      <c r="BCY41" s="224"/>
      <c r="BCZ41" s="224"/>
      <c r="BDA41" s="224"/>
      <c r="BDB41" s="224"/>
      <c r="BDC41" s="224"/>
      <c r="BDD41" s="224"/>
      <c r="BDE41" s="224"/>
      <c r="BDF41" s="224"/>
      <c r="BDG41" s="224"/>
      <c r="BDH41" s="224"/>
      <c r="BDI41" s="224"/>
      <c r="BDJ41" s="224"/>
      <c r="BDK41" s="224"/>
      <c r="BDL41" s="224"/>
      <c r="BDM41" s="224"/>
      <c r="BDN41" s="224"/>
      <c r="BDO41" s="224"/>
      <c r="BDP41" s="224"/>
      <c r="BDQ41" s="224"/>
      <c r="BDR41" s="224"/>
      <c r="BDS41" s="224"/>
      <c r="BDT41" s="224"/>
      <c r="BDU41" s="224"/>
      <c r="BDV41" s="224"/>
      <c r="BDW41" s="224"/>
      <c r="BDX41" s="224"/>
      <c r="BDY41" s="224"/>
      <c r="BDZ41" s="224"/>
      <c r="BEA41" s="224"/>
      <c r="BEB41" s="224"/>
      <c r="BEC41" s="224"/>
      <c r="BED41" s="224"/>
      <c r="BEE41" s="224"/>
      <c r="BEF41" s="224"/>
      <c r="BEG41" s="224"/>
      <c r="BEH41" s="224"/>
      <c r="BEI41" s="224"/>
      <c r="BEJ41" s="224"/>
      <c r="BEK41" s="224"/>
      <c r="BEL41" s="224"/>
      <c r="BEM41" s="224"/>
      <c r="BEN41" s="224"/>
      <c r="BEO41" s="224"/>
      <c r="BEP41" s="224"/>
      <c r="BEQ41" s="224"/>
      <c r="BER41" s="224"/>
      <c r="BES41" s="224"/>
      <c r="BET41" s="224"/>
      <c r="BEU41" s="224"/>
      <c r="BEV41" s="224"/>
      <c r="BEW41" s="224"/>
      <c r="BEX41" s="224"/>
      <c r="BEY41" s="224"/>
      <c r="BEZ41" s="224"/>
      <c r="BFA41" s="224"/>
      <c r="BFB41" s="224"/>
      <c r="BFC41" s="224"/>
      <c r="BFD41" s="224"/>
      <c r="BFE41" s="224"/>
      <c r="BFF41" s="224"/>
      <c r="BFG41" s="224"/>
      <c r="BFH41" s="224"/>
      <c r="BFI41" s="224"/>
      <c r="BFJ41" s="224"/>
      <c r="BFK41" s="224"/>
      <c r="BFL41" s="224"/>
      <c r="BFM41" s="224"/>
      <c r="BFN41" s="224"/>
      <c r="BFO41" s="224"/>
      <c r="BFP41" s="224"/>
      <c r="BFQ41" s="224"/>
      <c r="BFR41" s="224"/>
      <c r="BFS41" s="224"/>
      <c r="BFT41" s="224"/>
      <c r="BFU41" s="224"/>
      <c r="BFV41" s="224"/>
      <c r="BFW41" s="224"/>
      <c r="BFX41" s="224"/>
      <c r="BFY41" s="224"/>
      <c r="BFZ41" s="224"/>
      <c r="BGA41" s="224"/>
      <c r="BGB41" s="224"/>
      <c r="BGC41" s="224"/>
      <c r="BGD41" s="224"/>
      <c r="BGE41" s="224"/>
      <c r="BGF41" s="224"/>
      <c r="BGG41" s="224"/>
      <c r="BGH41" s="224"/>
      <c r="BGI41" s="224"/>
      <c r="BGJ41" s="224"/>
      <c r="BGK41" s="224"/>
      <c r="BGL41" s="224"/>
      <c r="BGM41" s="224"/>
      <c r="BGN41" s="224"/>
      <c r="BGO41" s="224"/>
      <c r="BGP41" s="224"/>
      <c r="BGQ41" s="224"/>
      <c r="BGR41" s="224"/>
      <c r="BGS41" s="224"/>
      <c r="BGT41" s="224"/>
      <c r="BGU41" s="224"/>
      <c r="BGV41" s="224"/>
      <c r="BGW41" s="224"/>
      <c r="BGX41" s="224"/>
      <c r="BGY41" s="224"/>
      <c r="BGZ41" s="224"/>
      <c r="BHA41" s="224"/>
      <c r="BHB41" s="224"/>
      <c r="BHC41" s="224"/>
      <c r="BHD41" s="224"/>
      <c r="BHE41" s="224"/>
      <c r="BHF41" s="224"/>
      <c r="BHG41" s="224"/>
      <c r="BHH41" s="224"/>
      <c r="BHI41" s="224"/>
      <c r="BHJ41" s="224"/>
      <c r="BHK41" s="224"/>
      <c r="BHL41" s="224"/>
      <c r="BHM41" s="224"/>
      <c r="BHN41" s="224"/>
      <c r="BHO41" s="224"/>
      <c r="BHP41" s="224"/>
      <c r="BHQ41" s="224"/>
      <c r="BHR41" s="224"/>
      <c r="BHS41" s="224"/>
      <c r="BHT41" s="224"/>
      <c r="BHU41" s="224"/>
      <c r="BHV41" s="224"/>
      <c r="BHW41" s="224"/>
      <c r="BHX41" s="224"/>
      <c r="BHY41" s="224"/>
      <c r="BHZ41" s="224"/>
      <c r="BIA41" s="224"/>
      <c r="BIB41" s="224"/>
      <c r="BIC41" s="224"/>
      <c r="BID41" s="224"/>
      <c r="BIE41" s="224"/>
      <c r="BIF41" s="224"/>
      <c r="BIG41" s="224"/>
      <c r="BIH41" s="224"/>
      <c r="BII41" s="224"/>
      <c r="BIJ41" s="224"/>
      <c r="BIK41" s="224"/>
      <c r="BIL41" s="224"/>
      <c r="BIM41" s="224"/>
      <c r="BIN41" s="224"/>
      <c r="BIO41" s="224"/>
      <c r="BIP41" s="224"/>
      <c r="BIQ41" s="224"/>
      <c r="BIR41" s="224"/>
      <c r="BIS41" s="224"/>
      <c r="BIT41" s="224"/>
      <c r="BIU41" s="224"/>
      <c r="BIV41" s="224"/>
      <c r="BIW41" s="224"/>
      <c r="BIX41" s="224"/>
      <c r="BIY41" s="224"/>
      <c r="BIZ41" s="224"/>
      <c r="BJA41" s="224"/>
      <c r="BJB41" s="224"/>
      <c r="BJC41" s="224"/>
      <c r="BJD41" s="224"/>
      <c r="BJE41" s="224"/>
      <c r="BJF41" s="224"/>
      <c r="BJG41" s="224"/>
      <c r="BJH41" s="224"/>
      <c r="BJI41" s="224"/>
      <c r="BJJ41" s="224"/>
      <c r="BJK41" s="224"/>
      <c r="BJL41" s="224"/>
      <c r="BJM41" s="224"/>
      <c r="BJN41" s="224"/>
      <c r="BJO41" s="224"/>
      <c r="BJP41" s="224"/>
      <c r="BJQ41" s="224"/>
      <c r="BJR41" s="224"/>
      <c r="BJS41" s="224"/>
      <c r="BJT41" s="224"/>
      <c r="BJU41" s="224"/>
      <c r="BJV41" s="224"/>
      <c r="BJW41" s="224"/>
      <c r="BJX41" s="224"/>
      <c r="BJY41" s="224"/>
      <c r="BJZ41" s="224"/>
      <c r="BKA41" s="224"/>
      <c r="BKB41" s="224"/>
      <c r="BKC41" s="224"/>
      <c r="BKD41" s="224"/>
      <c r="BKE41" s="224"/>
      <c r="BKF41" s="224"/>
      <c r="BKG41" s="224"/>
      <c r="BKH41" s="224"/>
      <c r="BKI41" s="224"/>
      <c r="BKJ41" s="224"/>
      <c r="BKK41" s="224"/>
      <c r="BKL41" s="224"/>
      <c r="BKM41" s="224"/>
      <c r="BKN41" s="224"/>
      <c r="BKO41" s="224"/>
      <c r="BKP41" s="224"/>
      <c r="BKQ41" s="224"/>
      <c r="BKR41" s="224"/>
      <c r="BKS41" s="224"/>
      <c r="BKT41" s="224"/>
      <c r="BKU41" s="224"/>
      <c r="BKV41" s="224"/>
      <c r="BKW41" s="224"/>
      <c r="BKX41" s="224"/>
      <c r="BKY41" s="224"/>
      <c r="BKZ41" s="224"/>
      <c r="BLA41" s="224"/>
      <c r="BLB41" s="224"/>
      <c r="BLC41" s="224"/>
      <c r="BLD41" s="224"/>
      <c r="BLE41" s="224"/>
      <c r="BLF41" s="224"/>
      <c r="BLG41" s="224"/>
      <c r="BLH41" s="224"/>
      <c r="BLI41" s="224"/>
      <c r="BLJ41" s="224"/>
      <c r="BLK41" s="224"/>
      <c r="BLL41" s="224"/>
      <c r="BLM41" s="224"/>
      <c r="BLN41" s="224"/>
      <c r="BLO41" s="224"/>
      <c r="BLP41" s="224"/>
      <c r="BLQ41" s="224"/>
      <c r="BLR41" s="224"/>
      <c r="BLS41" s="224"/>
      <c r="BLT41" s="224"/>
      <c r="BLU41" s="224"/>
      <c r="BLV41" s="224"/>
      <c r="BLW41" s="224"/>
      <c r="BLX41" s="224"/>
      <c r="BLY41" s="224"/>
      <c r="BLZ41" s="224"/>
      <c r="BMA41" s="224"/>
      <c r="BMB41" s="224"/>
      <c r="BMC41" s="224"/>
      <c r="BMD41" s="224"/>
      <c r="BME41" s="224"/>
      <c r="BMF41" s="224"/>
      <c r="BMG41" s="224"/>
      <c r="BMH41" s="224"/>
      <c r="BMI41" s="224"/>
      <c r="BMJ41" s="224"/>
      <c r="BMK41" s="224"/>
      <c r="BML41" s="224"/>
      <c r="BMM41" s="224"/>
      <c r="BMN41" s="224"/>
      <c r="BMO41" s="224"/>
      <c r="BMP41" s="224"/>
      <c r="BMQ41" s="224"/>
      <c r="BMR41" s="224"/>
      <c r="BMS41" s="224"/>
      <c r="BMT41" s="224"/>
      <c r="BMU41" s="224"/>
      <c r="BMV41" s="224"/>
      <c r="BMW41" s="224"/>
      <c r="BMX41" s="224"/>
      <c r="BMY41" s="224"/>
      <c r="BMZ41" s="224"/>
      <c r="BNA41" s="224"/>
      <c r="BNB41" s="224"/>
      <c r="BNC41" s="224"/>
      <c r="BND41" s="224"/>
      <c r="BNE41" s="224"/>
      <c r="BNF41" s="224"/>
      <c r="BNG41" s="224"/>
      <c r="BNH41" s="224"/>
      <c r="BNI41" s="224"/>
      <c r="BNJ41" s="224"/>
      <c r="BNK41" s="224"/>
      <c r="BNL41" s="224"/>
      <c r="BNM41" s="224"/>
      <c r="BNN41" s="224"/>
      <c r="BNO41" s="224"/>
      <c r="BNP41" s="224"/>
      <c r="BNQ41" s="224"/>
      <c r="BNR41" s="224"/>
      <c r="BNS41" s="224"/>
      <c r="BNT41" s="224"/>
      <c r="BNU41" s="224"/>
      <c r="BNV41" s="224"/>
      <c r="BNW41" s="224"/>
      <c r="BNX41" s="224"/>
      <c r="BNY41" s="224"/>
      <c r="BNZ41" s="224"/>
      <c r="BOA41" s="224"/>
      <c r="BOB41" s="224"/>
      <c r="BOC41" s="224"/>
      <c r="BOD41" s="224"/>
      <c r="BOE41" s="224"/>
      <c r="BOF41" s="224"/>
      <c r="BOG41" s="224"/>
      <c r="BOH41" s="224"/>
      <c r="BOI41" s="224"/>
      <c r="BOJ41" s="224"/>
      <c r="BOK41" s="224"/>
      <c r="BOL41" s="224"/>
      <c r="BOM41" s="224"/>
      <c r="BON41" s="224"/>
      <c r="BOO41" s="224"/>
      <c r="BOP41" s="224"/>
      <c r="BOQ41" s="224"/>
      <c r="BOR41" s="224"/>
      <c r="BOS41" s="224"/>
      <c r="BOT41" s="224"/>
      <c r="BOU41" s="224"/>
      <c r="BOV41" s="224"/>
      <c r="BOW41" s="224"/>
      <c r="BOX41" s="224"/>
      <c r="BOY41" s="224"/>
      <c r="BOZ41" s="224"/>
      <c r="BPA41" s="224"/>
      <c r="BPB41" s="224"/>
      <c r="BPC41" s="224"/>
      <c r="BPD41" s="224"/>
      <c r="BPE41" s="224"/>
      <c r="BPF41" s="224"/>
      <c r="BPG41" s="224"/>
      <c r="BPH41" s="224"/>
      <c r="BPI41" s="224"/>
      <c r="BPJ41" s="224"/>
      <c r="BPK41" s="224"/>
      <c r="BPL41" s="224"/>
      <c r="BPM41" s="224"/>
      <c r="BPN41" s="224"/>
      <c r="BPO41" s="224"/>
      <c r="BPP41" s="224"/>
      <c r="BPQ41" s="224"/>
      <c r="BPR41" s="224"/>
      <c r="BPS41" s="224"/>
      <c r="BPT41" s="224"/>
      <c r="BPU41" s="224"/>
      <c r="BPV41" s="224"/>
      <c r="BPW41" s="224"/>
      <c r="BPX41" s="224"/>
      <c r="BPY41" s="224"/>
      <c r="BPZ41" s="224"/>
      <c r="BQA41" s="224"/>
      <c r="BQB41" s="224"/>
      <c r="BQC41" s="224"/>
      <c r="BQD41" s="224"/>
      <c r="BQE41" s="224"/>
      <c r="BQF41" s="224"/>
      <c r="BQG41" s="224"/>
      <c r="BQH41" s="224"/>
      <c r="BQI41" s="224"/>
      <c r="BQJ41" s="224"/>
      <c r="BQK41" s="224"/>
      <c r="BQL41" s="224"/>
      <c r="BQM41" s="224"/>
      <c r="BQN41" s="224"/>
      <c r="BQO41" s="224"/>
      <c r="BQP41" s="224"/>
      <c r="BQQ41" s="224"/>
      <c r="BQR41" s="224"/>
      <c r="BQS41" s="224"/>
      <c r="BQT41" s="224"/>
      <c r="BQU41" s="224"/>
      <c r="BQV41" s="224"/>
      <c r="BQW41" s="224"/>
      <c r="BQX41" s="224"/>
      <c r="BQY41" s="224"/>
      <c r="BQZ41" s="224"/>
      <c r="BRA41" s="224"/>
      <c r="BRB41" s="224"/>
      <c r="BRC41" s="224"/>
      <c r="BRD41" s="224"/>
      <c r="BRE41" s="224"/>
      <c r="BRF41" s="224"/>
      <c r="BRG41" s="224"/>
      <c r="BRH41" s="224"/>
      <c r="BRI41" s="224"/>
      <c r="BRJ41" s="224"/>
      <c r="BRK41" s="224"/>
      <c r="BRL41" s="224"/>
      <c r="BRM41" s="224"/>
      <c r="BRN41" s="224"/>
      <c r="BRO41" s="224"/>
      <c r="BRP41" s="224"/>
      <c r="BRQ41" s="224"/>
      <c r="BRR41" s="224"/>
      <c r="BRS41" s="224"/>
      <c r="BRT41" s="224"/>
      <c r="BRU41" s="224"/>
      <c r="BRV41" s="224"/>
      <c r="BRW41" s="224"/>
      <c r="BRX41" s="224"/>
      <c r="BRY41" s="224"/>
      <c r="BRZ41" s="224"/>
      <c r="BSA41" s="224"/>
      <c r="BSB41" s="224"/>
      <c r="BSC41" s="224"/>
      <c r="BSD41" s="224"/>
      <c r="BSE41" s="224"/>
      <c r="BSF41" s="224"/>
      <c r="BSG41" s="224"/>
      <c r="BSH41" s="224"/>
      <c r="BSI41" s="224"/>
      <c r="BSJ41" s="224"/>
      <c r="BSK41" s="224"/>
      <c r="BSL41" s="224"/>
      <c r="BSM41" s="224"/>
      <c r="BSN41" s="224"/>
      <c r="BSO41" s="224"/>
      <c r="BSP41" s="224"/>
      <c r="BSQ41" s="224"/>
      <c r="BSR41" s="224"/>
      <c r="BSS41" s="224"/>
      <c r="BST41" s="224"/>
      <c r="BSU41" s="224"/>
      <c r="BSV41" s="224"/>
      <c r="BSW41" s="224"/>
      <c r="BSX41" s="224"/>
      <c r="BSY41" s="224"/>
      <c r="BSZ41" s="224"/>
      <c r="BTA41" s="224"/>
      <c r="BTB41" s="224"/>
      <c r="BTC41" s="224"/>
      <c r="BTD41" s="224"/>
      <c r="BTE41" s="224"/>
      <c r="BTF41" s="224"/>
      <c r="BTG41" s="224"/>
      <c r="BTH41" s="224"/>
      <c r="BTI41" s="224"/>
      <c r="BTJ41" s="224"/>
      <c r="BTK41" s="224"/>
      <c r="BTL41" s="224"/>
      <c r="BTM41" s="224"/>
      <c r="BTN41" s="224"/>
      <c r="BTO41" s="224"/>
      <c r="BTP41" s="224"/>
      <c r="BTQ41" s="224"/>
      <c r="BTR41" s="224"/>
      <c r="BTS41" s="224"/>
      <c r="BTT41" s="224"/>
      <c r="BTU41" s="224"/>
      <c r="BTV41" s="224"/>
      <c r="BTW41" s="224"/>
      <c r="BTX41" s="224"/>
      <c r="BTY41" s="224"/>
      <c r="BTZ41" s="224"/>
      <c r="BUA41" s="224"/>
      <c r="BUB41" s="224"/>
      <c r="BUC41" s="224"/>
      <c r="BUD41" s="224"/>
      <c r="BUE41" s="224"/>
      <c r="BUF41" s="224"/>
      <c r="BUG41" s="224"/>
      <c r="BUH41" s="224"/>
      <c r="BUI41" s="224"/>
      <c r="BUJ41" s="224"/>
      <c r="BUK41" s="224"/>
      <c r="BUL41" s="224"/>
      <c r="BUM41" s="224"/>
      <c r="BUN41" s="224"/>
      <c r="BUO41" s="224"/>
      <c r="BUP41" s="224"/>
      <c r="BUQ41" s="224"/>
      <c r="BUR41" s="224"/>
      <c r="BUS41" s="224"/>
      <c r="BUT41" s="224"/>
      <c r="BUU41" s="224"/>
      <c r="BUV41" s="224"/>
      <c r="BUW41" s="224"/>
      <c r="BUX41" s="224"/>
      <c r="BUY41" s="224"/>
      <c r="BUZ41" s="224"/>
      <c r="BVA41" s="224"/>
      <c r="BVB41" s="224"/>
      <c r="BVC41" s="224"/>
      <c r="BVD41" s="224"/>
      <c r="BVE41" s="224"/>
      <c r="BVF41" s="224"/>
      <c r="BVG41" s="224"/>
      <c r="BVH41" s="224"/>
      <c r="BVI41" s="224"/>
      <c r="BVJ41" s="224"/>
      <c r="BVK41" s="224"/>
      <c r="BVL41" s="224"/>
      <c r="BVM41" s="224"/>
      <c r="BVN41" s="224"/>
      <c r="BVO41" s="224"/>
      <c r="BVP41" s="224"/>
      <c r="BVQ41" s="224"/>
      <c r="BVR41" s="224"/>
      <c r="BVS41" s="224"/>
      <c r="BVT41" s="224"/>
      <c r="BVU41" s="224"/>
      <c r="BVV41" s="224"/>
      <c r="BVW41" s="224"/>
      <c r="BVX41" s="224"/>
      <c r="BVY41" s="224"/>
      <c r="BVZ41" s="224"/>
      <c r="BWA41" s="224"/>
      <c r="BWB41" s="224"/>
      <c r="BWC41" s="224"/>
      <c r="BWD41" s="224"/>
      <c r="BWE41" s="224"/>
      <c r="BWF41" s="224"/>
      <c r="BWG41" s="224"/>
      <c r="BWH41" s="224"/>
      <c r="BWI41" s="224"/>
      <c r="BWJ41" s="224"/>
      <c r="BWK41" s="224"/>
      <c r="BWL41" s="224"/>
      <c r="BWM41" s="224"/>
      <c r="BWN41" s="224"/>
      <c r="BWO41" s="224"/>
      <c r="BWP41" s="224"/>
      <c r="BWQ41" s="224"/>
      <c r="BWR41" s="224"/>
      <c r="BWS41" s="224"/>
      <c r="BWT41" s="224"/>
      <c r="BWU41" s="224"/>
      <c r="BWV41" s="224"/>
      <c r="BWW41" s="224"/>
      <c r="BWX41" s="224"/>
      <c r="BWY41" s="224"/>
      <c r="BWZ41" s="224"/>
      <c r="BXA41" s="224"/>
      <c r="BXB41" s="224"/>
      <c r="BXC41" s="224"/>
      <c r="BXD41" s="224"/>
      <c r="BXE41" s="224"/>
      <c r="BXF41" s="224"/>
      <c r="BXG41" s="224"/>
      <c r="BXH41" s="224"/>
      <c r="BXI41" s="224"/>
      <c r="BXJ41" s="224"/>
      <c r="BXK41" s="224"/>
      <c r="BXL41" s="224"/>
      <c r="BXM41" s="224"/>
      <c r="BXN41" s="224"/>
      <c r="BXO41" s="224"/>
      <c r="BXP41" s="224"/>
      <c r="BXQ41" s="224"/>
      <c r="BXR41" s="224"/>
      <c r="BXS41" s="224"/>
      <c r="BXT41" s="224"/>
      <c r="BXU41" s="224"/>
      <c r="BXV41" s="224"/>
      <c r="BXW41" s="224"/>
      <c r="BXX41" s="224"/>
      <c r="BXY41" s="224"/>
      <c r="BXZ41" s="224"/>
      <c r="BYA41" s="224"/>
      <c r="BYB41" s="224"/>
      <c r="BYC41" s="224"/>
      <c r="BYD41" s="224"/>
      <c r="BYE41" s="224"/>
      <c r="BYF41" s="224"/>
      <c r="BYG41" s="224"/>
    </row>
    <row r="42" spans="1:2009" s="101" customFormat="1" ht="12.75" customHeight="1" thickBot="1" x14ac:dyDescent="0.3">
      <c r="A42" s="98"/>
      <c r="B42" s="129"/>
      <c r="C42" s="175"/>
      <c r="D42" s="175"/>
      <c r="E42" s="175"/>
      <c r="F42" s="175"/>
      <c r="G42" s="175"/>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313</v>
      </c>
      <c r="B43" s="466"/>
      <c r="C43" s="467"/>
      <c r="D43" s="467"/>
      <c r="E43" s="467"/>
      <c r="F43" s="468"/>
      <c r="G43" s="46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hidden="1" customHeight="1" x14ac:dyDescent="0.25">
      <c r="A44" s="410"/>
      <c r="B44" s="475" t="s">
        <v>376</v>
      </c>
      <c r="C44" s="505"/>
      <c r="D44" s="505"/>
      <c r="E44" s="477"/>
      <c r="F44" s="478"/>
      <c r="G44" s="479">
        <f>ROUND(SUM(C44:F44),5)</f>
        <v>0</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410"/>
      <c r="B45" s="475" t="s">
        <v>331</v>
      </c>
      <c r="C45" s="505"/>
      <c r="D45" s="505"/>
      <c r="E45" s="505"/>
      <c r="F45" s="582"/>
      <c r="G45" s="479">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1"/>
      <c r="B46" s="700" t="s">
        <v>375</v>
      </c>
      <c r="C46" s="506">
        <v>15622.06</v>
      </c>
      <c r="D46" s="506">
        <f>12266.5+255</f>
        <v>12521.5</v>
      </c>
      <c r="E46" s="506"/>
      <c r="F46" s="702"/>
      <c r="G46" s="481">
        <f>ROUND(SUM(C46:F46),5)</f>
        <v>28143.56</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411"/>
      <c r="B47" s="475" t="s">
        <v>332</v>
      </c>
      <c r="C47" s="506"/>
      <c r="D47" s="506"/>
      <c r="E47" s="506"/>
      <c r="F47" s="480"/>
      <c r="G47" s="481">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246" customFormat="1" ht="24.95" customHeight="1" thickBot="1" x14ac:dyDescent="0.3">
      <c r="A48" s="245"/>
      <c r="B48" s="476" t="s">
        <v>217</v>
      </c>
      <c r="C48" s="470">
        <f>SUM(C43:C47)</f>
        <v>15622.06</v>
      </c>
      <c r="D48" s="470">
        <f>SUM(D43:D47)</f>
        <v>12521.5</v>
      </c>
      <c r="E48" s="470"/>
      <c r="F48" s="470"/>
      <c r="G48" s="471">
        <f>ROUND(SUM(C48:F48),5)</f>
        <v>28143.56</v>
      </c>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c r="RB48" s="212"/>
      <c r="RC48" s="212"/>
      <c r="RD48" s="212"/>
      <c r="RE48" s="212"/>
      <c r="RF48" s="212"/>
      <c r="RG48" s="212"/>
      <c r="RH48" s="212"/>
      <c r="RI48" s="212"/>
      <c r="RJ48" s="212"/>
      <c r="RK48" s="212"/>
      <c r="RL48" s="212"/>
      <c r="RM48" s="212"/>
      <c r="RN48" s="212"/>
      <c r="RO48" s="212"/>
      <c r="RP48" s="212"/>
      <c r="RQ48" s="212"/>
      <c r="RR48" s="212"/>
      <c r="RS48" s="212"/>
      <c r="RT48" s="212"/>
      <c r="RU48" s="212"/>
      <c r="RV48" s="212"/>
      <c r="RW48" s="212"/>
      <c r="RX48" s="212"/>
      <c r="RY48" s="212"/>
      <c r="RZ48" s="212"/>
      <c r="SA48" s="212"/>
      <c r="SB48" s="212"/>
      <c r="SC48" s="212"/>
      <c r="SD48" s="212"/>
      <c r="SE48" s="212"/>
      <c r="SF48" s="212"/>
      <c r="SG48" s="212"/>
      <c r="SH48" s="212"/>
      <c r="SI48" s="212"/>
      <c r="SJ48" s="212"/>
      <c r="SK48" s="212"/>
      <c r="SL48" s="212"/>
      <c r="SM48" s="212"/>
      <c r="SN48" s="212"/>
      <c r="SO48" s="212"/>
      <c r="SP48" s="212"/>
      <c r="SQ48" s="212"/>
      <c r="SR48" s="212"/>
      <c r="SS48" s="212"/>
      <c r="ST48" s="212"/>
      <c r="SU48" s="212"/>
      <c r="SV48" s="212"/>
      <c r="SW48" s="212"/>
      <c r="SX48" s="212"/>
      <c r="SY48" s="212"/>
      <c r="SZ48" s="212"/>
      <c r="TA48" s="212"/>
      <c r="TB48" s="212"/>
      <c r="TC48" s="212"/>
      <c r="TD48" s="212"/>
      <c r="TE48" s="212"/>
      <c r="TF48" s="212"/>
      <c r="TG48" s="212"/>
      <c r="TH48" s="212"/>
      <c r="TI48" s="212"/>
      <c r="TJ48" s="212"/>
      <c r="TK48" s="212"/>
      <c r="TL48" s="212"/>
      <c r="TM48" s="212"/>
      <c r="TN48" s="212"/>
      <c r="TO48" s="212"/>
      <c r="TP48" s="212"/>
      <c r="TQ48" s="212"/>
      <c r="TR48" s="212"/>
      <c r="TS48" s="212"/>
      <c r="TT48" s="212"/>
      <c r="TU48" s="212"/>
      <c r="TV48" s="212"/>
      <c r="TW48" s="212"/>
      <c r="TX48" s="212"/>
      <c r="TY48" s="212"/>
      <c r="TZ48" s="212"/>
      <c r="UA48" s="212"/>
      <c r="UB48" s="212"/>
      <c r="UC48" s="212"/>
      <c r="UD48" s="212"/>
      <c r="UE48" s="212"/>
      <c r="UF48" s="212"/>
      <c r="UG48" s="212"/>
      <c r="UH48" s="212"/>
      <c r="UI48" s="212"/>
      <c r="UJ48" s="212"/>
      <c r="UK48" s="212"/>
      <c r="UL48" s="212"/>
      <c r="UM48" s="212"/>
      <c r="UN48" s="212"/>
      <c r="UO48" s="212"/>
      <c r="UP48" s="212"/>
      <c r="UQ48" s="212"/>
      <c r="UR48" s="212"/>
      <c r="US48" s="212"/>
      <c r="UT48" s="212"/>
      <c r="UU48" s="212"/>
      <c r="UV48" s="212"/>
      <c r="UW48" s="212"/>
      <c r="UX48" s="212"/>
      <c r="UY48" s="212"/>
      <c r="UZ48" s="212"/>
      <c r="VA48" s="212"/>
      <c r="VB48" s="212"/>
      <c r="VC48" s="212"/>
      <c r="VD48" s="212"/>
      <c r="VE48" s="212"/>
      <c r="VF48" s="212"/>
      <c r="VG48" s="212"/>
      <c r="VH48" s="212"/>
      <c r="VI48" s="212"/>
      <c r="VJ48" s="212"/>
      <c r="VK48" s="212"/>
      <c r="VL48" s="212"/>
      <c r="VM48" s="212"/>
      <c r="VN48" s="212"/>
      <c r="VO48" s="212"/>
      <c r="VP48" s="212"/>
      <c r="VQ48" s="212"/>
      <c r="VR48" s="212"/>
      <c r="VS48" s="212"/>
      <c r="VT48" s="212"/>
      <c r="VU48" s="212"/>
      <c r="VV48" s="212"/>
      <c r="VW48" s="212"/>
      <c r="VX48" s="212"/>
      <c r="VY48" s="212"/>
      <c r="VZ48" s="212"/>
      <c r="WA48" s="212"/>
      <c r="WB48" s="212"/>
      <c r="WC48" s="212"/>
      <c r="WD48" s="212"/>
      <c r="WE48" s="212"/>
      <c r="WF48" s="212"/>
      <c r="WG48" s="212"/>
      <c r="WH48" s="212"/>
      <c r="WI48" s="212"/>
      <c r="WJ48" s="212"/>
      <c r="WK48" s="212"/>
      <c r="WL48" s="212"/>
      <c r="WM48" s="212"/>
      <c r="WN48" s="212"/>
      <c r="WO48" s="212"/>
      <c r="WP48" s="212"/>
      <c r="WQ48" s="212"/>
      <c r="WR48" s="212"/>
      <c r="WS48" s="212"/>
      <c r="WT48" s="212"/>
      <c r="WU48" s="212"/>
      <c r="WV48" s="212"/>
      <c r="WW48" s="212"/>
      <c r="WX48" s="212"/>
      <c r="WY48" s="212"/>
      <c r="WZ48" s="212"/>
      <c r="XA48" s="212"/>
      <c r="XB48" s="212"/>
      <c r="XC48" s="212"/>
      <c r="XD48" s="212"/>
      <c r="XE48" s="212"/>
      <c r="XF48" s="212"/>
      <c r="XG48" s="212"/>
      <c r="XH48" s="212"/>
      <c r="XI48" s="212"/>
      <c r="XJ48" s="212"/>
      <c r="XK48" s="212"/>
      <c r="XL48" s="212"/>
      <c r="XM48" s="212"/>
      <c r="XN48" s="212"/>
      <c r="XO48" s="212"/>
      <c r="XP48" s="212"/>
      <c r="XQ48" s="212"/>
      <c r="XR48" s="212"/>
      <c r="XS48" s="212"/>
      <c r="XT48" s="212"/>
      <c r="XU48" s="212"/>
      <c r="XV48" s="212"/>
      <c r="XW48" s="212"/>
      <c r="XX48" s="212"/>
      <c r="XY48" s="212"/>
      <c r="XZ48" s="212"/>
      <c r="YA48" s="212"/>
      <c r="YB48" s="212"/>
      <c r="YC48" s="212"/>
      <c r="YD48" s="212"/>
      <c r="YE48" s="212"/>
      <c r="YF48" s="212"/>
      <c r="YG48" s="212"/>
      <c r="YH48" s="212"/>
      <c r="YI48" s="212"/>
      <c r="YJ48" s="212"/>
      <c r="YK48" s="212"/>
      <c r="YL48" s="212"/>
      <c r="YM48" s="212"/>
      <c r="YN48" s="212"/>
      <c r="YO48" s="212"/>
      <c r="YP48" s="212"/>
      <c r="YQ48" s="212"/>
      <c r="YR48" s="212"/>
      <c r="YS48" s="212"/>
      <c r="YT48" s="212"/>
      <c r="YU48" s="212"/>
      <c r="YV48" s="212"/>
      <c r="YW48" s="212"/>
      <c r="YX48" s="212"/>
      <c r="YY48" s="212"/>
      <c r="YZ48" s="212"/>
      <c r="ZA48" s="212"/>
      <c r="ZB48" s="212"/>
      <c r="ZC48" s="212"/>
      <c r="ZD48" s="212"/>
      <c r="ZE48" s="212"/>
      <c r="ZF48" s="212"/>
      <c r="ZG48" s="212"/>
      <c r="ZH48" s="212"/>
      <c r="ZI48" s="212"/>
      <c r="ZJ48" s="212"/>
      <c r="ZK48" s="212"/>
      <c r="ZL48" s="212"/>
      <c r="ZM48" s="212"/>
      <c r="ZN48" s="212"/>
      <c r="ZO48" s="212"/>
      <c r="ZP48" s="212"/>
      <c r="ZQ48" s="212"/>
      <c r="ZR48" s="212"/>
      <c r="ZS48" s="212"/>
      <c r="ZT48" s="212"/>
      <c r="ZU48" s="212"/>
      <c r="ZV48" s="212"/>
      <c r="ZW48" s="212"/>
      <c r="ZX48" s="212"/>
      <c r="ZY48" s="212"/>
      <c r="ZZ48" s="212"/>
      <c r="AAA48" s="212"/>
      <c r="AAB48" s="212"/>
      <c r="AAC48" s="212"/>
      <c r="AAD48" s="212"/>
      <c r="AAE48" s="212"/>
      <c r="AAF48" s="212"/>
      <c r="AAG48" s="212"/>
      <c r="AAH48" s="212"/>
      <c r="AAI48" s="212"/>
      <c r="AAJ48" s="212"/>
      <c r="AAK48" s="212"/>
      <c r="AAL48" s="212"/>
      <c r="AAM48" s="212"/>
      <c r="AAN48" s="212"/>
      <c r="AAO48" s="212"/>
      <c r="AAP48" s="212"/>
      <c r="AAQ48" s="212"/>
      <c r="AAR48" s="212"/>
      <c r="AAS48" s="212"/>
      <c r="AAT48" s="212"/>
      <c r="AAU48" s="212"/>
      <c r="AAV48" s="212"/>
      <c r="AAW48" s="212"/>
      <c r="AAX48" s="212"/>
      <c r="AAY48" s="212"/>
      <c r="AAZ48" s="212"/>
      <c r="ABA48" s="212"/>
      <c r="ABB48" s="212"/>
      <c r="ABC48" s="212"/>
      <c r="ABD48" s="212"/>
      <c r="ABE48" s="212"/>
      <c r="ABF48" s="212"/>
      <c r="ABG48" s="212"/>
      <c r="ABH48" s="212"/>
      <c r="ABI48" s="212"/>
      <c r="ABJ48" s="212"/>
      <c r="ABK48" s="212"/>
      <c r="ABL48" s="212"/>
      <c r="ABM48" s="212"/>
      <c r="ABN48" s="212"/>
      <c r="ABO48" s="212"/>
      <c r="ABP48" s="212"/>
      <c r="ABQ48" s="212"/>
      <c r="ABR48" s="212"/>
      <c r="ABS48" s="212"/>
      <c r="ABT48" s="212"/>
      <c r="ABU48" s="212"/>
      <c r="ABV48" s="212"/>
      <c r="ABW48" s="212"/>
      <c r="ABX48" s="212"/>
      <c r="ABY48" s="212"/>
      <c r="ABZ48" s="212"/>
      <c r="ACA48" s="212"/>
      <c r="ACB48" s="212"/>
      <c r="ACC48" s="212"/>
      <c r="ACD48" s="212"/>
      <c r="ACE48" s="212"/>
      <c r="ACF48" s="212"/>
      <c r="ACG48" s="212"/>
      <c r="ACH48" s="212"/>
      <c r="ACI48" s="212"/>
      <c r="ACJ48" s="212"/>
      <c r="ACK48" s="212"/>
      <c r="ACL48" s="212"/>
      <c r="ACM48" s="212"/>
      <c r="ACN48" s="212"/>
      <c r="ACO48" s="212"/>
      <c r="ACP48" s="212"/>
      <c r="ACQ48" s="212"/>
      <c r="ACR48" s="212"/>
      <c r="ACS48" s="212"/>
      <c r="ACT48" s="212"/>
      <c r="ACU48" s="212"/>
      <c r="ACV48" s="212"/>
      <c r="ACW48" s="212"/>
      <c r="ACX48" s="212"/>
      <c r="ACY48" s="212"/>
      <c r="ACZ48" s="212"/>
      <c r="ADA48" s="212"/>
      <c r="ADB48" s="212"/>
      <c r="ADC48" s="212"/>
      <c r="ADD48" s="212"/>
      <c r="ADE48" s="212"/>
      <c r="ADF48" s="212"/>
      <c r="ADG48" s="212"/>
      <c r="ADH48" s="212"/>
      <c r="ADI48" s="212"/>
      <c r="ADJ48" s="212"/>
      <c r="ADK48" s="212"/>
      <c r="ADL48" s="212"/>
      <c r="ADM48" s="212"/>
      <c r="ADN48" s="212"/>
      <c r="ADO48" s="212"/>
      <c r="ADP48" s="212"/>
      <c r="ADQ48" s="212"/>
      <c r="ADR48" s="212"/>
      <c r="ADS48" s="212"/>
      <c r="ADT48" s="212"/>
      <c r="ADU48" s="212"/>
      <c r="ADV48" s="212"/>
      <c r="ADW48" s="212"/>
      <c r="ADX48" s="212"/>
      <c r="ADY48" s="212"/>
      <c r="ADZ48" s="212"/>
      <c r="AEA48" s="212"/>
      <c r="AEB48" s="212"/>
      <c r="AEC48" s="212"/>
      <c r="AED48" s="212"/>
      <c r="AEE48" s="212"/>
      <c r="AEF48" s="212"/>
      <c r="AEG48" s="212"/>
      <c r="AEH48" s="212"/>
      <c r="AEI48" s="212"/>
      <c r="AEJ48" s="212"/>
      <c r="AEK48" s="212"/>
      <c r="AEL48" s="212"/>
      <c r="AEM48" s="212"/>
      <c r="AEN48" s="212"/>
      <c r="AEO48" s="212"/>
      <c r="AEP48" s="212"/>
      <c r="AEQ48" s="212"/>
      <c r="AER48" s="212"/>
      <c r="AES48" s="212"/>
      <c r="AET48" s="212"/>
      <c r="AEU48" s="212"/>
      <c r="AEV48" s="212"/>
      <c r="AEW48" s="212"/>
      <c r="AEX48" s="212"/>
      <c r="AEY48" s="212"/>
      <c r="AEZ48" s="212"/>
      <c r="AFA48" s="212"/>
      <c r="AFB48" s="212"/>
      <c r="AFC48" s="212"/>
      <c r="AFD48" s="212"/>
      <c r="AFE48" s="212"/>
      <c r="AFF48" s="212"/>
      <c r="AFG48" s="212"/>
      <c r="AFH48" s="212"/>
      <c r="AFI48" s="212"/>
      <c r="AFJ48" s="212"/>
      <c r="AFK48" s="212"/>
      <c r="AFL48" s="212"/>
      <c r="AFM48" s="212"/>
      <c r="AFN48" s="212"/>
      <c r="AFO48" s="212"/>
      <c r="AFP48" s="212"/>
      <c r="AFQ48" s="212"/>
      <c r="AFR48" s="212"/>
      <c r="AFS48" s="212"/>
      <c r="AFT48" s="212"/>
      <c r="AFU48" s="212"/>
      <c r="AFV48" s="212"/>
      <c r="AFW48" s="212"/>
      <c r="AFX48" s="212"/>
      <c r="AFY48" s="212"/>
      <c r="AFZ48" s="212"/>
      <c r="AGA48" s="212"/>
      <c r="AGB48" s="212"/>
      <c r="AGC48" s="212"/>
      <c r="AGD48" s="212"/>
      <c r="AGE48" s="212"/>
      <c r="AGF48" s="212"/>
      <c r="AGG48" s="212"/>
      <c r="AGH48" s="212"/>
      <c r="AGI48" s="212"/>
      <c r="AGJ48" s="212"/>
      <c r="AGK48" s="212"/>
      <c r="AGL48" s="212"/>
      <c r="AGM48" s="212"/>
      <c r="AGN48" s="212"/>
      <c r="AGO48" s="212"/>
      <c r="AGP48" s="212"/>
      <c r="AGQ48" s="212"/>
      <c r="AGR48" s="212"/>
      <c r="AGS48" s="212"/>
      <c r="AGT48" s="212"/>
      <c r="AGU48" s="212"/>
      <c r="AGV48" s="212"/>
      <c r="AGW48" s="212"/>
      <c r="AGX48" s="212"/>
      <c r="AGY48" s="212"/>
      <c r="AGZ48" s="212"/>
      <c r="AHA48" s="212"/>
      <c r="AHB48" s="212"/>
      <c r="AHC48" s="212"/>
      <c r="AHD48" s="212"/>
      <c r="AHE48" s="212"/>
      <c r="AHF48" s="212"/>
      <c r="AHG48" s="212"/>
      <c r="AHH48" s="212"/>
      <c r="AHI48" s="212"/>
      <c r="AHJ48" s="212"/>
      <c r="AHK48" s="212"/>
      <c r="AHL48" s="212"/>
      <c r="AHM48" s="212"/>
      <c r="AHN48" s="212"/>
      <c r="AHO48" s="212"/>
      <c r="AHP48" s="212"/>
      <c r="AHQ48" s="212"/>
      <c r="AHR48" s="212"/>
      <c r="AHS48" s="212"/>
      <c r="AHT48" s="212"/>
      <c r="AHU48" s="212"/>
      <c r="AHV48" s="212"/>
      <c r="AHW48" s="212"/>
      <c r="AHX48" s="212"/>
      <c r="AHY48" s="212"/>
      <c r="AHZ48" s="212"/>
      <c r="AIA48" s="212"/>
      <c r="AIB48" s="212"/>
      <c r="AIC48" s="212"/>
      <c r="AID48" s="212"/>
      <c r="AIE48" s="212"/>
      <c r="AIF48" s="212"/>
      <c r="AIG48" s="212"/>
      <c r="AIH48" s="212"/>
      <c r="AII48" s="212"/>
      <c r="AIJ48" s="212"/>
      <c r="AIK48" s="212"/>
      <c r="AIL48" s="212"/>
      <c r="AIM48" s="212"/>
      <c r="AIN48" s="212"/>
      <c r="AIO48" s="212"/>
      <c r="AIP48" s="212"/>
      <c r="AIQ48" s="212"/>
      <c r="AIR48" s="212"/>
      <c r="AIS48" s="212"/>
      <c r="AIT48" s="212"/>
      <c r="AIU48" s="212"/>
      <c r="AIV48" s="212"/>
      <c r="AIW48" s="212"/>
      <c r="AIX48" s="212"/>
      <c r="AIY48" s="212"/>
      <c r="AIZ48" s="212"/>
      <c r="AJA48" s="212"/>
      <c r="AJB48" s="212"/>
      <c r="AJC48" s="212"/>
      <c r="AJD48" s="212"/>
      <c r="AJE48" s="212"/>
      <c r="AJF48" s="212"/>
      <c r="AJG48" s="212"/>
      <c r="AJH48" s="212"/>
      <c r="AJI48" s="212"/>
      <c r="AJJ48" s="212"/>
      <c r="AJK48" s="212"/>
      <c r="AJL48" s="212"/>
      <c r="AJM48" s="212"/>
      <c r="AJN48" s="212"/>
      <c r="AJO48" s="212"/>
      <c r="AJP48" s="212"/>
      <c r="AJQ48" s="212"/>
      <c r="AJR48" s="212"/>
      <c r="AJS48" s="212"/>
      <c r="AJT48" s="212"/>
      <c r="AJU48" s="212"/>
      <c r="AJV48" s="212"/>
      <c r="AJW48" s="212"/>
      <c r="AJX48" s="212"/>
      <c r="AJY48" s="212"/>
      <c r="AJZ48" s="212"/>
      <c r="AKA48" s="212"/>
      <c r="AKB48" s="212"/>
      <c r="AKC48" s="212"/>
      <c r="AKD48" s="212"/>
      <c r="AKE48" s="212"/>
      <c r="AKF48" s="212"/>
      <c r="AKG48" s="212"/>
      <c r="AKH48" s="212"/>
      <c r="AKI48" s="212"/>
      <c r="AKJ48" s="212"/>
      <c r="AKK48" s="212"/>
      <c r="AKL48" s="212"/>
      <c r="AKM48" s="212"/>
      <c r="AKN48" s="212"/>
      <c r="AKO48" s="212"/>
      <c r="AKP48" s="212"/>
      <c r="AKQ48" s="212"/>
      <c r="AKR48" s="212"/>
      <c r="AKS48" s="212"/>
      <c r="AKT48" s="212"/>
      <c r="AKU48" s="212"/>
      <c r="AKV48" s="212"/>
      <c r="AKW48" s="212"/>
      <c r="AKX48" s="212"/>
      <c r="AKY48" s="212"/>
      <c r="AKZ48" s="212"/>
      <c r="ALA48" s="212"/>
      <c r="ALB48" s="212"/>
      <c r="ALC48" s="212"/>
      <c r="ALD48" s="212"/>
      <c r="ALE48" s="212"/>
      <c r="ALF48" s="212"/>
      <c r="ALG48" s="212"/>
      <c r="ALH48" s="212"/>
      <c r="ALI48" s="212"/>
      <c r="ALJ48" s="212"/>
      <c r="ALK48" s="212"/>
      <c r="ALL48" s="212"/>
      <c r="ALM48" s="212"/>
      <c r="ALN48" s="212"/>
      <c r="ALO48" s="212"/>
      <c r="ALP48" s="212"/>
      <c r="ALQ48" s="212"/>
      <c r="ALR48" s="212"/>
      <c r="ALS48" s="212"/>
      <c r="ALT48" s="212"/>
      <c r="ALU48" s="212"/>
      <c r="ALV48" s="212"/>
      <c r="ALW48" s="212"/>
      <c r="ALX48" s="212"/>
      <c r="ALY48" s="212"/>
      <c r="ALZ48" s="212"/>
      <c r="AMA48" s="212"/>
      <c r="AMB48" s="212"/>
      <c r="AMC48" s="212"/>
      <c r="AMD48" s="212"/>
      <c r="AME48" s="212"/>
      <c r="AMF48" s="212"/>
      <c r="AMG48" s="212"/>
      <c r="AMH48" s="212"/>
      <c r="AMI48" s="212"/>
      <c r="AMJ48" s="212"/>
      <c r="AMK48" s="212"/>
      <c r="AML48" s="212"/>
      <c r="AMM48" s="212"/>
      <c r="AMN48" s="212"/>
      <c r="AMO48" s="212"/>
      <c r="AMP48" s="212"/>
      <c r="AMQ48" s="212"/>
      <c r="AMR48" s="212"/>
      <c r="AMS48" s="212"/>
      <c r="AMT48" s="212"/>
      <c r="AMU48" s="212"/>
      <c r="AMV48" s="212"/>
      <c r="AMW48" s="212"/>
      <c r="AMX48" s="212"/>
      <c r="AMY48" s="212"/>
      <c r="AMZ48" s="212"/>
      <c r="ANA48" s="212"/>
      <c r="ANB48" s="212"/>
      <c r="ANC48" s="212"/>
      <c r="AND48" s="212"/>
      <c r="ANE48" s="212"/>
      <c r="ANF48" s="212"/>
      <c r="ANG48" s="212"/>
      <c r="ANH48" s="212"/>
      <c r="ANI48" s="212"/>
      <c r="ANJ48" s="212"/>
      <c r="ANK48" s="212"/>
      <c r="ANL48" s="212"/>
      <c r="ANM48" s="212"/>
      <c r="ANN48" s="212"/>
      <c r="ANO48" s="212"/>
      <c r="ANP48" s="212"/>
      <c r="ANQ48" s="212"/>
      <c r="ANR48" s="212"/>
      <c r="ANS48" s="212"/>
      <c r="ANT48" s="212"/>
      <c r="ANU48" s="212"/>
      <c r="ANV48" s="212"/>
      <c r="ANW48" s="212"/>
      <c r="ANX48" s="212"/>
      <c r="ANY48" s="212"/>
      <c r="ANZ48" s="212"/>
      <c r="AOA48" s="212"/>
      <c r="AOB48" s="212"/>
      <c r="AOC48" s="212"/>
      <c r="AOD48" s="212"/>
      <c r="AOE48" s="212"/>
      <c r="AOF48" s="212"/>
      <c r="AOG48" s="212"/>
      <c r="AOH48" s="212"/>
      <c r="AOI48" s="212"/>
      <c r="AOJ48" s="212"/>
      <c r="AOK48" s="212"/>
      <c r="AOL48" s="212"/>
      <c r="AOM48" s="212"/>
      <c r="AON48" s="212"/>
      <c r="AOO48" s="212"/>
      <c r="AOP48" s="212"/>
      <c r="AOQ48" s="212"/>
      <c r="AOR48" s="212"/>
      <c r="AOS48" s="212"/>
      <c r="AOT48" s="212"/>
      <c r="AOU48" s="212"/>
      <c r="AOV48" s="212"/>
      <c r="AOW48" s="212"/>
      <c r="AOX48" s="212"/>
      <c r="AOY48" s="212"/>
      <c r="AOZ48" s="212"/>
      <c r="APA48" s="212"/>
      <c r="APB48" s="212"/>
      <c r="APC48" s="212"/>
      <c r="APD48" s="212"/>
      <c r="APE48" s="212"/>
      <c r="APF48" s="212"/>
      <c r="APG48" s="212"/>
      <c r="APH48" s="212"/>
      <c r="API48" s="212"/>
      <c r="APJ48" s="212"/>
      <c r="APK48" s="212"/>
      <c r="APL48" s="212"/>
      <c r="APM48" s="212"/>
      <c r="APN48" s="212"/>
      <c r="APO48" s="212"/>
      <c r="APP48" s="212"/>
      <c r="APQ48" s="212"/>
      <c r="APR48" s="212"/>
      <c r="APS48" s="212"/>
      <c r="APT48" s="212"/>
      <c r="APU48" s="212"/>
      <c r="APV48" s="212"/>
      <c r="APW48" s="212"/>
      <c r="APX48" s="212"/>
      <c r="APY48" s="212"/>
      <c r="APZ48" s="212"/>
      <c r="AQA48" s="212"/>
      <c r="AQB48" s="212"/>
      <c r="AQC48" s="212"/>
      <c r="AQD48" s="212"/>
      <c r="AQE48" s="212"/>
      <c r="AQF48" s="212"/>
      <c r="AQG48" s="212"/>
      <c r="AQH48" s="212"/>
      <c r="AQI48" s="212"/>
      <c r="AQJ48" s="212"/>
      <c r="AQK48" s="212"/>
      <c r="AQL48" s="212"/>
      <c r="AQM48" s="212"/>
      <c r="AQN48" s="212"/>
      <c r="AQO48" s="212"/>
      <c r="AQP48" s="212"/>
      <c r="AQQ48" s="212"/>
      <c r="AQR48" s="212"/>
      <c r="AQS48" s="212"/>
      <c r="AQT48" s="212"/>
      <c r="AQU48" s="212"/>
      <c r="AQV48" s="212"/>
      <c r="AQW48" s="212"/>
      <c r="AQX48" s="212"/>
      <c r="AQY48" s="212"/>
      <c r="AQZ48" s="212"/>
      <c r="ARA48" s="212"/>
      <c r="ARB48" s="212"/>
      <c r="ARC48" s="212"/>
      <c r="ARD48" s="212"/>
      <c r="ARE48" s="212"/>
      <c r="ARF48" s="212"/>
      <c r="ARG48" s="212"/>
      <c r="ARH48" s="212"/>
      <c r="ARI48" s="212"/>
      <c r="ARJ48" s="212"/>
      <c r="ARK48" s="212"/>
      <c r="ARL48" s="212"/>
      <c r="ARM48" s="212"/>
      <c r="ARN48" s="212"/>
      <c r="ARO48" s="212"/>
      <c r="ARP48" s="212"/>
      <c r="ARQ48" s="212"/>
      <c r="ARR48" s="212"/>
      <c r="ARS48" s="212"/>
      <c r="ART48" s="212"/>
      <c r="ARU48" s="212"/>
      <c r="ARV48" s="212"/>
      <c r="ARW48" s="212"/>
      <c r="ARX48" s="212"/>
      <c r="ARY48" s="212"/>
      <c r="ARZ48" s="212"/>
      <c r="ASA48" s="212"/>
      <c r="ASB48" s="212"/>
      <c r="ASC48" s="212"/>
      <c r="ASD48" s="212"/>
      <c r="ASE48" s="212"/>
      <c r="ASF48" s="212"/>
      <c r="ASG48" s="212"/>
      <c r="ASH48" s="212"/>
      <c r="ASI48" s="212"/>
      <c r="ASJ48" s="212"/>
      <c r="ASK48" s="212"/>
      <c r="ASL48" s="212"/>
      <c r="ASM48" s="212"/>
      <c r="ASN48" s="212"/>
      <c r="ASO48" s="212"/>
      <c r="ASP48" s="212"/>
      <c r="ASQ48" s="212"/>
      <c r="ASR48" s="212"/>
      <c r="ASS48" s="212"/>
      <c r="AST48" s="212"/>
      <c r="ASU48" s="212"/>
      <c r="ASV48" s="212"/>
      <c r="ASW48" s="212"/>
      <c r="ASX48" s="212"/>
      <c r="ASY48" s="212"/>
      <c r="ASZ48" s="212"/>
      <c r="ATA48" s="212"/>
      <c r="ATB48" s="212"/>
      <c r="ATC48" s="212"/>
      <c r="ATD48" s="212"/>
      <c r="ATE48" s="212"/>
      <c r="ATF48" s="212"/>
      <c r="ATG48" s="212"/>
      <c r="ATH48" s="212"/>
      <c r="ATI48" s="212"/>
      <c r="ATJ48" s="212"/>
      <c r="ATK48" s="212"/>
      <c r="ATL48" s="212"/>
      <c r="ATM48" s="212"/>
      <c r="ATN48" s="212"/>
      <c r="ATO48" s="212"/>
      <c r="ATP48" s="212"/>
      <c r="ATQ48" s="212"/>
      <c r="ATR48" s="212"/>
      <c r="ATS48" s="212"/>
      <c r="ATT48" s="212"/>
      <c r="ATU48" s="212"/>
      <c r="ATV48" s="212"/>
      <c r="ATW48" s="212"/>
      <c r="ATX48" s="212"/>
      <c r="ATY48" s="212"/>
      <c r="ATZ48" s="212"/>
      <c r="AUA48" s="212"/>
      <c r="AUB48" s="212"/>
      <c r="AUC48" s="212"/>
      <c r="AUD48" s="212"/>
      <c r="AUE48" s="212"/>
      <c r="AUF48" s="212"/>
      <c r="AUG48" s="212"/>
      <c r="AUH48" s="212"/>
      <c r="AUI48" s="212"/>
      <c r="AUJ48" s="212"/>
      <c r="AUK48" s="212"/>
      <c r="AUL48" s="212"/>
      <c r="AUM48" s="212"/>
      <c r="AUN48" s="212"/>
      <c r="AUO48" s="212"/>
      <c r="AUP48" s="212"/>
      <c r="AUQ48" s="212"/>
      <c r="AUR48" s="212"/>
      <c r="AUS48" s="212"/>
      <c r="AUT48" s="212"/>
      <c r="AUU48" s="212"/>
      <c r="AUV48" s="212"/>
      <c r="AUW48" s="212"/>
      <c r="AUX48" s="212"/>
      <c r="AUY48" s="212"/>
      <c r="AUZ48" s="212"/>
      <c r="AVA48" s="212"/>
      <c r="AVB48" s="212"/>
      <c r="AVC48" s="212"/>
      <c r="AVD48" s="212"/>
      <c r="AVE48" s="212"/>
      <c r="AVF48" s="212"/>
      <c r="AVG48" s="212"/>
      <c r="AVH48" s="212"/>
      <c r="AVI48" s="212"/>
      <c r="AVJ48" s="212"/>
      <c r="AVK48" s="212"/>
      <c r="AVL48" s="212"/>
      <c r="AVM48" s="212"/>
      <c r="AVN48" s="212"/>
      <c r="AVO48" s="212"/>
      <c r="AVP48" s="212"/>
      <c r="AVQ48" s="212"/>
      <c r="AVR48" s="212"/>
      <c r="AVS48" s="212"/>
      <c r="AVT48" s="212"/>
      <c r="AVU48" s="212"/>
      <c r="AVV48" s="212"/>
      <c r="AVW48" s="212"/>
      <c r="AVX48" s="212"/>
      <c r="AVY48" s="212"/>
      <c r="AVZ48" s="212"/>
      <c r="AWA48" s="212"/>
      <c r="AWB48" s="212"/>
      <c r="AWC48" s="212"/>
      <c r="AWD48" s="212"/>
      <c r="AWE48" s="212"/>
      <c r="AWF48" s="212"/>
      <c r="AWG48" s="212"/>
      <c r="AWH48" s="212"/>
      <c r="AWI48" s="212"/>
      <c r="AWJ48" s="212"/>
      <c r="AWK48" s="212"/>
      <c r="AWL48" s="212"/>
      <c r="AWM48" s="212"/>
      <c r="AWN48" s="212"/>
      <c r="AWO48" s="212"/>
      <c r="AWP48" s="212"/>
      <c r="AWQ48" s="212"/>
      <c r="AWR48" s="212"/>
      <c r="AWS48" s="212"/>
      <c r="AWT48" s="212"/>
      <c r="AWU48" s="212"/>
      <c r="AWV48" s="212"/>
      <c r="AWW48" s="212"/>
      <c r="AWX48" s="212"/>
      <c r="AWY48" s="212"/>
      <c r="AWZ48" s="212"/>
      <c r="AXA48" s="212"/>
      <c r="AXB48" s="212"/>
      <c r="AXC48" s="212"/>
      <c r="AXD48" s="212"/>
      <c r="AXE48" s="212"/>
      <c r="AXF48" s="212"/>
      <c r="AXG48" s="212"/>
      <c r="AXH48" s="212"/>
      <c r="AXI48" s="212"/>
      <c r="AXJ48" s="212"/>
      <c r="AXK48" s="212"/>
      <c r="AXL48" s="212"/>
      <c r="AXM48" s="212"/>
      <c r="AXN48" s="212"/>
      <c r="AXO48" s="212"/>
      <c r="AXP48" s="212"/>
      <c r="AXQ48" s="212"/>
      <c r="AXR48" s="212"/>
      <c r="AXS48" s="212"/>
      <c r="AXT48" s="212"/>
      <c r="AXU48" s="212"/>
      <c r="AXV48" s="212"/>
      <c r="AXW48" s="212"/>
      <c r="AXX48" s="212"/>
      <c r="AXY48" s="212"/>
      <c r="AXZ48" s="212"/>
      <c r="AYA48" s="212"/>
      <c r="AYB48" s="212"/>
      <c r="AYC48" s="212"/>
      <c r="AYD48" s="212"/>
      <c r="AYE48" s="212"/>
      <c r="AYF48" s="212"/>
      <c r="AYG48" s="212"/>
      <c r="AYH48" s="212"/>
      <c r="AYI48" s="212"/>
      <c r="AYJ48" s="212"/>
      <c r="AYK48" s="212"/>
      <c r="AYL48" s="212"/>
      <c r="AYM48" s="212"/>
      <c r="AYN48" s="212"/>
      <c r="AYO48" s="212"/>
      <c r="AYP48" s="212"/>
      <c r="AYQ48" s="212"/>
      <c r="AYR48" s="212"/>
      <c r="AYS48" s="212"/>
      <c r="AYT48" s="212"/>
      <c r="AYU48" s="212"/>
      <c r="AYV48" s="212"/>
      <c r="AYW48" s="212"/>
      <c r="AYX48" s="212"/>
      <c r="AYY48" s="212"/>
      <c r="AYZ48" s="212"/>
      <c r="AZA48" s="212"/>
      <c r="AZB48" s="212"/>
      <c r="AZC48" s="212"/>
      <c r="AZD48" s="212"/>
      <c r="AZE48" s="212"/>
      <c r="AZF48" s="212"/>
      <c r="AZG48" s="212"/>
      <c r="AZH48" s="212"/>
      <c r="AZI48" s="212"/>
      <c r="AZJ48" s="212"/>
      <c r="AZK48" s="212"/>
      <c r="AZL48" s="212"/>
      <c r="AZM48" s="212"/>
      <c r="AZN48" s="212"/>
      <c r="AZO48" s="212"/>
      <c r="AZP48" s="212"/>
      <c r="AZQ48" s="212"/>
      <c r="AZR48" s="212"/>
      <c r="AZS48" s="212"/>
      <c r="AZT48" s="212"/>
      <c r="AZU48" s="212"/>
      <c r="AZV48" s="212"/>
      <c r="AZW48" s="212"/>
      <c r="AZX48" s="212"/>
      <c r="AZY48" s="212"/>
      <c r="AZZ48" s="212"/>
      <c r="BAA48" s="212"/>
      <c r="BAB48" s="212"/>
      <c r="BAC48" s="212"/>
      <c r="BAD48" s="212"/>
      <c r="BAE48" s="212"/>
      <c r="BAF48" s="212"/>
      <c r="BAG48" s="212"/>
      <c r="BAH48" s="212"/>
      <c r="BAI48" s="212"/>
      <c r="BAJ48" s="212"/>
      <c r="BAK48" s="212"/>
      <c r="BAL48" s="212"/>
      <c r="BAM48" s="212"/>
      <c r="BAN48" s="212"/>
      <c r="BAO48" s="212"/>
      <c r="BAP48" s="212"/>
      <c r="BAQ48" s="212"/>
      <c r="BAR48" s="212"/>
      <c r="BAS48" s="212"/>
      <c r="BAT48" s="212"/>
      <c r="BAU48" s="212"/>
      <c r="BAV48" s="212"/>
      <c r="BAW48" s="212"/>
      <c r="BAX48" s="212"/>
      <c r="BAY48" s="212"/>
      <c r="BAZ48" s="212"/>
      <c r="BBA48" s="212"/>
      <c r="BBB48" s="212"/>
      <c r="BBC48" s="212"/>
      <c r="BBD48" s="212"/>
      <c r="BBE48" s="212"/>
      <c r="BBF48" s="212"/>
      <c r="BBG48" s="212"/>
      <c r="BBH48" s="212"/>
      <c r="BBI48" s="212"/>
      <c r="BBJ48" s="212"/>
      <c r="BBK48" s="212"/>
      <c r="BBL48" s="212"/>
      <c r="BBM48" s="212"/>
      <c r="BBN48" s="212"/>
      <c r="BBO48" s="212"/>
      <c r="BBP48" s="212"/>
      <c r="BBQ48" s="212"/>
      <c r="BBR48" s="212"/>
      <c r="BBS48" s="212"/>
      <c r="BBT48" s="212"/>
      <c r="BBU48" s="212"/>
      <c r="BBV48" s="212"/>
      <c r="BBW48" s="212"/>
      <c r="BBX48" s="212"/>
      <c r="BBY48" s="212"/>
      <c r="BBZ48" s="212"/>
      <c r="BCA48" s="212"/>
      <c r="BCB48" s="212"/>
      <c r="BCC48" s="212"/>
      <c r="BCD48" s="212"/>
      <c r="BCE48" s="212"/>
      <c r="BCF48" s="212"/>
      <c r="BCG48" s="212"/>
      <c r="BCH48" s="212"/>
      <c r="BCI48" s="212"/>
      <c r="BCJ48" s="212"/>
      <c r="BCK48" s="212"/>
      <c r="BCL48" s="212"/>
      <c r="BCM48" s="212"/>
      <c r="BCN48" s="212"/>
      <c r="BCO48" s="212"/>
      <c r="BCP48" s="212"/>
      <c r="BCQ48" s="212"/>
      <c r="BCR48" s="212"/>
      <c r="BCS48" s="212"/>
      <c r="BCT48" s="212"/>
      <c r="BCU48" s="212"/>
      <c r="BCV48" s="212"/>
      <c r="BCW48" s="212"/>
      <c r="BCX48" s="212"/>
      <c r="BCY48" s="212"/>
      <c r="BCZ48" s="212"/>
      <c r="BDA48" s="212"/>
      <c r="BDB48" s="212"/>
      <c r="BDC48" s="212"/>
      <c r="BDD48" s="212"/>
      <c r="BDE48" s="212"/>
      <c r="BDF48" s="212"/>
      <c r="BDG48" s="212"/>
      <c r="BDH48" s="212"/>
      <c r="BDI48" s="212"/>
      <c r="BDJ48" s="212"/>
      <c r="BDK48" s="212"/>
      <c r="BDL48" s="212"/>
      <c r="BDM48" s="212"/>
      <c r="BDN48" s="212"/>
      <c r="BDO48" s="212"/>
      <c r="BDP48" s="212"/>
      <c r="BDQ48" s="212"/>
      <c r="BDR48" s="212"/>
      <c r="BDS48" s="212"/>
      <c r="BDT48" s="212"/>
      <c r="BDU48" s="212"/>
      <c r="BDV48" s="212"/>
      <c r="BDW48" s="212"/>
      <c r="BDX48" s="212"/>
      <c r="BDY48" s="212"/>
      <c r="BDZ48" s="212"/>
      <c r="BEA48" s="212"/>
      <c r="BEB48" s="212"/>
      <c r="BEC48" s="212"/>
      <c r="BED48" s="212"/>
      <c r="BEE48" s="212"/>
      <c r="BEF48" s="212"/>
      <c r="BEG48" s="212"/>
      <c r="BEH48" s="212"/>
      <c r="BEI48" s="212"/>
      <c r="BEJ48" s="212"/>
      <c r="BEK48" s="212"/>
      <c r="BEL48" s="212"/>
      <c r="BEM48" s="212"/>
      <c r="BEN48" s="212"/>
      <c r="BEO48" s="212"/>
      <c r="BEP48" s="212"/>
      <c r="BEQ48" s="212"/>
      <c r="BER48" s="212"/>
      <c r="BES48" s="212"/>
      <c r="BET48" s="212"/>
      <c r="BEU48" s="212"/>
      <c r="BEV48" s="212"/>
      <c r="BEW48" s="212"/>
      <c r="BEX48" s="212"/>
      <c r="BEY48" s="212"/>
      <c r="BEZ48" s="212"/>
      <c r="BFA48" s="212"/>
      <c r="BFB48" s="212"/>
      <c r="BFC48" s="212"/>
      <c r="BFD48" s="212"/>
      <c r="BFE48" s="212"/>
      <c r="BFF48" s="212"/>
      <c r="BFG48" s="212"/>
      <c r="BFH48" s="212"/>
      <c r="BFI48" s="212"/>
      <c r="BFJ48" s="212"/>
      <c r="BFK48" s="212"/>
      <c r="BFL48" s="212"/>
      <c r="BFM48" s="212"/>
      <c r="BFN48" s="212"/>
      <c r="BFO48" s="212"/>
      <c r="BFP48" s="212"/>
      <c r="BFQ48" s="212"/>
      <c r="BFR48" s="212"/>
      <c r="BFS48" s="212"/>
      <c r="BFT48" s="212"/>
      <c r="BFU48" s="212"/>
      <c r="BFV48" s="212"/>
      <c r="BFW48" s="212"/>
      <c r="BFX48" s="212"/>
      <c r="BFY48" s="212"/>
      <c r="BFZ48" s="212"/>
      <c r="BGA48" s="212"/>
      <c r="BGB48" s="212"/>
      <c r="BGC48" s="212"/>
      <c r="BGD48" s="212"/>
      <c r="BGE48" s="212"/>
      <c r="BGF48" s="212"/>
      <c r="BGG48" s="212"/>
      <c r="BGH48" s="212"/>
      <c r="BGI48" s="212"/>
      <c r="BGJ48" s="212"/>
      <c r="BGK48" s="212"/>
      <c r="BGL48" s="212"/>
      <c r="BGM48" s="212"/>
      <c r="BGN48" s="212"/>
      <c r="BGO48" s="212"/>
      <c r="BGP48" s="212"/>
      <c r="BGQ48" s="212"/>
      <c r="BGR48" s="212"/>
      <c r="BGS48" s="212"/>
      <c r="BGT48" s="212"/>
      <c r="BGU48" s="212"/>
      <c r="BGV48" s="212"/>
      <c r="BGW48" s="212"/>
      <c r="BGX48" s="212"/>
      <c r="BGY48" s="212"/>
      <c r="BGZ48" s="212"/>
      <c r="BHA48" s="212"/>
      <c r="BHB48" s="212"/>
      <c r="BHC48" s="212"/>
      <c r="BHD48" s="212"/>
      <c r="BHE48" s="212"/>
      <c r="BHF48" s="212"/>
      <c r="BHG48" s="212"/>
      <c r="BHH48" s="212"/>
      <c r="BHI48" s="212"/>
      <c r="BHJ48" s="212"/>
      <c r="BHK48" s="212"/>
      <c r="BHL48" s="212"/>
      <c r="BHM48" s="212"/>
      <c r="BHN48" s="212"/>
      <c r="BHO48" s="212"/>
      <c r="BHP48" s="212"/>
      <c r="BHQ48" s="212"/>
      <c r="BHR48" s="212"/>
      <c r="BHS48" s="212"/>
      <c r="BHT48" s="212"/>
      <c r="BHU48" s="212"/>
      <c r="BHV48" s="212"/>
      <c r="BHW48" s="212"/>
      <c r="BHX48" s="212"/>
      <c r="BHY48" s="212"/>
      <c r="BHZ48" s="212"/>
      <c r="BIA48" s="212"/>
      <c r="BIB48" s="212"/>
      <c r="BIC48" s="212"/>
      <c r="BID48" s="212"/>
      <c r="BIE48" s="212"/>
      <c r="BIF48" s="212"/>
      <c r="BIG48" s="212"/>
      <c r="BIH48" s="212"/>
      <c r="BII48" s="212"/>
      <c r="BIJ48" s="212"/>
      <c r="BIK48" s="212"/>
      <c r="BIL48" s="212"/>
      <c r="BIM48" s="212"/>
      <c r="BIN48" s="212"/>
      <c r="BIO48" s="212"/>
      <c r="BIP48" s="212"/>
      <c r="BIQ48" s="212"/>
      <c r="BIR48" s="212"/>
      <c r="BIS48" s="212"/>
      <c r="BIT48" s="212"/>
      <c r="BIU48" s="212"/>
      <c r="BIV48" s="212"/>
      <c r="BIW48" s="212"/>
      <c r="BIX48" s="212"/>
      <c r="BIY48" s="212"/>
      <c r="BIZ48" s="212"/>
      <c r="BJA48" s="212"/>
      <c r="BJB48" s="212"/>
      <c r="BJC48" s="212"/>
      <c r="BJD48" s="212"/>
      <c r="BJE48" s="212"/>
      <c r="BJF48" s="212"/>
      <c r="BJG48" s="212"/>
      <c r="BJH48" s="212"/>
      <c r="BJI48" s="212"/>
      <c r="BJJ48" s="212"/>
      <c r="BJK48" s="212"/>
      <c r="BJL48" s="212"/>
      <c r="BJM48" s="212"/>
      <c r="BJN48" s="212"/>
      <c r="BJO48" s="212"/>
      <c r="BJP48" s="212"/>
      <c r="BJQ48" s="212"/>
      <c r="BJR48" s="212"/>
      <c r="BJS48" s="212"/>
      <c r="BJT48" s="212"/>
      <c r="BJU48" s="212"/>
      <c r="BJV48" s="212"/>
      <c r="BJW48" s="212"/>
      <c r="BJX48" s="212"/>
      <c r="BJY48" s="212"/>
      <c r="BJZ48" s="212"/>
      <c r="BKA48" s="212"/>
      <c r="BKB48" s="212"/>
      <c r="BKC48" s="212"/>
      <c r="BKD48" s="212"/>
      <c r="BKE48" s="212"/>
      <c r="BKF48" s="212"/>
      <c r="BKG48" s="212"/>
      <c r="BKH48" s="212"/>
      <c r="BKI48" s="212"/>
      <c r="BKJ48" s="212"/>
      <c r="BKK48" s="212"/>
      <c r="BKL48" s="212"/>
      <c r="BKM48" s="212"/>
      <c r="BKN48" s="212"/>
      <c r="BKO48" s="212"/>
      <c r="BKP48" s="212"/>
      <c r="BKQ48" s="212"/>
      <c r="BKR48" s="212"/>
      <c r="BKS48" s="212"/>
      <c r="BKT48" s="212"/>
      <c r="BKU48" s="212"/>
      <c r="BKV48" s="212"/>
      <c r="BKW48" s="212"/>
      <c r="BKX48" s="212"/>
      <c r="BKY48" s="212"/>
      <c r="BKZ48" s="212"/>
      <c r="BLA48" s="212"/>
      <c r="BLB48" s="212"/>
      <c r="BLC48" s="212"/>
      <c r="BLD48" s="212"/>
      <c r="BLE48" s="212"/>
      <c r="BLF48" s="212"/>
      <c r="BLG48" s="212"/>
      <c r="BLH48" s="212"/>
      <c r="BLI48" s="212"/>
      <c r="BLJ48" s="212"/>
      <c r="BLK48" s="212"/>
      <c r="BLL48" s="212"/>
      <c r="BLM48" s="212"/>
      <c r="BLN48" s="212"/>
      <c r="BLO48" s="212"/>
      <c r="BLP48" s="212"/>
      <c r="BLQ48" s="212"/>
      <c r="BLR48" s="212"/>
      <c r="BLS48" s="212"/>
      <c r="BLT48" s="212"/>
      <c r="BLU48" s="212"/>
      <c r="BLV48" s="212"/>
      <c r="BLW48" s="212"/>
      <c r="BLX48" s="212"/>
      <c r="BLY48" s="212"/>
      <c r="BLZ48" s="212"/>
      <c r="BMA48" s="212"/>
      <c r="BMB48" s="212"/>
      <c r="BMC48" s="212"/>
      <c r="BMD48" s="212"/>
      <c r="BME48" s="212"/>
      <c r="BMF48" s="212"/>
      <c r="BMG48" s="212"/>
      <c r="BMH48" s="212"/>
      <c r="BMI48" s="212"/>
      <c r="BMJ48" s="212"/>
      <c r="BMK48" s="212"/>
      <c r="BML48" s="212"/>
      <c r="BMM48" s="212"/>
      <c r="BMN48" s="212"/>
      <c r="BMO48" s="212"/>
      <c r="BMP48" s="212"/>
      <c r="BMQ48" s="212"/>
      <c r="BMR48" s="212"/>
      <c r="BMS48" s="212"/>
      <c r="BMT48" s="212"/>
      <c r="BMU48" s="212"/>
      <c r="BMV48" s="212"/>
      <c r="BMW48" s="212"/>
      <c r="BMX48" s="212"/>
      <c r="BMY48" s="212"/>
      <c r="BMZ48" s="212"/>
      <c r="BNA48" s="212"/>
      <c r="BNB48" s="212"/>
      <c r="BNC48" s="212"/>
      <c r="BND48" s="212"/>
      <c r="BNE48" s="212"/>
      <c r="BNF48" s="212"/>
      <c r="BNG48" s="212"/>
      <c r="BNH48" s="212"/>
      <c r="BNI48" s="212"/>
      <c r="BNJ48" s="212"/>
      <c r="BNK48" s="212"/>
      <c r="BNL48" s="212"/>
      <c r="BNM48" s="212"/>
      <c r="BNN48" s="212"/>
      <c r="BNO48" s="212"/>
      <c r="BNP48" s="212"/>
      <c r="BNQ48" s="212"/>
      <c r="BNR48" s="212"/>
      <c r="BNS48" s="212"/>
      <c r="BNT48" s="212"/>
      <c r="BNU48" s="212"/>
      <c r="BNV48" s="212"/>
      <c r="BNW48" s="212"/>
      <c r="BNX48" s="212"/>
      <c r="BNY48" s="212"/>
      <c r="BNZ48" s="212"/>
      <c r="BOA48" s="212"/>
      <c r="BOB48" s="212"/>
      <c r="BOC48" s="212"/>
      <c r="BOD48" s="212"/>
      <c r="BOE48" s="212"/>
      <c r="BOF48" s="212"/>
      <c r="BOG48" s="212"/>
      <c r="BOH48" s="212"/>
      <c r="BOI48" s="212"/>
      <c r="BOJ48" s="212"/>
      <c r="BOK48" s="212"/>
      <c r="BOL48" s="212"/>
      <c r="BOM48" s="212"/>
      <c r="BON48" s="212"/>
      <c r="BOO48" s="212"/>
      <c r="BOP48" s="212"/>
      <c r="BOQ48" s="212"/>
      <c r="BOR48" s="212"/>
      <c r="BOS48" s="212"/>
      <c r="BOT48" s="212"/>
      <c r="BOU48" s="212"/>
      <c r="BOV48" s="212"/>
      <c r="BOW48" s="212"/>
      <c r="BOX48" s="212"/>
      <c r="BOY48" s="212"/>
      <c r="BOZ48" s="212"/>
      <c r="BPA48" s="212"/>
      <c r="BPB48" s="212"/>
      <c r="BPC48" s="212"/>
      <c r="BPD48" s="212"/>
      <c r="BPE48" s="212"/>
      <c r="BPF48" s="212"/>
      <c r="BPG48" s="212"/>
      <c r="BPH48" s="212"/>
      <c r="BPI48" s="212"/>
      <c r="BPJ48" s="212"/>
      <c r="BPK48" s="212"/>
      <c r="BPL48" s="212"/>
      <c r="BPM48" s="212"/>
      <c r="BPN48" s="212"/>
      <c r="BPO48" s="212"/>
      <c r="BPP48" s="212"/>
      <c r="BPQ48" s="212"/>
      <c r="BPR48" s="212"/>
      <c r="BPS48" s="212"/>
      <c r="BPT48" s="212"/>
      <c r="BPU48" s="212"/>
      <c r="BPV48" s="212"/>
      <c r="BPW48" s="212"/>
      <c r="BPX48" s="212"/>
      <c r="BPY48" s="212"/>
      <c r="BPZ48" s="212"/>
      <c r="BQA48" s="212"/>
      <c r="BQB48" s="212"/>
      <c r="BQC48" s="212"/>
      <c r="BQD48" s="212"/>
      <c r="BQE48" s="212"/>
      <c r="BQF48" s="212"/>
      <c r="BQG48" s="212"/>
      <c r="BQH48" s="212"/>
      <c r="BQI48" s="212"/>
      <c r="BQJ48" s="212"/>
      <c r="BQK48" s="212"/>
      <c r="BQL48" s="212"/>
      <c r="BQM48" s="212"/>
      <c r="BQN48" s="212"/>
      <c r="BQO48" s="212"/>
      <c r="BQP48" s="212"/>
      <c r="BQQ48" s="212"/>
      <c r="BQR48" s="212"/>
      <c r="BQS48" s="212"/>
      <c r="BQT48" s="212"/>
      <c r="BQU48" s="212"/>
      <c r="BQV48" s="212"/>
      <c r="BQW48" s="212"/>
      <c r="BQX48" s="212"/>
      <c r="BQY48" s="212"/>
      <c r="BQZ48" s="212"/>
      <c r="BRA48" s="212"/>
      <c r="BRB48" s="212"/>
      <c r="BRC48" s="212"/>
      <c r="BRD48" s="212"/>
      <c r="BRE48" s="212"/>
      <c r="BRF48" s="212"/>
      <c r="BRG48" s="212"/>
      <c r="BRH48" s="212"/>
      <c r="BRI48" s="212"/>
      <c r="BRJ48" s="212"/>
      <c r="BRK48" s="212"/>
      <c r="BRL48" s="212"/>
      <c r="BRM48" s="212"/>
      <c r="BRN48" s="212"/>
      <c r="BRO48" s="212"/>
      <c r="BRP48" s="212"/>
      <c r="BRQ48" s="212"/>
      <c r="BRR48" s="212"/>
      <c r="BRS48" s="212"/>
      <c r="BRT48" s="212"/>
      <c r="BRU48" s="212"/>
      <c r="BRV48" s="212"/>
      <c r="BRW48" s="212"/>
      <c r="BRX48" s="212"/>
      <c r="BRY48" s="212"/>
      <c r="BRZ48" s="212"/>
      <c r="BSA48" s="212"/>
      <c r="BSB48" s="212"/>
      <c r="BSC48" s="212"/>
      <c r="BSD48" s="212"/>
      <c r="BSE48" s="212"/>
      <c r="BSF48" s="212"/>
      <c r="BSG48" s="212"/>
      <c r="BSH48" s="212"/>
      <c r="BSI48" s="212"/>
      <c r="BSJ48" s="212"/>
      <c r="BSK48" s="212"/>
      <c r="BSL48" s="212"/>
      <c r="BSM48" s="212"/>
      <c r="BSN48" s="212"/>
      <c r="BSO48" s="212"/>
      <c r="BSP48" s="212"/>
      <c r="BSQ48" s="212"/>
      <c r="BSR48" s="212"/>
      <c r="BSS48" s="212"/>
      <c r="BST48" s="212"/>
      <c r="BSU48" s="212"/>
      <c r="BSV48" s="212"/>
      <c r="BSW48" s="212"/>
      <c r="BSX48" s="212"/>
      <c r="BSY48" s="212"/>
      <c r="BSZ48" s="212"/>
      <c r="BTA48" s="212"/>
      <c r="BTB48" s="212"/>
      <c r="BTC48" s="212"/>
      <c r="BTD48" s="212"/>
      <c r="BTE48" s="212"/>
      <c r="BTF48" s="212"/>
      <c r="BTG48" s="212"/>
      <c r="BTH48" s="212"/>
      <c r="BTI48" s="212"/>
      <c r="BTJ48" s="212"/>
      <c r="BTK48" s="212"/>
      <c r="BTL48" s="212"/>
      <c r="BTM48" s="212"/>
      <c r="BTN48" s="212"/>
      <c r="BTO48" s="212"/>
      <c r="BTP48" s="212"/>
      <c r="BTQ48" s="212"/>
      <c r="BTR48" s="212"/>
      <c r="BTS48" s="212"/>
      <c r="BTT48" s="212"/>
      <c r="BTU48" s="212"/>
      <c r="BTV48" s="212"/>
      <c r="BTW48" s="212"/>
      <c r="BTX48" s="212"/>
      <c r="BTY48" s="212"/>
      <c r="BTZ48" s="212"/>
      <c r="BUA48" s="212"/>
      <c r="BUB48" s="212"/>
      <c r="BUC48" s="212"/>
      <c r="BUD48" s="212"/>
      <c r="BUE48" s="212"/>
      <c r="BUF48" s="212"/>
      <c r="BUG48" s="212"/>
      <c r="BUH48" s="212"/>
      <c r="BUI48" s="212"/>
      <c r="BUJ48" s="212"/>
      <c r="BUK48" s="212"/>
      <c r="BUL48" s="212"/>
      <c r="BUM48" s="212"/>
      <c r="BUN48" s="212"/>
      <c r="BUO48" s="212"/>
      <c r="BUP48" s="212"/>
      <c r="BUQ48" s="212"/>
      <c r="BUR48" s="212"/>
      <c r="BUS48" s="212"/>
      <c r="BUT48" s="212"/>
      <c r="BUU48" s="212"/>
      <c r="BUV48" s="212"/>
      <c r="BUW48" s="212"/>
      <c r="BUX48" s="212"/>
      <c r="BUY48" s="212"/>
      <c r="BUZ48" s="212"/>
      <c r="BVA48" s="212"/>
      <c r="BVB48" s="212"/>
      <c r="BVC48" s="212"/>
      <c r="BVD48" s="212"/>
      <c r="BVE48" s="212"/>
      <c r="BVF48" s="212"/>
      <c r="BVG48" s="212"/>
      <c r="BVH48" s="212"/>
      <c r="BVI48" s="212"/>
      <c r="BVJ48" s="212"/>
      <c r="BVK48" s="212"/>
      <c r="BVL48" s="212"/>
      <c r="BVM48" s="212"/>
      <c r="BVN48" s="212"/>
      <c r="BVO48" s="212"/>
      <c r="BVP48" s="212"/>
      <c r="BVQ48" s="212"/>
      <c r="BVR48" s="212"/>
      <c r="BVS48" s="212"/>
      <c r="BVT48" s="212"/>
      <c r="BVU48" s="212"/>
      <c r="BVV48" s="212"/>
      <c r="BVW48" s="212"/>
      <c r="BVX48" s="212"/>
      <c r="BVY48" s="212"/>
      <c r="BVZ48" s="212"/>
      <c r="BWA48" s="212"/>
      <c r="BWB48" s="212"/>
      <c r="BWC48" s="212"/>
      <c r="BWD48" s="212"/>
      <c r="BWE48" s="212"/>
      <c r="BWF48" s="212"/>
      <c r="BWG48" s="212"/>
      <c r="BWH48" s="212"/>
      <c r="BWI48" s="212"/>
      <c r="BWJ48" s="212"/>
      <c r="BWK48" s="212"/>
      <c r="BWL48" s="212"/>
      <c r="BWM48" s="212"/>
      <c r="BWN48" s="212"/>
      <c r="BWO48" s="212"/>
      <c r="BWP48" s="212"/>
      <c r="BWQ48" s="212"/>
      <c r="BWR48" s="212"/>
      <c r="BWS48" s="212"/>
      <c r="BWT48" s="212"/>
      <c r="BWU48" s="212"/>
      <c r="BWV48" s="212"/>
      <c r="BWW48" s="212"/>
      <c r="BWX48" s="212"/>
      <c r="BWY48" s="212"/>
      <c r="BWZ48" s="212"/>
      <c r="BXA48" s="212"/>
      <c r="BXB48" s="212"/>
      <c r="BXC48" s="212"/>
      <c r="BXD48" s="212"/>
      <c r="BXE48" s="212"/>
      <c r="BXF48" s="212"/>
      <c r="BXG48" s="212"/>
      <c r="BXH48" s="212"/>
      <c r="BXI48" s="212"/>
      <c r="BXJ48" s="212"/>
      <c r="BXK48" s="212"/>
      <c r="BXL48" s="212"/>
      <c r="BXM48" s="212"/>
      <c r="BXN48" s="212"/>
      <c r="BXO48" s="212"/>
      <c r="BXP48" s="212"/>
      <c r="BXQ48" s="212"/>
      <c r="BXR48" s="212"/>
      <c r="BXS48" s="212"/>
      <c r="BXT48" s="212"/>
      <c r="BXU48" s="212"/>
      <c r="BXV48" s="212"/>
      <c r="BXW48" s="212"/>
      <c r="BXX48" s="212"/>
      <c r="BXY48" s="212"/>
      <c r="BXZ48" s="212"/>
      <c r="BYA48" s="212"/>
      <c r="BYB48" s="212"/>
      <c r="BYC48" s="212"/>
      <c r="BYD48" s="212"/>
      <c r="BYE48" s="212"/>
      <c r="BYF48" s="212"/>
      <c r="BYG48" s="212"/>
    </row>
    <row r="49" spans="1:2009" s="96" customFormat="1" ht="12.75" customHeight="1" thickBot="1" x14ac:dyDescent="0.3">
      <c r="A49" s="119"/>
      <c r="B49" s="120"/>
      <c r="C49" s="175"/>
      <c r="D49" s="175"/>
      <c r="E49" s="175"/>
      <c r="F49" s="175"/>
      <c r="G49" s="17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379" t="s">
        <v>196</v>
      </c>
      <c r="B50" s="380"/>
      <c r="C50" s="381"/>
      <c r="D50" s="394"/>
      <c r="E50" s="394"/>
      <c r="F50" s="394"/>
      <c r="G50" s="382"/>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83"/>
      <c r="B51" s="386" t="s">
        <v>243</v>
      </c>
      <c r="C51" s="507">
        <v>2250</v>
      </c>
      <c r="D51" s="507"/>
      <c r="E51" s="507"/>
      <c r="F51" s="507"/>
      <c r="G51" s="388">
        <f>SUM(C51:F51)</f>
        <v>2250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4"/>
      <c r="B52" s="387" t="s">
        <v>244</v>
      </c>
      <c r="C52" s="508"/>
      <c r="D52" s="508"/>
      <c r="E52" s="508"/>
      <c r="F52" s="508"/>
      <c r="G52" s="389">
        <f>SUM(C52:F52)</f>
        <v>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765" t="s">
        <v>197</v>
      </c>
      <c r="B53" s="766"/>
      <c r="C53" s="385">
        <f t="shared" ref="C53" si="2">SUM(C50:C52)</f>
        <v>2250</v>
      </c>
      <c r="D53" s="385"/>
      <c r="E53" s="385"/>
      <c r="F53" s="385"/>
      <c r="G53" s="385">
        <f t="shared" ref="G53" si="3">SUM(G50:G52)</f>
        <v>2250</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2"/>
      <c r="D54" s="182"/>
      <c r="E54" s="182"/>
      <c r="F54" s="182"/>
      <c r="G54" s="18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16" t="s">
        <v>408</v>
      </c>
      <c r="B55" s="512"/>
      <c r="C55" s="513">
        <v>1195.18</v>
      </c>
      <c r="D55" s="514"/>
      <c r="E55" s="514"/>
      <c r="F55" s="514"/>
      <c r="G55" s="515">
        <f>SUM(C55:F55)</f>
        <v>1195.18</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5" customFormat="1" ht="12.75" customHeight="1" thickBot="1" x14ac:dyDescent="0.3">
      <c r="A56" s="111"/>
      <c r="B56" s="111"/>
      <c r="C56" s="182"/>
      <c r="D56" s="182"/>
      <c r="E56" s="182"/>
      <c r="F56" s="182"/>
      <c r="G56" s="182"/>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row>
    <row r="57" spans="1:2009" s="121" customFormat="1" ht="24.95" customHeight="1" thickBot="1" x14ac:dyDescent="0.3">
      <c r="A57" s="565" t="s">
        <v>371</v>
      </c>
      <c r="B57" s="412"/>
      <c r="C57" s="413">
        <v>2923.37</v>
      </c>
      <c r="D57" s="414"/>
      <c r="E57" s="413"/>
      <c r="F57" s="414"/>
      <c r="G57" s="415">
        <f>SUM(C57:F57)</f>
        <v>2923.37</v>
      </c>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row>
    <row r="58" spans="1:2009" s="121" customFormat="1" ht="13.5" customHeight="1" thickBot="1" x14ac:dyDescent="0.3">
      <c r="A58" s="111"/>
      <c r="B58" s="111"/>
      <c r="C58" s="482"/>
      <c r="D58" s="182"/>
      <c r="E58" s="182"/>
      <c r="F58" s="182"/>
      <c r="G58" s="482"/>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24.95" hidden="1" customHeight="1" thickBot="1" x14ac:dyDescent="0.3">
      <c r="A59" s="511" t="s">
        <v>406</v>
      </c>
      <c r="B59" s="510"/>
      <c r="C59" s="483"/>
      <c r="D59" s="484"/>
      <c r="E59" s="484"/>
      <c r="F59" s="484"/>
      <c r="G59" s="485">
        <f>SUM(C59:F59)</f>
        <v>0</v>
      </c>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2.75" hidden="1" customHeight="1" thickBot="1" x14ac:dyDescent="0.3">
      <c r="A60" s="120"/>
      <c r="B60" s="120"/>
      <c r="C60" s="175"/>
      <c r="D60" s="175"/>
      <c r="E60" s="175"/>
      <c r="F60" s="175"/>
      <c r="G60" s="17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248" customFormat="1" ht="24.95" customHeight="1" thickBot="1" x14ac:dyDescent="0.3">
      <c r="A61" s="247"/>
      <c r="B61" s="509" t="s">
        <v>429</v>
      </c>
      <c r="C61" s="305">
        <f>SUM(C8+C14+C23+C27+C32+C41+C53)+C36+C48+C57+C59+C55</f>
        <v>169124.57</v>
      </c>
      <c r="D61" s="305">
        <f>SUM(D8+D14+D23+D27+D32+D41+D53)+D36+D48+D57+D55</f>
        <v>62104</v>
      </c>
      <c r="E61" s="305">
        <f>SUM(E8+E14+E23+E27+E32+E41+E53)+E36+E48+E57</f>
        <v>14485.81</v>
      </c>
      <c r="F61" s="305">
        <f>SUM(F8+F14+F23+F27+F32+F41+F53)+F36+F48+F57</f>
        <v>0</v>
      </c>
      <c r="G61" s="305">
        <f>SUM(G8+G14+G23+G27+G32+G41+G53)+G36+G48+G57+G59+G55</f>
        <v>245714.38</v>
      </c>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c r="RB61" s="212"/>
      <c r="RC61" s="212"/>
      <c r="RD61" s="212"/>
      <c r="RE61" s="212"/>
      <c r="RF61" s="212"/>
      <c r="RG61" s="212"/>
      <c r="RH61" s="212"/>
      <c r="RI61" s="212"/>
      <c r="RJ61" s="212"/>
      <c r="RK61" s="212"/>
      <c r="RL61" s="212"/>
      <c r="RM61" s="212"/>
      <c r="RN61" s="212"/>
      <c r="RO61" s="212"/>
      <c r="RP61" s="212"/>
      <c r="RQ61" s="212"/>
      <c r="RR61" s="212"/>
      <c r="RS61" s="212"/>
      <c r="RT61" s="212"/>
      <c r="RU61" s="212"/>
      <c r="RV61" s="212"/>
      <c r="RW61" s="212"/>
      <c r="RX61" s="212"/>
      <c r="RY61" s="212"/>
      <c r="RZ61" s="212"/>
      <c r="SA61" s="212"/>
      <c r="SB61" s="212"/>
      <c r="SC61" s="212"/>
      <c r="SD61" s="212"/>
      <c r="SE61" s="212"/>
      <c r="SF61" s="212"/>
      <c r="SG61" s="212"/>
      <c r="SH61" s="212"/>
      <c r="SI61" s="212"/>
      <c r="SJ61" s="212"/>
      <c r="SK61" s="212"/>
      <c r="SL61" s="212"/>
      <c r="SM61" s="212"/>
      <c r="SN61" s="212"/>
      <c r="SO61" s="212"/>
      <c r="SP61" s="212"/>
      <c r="SQ61" s="212"/>
      <c r="SR61" s="212"/>
      <c r="SS61" s="212"/>
      <c r="ST61" s="212"/>
      <c r="SU61" s="212"/>
      <c r="SV61" s="212"/>
      <c r="SW61" s="212"/>
      <c r="SX61" s="212"/>
      <c r="SY61" s="212"/>
      <c r="SZ61" s="212"/>
      <c r="TA61" s="212"/>
      <c r="TB61" s="212"/>
      <c r="TC61" s="212"/>
      <c r="TD61" s="212"/>
      <c r="TE61" s="212"/>
      <c r="TF61" s="212"/>
      <c r="TG61" s="212"/>
      <c r="TH61" s="212"/>
      <c r="TI61" s="212"/>
      <c r="TJ61" s="212"/>
      <c r="TK61" s="212"/>
      <c r="TL61" s="212"/>
      <c r="TM61" s="212"/>
      <c r="TN61" s="212"/>
      <c r="TO61" s="212"/>
      <c r="TP61" s="212"/>
      <c r="TQ61" s="212"/>
      <c r="TR61" s="212"/>
      <c r="TS61" s="212"/>
      <c r="TT61" s="212"/>
      <c r="TU61" s="212"/>
      <c r="TV61" s="212"/>
      <c r="TW61" s="212"/>
      <c r="TX61" s="212"/>
      <c r="TY61" s="212"/>
      <c r="TZ61" s="212"/>
      <c r="UA61" s="212"/>
      <c r="UB61" s="212"/>
      <c r="UC61" s="212"/>
      <c r="UD61" s="212"/>
      <c r="UE61" s="212"/>
      <c r="UF61" s="212"/>
      <c r="UG61" s="212"/>
      <c r="UH61" s="212"/>
      <c r="UI61" s="212"/>
      <c r="UJ61" s="212"/>
      <c r="UK61" s="212"/>
      <c r="UL61" s="212"/>
      <c r="UM61" s="212"/>
      <c r="UN61" s="212"/>
      <c r="UO61" s="212"/>
      <c r="UP61" s="212"/>
      <c r="UQ61" s="212"/>
      <c r="UR61" s="212"/>
      <c r="US61" s="212"/>
      <c r="UT61" s="212"/>
      <c r="UU61" s="212"/>
      <c r="UV61" s="212"/>
      <c r="UW61" s="212"/>
      <c r="UX61" s="212"/>
      <c r="UY61" s="212"/>
      <c r="UZ61" s="212"/>
      <c r="VA61" s="212"/>
      <c r="VB61" s="212"/>
      <c r="VC61" s="212"/>
      <c r="VD61" s="212"/>
      <c r="VE61" s="212"/>
      <c r="VF61" s="212"/>
      <c r="VG61" s="212"/>
      <c r="VH61" s="212"/>
      <c r="VI61" s="212"/>
      <c r="VJ61" s="212"/>
      <c r="VK61" s="212"/>
      <c r="VL61" s="212"/>
      <c r="VM61" s="212"/>
      <c r="VN61" s="212"/>
      <c r="VO61" s="212"/>
      <c r="VP61" s="212"/>
      <c r="VQ61" s="212"/>
      <c r="VR61" s="212"/>
      <c r="VS61" s="212"/>
      <c r="VT61" s="212"/>
      <c r="VU61" s="212"/>
      <c r="VV61" s="212"/>
      <c r="VW61" s="212"/>
      <c r="VX61" s="212"/>
      <c r="VY61" s="212"/>
      <c r="VZ61" s="212"/>
      <c r="WA61" s="212"/>
      <c r="WB61" s="212"/>
      <c r="WC61" s="212"/>
      <c r="WD61" s="212"/>
      <c r="WE61" s="212"/>
      <c r="WF61" s="212"/>
      <c r="WG61" s="212"/>
      <c r="WH61" s="212"/>
      <c r="WI61" s="212"/>
      <c r="WJ61" s="212"/>
      <c r="WK61" s="212"/>
      <c r="WL61" s="212"/>
      <c r="WM61" s="212"/>
      <c r="WN61" s="212"/>
      <c r="WO61" s="212"/>
      <c r="WP61" s="212"/>
      <c r="WQ61" s="212"/>
      <c r="WR61" s="212"/>
      <c r="WS61" s="212"/>
      <c r="WT61" s="212"/>
      <c r="WU61" s="212"/>
      <c r="WV61" s="212"/>
      <c r="WW61" s="212"/>
      <c r="WX61" s="212"/>
      <c r="WY61" s="212"/>
      <c r="WZ61" s="212"/>
      <c r="XA61" s="212"/>
      <c r="XB61" s="212"/>
      <c r="XC61" s="212"/>
      <c r="XD61" s="212"/>
      <c r="XE61" s="212"/>
      <c r="XF61" s="212"/>
      <c r="XG61" s="212"/>
      <c r="XH61" s="212"/>
      <c r="XI61" s="212"/>
      <c r="XJ61" s="212"/>
      <c r="XK61" s="212"/>
      <c r="XL61" s="212"/>
      <c r="XM61" s="212"/>
      <c r="XN61" s="212"/>
      <c r="XO61" s="212"/>
      <c r="XP61" s="212"/>
      <c r="XQ61" s="212"/>
      <c r="XR61" s="212"/>
      <c r="XS61" s="212"/>
      <c r="XT61" s="212"/>
      <c r="XU61" s="212"/>
      <c r="XV61" s="212"/>
      <c r="XW61" s="212"/>
      <c r="XX61" s="212"/>
      <c r="XY61" s="212"/>
      <c r="XZ61" s="212"/>
      <c r="YA61" s="212"/>
      <c r="YB61" s="212"/>
      <c r="YC61" s="212"/>
      <c r="YD61" s="212"/>
      <c r="YE61" s="212"/>
      <c r="YF61" s="212"/>
      <c r="YG61" s="212"/>
      <c r="YH61" s="212"/>
      <c r="YI61" s="212"/>
      <c r="YJ61" s="212"/>
      <c r="YK61" s="212"/>
      <c r="YL61" s="212"/>
      <c r="YM61" s="212"/>
      <c r="YN61" s="212"/>
      <c r="YO61" s="212"/>
      <c r="YP61" s="212"/>
      <c r="YQ61" s="212"/>
      <c r="YR61" s="212"/>
      <c r="YS61" s="212"/>
      <c r="YT61" s="212"/>
      <c r="YU61" s="212"/>
      <c r="YV61" s="212"/>
      <c r="YW61" s="212"/>
      <c r="YX61" s="212"/>
      <c r="YY61" s="212"/>
      <c r="YZ61" s="212"/>
      <c r="ZA61" s="212"/>
      <c r="ZB61" s="212"/>
      <c r="ZC61" s="212"/>
      <c r="ZD61" s="212"/>
      <c r="ZE61" s="212"/>
      <c r="ZF61" s="212"/>
      <c r="ZG61" s="212"/>
      <c r="ZH61" s="212"/>
      <c r="ZI61" s="212"/>
      <c r="ZJ61" s="212"/>
      <c r="ZK61" s="212"/>
      <c r="ZL61" s="212"/>
      <c r="ZM61" s="212"/>
      <c r="ZN61" s="212"/>
      <c r="ZO61" s="212"/>
      <c r="ZP61" s="212"/>
      <c r="ZQ61" s="212"/>
      <c r="ZR61" s="212"/>
      <c r="ZS61" s="212"/>
      <c r="ZT61" s="212"/>
      <c r="ZU61" s="212"/>
      <c r="ZV61" s="212"/>
      <c r="ZW61" s="212"/>
      <c r="ZX61" s="212"/>
      <c r="ZY61" s="212"/>
      <c r="ZZ61" s="212"/>
      <c r="AAA61" s="212"/>
      <c r="AAB61" s="212"/>
      <c r="AAC61" s="212"/>
      <c r="AAD61" s="212"/>
      <c r="AAE61" s="212"/>
      <c r="AAF61" s="212"/>
      <c r="AAG61" s="212"/>
      <c r="AAH61" s="212"/>
      <c r="AAI61" s="212"/>
      <c r="AAJ61" s="212"/>
      <c r="AAK61" s="212"/>
      <c r="AAL61" s="212"/>
      <c r="AAM61" s="212"/>
      <c r="AAN61" s="212"/>
      <c r="AAO61" s="212"/>
      <c r="AAP61" s="212"/>
      <c r="AAQ61" s="212"/>
      <c r="AAR61" s="212"/>
      <c r="AAS61" s="212"/>
      <c r="AAT61" s="212"/>
      <c r="AAU61" s="212"/>
      <c r="AAV61" s="212"/>
      <c r="AAW61" s="212"/>
      <c r="AAX61" s="212"/>
      <c r="AAY61" s="212"/>
      <c r="AAZ61" s="212"/>
      <c r="ABA61" s="212"/>
      <c r="ABB61" s="212"/>
      <c r="ABC61" s="212"/>
      <c r="ABD61" s="212"/>
      <c r="ABE61" s="212"/>
      <c r="ABF61" s="212"/>
      <c r="ABG61" s="212"/>
      <c r="ABH61" s="212"/>
      <c r="ABI61" s="212"/>
      <c r="ABJ61" s="212"/>
      <c r="ABK61" s="212"/>
      <c r="ABL61" s="212"/>
      <c r="ABM61" s="212"/>
      <c r="ABN61" s="212"/>
      <c r="ABO61" s="212"/>
      <c r="ABP61" s="212"/>
      <c r="ABQ61" s="212"/>
      <c r="ABR61" s="212"/>
      <c r="ABS61" s="212"/>
      <c r="ABT61" s="212"/>
      <c r="ABU61" s="212"/>
      <c r="ABV61" s="212"/>
      <c r="ABW61" s="212"/>
      <c r="ABX61" s="212"/>
      <c r="ABY61" s="212"/>
      <c r="ABZ61" s="212"/>
      <c r="ACA61" s="212"/>
      <c r="ACB61" s="212"/>
      <c r="ACC61" s="212"/>
      <c r="ACD61" s="212"/>
      <c r="ACE61" s="212"/>
      <c r="ACF61" s="212"/>
      <c r="ACG61" s="212"/>
      <c r="ACH61" s="212"/>
      <c r="ACI61" s="212"/>
      <c r="ACJ61" s="212"/>
      <c r="ACK61" s="212"/>
      <c r="ACL61" s="212"/>
      <c r="ACM61" s="212"/>
      <c r="ACN61" s="212"/>
      <c r="ACO61" s="212"/>
      <c r="ACP61" s="212"/>
      <c r="ACQ61" s="212"/>
      <c r="ACR61" s="212"/>
      <c r="ACS61" s="212"/>
      <c r="ACT61" s="212"/>
      <c r="ACU61" s="212"/>
      <c r="ACV61" s="212"/>
      <c r="ACW61" s="212"/>
      <c r="ACX61" s="212"/>
      <c r="ACY61" s="212"/>
      <c r="ACZ61" s="212"/>
      <c r="ADA61" s="212"/>
      <c r="ADB61" s="212"/>
      <c r="ADC61" s="212"/>
      <c r="ADD61" s="212"/>
      <c r="ADE61" s="212"/>
      <c r="ADF61" s="212"/>
      <c r="ADG61" s="212"/>
      <c r="ADH61" s="212"/>
      <c r="ADI61" s="212"/>
      <c r="ADJ61" s="212"/>
      <c r="ADK61" s="212"/>
      <c r="ADL61" s="212"/>
      <c r="ADM61" s="212"/>
      <c r="ADN61" s="212"/>
      <c r="ADO61" s="212"/>
      <c r="ADP61" s="212"/>
      <c r="ADQ61" s="212"/>
      <c r="ADR61" s="212"/>
      <c r="ADS61" s="212"/>
      <c r="ADT61" s="212"/>
      <c r="ADU61" s="212"/>
      <c r="ADV61" s="212"/>
      <c r="ADW61" s="212"/>
      <c r="ADX61" s="212"/>
      <c r="ADY61" s="212"/>
      <c r="ADZ61" s="212"/>
      <c r="AEA61" s="212"/>
      <c r="AEB61" s="212"/>
      <c r="AEC61" s="212"/>
      <c r="AED61" s="212"/>
      <c r="AEE61" s="212"/>
      <c r="AEF61" s="212"/>
      <c r="AEG61" s="212"/>
      <c r="AEH61" s="212"/>
      <c r="AEI61" s="212"/>
      <c r="AEJ61" s="212"/>
      <c r="AEK61" s="212"/>
      <c r="AEL61" s="212"/>
      <c r="AEM61" s="212"/>
      <c r="AEN61" s="212"/>
      <c r="AEO61" s="212"/>
      <c r="AEP61" s="212"/>
      <c r="AEQ61" s="212"/>
      <c r="AER61" s="212"/>
      <c r="AES61" s="212"/>
      <c r="AET61" s="212"/>
      <c r="AEU61" s="212"/>
      <c r="AEV61" s="212"/>
      <c r="AEW61" s="212"/>
      <c r="AEX61" s="212"/>
      <c r="AEY61" s="212"/>
      <c r="AEZ61" s="212"/>
      <c r="AFA61" s="212"/>
      <c r="AFB61" s="212"/>
      <c r="AFC61" s="212"/>
      <c r="AFD61" s="212"/>
      <c r="AFE61" s="212"/>
      <c r="AFF61" s="212"/>
      <c r="AFG61" s="212"/>
      <c r="AFH61" s="212"/>
      <c r="AFI61" s="212"/>
      <c r="AFJ61" s="212"/>
      <c r="AFK61" s="212"/>
      <c r="AFL61" s="212"/>
      <c r="AFM61" s="212"/>
      <c r="AFN61" s="212"/>
      <c r="AFO61" s="212"/>
      <c r="AFP61" s="212"/>
      <c r="AFQ61" s="212"/>
      <c r="AFR61" s="212"/>
      <c r="AFS61" s="212"/>
      <c r="AFT61" s="212"/>
      <c r="AFU61" s="212"/>
      <c r="AFV61" s="212"/>
      <c r="AFW61" s="212"/>
      <c r="AFX61" s="212"/>
      <c r="AFY61" s="212"/>
      <c r="AFZ61" s="212"/>
      <c r="AGA61" s="212"/>
      <c r="AGB61" s="212"/>
      <c r="AGC61" s="212"/>
      <c r="AGD61" s="212"/>
      <c r="AGE61" s="212"/>
      <c r="AGF61" s="212"/>
      <c r="AGG61" s="212"/>
      <c r="AGH61" s="212"/>
      <c r="AGI61" s="212"/>
      <c r="AGJ61" s="212"/>
      <c r="AGK61" s="212"/>
      <c r="AGL61" s="212"/>
      <c r="AGM61" s="212"/>
      <c r="AGN61" s="212"/>
      <c r="AGO61" s="212"/>
      <c r="AGP61" s="212"/>
      <c r="AGQ61" s="212"/>
      <c r="AGR61" s="212"/>
      <c r="AGS61" s="212"/>
      <c r="AGT61" s="212"/>
      <c r="AGU61" s="212"/>
      <c r="AGV61" s="212"/>
      <c r="AGW61" s="212"/>
      <c r="AGX61" s="212"/>
      <c r="AGY61" s="212"/>
      <c r="AGZ61" s="212"/>
      <c r="AHA61" s="212"/>
      <c r="AHB61" s="212"/>
      <c r="AHC61" s="212"/>
      <c r="AHD61" s="212"/>
      <c r="AHE61" s="212"/>
      <c r="AHF61" s="212"/>
      <c r="AHG61" s="212"/>
      <c r="AHH61" s="212"/>
      <c r="AHI61" s="212"/>
      <c r="AHJ61" s="212"/>
      <c r="AHK61" s="212"/>
      <c r="AHL61" s="212"/>
      <c r="AHM61" s="212"/>
      <c r="AHN61" s="212"/>
      <c r="AHO61" s="212"/>
      <c r="AHP61" s="212"/>
      <c r="AHQ61" s="212"/>
      <c r="AHR61" s="212"/>
      <c r="AHS61" s="212"/>
      <c r="AHT61" s="212"/>
      <c r="AHU61" s="212"/>
      <c r="AHV61" s="212"/>
      <c r="AHW61" s="212"/>
      <c r="AHX61" s="212"/>
      <c r="AHY61" s="212"/>
      <c r="AHZ61" s="212"/>
      <c r="AIA61" s="212"/>
      <c r="AIB61" s="212"/>
      <c r="AIC61" s="212"/>
      <c r="AID61" s="212"/>
      <c r="AIE61" s="212"/>
      <c r="AIF61" s="212"/>
      <c r="AIG61" s="212"/>
      <c r="AIH61" s="212"/>
      <c r="AII61" s="212"/>
      <c r="AIJ61" s="212"/>
      <c r="AIK61" s="212"/>
      <c r="AIL61" s="212"/>
      <c r="AIM61" s="212"/>
      <c r="AIN61" s="212"/>
      <c r="AIO61" s="212"/>
      <c r="AIP61" s="212"/>
      <c r="AIQ61" s="212"/>
      <c r="AIR61" s="212"/>
      <c r="AIS61" s="212"/>
      <c r="AIT61" s="212"/>
      <c r="AIU61" s="212"/>
      <c r="AIV61" s="212"/>
      <c r="AIW61" s="212"/>
      <c r="AIX61" s="212"/>
      <c r="AIY61" s="212"/>
      <c r="AIZ61" s="212"/>
      <c r="AJA61" s="212"/>
      <c r="AJB61" s="212"/>
      <c r="AJC61" s="212"/>
      <c r="AJD61" s="212"/>
      <c r="AJE61" s="212"/>
      <c r="AJF61" s="212"/>
      <c r="AJG61" s="212"/>
      <c r="AJH61" s="212"/>
      <c r="AJI61" s="212"/>
      <c r="AJJ61" s="212"/>
      <c r="AJK61" s="212"/>
      <c r="AJL61" s="212"/>
      <c r="AJM61" s="212"/>
      <c r="AJN61" s="212"/>
      <c r="AJO61" s="212"/>
      <c r="AJP61" s="212"/>
      <c r="AJQ61" s="212"/>
      <c r="AJR61" s="212"/>
      <c r="AJS61" s="212"/>
      <c r="AJT61" s="212"/>
      <c r="AJU61" s="212"/>
      <c r="AJV61" s="212"/>
      <c r="AJW61" s="212"/>
      <c r="AJX61" s="212"/>
      <c r="AJY61" s="212"/>
      <c r="AJZ61" s="212"/>
      <c r="AKA61" s="212"/>
      <c r="AKB61" s="212"/>
      <c r="AKC61" s="212"/>
      <c r="AKD61" s="212"/>
      <c r="AKE61" s="212"/>
      <c r="AKF61" s="212"/>
      <c r="AKG61" s="212"/>
      <c r="AKH61" s="212"/>
      <c r="AKI61" s="212"/>
      <c r="AKJ61" s="212"/>
      <c r="AKK61" s="212"/>
      <c r="AKL61" s="212"/>
      <c r="AKM61" s="212"/>
      <c r="AKN61" s="212"/>
      <c r="AKO61" s="212"/>
      <c r="AKP61" s="212"/>
      <c r="AKQ61" s="212"/>
      <c r="AKR61" s="212"/>
      <c r="AKS61" s="212"/>
      <c r="AKT61" s="212"/>
      <c r="AKU61" s="212"/>
      <c r="AKV61" s="212"/>
      <c r="AKW61" s="212"/>
      <c r="AKX61" s="212"/>
      <c r="AKY61" s="212"/>
      <c r="AKZ61" s="212"/>
      <c r="ALA61" s="212"/>
      <c r="ALB61" s="212"/>
      <c r="ALC61" s="212"/>
      <c r="ALD61" s="212"/>
      <c r="ALE61" s="212"/>
      <c r="ALF61" s="212"/>
      <c r="ALG61" s="212"/>
      <c r="ALH61" s="212"/>
      <c r="ALI61" s="212"/>
      <c r="ALJ61" s="212"/>
      <c r="ALK61" s="212"/>
      <c r="ALL61" s="212"/>
      <c r="ALM61" s="212"/>
      <c r="ALN61" s="212"/>
      <c r="ALO61" s="212"/>
      <c r="ALP61" s="212"/>
      <c r="ALQ61" s="212"/>
      <c r="ALR61" s="212"/>
      <c r="ALS61" s="212"/>
      <c r="ALT61" s="212"/>
      <c r="ALU61" s="212"/>
      <c r="ALV61" s="212"/>
      <c r="ALW61" s="212"/>
      <c r="ALX61" s="212"/>
      <c r="ALY61" s="212"/>
      <c r="ALZ61" s="212"/>
      <c r="AMA61" s="212"/>
      <c r="AMB61" s="212"/>
      <c r="AMC61" s="212"/>
      <c r="AMD61" s="212"/>
      <c r="AME61" s="212"/>
      <c r="AMF61" s="212"/>
      <c r="AMG61" s="212"/>
      <c r="AMH61" s="212"/>
      <c r="AMI61" s="212"/>
      <c r="AMJ61" s="212"/>
      <c r="AMK61" s="212"/>
      <c r="AML61" s="212"/>
      <c r="AMM61" s="212"/>
      <c r="AMN61" s="212"/>
      <c r="AMO61" s="212"/>
      <c r="AMP61" s="212"/>
      <c r="AMQ61" s="212"/>
      <c r="AMR61" s="212"/>
      <c r="AMS61" s="212"/>
      <c r="AMT61" s="212"/>
      <c r="AMU61" s="212"/>
      <c r="AMV61" s="212"/>
      <c r="AMW61" s="212"/>
      <c r="AMX61" s="212"/>
      <c r="AMY61" s="212"/>
      <c r="AMZ61" s="212"/>
      <c r="ANA61" s="212"/>
      <c r="ANB61" s="212"/>
      <c r="ANC61" s="212"/>
      <c r="AND61" s="212"/>
      <c r="ANE61" s="212"/>
      <c r="ANF61" s="212"/>
      <c r="ANG61" s="212"/>
      <c r="ANH61" s="212"/>
      <c r="ANI61" s="212"/>
      <c r="ANJ61" s="212"/>
      <c r="ANK61" s="212"/>
      <c r="ANL61" s="212"/>
      <c r="ANM61" s="212"/>
      <c r="ANN61" s="212"/>
      <c r="ANO61" s="212"/>
      <c r="ANP61" s="212"/>
      <c r="ANQ61" s="212"/>
      <c r="ANR61" s="212"/>
      <c r="ANS61" s="212"/>
      <c r="ANT61" s="212"/>
      <c r="ANU61" s="212"/>
      <c r="ANV61" s="212"/>
      <c r="ANW61" s="212"/>
      <c r="ANX61" s="212"/>
      <c r="ANY61" s="212"/>
      <c r="ANZ61" s="212"/>
      <c r="AOA61" s="212"/>
      <c r="AOB61" s="212"/>
      <c r="AOC61" s="212"/>
      <c r="AOD61" s="212"/>
      <c r="AOE61" s="212"/>
      <c r="AOF61" s="212"/>
      <c r="AOG61" s="212"/>
      <c r="AOH61" s="212"/>
      <c r="AOI61" s="212"/>
      <c r="AOJ61" s="212"/>
      <c r="AOK61" s="212"/>
      <c r="AOL61" s="212"/>
      <c r="AOM61" s="212"/>
      <c r="AON61" s="212"/>
      <c r="AOO61" s="212"/>
      <c r="AOP61" s="212"/>
      <c r="AOQ61" s="212"/>
      <c r="AOR61" s="212"/>
      <c r="AOS61" s="212"/>
      <c r="AOT61" s="212"/>
      <c r="AOU61" s="212"/>
      <c r="AOV61" s="212"/>
      <c r="AOW61" s="212"/>
      <c r="AOX61" s="212"/>
      <c r="AOY61" s="212"/>
      <c r="AOZ61" s="212"/>
      <c r="APA61" s="212"/>
      <c r="APB61" s="212"/>
      <c r="APC61" s="212"/>
      <c r="APD61" s="212"/>
      <c r="APE61" s="212"/>
      <c r="APF61" s="212"/>
      <c r="APG61" s="212"/>
      <c r="APH61" s="212"/>
      <c r="API61" s="212"/>
      <c r="APJ61" s="212"/>
      <c r="APK61" s="212"/>
      <c r="APL61" s="212"/>
      <c r="APM61" s="212"/>
      <c r="APN61" s="212"/>
      <c r="APO61" s="212"/>
      <c r="APP61" s="212"/>
      <c r="APQ61" s="212"/>
      <c r="APR61" s="212"/>
      <c r="APS61" s="212"/>
      <c r="APT61" s="212"/>
      <c r="APU61" s="212"/>
      <c r="APV61" s="212"/>
      <c r="APW61" s="212"/>
      <c r="APX61" s="212"/>
      <c r="APY61" s="212"/>
      <c r="APZ61" s="212"/>
      <c r="AQA61" s="212"/>
      <c r="AQB61" s="212"/>
      <c r="AQC61" s="212"/>
      <c r="AQD61" s="212"/>
      <c r="AQE61" s="212"/>
      <c r="AQF61" s="212"/>
      <c r="AQG61" s="212"/>
      <c r="AQH61" s="212"/>
      <c r="AQI61" s="212"/>
      <c r="AQJ61" s="212"/>
      <c r="AQK61" s="212"/>
      <c r="AQL61" s="212"/>
      <c r="AQM61" s="212"/>
      <c r="AQN61" s="212"/>
      <c r="AQO61" s="212"/>
      <c r="AQP61" s="212"/>
      <c r="AQQ61" s="212"/>
      <c r="AQR61" s="212"/>
      <c r="AQS61" s="212"/>
      <c r="AQT61" s="212"/>
      <c r="AQU61" s="212"/>
      <c r="AQV61" s="212"/>
      <c r="AQW61" s="212"/>
      <c r="AQX61" s="212"/>
      <c r="AQY61" s="212"/>
      <c r="AQZ61" s="212"/>
      <c r="ARA61" s="212"/>
      <c r="ARB61" s="212"/>
      <c r="ARC61" s="212"/>
      <c r="ARD61" s="212"/>
      <c r="ARE61" s="212"/>
      <c r="ARF61" s="212"/>
      <c r="ARG61" s="212"/>
      <c r="ARH61" s="212"/>
      <c r="ARI61" s="212"/>
      <c r="ARJ61" s="212"/>
      <c r="ARK61" s="212"/>
      <c r="ARL61" s="212"/>
      <c r="ARM61" s="212"/>
      <c r="ARN61" s="212"/>
      <c r="ARO61" s="212"/>
      <c r="ARP61" s="212"/>
      <c r="ARQ61" s="212"/>
      <c r="ARR61" s="212"/>
      <c r="ARS61" s="212"/>
      <c r="ART61" s="212"/>
      <c r="ARU61" s="212"/>
      <c r="ARV61" s="212"/>
      <c r="ARW61" s="212"/>
      <c r="ARX61" s="212"/>
      <c r="ARY61" s="212"/>
      <c r="ARZ61" s="212"/>
      <c r="ASA61" s="212"/>
      <c r="ASB61" s="212"/>
      <c r="ASC61" s="212"/>
      <c r="ASD61" s="212"/>
      <c r="ASE61" s="212"/>
      <c r="ASF61" s="212"/>
      <c r="ASG61" s="212"/>
      <c r="ASH61" s="212"/>
      <c r="ASI61" s="212"/>
      <c r="ASJ61" s="212"/>
      <c r="ASK61" s="212"/>
      <c r="ASL61" s="212"/>
      <c r="ASM61" s="212"/>
      <c r="ASN61" s="212"/>
      <c r="ASO61" s="212"/>
      <c r="ASP61" s="212"/>
      <c r="ASQ61" s="212"/>
      <c r="ASR61" s="212"/>
      <c r="ASS61" s="212"/>
      <c r="AST61" s="212"/>
      <c r="ASU61" s="212"/>
      <c r="ASV61" s="212"/>
      <c r="ASW61" s="212"/>
      <c r="ASX61" s="212"/>
      <c r="ASY61" s="212"/>
      <c r="ASZ61" s="212"/>
      <c r="ATA61" s="212"/>
      <c r="ATB61" s="212"/>
      <c r="ATC61" s="212"/>
      <c r="ATD61" s="212"/>
      <c r="ATE61" s="212"/>
      <c r="ATF61" s="212"/>
      <c r="ATG61" s="212"/>
      <c r="ATH61" s="212"/>
      <c r="ATI61" s="212"/>
      <c r="ATJ61" s="212"/>
      <c r="ATK61" s="212"/>
      <c r="ATL61" s="212"/>
      <c r="ATM61" s="212"/>
      <c r="ATN61" s="212"/>
      <c r="ATO61" s="212"/>
      <c r="ATP61" s="212"/>
      <c r="ATQ61" s="212"/>
      <c r="ATR61" s="212"/>
      <c r="ATS61" s="212"/>
      <c r="ATT61" s="212"/>
      <c r="ATU61" s="212"/>
      <c r="ATV61" s="212"/>
      <c r="ATW61" s="212"/>
      <c r="ATX61" s="212"/>
      <c r="ATY61" s="212"/>
      <c r="ATZ61" s="212"/>
      <c r="AUA61" s="212"/>
      <c r="AUB61" s="212"/>
      <c r="AUC61" s="212"/>
      <c r="AUD61" s="212"/>
      <c r="AUE61" s="212"/>
      <c r="AUF61" s="212"/>
      <c r="AUG61" s="212"/>
      <c r="AUH61" s="212"/>
      <c r="AUI61" s="212"/>
      <c r="AUJ61" s="212"/>
      <c r="AUK61" s="212"/>
      <c r="AUL61" s="212"/>
      <c r="AUM61" s="212"/>
      <c r="AUN61" s="212"/>
      <c r="AUO61" s="212"/>
      <c r="AUP61" s="212"/>
      <c r="AUQ61" s="212"/>
      <c r="AUR61" s="212"/>
      <c r="AUS61" s="212"/>
      <c r="AUT61" s="212"/>
      <c r="AUU61" s="212"/>
      <c r="AUV61" s="212"/>
      <c r="AUW61" s="212"/>
      <c r="AUX61" s="212"/>
      <c r="AUY61" s="212"/>
      <c r="AUZ61" s="212"/>
      <c r="AVA61" s="212"/>
      <c r="AVB61" s="212"/>
      <c r="AVC61" s="212"/>
      <c r="AVD61" s="212"/>
      <c r="AVE61" s="212"/>
      <c r="AVF61" s="212"/>
      <c r="AVG61" s="212"/>
      <c r="AVH61" s="212"/>
      <c r="AVI61" s="212"/>
      <c r="AVJ61" s="212"/>
      <c r="AVK61" s="212"/>
      <c r="AVL61" s="212"/>
      <c r="AVM61" s="212"/>
      <c r="AVN61" s="212"/>
      <c r="AVO61" s="212"/>
      <c r="AVP61" s="212"/>
      <c r="AVQ61" s="212"/>
      <c r="AVR61" s="212"/>
      <c r="AVS61" s="212"/>
      <c r="AVT61" s="212"/>
      <c r="AVU61" s="212"/>
      <c r="AVV61" s="212"/>
      <c r="AVW61" s="212"/>
      <c r="AVX61" s="212"/>
      <c r="AVY61" s="212"/>
      <c r="AVZ61" s="212"/>
      <c r="AWA61" s="212"/>
      <c r="AWB61" s="212"/>
      <c r="AWC61" s="212"/>
      <c r="AWD61" s="212"/>
      <c r="AWE61" s="212"/>
      <c r="AWF61" s="212"/>
      <c r="AWG61" s="212"/>
      <c r="AWH61" s="212"/>
      <c r="AWI61" s="212"/>
      <c r="AWJ61" s="212"/>
      <c r="AWK61" s="212"/>
      <c r="AWL61" s="212"/>
      <c r="AWM61" s="212"/>
      <c r="AWN61" s="212"/>
      <c r="AWO61" s="212"/>
      <c r="AWP61" s="212"/>
      <c r="AWQ61" s="212"/>
      <c r="AWR61" s="212"/>
      <c r="AWS61" s="212"/>
      <c r="AWT61" s="212"/>
      <c r="AWU61" s="212"/>
      <c r="AWV61" s="212"/>
      <c r="AWW61" s="212"/>
      <c r="AWX61" s="212"/>
      <c r="AWY61" s="212"/>
      <c r="AWZ61" s="212"/>
      <c r="AXA61" s="212"/>
      <c r="AXB61" s="212"/>
      <c r="AXC61" s="212"/>
      <c r="AXD61" s="212"/>
      <c r="AXE61" s="212"/>
      <c r="AXF61" s="212"/>
      <c r="AXG61" s="212"/>
      <c r="AXH61" s="212"/>
      <c r="AXI61" s="212"/>
      <c r="AXJ61" s="212"/>
      <c r="AXK61" s="212"/>
      <c r="AXL61" s="212"/>
      <c r="AXM61" s="212"/>
      <c r="AXN61" s="212"/>
      <c r="AXO61" s="212"/>
      <c r="AXP61" s="212"/>
      <c r="AXQ61" s="212"/>
      <c r="AXR61" s="212"/>
      <c r="AXS61" s="212"/>
      <c r="AXT61" s="212"/>
      <c r="AXU61" s="212"/>
      <c r="AXV61" s="212"/>
      <c r="AXW61" s="212"/>
      <c r="AXX61" s="212"/>
      <c r="AXY61" s="212"/>
      <c r="AXZ61" s="212"/>
      <c r="AYA61" s="212"/>
      <c r="AYB61" s="212"/>
      <c r="AYC61" s="212"/>
      <c r="AYD61" s="212"/>
      <c r="AYE61" s="212"/>
      <c r="AYF61" s="212"/>
      <c r="AYG61" s="212"/>
      <c r="AYH61" s="212"/>
      <c r="AYI61" s="212"/>
      <c r="AYJ61" s="212"/>
      <c r="AYK61" s="212"/>
      <c r="AYL61" s="212"/>
      <c r="AYM61" s="212"/>
      <c r="AYN61" s="212"/>
      <c r="AYO61" s="212"/>
      <c r="AYP61" s="212"/>
      <c r="AYQ61" s="212"/>
      <c r="AYR61" s="212"/>
      <c r="AYS61" s="212"/>
      <c r="AYT61" s="212"/>
      <c r="AYU61" s="212"/>
      <c r="AYV61" s="212"/>
      <c r="AYW61" s="212"/>
      <c r="AYX61" s="212"/>
      <c r="AYY61" s="212"/>
      <c r="AYZ61" s="212"/>
      <c r="AZA61" s="212"/>
      <c r="AZB61" s="212"/>
      <c r="AZC61" s="212"/>
      <c r="AZD61" s="212"/>
      <c r="AZE61" s="212"/>
      <c r="AZF61" s="212"/>
      <c r="AZG61" s="212"/>
      <c r="AZH61" s="212"/>
      <c r="AZI61" s="212"/>
      <c r="AZJ61" s="212"/>
      <c r="AZK61" s="212"/>
      <c r="AZL61" s="212"/>
      <c r="AZM61" s="212"/>
      <c r="AZN61" s="212"/>
      <c r="AZO61" s="212"/>
      <c r="AZP61" s="212"/>
      <c r="AZQ61" s="212"/>
      <c r="AZR61" s="212"/>
      <c r="AZS61" s="212"/>
      <c r="AZT61" s="212"/>
      <c r="AZU61" s="212"/>
      <c r="AZV61" s="212"/>
      <c r="AZW61" s="212"/>
      <c r="AZX61" s="212"/>
      <c r="AZY61" s="212"/>
      <c r="AZZ61" s="212"/>
      <c r="BAA61" s="212"/>
      <c r="BAB61" s="212"/>
      <c r="BAC61" s="212"/>
      <c r="BAD61" s="212"/>
      <c r="BAE61" s="212"/>
      <c r="BAF61" s="212"/>
      <c r="BAG61" s="212"/>
      <c r="BAH61" s="212"/>
      <c r="BAI61" s="212"/>
      <c r="BAJ61" s="212"/>
      <c r="BAK61" s="212"/>
      <c r="BAL61" s="212"/>
      <c r="BAM61" s="212"/>
      <c r="BAN61" s="212"/>
      <c r="BAO61" s="212"/>
      <c r="BAP61" s="212"/>
      <c r="BAQ61" s="212"/>
      <c r="BAR61" s="212"/>
      <c r="BAS61" s="212"/>
      <c r="BAT61" s="212"/>
      <c r="BAU61" s="212"/>
      <c r="BAV61" s="212"/>
      <c r="BAW61" s="212"/>
      <c r="BAX61" s="212"/>
      <c r="BAY61" s="212"/>
      <c r="BAZ61" s="212"/>
      <c r="BBA61" s="212"/>
      <c r="BBB61" s="212"/>
      <c r="BBC61" s="212"/>
      <c r="BBD61" s="212"/>
      <c r="BBE61" s="212"/>
      <c r="BBF61" s="212"/>
      <c r="BBG61" s="212"/>
      <c r="BBH61" s="212"/>
      <c r="BBI61" s="212"/>
      <c r="BBJ61" s="212"/>
      <c r="BBK61" s="212"/>
      <c r="BBL61" s="212"/>
      <c r="BBM61" s="212"/>
      <c r="BBN61" s="212"/>
      <c r="BBO61" s="212"/>
      <c r="BBP61" s="212"/>
      <c r="BBQ61" s="212"/>
      <c r="BBR61" s="212"/>
      <c r="BBS61" s="212"/>
      <c r="BBT61" s="212"/>
      <c r="BBU61" s="212"/>
      <c r="BBV61" s="212"/>
      <c r="BBW61" s="212"/>
      <c r="BBX61" s="212"/>
      <c r="BBY61" s="212"/>
      <c r="BBZ61" s="212"/>
      <c r="BCA61" s="212"/>
      <c r="BCB61" s="212"/>
      <c r="BCC61" s="212"/>
      <c r="BCD61" s="212"/>
      <c r="BCE61" s="212"/>
      <c r="BCF61" s="212"/>
      <c r="BCG61" s="212"/>
      <c r="BCH61" s="212"/>
      <c r="BCI61" s="212"/>
      <c r="BCJ61" s="212"/>
      <c r="BCK61" s="212"/>
      <c r="BCL61" s="212"/>
      <c r="BCM61" s="212"/>
      <c r="BCN61" s="212"/>
      <c r="BCO61" s="212"/>
      <c r="BCP61" s="212"/>
      <c r="BCQ61" s="212"/>
      <c r="BCR61" s="212"/>
      <c r="BCS61" s="212"/>
      <c r="BCT61" s="212"/>
      <c r="BCU61" s="212"/>
      <c r="BCV61" s="212"/>
      <c r="BCW61" s="212"/>
      <c r="BCX61" s="212"/>
      <c r="BCY61" s="212"/>
      <c r="BCZ61" s="212"/>
      <c r="BDA61" s="212"/>
      <c r="BDB61" s="212"/>
      <c r="BDC61" s="212"/>
      <c r="BDD61" s="212"/>
      <c r="BDE61" s="212"/>
      <c r="BDF61" s="212"/>
      <c r="BDG61" s="212"/>
      <c r="BDH61" s="212"/>
      <c r="BDI61" s="212"/>
      <c r="BDJ61" s="212"/>
      <c r="BDK61" s="212"/>
      <c r="BDL61" s="212"/>
      <c r="BDM61" s="212"/>
      <c r="BDN61" s="212"/>
      <c r="BDO61" s="212"/>
      <c r="BDP61" s="212"/>
      <c r="BDQ61" s="212"/>
      <c r="BDR61" s="212"/>
      <c r="BDS61" s="212"/>
      <c r="BDT61" s="212"/>
      <c r="BDU61" s="212"/>
      <c r="BDV61" s="212"/>
      <c r="BDW61" s="212"/>
      <c r="BDX61" s="212"/>
      <c r="BDY61" s="212"/>
      <c r="BDZ61" s="212"/>
      <c r="BEA61" s="212"/>
      <c r="BEB61" s="212"/>
      <c r="BEC61" s="212"/>
      <c r="BED61" s="212"/>
      <c r="BEE61" s="212"/>
      <c r="BEF61" s="212"/>
      <c r="BEG61" s="212"/>
      <c r="BEH61" s="212"/>
      <c r="BEI61" s="212"/>
      <c r="BEJ61" s="212"/>
      <c r="BEK61" s="212"/>
      <c r="BEL61" s="212"/>
      <c r="BEM61" s="212"/>
      <c r="BEN61" s="212"/>
      <c r="BEO61" s="212"/>
      <c r="BEP61" s="212"/>
      <c r="BEQ61" s="212"/>
      <c r="BER61" s="212"/>
      <c r="BES61" s="212"/>
      <c r="BET61" s="212"/>
      <c r="BEU61" s="212"/>
      <c r="BEV61" s="212"/>
      <c r="BEW61" s="212"/>
      <c r="BEX61" s="212"/>
      <c r="BEY61" s="212"/>
      <c r="BEZ61" s="212"/>
      <c r="BFA61" s="212"/>
      <c r="BFB61" s="212"/>
      <c r="BFC61" s="212"/>
      <c r="BFD61" s="212"/>
      <c r="BFE61" s="212"/>
      <c r="BFF61" s="212"/>
      <c r="BFG61" s="212"/>
      <c r="BFH61" s="212"/>
      <c r="BFI61" s="212"/>
      <c r="BFJ61" s="212"/>
      <c r="BFK61" s="212"/>
      <c r="BFL61" s="212"/>
      <c r="BFM61" s="212"/>
      <c r="BFN61" s="212"/>
      <c r="BFO61" s="212"/>
      <c r="BFP61" s="212"/>
      <c r="BFQ61" s="212"/>
      <c r="BFR61" s="212"/>
      <c r="BFS61" s="212"/>
      <c r="BFT61" s="212"/>
      <c r="BFU61" s="212"/>
      <c r="BFV61" s="212"/>
      <c r="BFW61" s="212"/>
      <c r="BFX61" s="212"/>
      <c r="BFY61" s="212"/>
      <c r="BFZ61" s="212"/>
      <c r="BGA61" s="212"/>
      <c r="BGB61" s="212"/>
      <c r="BGC61" s="212"/>
      <c r="BGD61" s="212"/>
      <c r="BGE61" s="212"/>
      <c r="BGF61" s="212"/>
      <c r="BGG61" s="212"/>
      <c r="BGH61" s="212"/>
      <c r="BGI61" s="212"/>
      <c r="BGJ61" s="212"/>
      <c r="BGK61" s="212"/>
      <c r="BGL61" s="212"/>
      <c r="BGM61" s="212"/>
      <c r="BGN61" s="212"/>
      <c r="BGO61" s="212"/>
      <c r="BGP61" s="212"/>
      <c r="BGQ61" s="212"/>
      <c r="BGR61" s="212"/>
      <c r="BGS61" s="212"/>
      <c r="BGT61" s="212"/>
      <c r="BGU61" s="212"/>
      <c r="BGV61" s="212"/>
      <c r="BGW61" s="212"/>
      <c r="BGX61" s="212"/>
      <c r="BGY61" s="212"/>
      <c r="BGZ61" s="212"/>
      <c r="BHA61" s="212"/>
      <c r="BHB61" s="212"/>
      <c r="BHC61" s="212"/>
      <c r="BHD61" s="212"/>
      <c r="BHE61" s="212"/>
      <c r="BHF61" s="212"/>
      <c r="BHG61" s="212"/>
      <c r="BHH61" s="212"/>
      <c r="BHI61" s="212"/>
      <c r="BHJ61" s="212"/>
      <c r="BHK61" s="212"/>
      <c r="BHL61" s="212"/>
      <c r="BHM61" s="212"/>
      <c r="BHN61" s="212"/>
      <c r="BHO61" s="212"/>
      <c r="BHP61" s="212"/>
      <c r="BHQ61" s="212"/>
      <c r="BHR61" s="212"/>
      <c r="BHS61" s="212"/>
      <c r="BHT61" s="212"/>
      <c r="BHU61" s="212"/>
      <c r="BHV61" s="212"/>
      <c r="BHW61" s="212"/>
      <c r="BHX61" s="212"/>
      <c r="BHY61" s="212"/>
      <c r="BHZ61" s="212"/>
      <c r="BIA61" s="212"/>
      <c r="BIB61" s="212"/>
      <c r="BIC61" s="212"/>
      <c r="BID61" s="212"/>
      <c r="BIE61" s="212"/>
      <c r="BIF61" s="212"/>
      <c r="BIG61" s="212"/>
      <c r="BIH61" s="212"/>
      <c r="BII61" s="212"/>
      <c r="BIJ61" s="212"/>
      <c r="BIK61" s="212"/>
      <c r="BIL61" s="212"/>
      <c r="BIM61" s="212"/>
      <c r="BIN61" s="212"/>
      <c r="BIO61" s="212"/>
      <c r="BIP61" s="212"/>
      <c r="BIQ61" s="212"/>
      <c r="BIR61" s="212"/>
      <c r="BIS61" s="212"/>
      <c r="BIT61" s="212"/>
      <c r="BIU61" s="212"/>
      <c r="BIV61" s="212"/>
      <c r="BIW61" s="212"/>
      <c r="BIX61" s="212"/>
      <c r="BIY61" s="212"/>
      <c r="BIZ61" s="212"/>
      <c r="BJA61" s="212"/>
      <c r="BJB61" s="212"/>
      <c r="BJC61" s="212"/>
      <c r="BJD61" s="212"/>
      <c r="BJE61" s="212"/>
      <c r="BJF61" s="212"/>
      <c r="BJG61" s="212"/>
      <c r="BJH61" s="212"/>
      <c r="BJI61" s="212"/>
      <c r="BJJ61" s="212"/>
      <c r="BJK61" s="212"/>
      <c r="BJL61" s="212"/>
      <c r="BJM61" s="212"/>
      <c r="BJN61" s="212"/>
      <c r="BJO61" s="212"/>
      <c r="BJP61" s="212"/>
      <c r="BJQ61" s="212"/>
      <c r="BJR61" s="212"/>
      <c r="BJS61" s="212"/>
      <c r="BJT61" s="212"/>
      <c r="BJU61" s="212"/>
      <c r="BJV61" s="212"/>
      <c r="BJW61" s="212"/>
      <c r="BJX61" s="212"/>
      <c r="BJY61" s="212"/>
      <c r="BJZ61" s="212"/>
      <c r="BKA61" s="212"/>
      <c r="BKB61" s="212"/>
      <c r="BKC61" s="212"/>
      <c r="BKD61" s="212"/>
      <c r="BKE61" s="212"/>
      <c r="BKF61" s="212"/>
      <c r="BKG61" s="212"/>
      <c r="BKH61" s="212"/>
      <c r="BKI61" s="212"/>
      <c r="BKJ61" s="212"/>
      <c r="BKK61" s="212"/>
      <c r="BKL61" s="212"/>
      <c r="BKM61" s="212"/>
      <c r="BKN61" s="212"/>
      <c r="BKO61" s="212"/>
      <c r="BKP61" s="212"/>
      <c r="BKQ61" s="212"/>
      <c r="BKR61" s="212"/>
      <c r="BKS61" s="212"/>
      <c r="BKT61" s="212"/>
      <c r="BKU61" s="212"/>
      <c r="BKV61" s="212"/>
      <c r="BKW61" s="212"/>
      <c r="BKX61" s="212"/>
      <c r="BKY61" s="212"/>
      <c r="BKZ61" s="212"/>
      <c r="BLA61" s="212"/>
      <c r="BLB61" s="212"/>
      <c r="BLC61" s="212"/>
      <c r="BLD61" s="212"/>
      <c r="BLE61" s="212"/>
      <c r="BLF61" s="212"/>
      <c r="BLG61" s="212"/>
      <c r="BLH61" s="212"/>
      <c r="BLI61" s="212"/>
      <c r="BLJ61" s="212"/>
      <c r="BLK61" s="212"/>
      <c r="BLL61" s="212"/>
      <c r="BLM61" s="212"/>
      <c r="BLN61" s="212"/>
      <c r="BLO61" s="212"/>
      <c r="BLP61" s="212"/>
      <c r="BLQ61" s="212"/>
      <c r="BLR61" s="212"/>
      <c r="BLS61" s="212"/>
      <c r="BLT61" s="212"/>
      <c r="BLU61" s="212"/>
      <c r="BLV61" s="212"/>
      <c r="BLW61" s="212"/>
      <c r="BLX61" s="212"/>
      <c r="BLY61" s="212"/>
      <c r="BLZ61" s="212"/>
      <c r="BMA61" s="212"/>
      <c r="BMB61" s="212"/>
      <c r="BMC61" s="212"/>
      <c r="BMD61" s="212"/>
      <c r="BME61" s="212"/>
      <c r="BMF61" s="212"/>
      <c r="BMG61" s="212"/>
      <c r="BMH61" s="212"/>
      <c r="BMI61" s="212"/>
      <c r="BMJ61" s="212"/>
      <c r="BMK61" s="212"/>
      <c r="BML61" s="212"/>
      <c r="BMM61" s="212"/>
      <c r="BMN61" s="212"/>
      <c r="BMO61" s="212"/>
      <c r="BMP61" s="212"/>
      <c r="BMQ61" s="212"/>
      <c r="BMR61" s="212"/>
      <c r="BMS61" s="212"/>
      <c r="BMT61" s="212"/>
      <c r="BMU61" s="212"/>
      <c r="BMV61" s="212"/>
      <c r="BMW61" s="212"/>
      <c r="BMX61" s="212"/>
      <c r="BMY61" s="212"/>
      <c r="BMZ61" s="212"/>
      <c r="BNA61" s="212"/>
      <c r="BNB61" s="212"/>
      <c r="BNC61" s="212"/>
      <c r="BND61" s="212"/>
      <c r="BNE61" s="212"/>
      <c r="BNF61" s="212"/>
      <c r="BNG61" s="212"/>
      <c r="BNH61" s="212"/>
      <c r="BNI61" s="212"/>
      <c r="BNJ61" s="212"/>
      <c r="BNK61" s="212"/>
      <c r="BNL61" s="212"/>
      <c r="BNM61" s="212"/>
      <c r="BNN61" s="212"/>
      <c r="BNO61" s="212"/>
      <c r="BNP61" s="212"/>
      <c r="BNQ61" s="212"/>
      <c r="BNR61" s="212"/>
      <c r="BNS61" s="212"/>
      <c r="BNT61" s="212"/>
      <c r="BNU61" s="212"/>
      <c r="BNV61" s="212"/>
      <c r="BNW61" s="212"/>
      <c r="BNX61" s="212"/>
      <c r="BNY61" s="212"/>
      <c r="BNZ61" s="212"/>
      <c r="BOA61" s="212"/>
      <c r="BOB61" s="212"/>
      <c r="BOC61" s="212"/>
      <c r="BOD61" s="212"/>
      <c r="BOE61" s="212"/>
      <c r="BOF61" s="212"/>
      <c r="BOG61" s="212"/>
      <c r="BOH61" s="212"/>
      <c r="BOI61" s="212"/>
      <c r="BOJ61" s="212"/>
      <c r="BOK61" s="212"/>
      <c r="BOL61" s="212"/>
      <c r="BOM61" s="212"/>
      <c r="BON61" s="212"/>
      <c r="BOO61" s="212"/>
      <c r="BOP61" s="212"/>
      <c r="BOQ61" s="212"/>
      <c r="BOR61" s="212"/>
      <c r="BOS61" s="212"/>
      <c r="BOT61" s="212"/>
      <c r="BOU61" s="212"/>
      <c r="BOV61" s="212"/>
      <c r="BOW61" s="212"/>
      <c r="BOX61" s="212"/>
      <c r="BOY61" s="212"/>
      <c r="BOZ61" s="212"/>
      <c r="BPA61" s="212"/>
      <c r="BPB61" s="212"/>
      <c r="BPC61" s="212"/>
      <c r="BPD61" s="212"/>
      <c r="BPE61" s="212"/>
      <c r="BPF61" s="212"/>
      <c r="BPG61" s="212"/>
      <c r="BPH61" s="212"/>
      <c r="BPI61" s="212"/>
      <c r="BPJ61" s="212"/>
      <c r="BPK61" s="212"/>
      <c r="BPL61" s="212"/>
      <c r="BPM61" s="212"/>
      <c r="BPN61" s="212"/>
      <c r="BPO61" s="212"/>
      <c r="BPP61" s="212"/>
      <c r="BPQ61" s="212"/>
      <c r="BPR61" s="212"/>
      <c r="BPS61" s="212"/>
      <c r="BPT61" s="212"/>
      <c r="BPU61" s="212"/>
      <c r="BPV61" s="212"/>
      <c r="BPW61" s="212"/>
      <c r="BPX61" s="212"/>
      <c r="BPY61" s="212"/>
      <c r="BPZ61" s="212"/>
      <c r="BQA61" s="212"/>
      <c r="BQB61" s="212"/>
      <c r="BQC61" s="212"/>
      <c r="BQD61" s="212"/>
      <c r="BQE61" s="212"/>
      <c r="BQF61" s="212"/>
      <c r="BQG61" s="212"/>
      <c r="BQH61" s="212"/>
      <c r="BQI61" s="212"/>
      <c r="BQJ61" s="212"/>
      <c r="BQK61" s="212"/>
      <c r="BQL61" s="212"/>
      <c r="BQM61" s="212"/>
      <c r="BQN61" s="212"/>
      <c r="BQO61" s="212"/>
      <c r="BQP61" s="212"/>
      <c r="BQQ61" s="212"/>
      <c r="BQR61" s="212"/>
      <c r="BQS61" s="212"/>
      <c r="BQT61" s="212"/>
      <c r="BQU61" s="212"/>
      <c r="BQV61" s="212"/>
      <c r="BQW61" s="212"/>
      <c r="BQX61" s="212"/>
      <c r="BQY61" s="212"/>
      <c r="BQZ61" s="212"/>
      <c r="BRA61" s="212"/>
      <c r="BRB61" s="212"/>
      <c r="BRC61" s="212"/>
      <c r="BRD61" s="212"/>
      <c r="BRE61" s="212"/>
      <c r="BRF61" s="212"/>
      <c r="BRG61" s="212"/>
      <c r="BRH61" s="212"/>
      <c r="BRI61" s="212"/>
      <c r="BRJ61" s="212"/>
      <c r="BRK61" s="212"/>
      <c r="BRL61" s="212"/>
      <c r="BRM61" s="212"/>
      <c r="BRN61" s="212"/>
      <c r="BRO61" s="212"/>
      <c r="BRP61" s="212"/>
      <c r="BRQ61" s="212"/>
      <c r="BRR61" s="212"/>
      <c r="BRS61" s="212"/>
      <c r="BRT61" s="212"/>
      <c r="BRU61" s="212"/>
      <c r="BRV61" s="212"/>
      <c r="BRW61" s="212"/>
      <c r="BRX61" s="212"/>
      <c r="BRY61" s="212"/>
      <c r="BRZ61" s="212"/>
      <c r="BSA61" s="212"/>
      <c r="BSB61" s="212"/>
      <c r="BSC61" s="212"/>
      <c r="BSD61" s="212"/>
      <c r="BSE61" s="212"/>
      <c r="BSF61" s="212"/>
      <c r="BSG61" s="212"/>
      <c r="BSH61" s="212"/>
      <c r="BSI61" s="212"/>
      <c r="BSJ61" s="212"/>
      <c r="BSK61" s="212"/>
      <c r="BSL61" s="212"/>
      <c r="BSM61" s="212"/>
      <c r="BSN61" s="212"/>
      <c r="BSO61" s="212"/>
      <c r="BSP61" s="212"/>
      <c r="BSQ61" s="212"/>
      <c r="BSR61" s="212"/>
      <c r="BSS61" s="212"/>
      <c r="BST61" s="212"/>
      <c r="BSU61" s="212"/>
      <c r="BSV61" s="212"/>
      <c r="BSW61" s="212"/>
      <c r="BSX61" s="212"/>
      <c r="BSY61" s="212"/>
      <c r="BSZ61" s="212"/>
      <c r="BTA61" s="212"/>
      <c r="BTB61" s="212"/>
      <c r="BTC61" s="212"/>
      <c r="BTD61" s="212"/>
      <c r="BTE61" s="212"/>
      <c r="BTF61" s="212"/>
      <c r="BTG61" s="212"/>
      <c r="BTH61" s="212"/>
      <c r="BTI61" s="212"/>
      <c r="BTJ61" s="212"/>
      <c r="BTK61" s="212"/>
      <c r="BTL61" s="212"/>
      <c r="BTM61" s="212"/>
      <c r="BTN61" s="212"/>
      <c r="BTO61" s="212"/>
      <c r="BTP61" s="212"/>
      <c r="BTQ61" s="212"/>
      <c r="BTR61" s="212"/>
      <c r="BTS61" s="212"/>
      <c r="BTT61" s="212"/>
      <c r="BTU61" s="212"/>
      <c r="BTV61" s="212"/>
      <c r="BTW61" s="212"/>
      <c r="BTX61" s="212"/>
      <c r="BTY61" s="212"/>
      <c r="BTZ61" s="212"/>
      <c r="BUA61" s="212"/>
      <c r="BUB61" s="212"/>
      <c r="BUC61" s="212"/>
      <c r="BUD61" s="212"/>
      <c r="BUE61" s="212"/>
      <c r="BUF61" s="212"/>
      <c r="BUG61" s="212"/>
      <c r="BUH61" s="212"/>
      <c r="BUI61" s="212"/>
      <c r="BUJ61" s="212"/>
      <c r="BUK61" s="212"/>
      <c r="BUL61" s="212"/>
      <c r="BUM61" s="212"/>
      <c r="BUN61" s="212"/>
      <c r="BUO61" s="212"/>
      <c r="BUP61" s="212"/>
      <c r="BUQ61" s="212"/>
      <c r="BUR61" s="212"/>
      <c r="BUS61" s="212"/>
      <c r="BUT61" s="212"/>
      <c r="BUU61" s="212"/>
      <c r="BUV61" s="212"/>
      <c r="BUW61" s="212"/>
      <c r="BUX61" s="212"/>
      <c r="BUY61" s="212"/>
      <c r="BUZ61" s="212"/>
      <c r="BVA61" s="212"/>
      <c r="BVB61" s="212"/>
      <c r="BVC61" s="212"/>
      <c r="BVD61" s="212"/>
      <c r="BVE61" s="212"/>
      <c r="BVF61" s="212"/>
      <c r="BVG61" s="212"/>
      <c r="BVH61" s="212"/>
      <c r="BVI61" s="212"/>
      <c r="BVJ61" s="212"/>
      <c r="BVK61" s="212"/>
      <c r="BVL61" s="212"/>
      <c r="BVM61" s="212"/>
      <c r="BVN61" s="212"/>
      <c r="BVO61" s="212"/>
      <c r="BVP61" s="212"/>
      <c r="BVQ61" s="212"/>
      <c r="BVR61" s="212"/>
      <c r="BVS61" s="212"/>
      <c r="BVT61" s="212"/>
      <c r="BVU61" s="212"/>
      <c r="BVV61" s="212"/>
      <c r="BVW61" s="212"/>
      <c r="BVX61" s="212"/>
      <c r="BVY61" s="212"/>
      <c r="BVZ61" s="212"/>
      <c r="BWA61" s="212"/>
      <c r="BWB61" s="212"/>
      <c r="BWC61" s="212"/>
      <c r="BWD61" s="212"/>
      <c r="BWE61" s="212"/>
      <c r="BWF61" s="212"/>
      <c r="BWG61" s="212"/>
      <c r="BWH61" s="212"/>
      <c r="BWI61" s="212"/>
      <c r="BWJ61" s="212"/>
      <c r="BWK61" s="212"/>
      <c r="BWL61" s="212"/>
      <c r="BWM61" s="212"/>
      <c r="BWN61" s="212"/>
      <c r="BWO61" s="212"/>
      <c r="BWP61" s="212"/>
      <c r="BWQ61" s="212"/>
      <c r="BWR61" s="212"/>
      <c r="BWS61" s="212"/>
      <c r="BWT61" s="212"/>
      <c r="BWU61" s="212"/>
      <c r="BWV61" s="212"/>
      <c r="BWW61" s="212"/>
      <c r="BWX61" s="212"/>
      <c r="BWY61" s="212"/>
      <c r="BWZ61" s="212"/>
      <c r="BXA61" s="212"/>
      <c r="BXB61" s="212"/>
      <c r="BXC61" s="212"/>
      <c r="BXD61" s="212"/>
      <c r="BXE61" s="212"/>
      <c r="BXF61" s="212"/>
      <c r="BXG61" s="212"/>
      <c r="BXH61" s="212"/>
      <c r="BXI61" s="212"/>
      <c r="BXJ61" s="212"/>
      <c r="BXK61" s="212"/>
      <c r="BXL61" s="212"/>
      <c r="BXM61" s="212"/>
      <c r="BXN61" s="212"/>
      <c r="BXO61" s="212"/>
      <c r="BXP61" s="212"/>
      <c r="BXQ61" s="212"/>
      <c r="BXR61" s="212"/>
      <c r="BXS61" s="212"/>
      <c r="BXT61" s="212"/>
      <c r="BXU61" s="212"/>
      <c r="BXV61" s="212"/>
      <c r="BXW61" s="212"/>
      <c r="BXX61" s="212"/>
      <c r="BXY61" s="212"/>
      <c r="BXZ61" s="212"/>
      <c r="BYA61" s="212"/>
      <c r="BYB61" s="212"/>
      <c r="BYC61" s="212"/>
      <c r="BYD61" s="212"/>
      <c r="BYE61" s="212"/>
      <c r="BYF61" s="212"/>
      <c r="BYG61" s="212"/>
    </row>
    <row r="62" spans="1:2009" s="96" customFormat="1" ht="10.5" customHeight="1" x14ac:dyDescent="0.25">
      <c r="A62" s="122"/>
      <c r="B62" s="122"/>
      <c r="C62" s="204"/>
      <c r="D62" s="204"/>
      <c r="E62" s="204"/>
      <c r="F62" s="204"/>
      <c r="G62" s="20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96" customFormat="1" ht="10.5" hidden="1"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hidden="1"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7" ht="15" customHeight="1" x14ac:dyDescent="0.25">
      <c r="A65" s="123"/>
      <c r="B65" s="344" t="s">
        <v>427</v>
      </c>
      <c r="C65" s="205"/>
      <c r="D65" s="205"/>
      <c r="E65" s="205"/>
      <c r="F65" s="205"/>
      <c r="G65" s="205"/>
    </row>
    <row r="66" spans="1:7" ht="8.25" customHeight="1" x14ac:dyDescent="0.25">
      <c r="A66" s="123"/>
      <c r="B66" s="162"/>
      <c r="C66" s="693"/>
      <c r="D66" s="205"/>
      <c r="E66" s="205"/>
      <c r="F66" s="205"/>
      <c r="G66" s="205"/>
    </row>
    <row r="67" spans="1:7" ht="14.25" customHeight="1" x14ac:dyDescent="0.25">
      <c r="A67" s="123"/>
      <c r="B67" s="620" t="s">
        <v>51</v>
      </c>
      <c r="C67" s="676">
        <v>6715.5</v>
      </c>
      <c r="D67" s="205"/>
      <c r="E67" s="205"/>
      <c r="F67" s="205"/>
      <c r="G67" s="205"/>
    </row>
    <row r="68" spans="1:7" ht="14.25" customHeight="1" x14ac:dyDescent="0.25">
      <c r="A68" s="123"/>
      <c r="B68" s="620" t="s">
        <v>434</v>
      </c>
      <c r="C68" s="676">
        <v>22692.86</v>
      </c>
      <c r="D68" s="205"/>
      <c r="E68" s="205"/>
      <c r="F68" s="205"/>
      <c r="G68" s="205"/>
    </row>
    <row r="69" spans="1:7" ht="14.25" customHeight="1" x14ac:dyDescent="0.25">
      <c r="A69" s="123"/>
      <c r="B69" s="620" t="s">
        <v>432</v>
      </c>
      <c r="C69" s="676">
        <v>12521.5</v>
      </c>
      <c r="D69" s="205"/>
      <c r="E69" s="205"/>
      <c r="F69" s="205"/>
      <c r="G69" s="205"/>
    </row>
    <row r="70" spans="1:7" ht="14.25" customHeight="1" x14ac:dyDescent="0.25">
      <c r="A70" s="123"/>
      <c r="B70" s="620" t="s">
        <v>433</v>
      </c>
      <c r="C70" s="676">
        <v>3541.67</v>
      </c>
      <c r="D70" s="205"/>
      <c r="E70" s="205"/>
      <c r="F70" s="205"/>
      <c r="G70" s="205"/>
    </row>
    <row r="71" spans="1:7" ht="14.25" customHeight="1" x14ac:dyDescent="0.25">
      <c r="A71" s="123"/>
      <c r="B71" s="620"/>
      <c r="C71" s="676"/>
      <c r="D71" s="205"/>
      <c r="E71" s="205"/>
      <c r="F71" s="205"/>
      <c r="G71" s="205"/>
    </row>
    <row r="72" spans="1:7" ht="14.25" hidden="1" customHeight="1" x14ac:dyDescent="0.25">
      <c r="A72" s="123"/>
      <c r="B72" s="620"/>
      <c r="C72" s="676"/>
      <c r="D72" s="205"/>
      <c r="E72" s="205"/>
      <c r="F72" s="205"/>
      <c r="G72" s="205"/>
    </row>
    <row r="73" spans="1:7" ht="14.25" hidden="1" customHeight="1" x14ac:dyDescent="0.25">
      <c r="A73" s="123"/>
      <c r="B73" s="620"/>
      <c r="C73" s="676"/>
      <c r="D73" s="205"/>
      <c r="E73" s="205"/>
      <c r="F73" s="205"/>
      <c r="G73" s="205"/>
    </row>
    <row r="74" spans="1:7" ht="14.25" hidden="1" customHeight="1" x14ac:dyDescent="0.25">
      <c r="A74" s="123"/>
      <c r="B74" s="620"/>
      <c r="C74" s="676"/>
      <c r="D74" s="205"/>
      <c r="E74" s="205"/>
      <c r="F74" s="205"/>
      <c r="G74" s="205"/>
    </row>
    <row r="75" spans="1:7" ht="15" x14ac:dyDescent="0.25">
      <c r="A75" s="440"/>
      <c r="B75" s="163" t="s">
        <v>428</v>
      </c>
      <c r="C75" s="391">
        <f>SUM(C66:C74)</f>
        <v>45471.53</v>
      </c>
      <c r="D75" s="206"/>
      <c r="E75" s="206"/>
      <c r="F75" s="206"/>
      <c r="G75" s="206"/>
    </row>
    <row r="76" spans="1:7" ht="5.25" customHeight="1" x14ac:dyDescent="0.2">
      <c r="C76" s="206"/>
      <c r="D76" s="206"/>
      <c r="E76" s="206"/>
      <c r="F76" s="206"/>
      <c r="G76" s="206"/>
    </row>
    <row r="77" spans="1:7" ht="15.75" thickBot="1" x14ac:dyDescent="0.3">
      <c r="B77" s="163" t="s">
        <v>436</v>
      </c>
      <c r="C77" s="426">
        <f>G61-C75</f>
        <v>200242.85</v>
      </c>
      <c r="D77" s="206"/>
      <c r="E77" s="206"/>
      <c r="F77" s="206"/>
      <c r="G77" s="206"/>
    </row>
    <row r="78" spans="1:7" ht="12" customHeight="1" thickTop="1" x14ac:dyDescent="0.2">
      <c r="C78" s="206"/>
      <c r="D78" s="206"/>
      <c r="E78" s="206"/>
      <c r="F78" s="206"/>
      <c r="G78" s="206"/>
    </row>
    <row r="79" spans="1:7" ht="15.75" x14ac:dyDescent="0.25">
      <c r="B79" s="344" t="s">
        <v>194</v>
      </c>
      <c r="C79" s="206"/>
      <c r="D79" s="206"/>
      <c r="E79" s="206"/>
      <c r="F79" s="206"/>
      <c r="G79" s="206"/>
    </row>
    <row r="80" spans="1:7" ht="16.5" hidden="1" customHeight="1" x14ac:dyDescent="0.2">
      <c r="B80" s="621"/>
      <c r="C80" s="622"/>
      <c r="D80" s="206"/>
      <c r="E80" s="206"/>
      <c r="F80" s="206"/>
      <c r="G80" s="206"/>
    </row>
    <row r="81" spans="2:7" ht="16.5" hidden="1" customHeight="1" x14ac:dyDescent="0.2">
      <c r="B81" s="621"/>
      <c r="C81" s="622"/>
      <c r="D81" s="206"/>
      <c r="E81" s="206"/>
      <c r="F81" s="206"/>
      <c r="G81" s="206"/>
    </row>
    <row r="82" spans="2:7" ht="16.5" hidden="1" customHeight="1" x14ac:dyDescent="0.2">
      <c r="B82" s="621"/>
      <c r="C82" s="622"/>
      <c r="D82" s="206"/>
      <c r="E82" s="206"/>
      <c r="F82" s="206"/>
      <c r="G82" s="206"/>
    </row>
    <row r="83" spans="2:7" ht="16.5" hidden="1" customHeight="1" x14ac:dyDescent="0.2">
      <c r="B83" s="621"/>
      <c r="C83" s="622"/>
      <c r="D83" s="206"/>
      <c r="E83" s="206"/>
      <c r="F83" s="206"/>
      <c r="G83" s="206"/>
    </row>
    <row r="84" spans="2:7" ht="15" hidden="1" x14ac:dyDescent="0.2">
      <c r="B84" s="592"/>
      <c r="C84" s="206"/>
      <c r="D84" s="206"/>
      <c r="E84" s="206"/>
      <c r="F84" s="206"/>
      <c r="G84" s="206"/>
    </row>
    <row r="85" spans="2:7" hidden="1" x14ac:dyDescent="0.2">
      <c r="B85" s="473"/>
      <c r="C85" s="206"/>
      <c r="D85" s="206"/>
      <c r="E85" s="206"/>
      <c r="F85" s="206"/>
      <c r="G85" s="206"/>
    </row>
    <row r="86" spans="2:7" hidden="1" x14ac:dyDescent="0.2">
      <c r="B86" s="473"/>
      <c r="C86" s="206"/>
      <c r="D86" s="206"/>
      <c r="E86" s="206"/>
      <c r="F86" s="206"/>
      <c r="G86" s="206"/>
    </row>
    <row r="87" spans="2:7" hidden="1" x14ac:dyDescent="0.2">
      <c r="B87" s="473"/>
      <c r="C87" s="206"/>
      <c r="D87" s="206"/>
      <c r="E87" s="206"/>
      <c r="F87" s="206"/>
      <c r="G87" s="206"/>
    </row>
    <row r="88" spans="2:7" hidden="1" x14ac:dyDescent="0.2">
      <c r="B88" s="473"/>
      <c r="C88" s="206"/>
      <c r="D88" s="206"/>
      <c r="E88" s="206"/>
      <c r="F88" s="206"/>
      <c r="G88" s="206"/>
    </row>
    <row r="89" spans="2:7" hidden="1" x14ac:dyDescent="0.2">
      <c r="B89" s="473"/>
      <c r="C89" s="206"/>
      <c r="D89" s="206"/>
      <c r="E89" s="206"/>
      <c r="F89" s="206"/>
      <c r="G89" s="206"/>
    </row>
    <row r="90" spans="2:7" hidden="1" x14ac:dyDescent="0.2">
      <c r="B90" s="473"/>
      <c r="C90" s="396"/>
      <c r="D90" s="206"/>
      <c r="E90" s="206"/>
      <c r="F90" s="206"/>
      <c r="G90" s="206"/>
    </row>
    <row r="91" spans="2:7" x14ac:dyDescent="0.2">
      <c r="B91" s="473" t="s">
        <v>437</v>
      </c>
      <c r="C91" s="396">
        <f>7780-400-100</f>
        <v>7280</v>
      </c>
      <c r="D91" s="206"/>
      <c r="E91" s="206"/>
      <c r="F91" s="206"/>
      <c r="G91" s="206"/>
    </row>
    <row r="92" spans="2:7" x14ac:dyDescent="0.2">
      <c r="B92" s="473" t="s">
        <v>486</v>
      </c>
      <c r="C92" s="396">
        <v>25000</v>
      </c>
      <c r="D92" s="206"/>
      <c r="E92" s="206"/>
      <c r="F92" s="206"/>
      <c r="G92" s="206"/>
    </row>
    <row r="93" spans="2:7" x14ac:dyDescent="0.2">
      <c r="B93" s="473"/>
      <c r="C93" s="396"/>
      <c r="D93" s="206"/>
      <c r="E93" s="206"/>
      <c r="F93" s="206"/>
      <c r="G93" s="206"/>
    </row>
    <row r="94" spans="2:7" ht="16.5" customHeight="1" x14ac:dyDescent="0.25">
      <c r="B94" s="486" t="s">
        <v>325</v>
      </c>
      <c r="C94" s="396"/>
      <c r="D94" s="206"/>
      <c r="E94" s="206"/>
      <c r="F94" s="206"/>
      <c r="G94" s="206"/>
    </row>
    <row r="95" spans="2:7" ht="16.5" customHeight="1" x14ac:dyDescent="0.25">
      <c r="B95" s="620" t="s">
        <v>435</v>
      </c>
      <c r="C95" s="622">
        <f>D13</f>
        <v>11618.28</v>
      </c>
      <c r="D95" s="206"/>
      <c r="E95" s="206"/>
      <c r="F95" s="206"/>
      <c r="G95" s="206"/>
    </row>
    <row r="96" spans="2:7" ht="12" customHeight="1" x14ac:dyDescent="0.2">
      <c r="B96" s="306"/>
      <c r="C96" s="206"/>
      <c r="D96" s="206"/>
      <c r="E96" s="206"/>
      <c r="F96" s="206"/>
      <c r="G96" s="206"/>
    </row>
    <row r="97" spans="3:7" ht="17.25" customHeight="1" thickBot="1" x14ac:dyDescent="0.25">
      <c r="C97" s="715">
        <f>SUM(C95:C96)</f>
        <v>11618.28</v>
      </c>
      <c r="D97" s="206"/>
      <c r="E97" s="206"/>
      <c r="F97" s="206"/>
      <c r="G97" s="206"/>
    </row>
    <row r="98" spans="3:7" ht="12" customHeight="1" thickTop="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4.25" customHeight="1" x14ac:dyDescent="0.2"/>
    <row r="161" spans="2:14" ht="15.75" hidden="1" x14ac:dyDescent="0.25">
      <c r="B161" s="390"/>
      <c r="C161" s="249"/>
    </row>
    <row r="162" spans="2:14" ht="15" hidden="1" x14ac:dyDescent="0.25">
      <c r="B162" s="345"/>
      <c r="C162" s="392"/>
    </row>
    <row r="163" spans="2:14" ht="15" hidden="1" x14ac:dyDescent="0.25">
      <c r="B163" s="345"/>
      <c r="C163" s="396"/>
    </row>
    <row r="164" spans="2:14" ht="15" hidden="1" x14ac:dyDescent="0.25">
      <c r="B164" s="345"/>
      <c r="C164" s="206"/>
    </row>
    <row r="165" spans="2:14" hidden="1" x14ac:dyDescent="0.2">
      <c r="B165" s="306"/>
    </row>
    <row r="166" spans="2:14" hidden="1" x14ac:dyDescent="0.2">
      <c r="B166" s="306"/>
    </row>
    <row r="167" spans="2:14" hidden="1" x14ac:dyDescent="0.2">
      <c r="B167" s="306"/>
    </row>
    <row r="168" spans="2:14" hidden="1" x14ac:dyDescent="0.2"/>
    <row r="169" spans="2:14" hidden="1" x14ac:dyDescent="0.2"/>
    <row r="170" spans="2:14" hidden="1" x14ac:dyDescent="0.2">
      <c r="C170" s="342">
        <v>41698</v>
      </c>
      <c r="D170" s="342">
        <v>41609</v>
      </c>
      <c r="E170" s="342">
        <v>41548</v>
      </c>
      <c r="F170" s="342">
        <v>41487</v>
      </c>
      <c r="G170" s="342">
        <v>41426</v>
      </c>
      <c r="H170" s="342">
        <v>41365</v>
      </c>
      <c r="I170" s="342">
        <v>41306</v>
      </c>
      <c r="J170" s="342">
        <v>41274</v>
      </c>
      <c r="K170" s="342">
        <v>41213</v>
      </c>
      <c r="L170" s="342">
        <v>41152</v>
      </c>
      <c r="M170" s="343">
        <v>41090</v>
      </c>
      <c r="N170" s="342">
        <v>41029</v>
      </c>
    </row>
    <row r="171" spans="2:14" hidden="1" x14ac:dyDescent="0.2">
      <c r="B171" s="58" t="s">
        <v>142</v>
      </c>
      <c r="C171" s="249">
        <f>C61</f>
        <v>169124.57</v>
      </c>
      <c r="D171" s="249">
        <f>105452.64+311868.06-305987</f>
        <v>111333.70000000001</v>
      </c>
      <c r="E171" s="249">
        <v>85798.300000000017</v>
      </c>
      <c r="F171" s="206">
        <f>53253.08+18642.89</f>
        <v>71895.97</v>
      </c>
      <c r="G171" s="206">
        <v>126315</v>
      </c>
      <c r="H171" s="206">
        <v>69404</v>
      </c>
      <c r="I171" s="206">
        <v>75744</v>
      </c>
      <c r="J171" s="206">
        <v>119840.47</v>
      </c>
      <c r="K171" s="206">
        <v>120024</v>
      </c>
      <c r="L171" s="206">
        <v>109142</v>
      </c>
      <c r="M171" s="341">
        <v>142216.66</v>
      </c>
      <c r="N171" s="206">
        <v>104785.62</v>
      </c>
    </row>
    <row r="172" spans="2:14" hidden="1" x14ac:dyDescent="0.2">
      <c r="B172" s="58" t="s">
        <v>143</v>
      </c>
      <c r="C172" s="249">
        <f>D61</f>
        <v>62104</v>
      </c>
      <c r="D172" s="249">
        <f>74767.18-13600.56</f>
        <v>61166.619999999995</v>
      </c>
      <c r="E172" s="249">
        <v>86248.31</v>
      </c>
      <c r="F172" s="206">
        <v>43187.16</v>
      </c>
      <c r="G172" s="206">
        <v>60049</v>
      </c>
      <c r="H172" s="206">
        <v>101941</v>
      </c>
      <c r="I172" s="206">
        <v>43152</v>
      </c>
      <c r="J172" s="206">
        <v>58938.2</v>
      </c>
      <c r="K172" s="206">
        <v>85767</v>
      </c>
      <c r="L172" s="206">
        <v>119436</v>
      </c>
      <c r="M172" s="341">
        <v>73223.850000000006</v>
      </c>
      <c r="N172" s="206">
        <v>86907.23</v>
      </c>
    </row>
    <row r="173" spans="2:14" hidden="1" x14ac:dyDescent="0.2">
      <c r="B173" s="58" t="s">
        <v>144</v>
      </c>
      <c r="C173" s="249">
        <f>E61</f>
        <v>14485.81</v>
      </c>
      <c r="D173" s="249">
        <f>66720.93-13675.33</f>
        <v>53045.599999999991</v>
      </c>
      <c r="E173" s="249">
        <v>32950.589999999997</v>
      </c>
      <c r="F173" s="206">
        <v>65970.55</v>
      </c>
      <c r="G173" s="206">
        <v>18719</v>
      </c>
      <c r="H173" s="206">
        <v>3668</v>
      </c>
      <c r="I173" s="206">
        <v>50430</v>
      </c>
      <c r="J173" s="206">
        <v>88408.17</v>
      </c>
      <c r="K173" s="206">
        <v>26680</v>
      </c>
      <c r="L173" s="206">
        <v>51922</v>
      </c>
      <c r="M173" s="341">
        <v>77261.37</v>
      </c>
      <c r="N173" s="206">
        <v>11021.67</v>
      </c>
    </row>
    <row r="174" spans="2:14" hidden="1" x14ac:dyDescent="0.2">
      <c r="B174" s="58" t="s">
        <v>145</v>
      </c>
      <c r="C174" s="249">
        <f>F61</f>
        <v>0</v>
      </c>
      <c r="D174" s="249">
        <v>86322.43</v>
      </c>
      <c r="E174" s="249">
        <v>66109.450000000012</v>
      </c>
      <c r="F174" s="206">
        <v>56011.13</v>
      </c>
      <c r="G174" s="206">
        <v>1250</v>
      </c>
      <c r="H174" s="206">
        <v>0</v>
      </c>
      <c r="I174" s="206">
        <v>9959</v>
      </c>
      <c r="J174" s="206">
        <v>18374.45</v>
      </c>
      <c r="K174" s="206">
        <v>22103</v>
      </c>
      <c r="L174" s="206">
        <v>71168</v>
      </c>
      <c r="M174" s="341">
        <v>55167.87</v>
      </c>
      <c r="N174" s="206"/>
    </row>
    <row r="175" spans="2:14" hidden="1" x14ac:dyDescent="0.2">
      <c r="C175" s="249">
        <f>SUM(C171:C174)</f>
        <v>245714.38</v>
      </c>
      <c r="D175" s="249">
        <f>SUM(D171:D174)</f>
        <v>311868.34999999998</v>
      </c>
      <c r="E175" s="249">
        <v>271106.65000000002</v>
      </c>
      <c r="F175" s="206">
        <f>SUM(F171:F174)</f>
        <v>237064.81</v>
      </c>
      <c r="G175" s="206">
        <f t="shared" ref="G175:N175" si="4">SUM(G171:G174)</f>
        <v>206333</v>
      </c>
      <c r="H175" s="206">
        <f t="shared" si="4"/>
        <v>175013</v>
      </c>
      <c r="I175" s="206">
        <f t="shared" si="4"/>
        <v>179285</v>
      </c>
      <c r="J175" s="206">
        <f t="shared" si="4"/>
        <v>285561.28999999998</v>
      </c>
      <c r="K175" s="206">
        <f t="shared" si="4"/>
        <v>254574</v>
      </c>
      <c r="L175" s="206">
        <f t="shared" si="4"/>
        <v>351668</v>
      </c>
      <c r="M175" s="206">
        <f t="shared" si="4"/>
        <v>347869.75</v>
      </c>
      <c r="N175" s="206">
        <f t="shared" si="4"/>
        <v>202714.52</v>
      </c>
    </row>
    <row r="176" spans="2:14" hidden="1" x14ac:dyDescent="0.2">
      <c r="D176" s="206"/>
      <c r="E176" s="206"/>
      <c r="F176" s="206"/>
      <c r="G176" s="206"/>
      <c r="H176" s="206"/>
      <c r="I176" s="206"/>
      <c r="J176" s="206"/>
      <c r="K176" s="206"/>
      <c r="L176" s="341"/>
    </row>
    <row r="177" spans="3:11" hidden="1" x14ac:dyDescent="0.2">
      <c r="C177" s="206"/>
      <c r="D177" s="206"/>
      <c r="E177" s="206"/>
      <c r="F177" s="206"/>
      <c r="G177" s="206"/>
      <c r="H177" s="341"/>
      <c r="I177" s="341"/>
      <c r="J177" s="341"/>
      <c r="K177" s="341"/>
    </row>
    <row r="178" spans="3:11" hidden="1" x14ac:dyDescent="0.2">
      <c r="C178" s="206"/>
      <c r="D178" s="206"/>
      <c r="E178" s="206"/>
      <c r="F178" s="206"/>
      <c r="G178" s="206"/>
      <c r="H178" s="341"/>
      <c r="I178" s="341"/>
      <c r="J178" s="341"/>
      <c r="K178" s="341"/>
    </row>
    <row r="179" spans="3:11" hidden="1" x14ac:dyDescent="0.2"/>
    <row r="180" spans="3:11" hidden="1" x14ac:dyDescent="0.2"/>
    <row r="181" spans="3:11" hidden="1" x14ac:dyDescent="0.2"/>
    <row r="182" spans="3:11" hidden="1" x14ac:dyDescent="0.2"/>
    <row r="183" spans="3:11" hidden="1" x14ac:dyDescent="0.2"/>
    <row r="184" spans="3:11" hidden="1" x14ac:dyDescent="0.2"/>
    <row r="185" spans="3:11" hidden="1" x14ac:dyDescent="0.2"/>
    <row r="186" spans="3:11" hidden="1" x14ac:dyDescent="0.2"/>
    <row r="187" spans="3:11" hidden="1" x14ac:dyDescent="0.2"/>
    <row r="188" spans="3:11" hidden="1" x14ac:dyDescent="0.2"/>
    <row r="189" spans="3:11" hidden="1" x14ac:dyDescent="0.2"/>
    <row r="190" spans="3:11" hidden="1" x14ac:dyDescent="0.2"/>
    <row r="191" spans="3:11" hidden="1" x14ac:dyDescent="0.2"/>
    <row r="192" spans="3:1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sheetData>
  <sortState ref="A82:J85">
    <sortCondition ref="A82:A85"/>
  </sortState>
  <mergeCells count="2">
    <mergeCell ref="A5:B5"/>
    <mergeCell ref="A53:B53"/>
  </mergeCells>
  <pageMargins left="0.45" right="0.25" top="1.25" bottom="0" header="0.3" footer="0.3"/>
  <pageSetup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P41" sqref="P41"/>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375" style="18" customWidth="1"/>
    <col min="11" max="11" width="1.25" style="18" hidden="1" customWidth="1"/>
    <col min="12" max="12" width="24" style="18" hidden="1"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102</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187</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55</v>
      </c>
      <c r="B6" s="65"/>
      <c r="C6" s="65"/>
      <c r="D6" s="65"/>
      <c r="E6" s="65"/>
      <c r="F6" s="65"/>
      <c r="G6" s="263"/>
      <c r="H6" s="263"/>
      <c r="I6" s="263" t="s">
        <v>56</v>
      </c>
      <c r="J6" s="263"/>
      <c r="K6" s="263"/>
      <c r="L6" s="263"/>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5" t="s">
        <v>57</v>
      </c>
      <c r="C8" s="155"/>
      <c r="D8" s="155"/>
      <c r="E8" s="155"/>
      <c r="F8" s="155"/>
      <c r="G8" s="357"/>
      <c r="H8" s="308">
        <v>43465</v>
      </c>
      <c r="I8" s="308"/>
      <c r="J8" s="308">
        <v>43100</v>
      </c>
      <c r="K8" s="72"/>
      <c r="L8" s="308">
        <f>H8-365</f>
        <v>43100</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84</v>
      </c>
      <c r="E11" s="76"/>
      <c r="F11" s="76"/>
      <c r="G11" s="287"/>
      <c r="H11" s="287" t="s">
        <v>108</v>
      </c>
      <c r="I11" s="287"/>
      <c r="J11" s="287" t="s">
        <v>108</v>
      </c>
      <c r="K11" s="77"/>
      <c r="L11" s="287" t="s">
        <v>108</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85</v>
      </c>
      <c r="E12" s="76"/>
      <c r="F12" s="76"/>
      <c r="G12" s="287"/>
      <c r="H12" s="287" t="s">
        <v>108</v>
      </c>
      <c r="I12" s="287"/>
      <c r="J12" s="287" t="s">
        <v>108</v>
      </c>
      <c r="K12" s="77"/>
      <c r="L12" s="287" t="s">
        <v>108</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200</v>
      </c>
      <c r="E13" s="76"/>
      <c r="F13" s="76"/>
      <c r="G13" s="267"/>
      <c r="H13" s="267">
        <v>274101.40000000002</v>
      </c>
      <c r="I13" s="267"/>
      <c r="J13" s="267">
        <v>282558.58</v>
      </c>
      <c r="K13" s="77"/>
      <c r="L13" s="267">
        <v>323197.73</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201</v>
      </c>
      <c r="E14" s="76"/>
      <c r="F14" s="76"/>
      <c r="G14" s="256"/>
      <c r="H14" s="256">
        <v>199.98</v>
      </c>
      <c r="I14" s="256"/>
      <c r="J14" s="256">
        <v>939.98</v>
      </c>
      <c r="K14" s="77"/>
      <c r="L14" s="256">
        <v>37290.65</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86</v>
      </c>
      <c r="E15" s="79"/>
      <c r="F15" s="79"/>
      <c r="G15" s="254"/>
      <c r="H15" s="257">
        <v>200</v>
      </c>
      <c r="I15" s="254"/>
      <c r="J15" s="257">
        <v>200</v>
      </c>
      <c r="K15" s="77"/>
      <c r="L15" s="25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59</v>
      </c>
      <c r="D16" s="74"/>
      <c r="E16" s="74"/>
      <c r="F16" s="74"/>
      <c r="G16" s="258"/>
      <c r="H16" s="258">
        <f>ROUND(SUM(H10:H15),5)</f>
        <v>274501.38</v>
      </c>
      <c r="I16" s="258"/>
      <c r="J16" s="258">
        <f>ROUND(SUM(J10:J15),5)</f>
        <v>283698.56</v>
      </c>
      <c r="K16" s="69"/>
      <c r="L16" s="258">
        <f>ROUND(SUM(L10:L15),5)</f>
        <v>360688.38</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56"/>
      <c r="H17" s="256"/>
      <c r="I17" s="256"/>
      <c r="J17" s="256"/>
      <c r="K17" s="69"/>
      <c r="L17" s="25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61</v>
      </c>
      <c r="D18" s="74"/>
      <c r="E18" s="74"/>
      <c r="F18" s="74"/>
      <c r="G18" s="256"/>
      <c r="H18" s="256"/>
      <c r="I18" s="256"/>
      <c r="J18" s="256"/>
      <c r="K18" s="69"/>
      <c r="L18" s="25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161</v>
      </c>
      <c r="E19" s="80"/>
      <c r="F19" s="80"/>
      <c r="G19" s="307"/>
      <c r="H19" s="307">
        <f>'Dec''18 AR Aging '!G61</f>
        <v>245714.38</v>
      </c>
      <c r="I19" s="307"/>
      <c r="J19" s="307">
        <v>258260.86</v>
      </c>
      <c r="K19" s="270"/>
      <c r="L19" s="307">
        <v>199171.39</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32"/>
      <c r="B20" s="434"/>
      <c r="C20" s="80"/>
      <c r="D20" s="80" t="s">
        <v>178</v>
      </c>
      <c r="E20" s="80"/>
      <c r="F20" s="80"/>
      <c r="G20" s="307"/>
      <c r="H20" s="254"/>
      <c r="I20" s="307"/>
      <c r="J20" s="307"/>
      <c r="K20" s="270"/>
      <c r="L20" s="307">
        <v>97.11</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34"/>
      <c r="C21" s="76"/>
      <c r="D21" s="76" t="s">
        <v>245</v>
      </c>
      <c r="E21" s="76"/>
      <c r="F21" s="76"/>
      <c r="G21" s="256"/>
      <c r="H21" s="256">
        <v>159621.23000000001</v>
      </c>
      <c r="I21" s="256"/>
      <c r="J21" s="256">
        <v>164937.87</v>
      </c>
      <c r="K21" s="270"/>
      <c r="L21" s="256">
        <v>164090.28</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34"/>
      <c r="C22" s="79"/>
      <c r="D22" s="79" t="s">
        <v>87</v>
      </c>
      <c r="E22" s="79"/>
      <c r="F22" s="79"/>
      <c r="G22" s="254"/>
      <c r="H22" s="257">
        <f>3593.28+1098.06</f>
        <v>4691.34</v>
      </c>
      <c r="I22" s="254"/>
      <c r="J22" s="441">
        <f>8145.25+1337.21</f>
        <v>9482.4599999999991</v>
      </c>
      <c r="K22" s="270"/>
      <c r="L22" s="257">
        <f>9609.4+1337.21</f>
        <v>10946.61</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62</v>
      </c>
      <c r="D23" s="68"/>
      <c r="E23" s="68"/>
      <c r="F23" s="68"/>
      <c r="G23" s="259"/>
      <c r="H23" s="259">
        <f>SUM(H19:H22)</f>
        <v>410026.95</v>
      </c>
      <c r="I23" s="259"/>
      <c r="J23" s="259">
        <f>SUM(J19:J22)</f>
        <v>432681.19</v>
      </c>
      <c r="K23" s="288"/>
      <c r="L23" s="259">
        <f>SUM(L19:L22)</f>
        <v>374305.39</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54"/>
      <c r="H24" s="254"/>
      <c r="I24" s="254"/>
      <c r="J24" s="254"/>
      <c r="K24" s="69"/>
      <c r="L24" s="25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63</v>
      </c>
      <c r="C25" s="81"/>
      <c r="D25" s="81"/>
      <c r="E25" s="81"/>
      <c r="F25" s="81"/>
      <c r="G25" s="259"/>
      <c r="H25" s="260">
        <f>H16+H23</f>
        <v>684528.33000000007</v>
      </c>
      <c r="I25" s="259"/>
      <c r="J25" s="260">
        <f>J16+J23</f>
        <v>716379.75</v>
      </c>
      <c r="K25" s="69"/>
      <c r="L25" s="260">
        <f>L16+L23</f>
        <v>734993.77</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59"/>
      <c r="H26" s="258"/>
      <c r="I26" s="259"/>
      <c r="J26" s="258"/>
      <c r="K26" s="69"/>
      <c r="L26" s="25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64</v>
      </c>
      <c r="C27" s="71"/>
      <c r="D27" s="71"/>
      <c r="E27" s="71"/>
      <c r="F27" s="71"/>
      <c r="G27" s="293"/>
      <c r="H27" s="261"/>
      <c r="I27" s="293"/>
      <c r="J27" s="261"/>
      <c r="K27" s="72"/>
      <c r="L27" s="261"/>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34"/>
      <c r="C28" s="76"/>
      <c r="D28" s="76" t="s">
        <v>88</v>
      </c>
      <c r="E28" s="76"/>
      <c r="F28" s="76"/>
      <c r="G28" s="254"/>
      <c r="H28" s="256">
        <v>221731.4</v>
      </c>
      <c r="I28" s="254"/>
      <c r="J28" s="256">
        <v>192474.47</v>
      </c>
      <c r="K28" s="270"/>
      <c r="L28" s="256">
        <v>192474.47</v>
      </c>
      <c r="M28" s="77"/>
      <c r="N28" s="77"/>
      <c r="O28" s="77"/>
      <c r="P28" s="270"/>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34"/>
      <c r="C29" s="76"/>
      <c r="D29" s="76" t="s">
        <v>89</v>
      </c>
      <c r="E29" s="76"/>
      <c r="F29" s="76"/>
      <c r="G29" s="254"/>
      <c r="H29" s="256">
        <v>49562</v>
      </c>
      <c r="I29" s="254"/>
      <c r="J29" s="256">
        <v>49562</v>
      </c>
      <c r="K29" s="270"/>
      <c r="L29" s="25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34"/>
      <c r="C30" s="76"/>
      <c r="D30" s="76" t="s">
        <v>90</v>
      </c>
      <c r="E30" s="76"/>
      <c r="F30" s="76"/>
      <c r="G30" s="254"/>
      <c r="H30" s="256">
        <v>207734.77</v>
      </c>
      <c r="I30" s="254"/>
      <c r="J30" s="256">
        <v>162848.99</v>
      </c>
      <c r="K30" s="270"/>
      <c r="L30" s="256">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91</v>
      </c>
      <c r="E31" s="80"/>
      <c r="F31" s="80"/>
      <c r="G31" s="254"/>
      <c r="H31" s="254">
        <v>-324036.03999999998</v>
      </c>
      <c r="I31" s="254"/>
      <c r="J31" s="254">
        <v>-285865.03999999998</v>
      </c>
      <c r="K31" s="270"/>
      <c r="L31" s="254">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485</v>
      </c>
      <c r="C32" s="81"/>
      <c r="D32" s="81"/>
      <c r="E32" s="81"/>
      <c r="F32" s="81"/>
      <c r="G32" s="259"/>
      <c r="H32" s="262">
        <f>SUM(H28:H31)</f>
        <v>154992.13000000006</v>
      </c>
      <c r="I32" s="259"/>
      <c r="J32" s="262">
        <f>SUM(J28:J31)</f>
        <v>119020.41999999998</v>
      </c>
      <c r="K32" s="69"/>
      <c r="L32" s="262">
        <f>SUM(L28:L31)</f>
        <v>121423.49000000005</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59"/>
      <c r="H33" s="258"/>
      <c r="I33" s="259"/>
      <c r="J33" s="258"/>
      <c r="K33" s="69"/>
      <c r="L33" s="25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54"/>
      <c r="H34" s="254"/>
      <c r="I34" s="254"/>
      <c r="J34" s="254"/>
      <c r="K34" s="69"/>
      <c r="L34" s="25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65</v>
      </c>
      <c r="B35" s="82"/>
      <c r="C35" s="82"/>
      <c r="D35" s="82"/>
      <c r="E35" s="82"/>
      <c r="F35" s="82"/>
      <c r="G35" s="295"/>
      <c r="H35" s="268">
        <f>H25+H32</f>
        <v>839520.4600000002</v>
      </c>
      <c r="I35" s="295"/>
      <c r="J35" s="268">
        <f>J25+J32</f>
        <v>835400.16999999993</v>
      </c>
      <c r="K35" s="83"/>
      <c r="L35" s="268">
        <f>L25+L32</f>
        <v>856417.26</v>
      </c>
      <c r="M35" s="83"/>
      <c r="N35" s="83"/>
      <c r="O35" s="83"/>
      <c r="P35" s="794"/>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59"/>
      <c r="H36" s="259"/>
      <c r="I36" s="259"/>
      <c r="J36" s="259"/>
      <c r="K36" s="85"/>
      <c r="L36" s="259"/>
      <c r="M36" s="85"/>
      <c r="N36" s="85"/>
      <c r="O36" s="85"/>
      <c r="P36" s="44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66</v>
      </c>
      <c r="B37" s="65"/>
      <c r="C37" s="65"/>
      <c r="D37" s="65"/>
      <c r="E37" s="65"/>
      <c r="F37" s="65"/>
      <c r="G37" s="358"/>
      <c r="H37" s="263"/>
      <c r="I37" s="263"/>
      <c r="J37" s="263"/>
      <c r="K37" s="66"/>
      <c r="L37" s="26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56"/>
      <c r="H38" s="256"/>
      <c r="I38" s="254"/>
      <c r="J38" s="256"/>
      <c r="K38" s="69"/>
      <c r="L38" s="25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67</v>
      </c>
      <c r="C39" s="88"/>
      <c r="D39" s="88"/>
      <c r="E39" s="88"/>
      <c r="F39" s="88"/>
      <c r="G39" s="264"/>
      <c r="H39" s="264"/>
      <c r="I39" s="264"/>
      <c r="J39" s="264"/>
      <c r="K39" s="69"/>
      <c r="L39" s="264"/>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54"/>
      <c r="H40" s="256"/>
      <c r="I40" s="254"/>
      <c r="J40" s="256"/>
      <c r="K40" s="69"/>
      <c r="L40" s="25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5" t="s">
        <v>68</v>
      </c>
      <c r="C41" s="156"/>
      <c r="D41" s="155"/>
      <c r="E41" s="155"/>
      <c r="F41" s="155"/>
      <c r="G41" s="293"/>
      <c r="H41" s="255"/>
      <c r="I41" s="293"/>
      <c r="J41" s="255"/>
      <c r="K41" s="72"/>
      <c r="L41" s="25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162</v>
      </c>
      <c r="F42" s="76"/>
      <c r="G42" s="269"/>
      <c r="H42" s="269">
        <f>39369.92+249.5+330</f>
        <v>39949.42</v>
      </c>
      <c r="I42" s="269"/>
      <c r="J42" s="269">
        <f>15469.59+566.49+1684.63+1090.94</f>
        <v>18811.649999999998</v>
      </c>
      <c r="K42" s="422"/>
      <c r="L42" s="269">
        <f>14882.4+2066.49+1689.92+2978.07</f>
        <v>21616.879999999997</v>
      </c>
      <c r="M42" s="77"/>
      <c r="N42" s="422"/>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104</v>
      </c>
      <c r="F43" s="76"/>
      <c r="G43" s="254"/>
      <c r="H43" s="254">
        <v>159.85</v>
      </c>
      <c r="I43" s="254"/>
      <c r="J43" s="254">
        <v>100.9</v>
      </c>
      <c r="K43" s="77"/>
      <c r="L43" s="254">
        <v>1329.87</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92</v>
      </c>
      <c r="F44" s="76"/>
      <c r="G44" s="254"/>
      <c r="H44" s="256">
        <v>24010</v>
      </c>
      <c r="I44" s="256"/>
      <c r="J44" s="256">
        <v>22029</v>
      </c>
      <c r="K44" s="77"/>
      <c r="L44" s="256">
        <v>825.66</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170</v>
      </c>
      <c r="F45" s="76"/>
      <c r="G45" s="254"/>
      <c r="H45" s="256">
        <v>0</v>
      </c>
      <c r="I45" s="256"/>
      <c r="J45" s="256">
        <v>0</v>
      </c>
      <c r="K45" s="77"/>
      <c r="L45" s="256">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103</v>
      </c>
      <c r="E46" s="154"/>
      <c r="F46" s="79"/>
      <c r="G46" s="254"/>
      <c r="H46" s="256">
        <f>'Dec''18 Revenues &amp; Expenses'!L43</f>
        <v>46295.15</v>
      </c>
      <c r="I46" s="356"/>
      <c r="J46" s="256">
        <v>79051.83</v>
      </c>
      <c r="K46" s="270"/>
      <c r="L46" s="256">
        <v>81149.119999999995</v>
      </c>
      <c r="M46" s="77"/>
      <c r="N46" s="77"/>
      <c r="O46" s="77"/>
      <c r="P46" s="270"/>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79</v>
      </c>
      <c r="D47" s="76"/>
      <c r="F47" s="76"/>
      <c r="G47" s="254"/>
      <c r="H47" s="265">
        <f>SUM(H42:H46)</f>
        <v>110414.42</v>
      </c>
      <c r="I47" s="356"/>
      <c r="J47" s="265">
        <f>SUM(J42:J46)</f>
        <v>119993.38</v>
      </c>
      <c r="K47" s="77"/>
      <c r="L47" s="265">
        <f>SUM(L42:L46)</f>
        <v>104921.53</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54"/>
      <c r="H48" s="256"/>
      <c r="I48" s="356"/>
      <c r="J48" s="256"/>
      <c r="K48" s="77"/>
      <c r="L48" s="25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81</v>
      </c>
      <c r="D49" s="89"/>
      <c r="E49" s="154"/>
      <c r="F49" s="154"/>
      <c r="G49" s="254"/>
      <c r="H49" s="257"/>
      <c r="I49" s="356"/>
      <c r="J49" s="257"/>
      <c r="K49" s="77"/>
      <c r="L49" s="25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95</v>
      </c>
      <c r="E50" s="76"/>
      <c r="F50" s="76"/>
      <c r="G50" s="254"/>
      <c r="H50" s="254">
        <f>21018.38+1993-H52-H53</f>
        <v>21331.260000000002</v>
      </c>
      <c r="I50" s="356"/>
      <c r="J50" s="254">
        <f>18236.49+4310.12-J52-J53</f>
        <v>19348.59</v>
      </c>
      <c r="K50" s="77"/>
      <c r="L50" s="254">
        <f>46590.11+1595.01-L52-L53</f>
        <v>46710.22</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96</v>
      </c>
      <c r="E51" s="76"/>
      <c r="F51" s="76"/>
      <c r="G51" s="254"/>
      <c r="H51" s="254">
        <v>19121.490000000002</v>
      </c>
      <c r="I51" s="356"/>
      <c r="J51" s="254">
        <v>23212.11</v>
      </c>
      <c r="K51" s="77"/>
      <c r="L51" s="254">
        <v>28950.68</v>
      </c>
      <c r="M51" s="77"/>
      <c r="N51" s="77"/>
      <c r="O51" s="77"/>
      <c r="P51" s="77"/>
      <c r="Q51" s="270"/>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97</v>
      </c>
      <c r="E52" s="76"/>
      <c r="F52" s="76"/>
      <c r="G52" s="254"/>
      <c r="H52" s="256">
        <v>1527.8</v>
      </c>
      <c r="I52" s="356"/>
      <c r="J52" s="256">
        <v>2958.8</v>
      </c>
      <c r="K52" s="77"/>
      <c r="L52" s="256">
        <v>1251.98</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98</v>
      </c>
      <c r="E53" s="76"/>
      <c r="F53" s="76"/>
      <c r="G53" s="254"/>
      <c r="H53" s="257">
        <v>152.32</v>
      </c>
      <c r="I53" s="356"/>
      <c r="J53" s="257">
        <v>239.22</v>
      </c>
      <c r="K53" s="77"/>
      <c r="L53" s="257">
        <v>222.92</v>
      </c>
      <c r="M53" s="77"/>
      <c r="N53" s="77"/>
      <c r="O53" s="77"/>
      <c r="P53" s="77"/>
      <c r="Q53" s="270"/>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80</v>
      </c>
      <c r="D54" s="76"/>
      <c r="F54" s="80"/>
      <c r="G54" s="254"/>
      <c r="H54" s="254">
        <f>ROUND(SUM(H49:H53),5)</f>
        <v>42132.87</v>
      </c>
      <c r="I54" s="356"/>
      <c r="J54" s="254">
        <f>ROUND(SUM(J49:J53),5)</f>
        <v>45758.720000000001</v>
      </c>
      <c r="K54" s="77"/>
      <c r="L54" s="254">
        <f>ROUND(SUM(L49:L53),5)</f>
        <v>77135.8</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54"/>
      <c r="H55" s="257"/>
      <c r="I55" s="356"/>
      <c r="J55" s="257"/>
      <c r="K55" s="77"/>
      <c r="L55" s="25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82</v>
      </c>
      <c r="D56" s="74"/>
      <c r="E56" s="74"/>
      <c r="F56" s="74"/>
      <c r="G56" s="259"/>
      <c r="H56" s="258">
        <f>H47+H54</f>
        <v>152547.29</v>
      </c>
      <c r="I56" s="427"/>
      <c r="J56" s="258">
        <f>J47+J54</f>
        <v>165752.1</v>
      </c>
      <c r="K56" s="288"/>
      <c r="L56" s="258">
        <f>L47+L54</f>
        <v>182057.33000000002</v>
      </c>
      <c r="M56" s="69"/>
      <c r="N56" s="377"/>
      <c r="O56" s="69"/>
      <c r="P56" s="377"/>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59"/>
      <c r="H57" s="258"/>
      <c r="I57" s="427"/>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69</v>
      </c>
      <c r="C58" s="88"/>
      <c r="D58" s="88"/>
      <c r="E58" s="88"/>
      <c r="F58" s="88"/>
      <c r="G58" s="254"/>
      <c r="H58" s="264"/>
      <c r="I58" s="356"/>
      <c r="J58" s="264"/>
      <c r="K58" s="69"/>
      <c r="L58" s="264"/>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93</v>
      </c>
      <c r="E59" s="76"/>
      <c r="F59" s="76"/>
      <c r="G59" s="254"/>
      <c r="H59" s="256">
        <f>716307.41+8802.26-94300.37</f>
        <v>630809.30000000005</v>
      </c>
      <c r="I59" s="356"/>
      <c r="J59" s="256">
        <f>L59</f>
        <v>617788.41</v>
      </c>
      <c r="K59" s="270"/>
      <c r="L59" s="256">
        <f>569315.93+35972.48+12500</f>
        <v>617788.41</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99</v>
      </c>
      <c r="E60" s="76"/>
      <c r="F60" s="76"/>
      <c r="G60" s="254"/>
      <c r="H60" s="256">
        <f>'Dec''18 Revenues &amp; Expenses'!L64</f>
        <v>31983.63</v>
      </c>
      <c r="I60" s="356"/>
      <c r="J60" s="256">
        <v>38838.769999999997</v>
      </c>
      <c r="K60" s="270"/>
      <c r="L60" s="256">
        <v>43678.78</v>
      </c>
      <c r="M60" s="77"/>
      <c r="N60" s="77"/>
      <c r="O60" s="270"/>
      <c r="P60" s="270"/>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138</v>
      </c>
      <c r="E61" s="74"/>
      <c r="F61" s="88"/>
      <c r="G61" s="356"/>
      <c r="H61" s="264">
        <f>24510.15-330</f>
        <v>24180.15</v>
      </c>
      <c r="I61" s="356"/>
      <c r="J61" s="264">
        <f>'Dec''18 State of Activities'!H58</f>
        <v>13020.890000000363</v>
      </c>
      <c r="K61" s="69"/>
      <c r="L61" s="264">
        <f>'Dec''18 State of Activities'!J58</f>
        <v>20655.239999999991</v>
      </c>
      <c r="M61" s="69"/>
      <c r="N61" s="69"/>
      <c r="O61" s="69"/>
      <c r="P61" s="431"/>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70</v>
      </c>
      <c r="C62" s="91"/>
      <c r="D62" s="91"/>
      <c r="E62" s="91"/>
      <c r="F62" s="68"/>
      <c r="G62" s="427"/>
      <c r="H62" s="259">
        <f>ROUND(SUM(H58:H61),5)</f>
        <v>686973.08</v>
      </c>
      <c r="I62" s="427"/>
      <c r="J62" s="259">
        <f>ROUND(SUM(J58:J61),5)</f>
        <v>669648.06999999995</v>
      </c>
      <c r="K62" s="69"/>
      <c r="L62" s="259">
        <f>ROUND(SUM(L58:L61),5)</f>
        <v>682122.43</v>
      </c>
      <c r="M62" s="69"/>
      <c r="N62" s="69"/>
      <c r="O62" s="69"/>
      <c r="P62" s="431"/>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56"/>
      <c r="H63" s="257"/>
      <c r="I63" s="356"/>
      <c r="J63" s="257"/>
      <c r="K63" s="69"/>
      <c r="L63" s="257"/>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71</v>
      </c>
      <c r="B64" s="82"/>
      <c r="C64" s="82"/>
      <c r="D64" s="82"/>
      <c r="E64" s="82"/>
      <c r="F64" s="82"/>
      <c r="G64" s="428"/>
      <c r="H64" s="393">
        <f>SUM(H56+H62)</f>
        <v>839520.37</v>
      </c>
      <c r="I64" s="428"/>
      <c r="J64" s="393">
        <f>SUM(J56+J62)</f>
        <v>835400.16999999993</v>
      </c>
      <c r="K64" s="83"/>
      <c r="L64" s="393">
        <f>SUM(L56+L62)</f>
        <v>864179.76</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78"/>
      <c r="G65" s="1"/>
      <c r="I65" s="1"/>
    </row>
    <row r="66" spans="3:12" hidden="1" x14ac:dyDescent="0.2">
      <c r="G66" s="429"/>
      <c r="H66" s="273"/>
      <c r="I66" s="273"/>
      <c r="J66" s="273"/>
      <c r="L66" s="273"/>
    </row>
    <row r="67" spans="3:12" ht="14.25" customHeight="1" x14ac:dyDescent="0.2">
      <c r="C67" s="767" t="s">
        <v>224</v>
      </c>
      <c r="D67" s="767"/>
      <c r="E67" s="767"/>
      <c r="F67" s="767"/>
      <c r="G67" s="1"/>
      <c r="H67" s="488">
        <f>(H19+H16)/H56</f>
        <v>3.4101933898661851</v>
      </c>
      <c r="J67" s="488">
        <f>(J19+J16)/J56</f>
        <v>3.2696986644513095</v>
      </c>
      <c r="K67" s="288"/>
      <c r="L67" s="488">
        <f>(L19+L16)/L56</f>
        <v>3.0751838994892431</v>
      </c>
    </row>
    <row r="70" spans="3:12" x14ac:dyDescent="0.2">
      <c r="G70" s="298"/>
      <c r="H70" s="273">
        <f>H64-H35</f>
        <v>-9.0000000200234354E-2</v>
      </c>
      <c r="I70" s="298"/>
      <c r="J70" s="273">
        <f>J64-J35</f>
        <v>0</v>
      </c>
      <c r="L70" s="273">
        <f>L64-L35</f>
        <v>7762.5</v>
      </c>
    </row>
    <row r="71" spans="3:12" x14ac:dyDescent="0.2">
      <c r="L71" s="694"/>
    </row>
    <row r="75" spans="3:12" x14ac:dyDescent="0.2">
      <c r="H75" s="298"/>
    </row>
  </sheetData>
  <mergeCells count="1">
    <mergeCell ref="C67:F67"/>
  </mergeCells>
  <pageMargins left="0.7" right="0.45" top="0.25" bottom="0" header="0.3" footer="0"/>
  <pageSetup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topLeftCell="A43" zoomScale="75" zoomScaleNormal="75" workbookViewId="0">
      <selection activeCell="Q64" sqref="Q64:R64"/>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hidden="1" customWidth="1"/>
    <col min="10" max="10" width="23" style="18" hidden="1" customWidth="1"/>
    <col min="11" max="11" width="1.875" style="407" hidden="1" customWidth="1"/>
    <col min="12" max="12" width="17.25" style="18" customWidth="1"/>
    <col min="13" max="13" width="10" style="18" customWidth="1"/>
    <col min="14" max="14" width="80.75" style="601"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102</v>
      </c>
      <c r="B1" s="60"/>
      <c r="C1" s="61"/>
      <c r="D1" s="61"/>
      <c r="E1" s="61"/>
      <c r="F1" s="60"/>
      <c r="G1" s="252"/>
      <c r="H1" s="60"/>
      <c r="I1" s="60"/>
      <c r="J1" s="60"/>
      <c r="K1" s="399"/>
      <c r="L1" s="60"/>
      <c r="M1" s="60"/>
      <c r="N1" s="593"/>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188</v>
      </c>
      <c r="B2" s="60"/>
      <c r="C2" s="61"/>
      <c r="D2" s="61"/>
      <c r="E2" s="61"/>
      <c r="F2" s="60"/>
      <c r="G2" s="252"/>
      <c r="H2" s="60"/>
      <c r="I2" s="60"/>
      <c r="J2" s="252"/>
      <c r="K2" s="399"/>
      <c r="L2" s="60"/>
      <c r="M2" s="60"/>
      <c r="N2" s="593"/>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9" t="s">
        <v>410</v>
      </c>
      <c r="B3" s="60"/>
      <c r="C3" s="61"/>
      <c r="D3" s="61"/>
      <c r="E3" s="61"/>
      <c r="F3" s="60"/>
      <c r="G3" s="252"/>
      <c r="H3" s="60"/>
      <c r="I3" s="60"/>
      <c r="J3" s="60"/>
      <c r="K3" s="399"/>
      <c r="L3" s="60"/>
      <c r="M3" s="60"/>
      <c r="N3" s="593"/>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445</v>
      </c>
      <c r="B4" s="60"/>
      <c r="C4" s="61"/>
      <c r="D4" s="61"/>
      <c r="E4" s="61"/>
      <c r="F4" s="60"/>
      <c r="G4" s="252"/>
      <c r="H4" s="60"/>
      <c r="I4" s="60"/>
      <c r="J4" s="60"/>
      <c r="K4" s="399"/>
      <c r="L4" s="60"/>
      <c r="M4" s="60"/>
      <c r="N4" s="593"/>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0"/>
      <c r="L5" s="63"/>
      <c r="M5" s="63"/>
      <c r="N5" s="594"/>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117</v>
      </c>
      <c r="B6" s="65"/>
      <c r="C6" s="65"/>
      <c r="D6" s="65"/>
      <c r="E6" s="65"/>
      <c r="F6" s="65"/>
      <c r="G6" s="769" t="s">
        <v>56</v>
      </c>
      <c r="H6" s="769"/>
      <c r="I6" s="769"/>
      <c r="J6" s="769"/>
      <c r="K6" s="401"/>
      <c r="L6" s="460" t="s">
        <v>205</v>
      </c>
      <c r="M6" s="457" t="s">
        <v>218</v>
      </c>
      <c r="N6" s="710" t="s">
        <v>204</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2"/>
      <c r="N7" s="595"/>
    </row>
    <row r="8" spans="1:113" s="73" customFormat="1" ht="21" thickBot="1" x14ac:dyDescent="0.35">
      <c r="A8" s="70"/>
      <c r="B8" s="155" t="s">
        <v>109</v>
      </c>
      <c r="C8" s="155"/>
      <c r="D8" s="155"/>
      <c r="E8" s="155"/>
      <c r="F8" s="155"/>
      <c r="G8" s="308">
        <f>'Dec''18 Financial Position'!H8</f>
        <v>43465</v>
      </c>
      <c r="H8" s="308">
        <v>43100</v>
      </c>
      <c r="I8" s="357"/>
      <c r="J8" s="308">
        <f>G8-365</f>
        <v>43100</v>
      </c>
      <c r="K8" s="403"/>
      <c r="L8" s="768" t="s">
        <v>448</v>
      </c>
      <c r="M8" s="768"/>
      <c r="N8" s="596"/>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110</v>
      </c>
      <c r="D9" s="76"/>
      <c r="E9" s="76"/>
      <c r="F9" s="74"/>
      <c r="G9" s="289">
        <f>943094.07+249.5</f>
        <v>943343.57</v>
      </c>
      <c r="H9" s="289">
        <v>954931.56</v>
      </c>
      <c r="I9" s="360"/>
      <c r="J9" s="289">
        <v>801307.39</v>
      </c>
      <c r="K9" s="402"/>
      <c r="L9" s="421">
        <f>G9-H9</f>
        <v>-11587.990000000107</v>
      </c>
      <c r="M9" s="489">
        <f>L9/H9</f>
        <v>-1.2134890588389503E-2</v>
      </c>
      <c r="N9" s="595" t="s">
        <v>473</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193</v>
      </c>
      <c r="D10" s="76"/>
      <c r="E10" s="76"/>
      <c r="F10" s="74"/>
      <c r="G10" s="290">
        <v>4698.29</v>
      </c>
      <c r="H10" s="290">
        <v>11258.31</v>
      </c>
      <c r="I10" s="356"/>
      <c r="J10" s="290">
        <v>9408.59</v>
      </c>
      <c r="K10" s="402"/>
      <c r="L10" s="301">
        <f>G10-H10</f>
        <v>-6560.0199999999995</v>
      </c>
      <c r="M10" s="489">
        <f>L10/H10</f>
        <v>-0.58268248076309848</v>
      </c>
      <c r="N10" s="595" t="s">
        <v>474</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35"/>
      <c r="C11" s="76" t="s">
        <v>163</v>
      </c>
      <c r="D11" s="76"/>
      <c r="E11" s="76"/>
      <c r="F11" s="74"/>
      <c r="G11" s="290">
        <v>153483.23000000001</v>
      </c>
      <c r="H11" s="290">
        <v>157409.59</v>
      </c>
      <c r="I11" s="356"/>
      <c r="J11" s="290">
        <v>136146.63</v>
      </c>
      <c r="K11" s="402"/>
      <c r="L11" s="301">
        <f>G11-H11</f>
        <v>-3926.359999999986</v>
      </c>
      <c r="M11" s="489">
        <f>L11/H11</f>
        <v>-2.4943588252786798E-2</v>
      </c>
      <c r="N11" s="595" t="s">
        <v>404</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35"/>
      <c r="C12" s="76" t="s">
        <v>203</v>
      </c>
      <c r="D12" s="76"/>
      <c r="E12" s="76"/>
      <c r="F12" s="74"/>
      <c r="G12" s="290">
        <v>44022.26</v>
      </c>
      <c r="H12" s="290">
        <v>41803.1</v>
      </c>
      <c r="I12" s="356"/>
      <c r="J12" s="290">
        <v>34177.47</v>
      </c>
      <c r="K12" s="402"/>
      <c r="L12" s="301">
        <f>G12-H12</f>
        <v>2219.1600000000035</v>
      </c>
      <c r="M12" s="489">
        <f>L12/H12</f>
        <v>5.3086015151986424E-2</v>
      </c>
      <c r="N12" s="595"/>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35"/>
      <c r="C13" s="76" t="s">
        <v>111</v>
      </c>
      <c r="D13" s="76"/>
      <c r="E13" s="76"/>
      <c r="F13" s="74"/>
      <c r="G13" s="290"/>
      <c r="H13" s="290"/>
      <c r="I13" s="356"/>
      <c r="J13" s="290"/>
      <c r="K13" s="402"/>
      <c r="L13" s="301">
        <f>G13-H13</f>
        <v>0</v>
      </c>
      <c r="M13" s="489"/>
      <c r="N13" s="595"/>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35"/>
      <c r="C14" s="78"/>
      <c r="D14" s="76" t="s">
        <v>152</v>
      </c>
      <c r="E14" s="76"/>
      <c r="F14" s="74"/>
      <c r="G14" s="290">
        <v>163055.47</v>
      </c>
      <c r="H14" s="290">
        <v>158914.15</v>
      </c>
      <c r="I14" s="356"/>
      <c r="J14" s="290">
        <v>130924.91</v>
      </c>
      <c r="K14" s="402"/>
      <c r="L14" s="301">
        <f>G14-H14</f>
        <v>4141.320000000007</v>
      </c>
      <c r="M14" s="489">
        <f>L14/H14</f>
        <v>2.6060108555468517E-2</v>
      </c>
      <c r="N14" s="595"/>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35"/>
      <c r="C15" s="78"/>
      <c r="D15" s="76" t="s">
        <v>174</v>
      </c>
      <c r="E15" s="76"/>
      <c r="F15" s="74"/>
      <c r="G15" s="290">
        <v>13000</v>
      </c>
      <c r="H15" s="290">
        <v>11860</v>
      </c>
      <c r="I15" s="356"/>
      <c r="J15" s="290">
        <v>8572.5</v>
      </c>
      <c r="K15" s="402"/>
      <c r="L15" s="301">
        <f>G15-H15</f>
        <v>1140</v>
      </c>
      <c r="M15" s="489">
        <f>L15/H15</f>
        <v>9.6121416526138273E-2</v>
      </c>
      <c r="N15" s="595"/>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35"/>
      <c r="C16" s="465" t="s">
        <v>303</v>
      </c>
      <c r="D16" s="549"/>
      <c r="E16" s="549"/>
      <c r="F16" s="549"/>
      <c r="G16" s="290">
        <f>12556+7711</f>
        <v>20267</v>
      </c>
      <c r="H16" s="290">
        <f>1587+433</f>
        <v>2020</v>
      </c>
      <c r="I16" s="356"/>
      <c r="J16" s="290">
        <f>1587+433</f>
        <v>2020</v>
      </c>
      <c r="K16" s="402"/>
      <c r="L16" s="301">
        <f>G16-H16</f>
        <v>18247</v>
      </c>
      <c r="M16" s="489">
        <f>L16/H16</f>
        <v>9.0331683168316825</v>
      </c>
      <c r="N16" s="595" t="s">
        <v>415</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35"/>
      <c r="C17" s="76" t="s">
        <v>112</v>
      </c>
      <c r="D17" s="76"/>
      <c r="E17" s="76"/>
      <c r="F17" s="74"/>
      <c r="G17" s="290">
        <f>'Dec''18 Revenues &amp; Expenses'!J55</f>
        <v>12796</v>
      </c>
      <c r="H17" s="290">
        <v>13675.25</v>
      </c>
      <c r="I17" s="356"/>
      <c r="J17" s="290">
        <v>11028.75</v>
      </c>
      <c r="K17" s="402"/>
      <c r="L17" s="301">
        <f>G17-H17</f>
        <v>-879.25</v>
      </c>
      <c r="M17" s="489">
        <f>L17/H17</f>
        <v>-6.4294985466444854E-2</v>
      </c>
      <c r="N17" s="595"/>
      <c r="O17" s="69"/>
      <c r="P17" s="69"/>
      <c r="Q17" s="28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35"/>
      <c r="C18" s="432" t="s">
        <v>179</v>
      </c>
      <c r="D18" s="432"/>
      <c r="E18" s="432"/>
      <c r="F18" s="74"/>
      <c r="G18" s="290">
        <v>446.1</v>
      </c>
      <c r="H18" s="290">
        <v>197.5</v>
      </c>
      <c r="I18" s="356"/>
      <c r="J18" s="290">
        <v>197.5</v>
      </c>
      <c r="K18" s="402"/>
      <c r="L18" s="301">
        <f>G18-H18</f>
        <v>248.60000000000002</v>
      </c>
      <c r="M18" s="489">
        <f>L18/H18</f>
        <v>1.2587341772151901</v>
      </c>
      <c r="N18" s="597"/>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35"/>
      <c r="C19" s="76" t="s">
        <v>119</v>
      </c>
      <c r="D19" s="76"/>
      <c r="E19" s="76"/>
      <c r="F19" s="74"/>
      <c r="G19" s="290">
        <v>963.94</v>
      </c>
      <c r="H19" s="290">
        <v>1213.8399999999999</v>
      </c>
      <c r="I19" s="356"/>
      <c r="J19" s="290">
        <v>1001.12</v>
      </c>
      <c r="K19" s="402"/>
      <c r="L19" s="301">
        <f>G19-H19</f>
        <v>-249.89999999999986</v>
      </c>
      <c r="M19" s="489">
        <f>L19/H19</f>
        <v>-0.20587556844394639</v>
      </c>
      <c r="N19" s="595"/>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35"/>
      <c r="C20" s="432" t="s">
        <v>275</v>
      </c>
      <c r="D20" s="432"/>
      <c r="E20" s="432"/>
      <c r="F20" s="74"/>
      <c r="G20" s="290">
        <v>5181.0200000000004</v>
      </c>
      <c r="H20" s="290">
        <v>4345.8599999999997</v>
      </c>
      <c r="I20" s="356"/>
      <c r="J20" s="290">
        <v>2683.3</v>
      </c>
      <c r="K20" s="402"/>
      <c r="L20" s="301">
        <f>G20-H20</f>
        <v>835.16000000000076</v>
      </c>
      <c r="M20" s="489">
        <f>L20/H20</f>
        <v>0.19217370094756869</v>
      </c>
      <c r="N20" s="595"/>
      <c r="O20" s="69"/>
      <c r="P20" s="69"/>
      <c r="Q20" s="28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35"/>
      <c r="C21" s="76" t="s">
        <v>366</v>
      </c>
      <c r="D21" s="76"/>
      <c r="E21" s="76"/>
      <c r="F21" s="74"/>
      <c r="G21" s="290">
        <v>-10497.66</v>
      </c>
      <c r="H21" s="290">
        <v>6058.88</v>
      </c>
      <c r="I21" s="356"/>
      <c r="J21" s="290">
        <v>6873.85</v>
      </c>
      <c r="K21" s="402"/>
      <c r="L21" s="301">
        <f>G21-H21</f>
        <v>-16556.54</v>
      </c>
      <c r="M21" s="489">
        <f>L21/H21</f>
        <v>-2.732607346572304</v>
      </c>
      <c r="N21" s="595" t="s">
        <v>479</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35"/>
      <c r="C22" s="76" t="s">
        <v>276</v>
      </c>
      <c r="D22" s="76"/>
      <c r="E22" s="76"/>
      <c r="F22" s="74"/>
      <c r="G22" s="290">
        <v>62636.04</v>
      </c>
      <c r="H22" s="290">
        <v>48050.080000000002</v>
      </c>
      <c r="I22" s="356"/>
      <c r="J22" s="290">
        <v>40020.67</v>
      </c>
      <c r="K22" s="402"/>
      <c r="L22" s="301">
        <f>G22-H22</f>
        <v>14585.96</v>
      </c>
      <c r="M22" s="489">
        <f>L22/H22</f>
        <v>0.30355745505522569</v>
      </c>
      <c r="N22" s="595" t="s">
        <v>475</v>
      </c>
      <c r="O22" s="69"/>
      <c r="P22" s="69"/>
      <c r="Q22" s="28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35"/>
      <c r="C23" s="76" t="s">
        <v>158</v>
      </c>
      <c r="D23" s="76"/>
      <c r="E23" s="76"/>
      <c r="F23" s="74"/>
      <c r="G23" s="290">
        <f>25028.83-G16</f>
        <v>4761.8300000000017</v>
      </c>
      <c r="H23" s="290">
        <f>4009.26-H16</f>
        <v>1989.2600000000002</v>
      </c>
      <c r="I23" s="356"/>
      <c r="J23" s="290">
        <f>2509.26-2020</f>
        <v>489.26000000000022</v>
      </c>
      <c r="K23" s="402"/>
      <c r="L23" s="301">
        <f>G23-H23</f>
        <v>2772.5700000000015</v>
      </c>
      <c r="M23" s="489">
        <f>L23/H23</f>
        <v>1.3937695424429191</v>
      </c>
      <c r="N23" s="797" t="s">
        <v>393</v>
      </c>
      <c r="O23" s="69"/>
      <c r="P23" s="69"/>
      <c r="Q23" s="28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35"/>
      <c r="C24" s="76" t="s">
        <v>183</v>
      </c>
      <c r="D24" s="76"/>
      <c r="E24" s="76"/>
      <c r="F24" s="74"/>
      <c r="G24" s="290"/>
      <c r="H24" s="290">
        <v>5175</v>
      </c>
      <c r="I24" s="356"/>
      <c r="J24" s="290">
        <v>5175</v>
      </c>
      <c r="K24" s="402"/>
      <c r="L24" s="301">
        <f>G24-H24</f>
        <v>-5175</v>
      </c>
      <c r="M24" s="489">
        <v>1</v>
      </c>
      <c r="N24" s="595"/>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35"/>
      <c r="C25" s="76" t="s">
        <v>118</v>
      </c>
      <c r="D25" s="76"/>
      <c r="E25" s="76"/>
      <c r="F25" s="74"/>
      <c r="G25" s="291">
        <v>46575</v>
      </c>
      <c r="H25" s="291">
        <v>46575</v>
      </c>
      <c r="I25" s="356"/>
      <c r="J25" s="291">
        <f>G25</f>
        <v>46575</v>
      </c>
      <c r="K25" s="402"/>
      <c r="L25" s="420">
        <f>G25-H25</f>
        <v>0</v>
      </c>
      <c r="M25" s="519">
        <f>L25/H25</f>
        <v>0</v>
      </c>
      <c r="N25" s="595"/>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35"/>
      <c r="C26" s="76"/>
      <c r="D26" s="74" t="s">
        <v>114</v>
      </c>
      <c r="E26" s="76"/>
      <c r="F26" s="74"/>
      <c r="G26" s="256">
        <f>SUM(G9:G25)</f>
        <v>1464732.0900000003</v>
      </c>
      <c r="H26" s="256">
        <f>SUM(H9:H25)</f>
        <v>1465477.3800000004</v>
      </c>
      <c r="I26" s="254"/>
      <c r="J26" s="256">
        <f>SUM(J9:J25)</f>
        <v>1236601.9400000002</v>
      </c>
      <c r="K26" s="402"/>
      <c r="L26" s="256">
        <f>G26-H26</f>
        <v>-745.29000000003725</v>
      </c>
      <c r="M26" s="489">
        <f>L26/H26</f>
        <v>-5.0856465624876245E-4</v>
      </c>
      <c r="N26" s="595"/>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35"/>
      <c r="C27" s="74" t="s">
        <v>115</v>
      </c>
      <c r="D27" s="76"/>
      <c r="E27" s="76"/>
      <c r="F27" s="74"/>
      <c r="G27" s="264">
        <v>91220.14</v>
      </c>
      <c r="H27" s="264">
        <v>85323.47</v>
      </c>
      <c r="I27" s="254"/>
      <c r="J27" s="264">
        <v>72007.06</v>
      </c>
      <c r="K27" s="402"/>
      <c r="L27" s="264">
        <f>G27-H27</f>
        <v>5896.6699999999983</v>
      </c>
      <c r="M27" s="519">
        <f>L27/H27</f>
        <v>6.9109589659210977E-2</v>
      </c>
      <c r="N27" s="597" t="s">
        <v>478</v>
      </c>
      <c r="O27" s="69"/>
      <c r="P27" s="69"/>
      <c r="Q27" s="37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35"/>
      <c r="C28" s="76"/>
      <c r="D28" s="74" t="s">
        <v>116</v>
      </c>
      <c r="E28" s="76"/>
      <c r="F28" s="74"/>
      <c r="G28" s="256">
        <f>SUM(G26:G27)</f>
        <v>1555952.2300000002</v>
      </c>
      <c r="H28" s="256">
        <f>SUM(H26:H27)</f>
        <v>1550800.8500000003</v>
      </c>
      <c r="I28" s="254"/>
      <c r="J28" s="256">
        <f>SUM(J26:J27)</f>
        <v>1308609.0000000002</v>
      </c>
      <c r="K28" s="288"/>
      <c r="L28" s="256">
        <f>SUM(L26:L27)</f>
        <v>5151.379999999961</v>
      </c>
      <c r="M28" s="489">
        <f>L28/H28</f>
        <v>3.3217546920998658E-3</v>
      </c>
      <c r="N28" s="597"/>
      <c r="O28" s="288"/>
      <c r="P28" s="69"/>
      <c r="Q28" s="37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35"/>
      <c r="C29" s="76"/>
      <c r="D29" s="74"/>
      <c r="E29" s="76"/>
      <c r="F29" s="74"/>
      <c r="G29" s="256"/>
      <c r="H29" s="256"/>
      <c r="I29" s="254"/>
      <c r="J29" s="256"/>
      <c r="K29" s="402"/>
      <c r="L29" s="447"/>
      <c r="M29" s="579"/>
      <c r="N29" s="595"/>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36" t="s">
        <v>120</v>
      </c>
      <c r="C30" s="88"/>
      <c r="D30" s="88"/>
      <c r="E30" s="88"/>
      <c r="F30" s="88"/>
      <c r="G30" s="264"/>
      <c r="H30" s="264"/>
      <c r="I30" s="69"/>
      <c r="J30" s="377"/>
      <c r="K30" s="402"/>
      <c r="L30" s="447"/>
      <c r="M30" s="579"/>
      <c r="N30" s="597"/>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37"/>
      <c r="C31" s="80" t="s">
        <v>121</v>
      </c>
      <c r="D31" s="80"/>
      <c r="E31" s="80"/>
      <c r="F31" s="80"/>
      <c r="G31" s="254">
        <v>891243.26</v>
      </c>
      <c r="H31" s="254">
        <v>887011.74</v>
      </c>
      <c r="I31" s="301"/>
      <c r="J31" s="442">
        <v>734429.05</v>
      </c>
      <c r="K31" s="402"/>
      <c r="L31" s="301">
        <f>G31-H31</f>
        <v>4231.5200000000186</v>
      </c>
      <c r="M31" s="489">
        <f>L31/H31</f>
        <v>4.7705343787219981E-3</v>
      </c>
      <c r="N31" s="597" t="s">
        <v>476</v>
      </c>
    </row>
    <row r="32" spans="1:46" s="69" customFormat="1" ht="20.25" x14ac:dyDescent="0.2">
      <c r="A32" s="68"/>
      <c r="B32" s="437"/>
      <c r="C32" s="80" t="s">
        <v>122</v>
      </c>
      <c r="D32" s="80"/>
      <c r="E32" s="80"/>
      <c r="F32" s="80"/>
      <c r="G32" s="254">
        <v>166564.76999999999</v>
      </c>
      <c r="H32" s="254">
        <v>176879.99</v>
      </c>
      <c r="I32" s="301"/>
      <c r="J32" s="442">
        <v>133687.65</v>
      </c>
      <c r="K32" s="402"/>
      <c r="L32" s="301">
        <f>G32-H32</f>
        <v>-10315.220000000001</v>
      </c>
      <c r="M32" s="489">
        <f>L32/H32</f>
        <v>-5.8317619760154905E-2</v>
      </c>
      <c r="N32" s="597" t="s">
        <v>477</v>
      </c>
    </row>
    <row r="33" spans="1:16" s="69" customFormat="1" ht="20.25" x14ac:dyDescent="0.2">
      <c r="A33" s="68"/>
      <c r="B33" s="437"/>
      <c r="C33" s="80" t="s">
        <v>123</v>
      </c>
      <c r="D33" s="80"/>
      <c r="E33" s="80"/>
      <c r="F33" s="80"/>
      <c r="G33" s="254">
        <f>48375-G25</f>
        <v>1800</v>
      </c>
      <c r="H33" s="254">
        <f>48831-H25</f>
        <v>2256</v>
      </c>
      <c r="I33" s="301"/>
      <c r="J33" s="301">
        <f>40312.5-J34</f>
        <v>-6262.5</v>
      </c>
      <c r="K33" s="402"/>
      <c r="L33" s="301">
        <f>G33-H33</f>
        <v>-456</v>
      </c>
      <c r="M33" s="489">
        <f>L33/H33</f>
        <v>-0.20212765957446807</v>
      </c>
      <c r="N33" s="595"/>
    </row>
    <row r="34" spans="1:16" s="69" customFormat="1" ht="20.25" x14ac:dyDescent="0.2">
      <c r="A34" s="68"/>
      <c r="B34" s="437"/>
      <c r="C34" s="80" t="s">
        <v>113</v>
      </c>
      <c r="D34" s="80"/>
      <c r="E34" s="80"/>
      <c r="F34" s="80"/>
      <c r="G34" s="254">
        <f>G25</f>
        <v>46575</v>
      </c>
      <c r="H34" s="254">
        <f>H25</f>
        <v>46575</v>
      </c>
      <c r="I34" s="301"/>
      <c r="J34" s="301">
        <f>J25</f>
        <v>46575</v>
      </c>
      <c r="K34" s="402"/>
      <c r="L34" s="301">
        <f>G34-H34</f>
        <v>0</v>
      </c>
      <c r="M34" s="489">
        <f>L34/H34</f>
        <v>0</v>
      </c>
      <c r="N34" s="595"/>
    </row>
    <row r="35" spans="1:16" s="69" customFormat="1" ht="20.25" x14ac:dyDescent="0.2">
      <c r="A35" s="68"/>
      <c r="B35" s="437"/>
      <c r="C35" s="80" t="s">
        <v>124</v>
      </c>
      <c r="D35" s="80"/>
      <c r="E35" s="80"/>
      <c r="F35" s="80"/>
      <c r="G35" s="254">
        <v>15894.29</v>
      </c>
      <c r="H35" s="254">
        <v>15174.44</v>
      </c>
      <c r="I35" s="301"/>
      <c r="J35" s="301">
        <v>12766.4</v>
      </c>
      <c r="K35" s="402"/>
      <c r="L35" s="301">
        <f>G35-H35</f>
        <v>719.85000000000036</v>
      </c>
      <c r="M35" s="489">
        <f>L35/H35</f>
        <v>4.7438323918378558E-2</v>
      </c>
      <c r="N35" s="595"/>
    </row>
    <row r="36" spans="1:16" s="69" customFormat="1" ht="20.25" x14ac:dyDescent="0.2">
      <c r="A36" s="68"/>
      <c r="B36" s="437"/>
      <c r="C36" s="80" t="s">
        <v>125</v>
      </c>
      <c r="D36" s="80"/>
      <c r="E36" s="80"/>
      <c r="F36" s="80"/>
      <c r="G36" s="254">
        <v>2345.11</v>
      </c>
      <c r="H36" s="254">
        <v>3574.98</v>
      </c>
      <c r="I36" s="301"/>
      <c r="J36" s="301">
        <v>3177.59</v>
      </c>
      <c r="K36" s="402"/>
      <c r="L36" s="301">
        <f>G36-H36</f>
        <v>-1229.8699999999999</v>
      </c>
      <c r="M36" s="489">
        <f>L36/H36</f>
        <v>-0.34402150501541262</v>
      </c>
      <c r="N36" s="595"/>
    </row>
    <row r="37" spans="1:16" s="69" customFormat="1" ht="20.25" x14ac:dyDescent="0.2">
      <c r="A37" s="68"/>
      <c r="B37" s="437"/>
      <c r="C37" s="80" t="s">
        <v>126</v>
      </c>
      <c r="D37" s="80"/>
      <c r="E37" s="80"/>
      <c r="F37" s="80"/>
      <c r="G37" s="254">
        <v>4227.7299999999996</v>
      </c>
      <c r="H37" s="254">
        <v>6468.46</v>
      </c>
      <c r="I37" s="301"/>
      <c r="J37" s="301">
        <v>5522.17</v>
      </c>
      <c r="K37" s="402"/>
      <c r="L37" s="301">
        <f>G37-H37</f>
        <v>-2240.7300000000005</v>
      </c>
      <c r="M37" s="489">
        <f>L37/H37</f>
        <v>-0.34640857329256119</v>
      </c>
      <c r="N37" s="595"/>
    </row>
    <row r="38" spans="1:16" s="69" customFormat="1" ht="20.25" x14ac:dyDescent="0.2">
      <c r="A38" s="68"/>
      <c r="B38" s="437"/>
      <c r="C38" s="80" t="s">
        <v>127</v>
      </c>
      <c r="D38" s="80"/>
      <c r="E38" s="80"/>
      <c r="F38" s="80"/>
      <c r="G38" s="254">
        <v>9338.58</v>
      </c>
      <c r="H38" s="254">
        <v>4059.63</v>
      </c>
      <c r="I38" s="301"/>
      <c r="J38" s="301">
        <v>3635.63</v>
      </c>
      <c r="K38" s="402"/>
      <c r="L38" s="301">
        <f>G38-H38</f>
        <v>5278.95</v>
      </c>
      <c r="M38" s="489">
        <f>L38/H38</f>
        <v>1.300352495178132</v>
      </c>
      <c r="N38" s="595" t="s">
        <v>480</v>
      </c>
    </row>
    <row r="39" spans="1:16" s="69" customFormat="1" ht="20.25" x14ac:dyDescent="0.2">
      <c r="A39" s="68"/>
      <c r="B39" s="437"/>
      <c r="C39" s="80" t="s">
        <v>128</v>
      </c>
      <c r="D39" s="80"/>
      <c r="E39" s="80"/>
      <c r="F39" s="80"/>
      <c r="G39" s="254">
        <f>23839.43+15438.57</f>
        <v>39278</v>
      </c>
      <c r="H39" s="254">
        <f>24473.92+11152.44</f>
        <v>35626.36</v>
      </c>
      <c r="I39" s="301"/>
      <c r="J39" s="301">
        <f>21886.31+9621.88</f>
        <v>31508.190000000002</v>
      </c>
      <c r="K39" s="402"/>
      <c r="L39" s="301">
        <f>G39-H39</f>
        <v>3651.6399999999994</v>
      </c>
      <c r="M39" s="489">
        <f>L39/H39</f>
        <v>0.1024982625224693</v>
      </c>
      <c r="N39" s="595"/>
    </row>
    <row r="40" spans="1:16" s="69" customFormat="1" ht="20.25" x14ac:dyDescent="0.2">
      <c r="A40" s="68"/>
      <c r="B40" s="437"/>
      <c r="C40" s="80" t="s">
        <v>129</v>
      </c>
      <c r="D40" s="80"/>
      <c r="E40" s="80"/>
      <c r="F40" s="80"/>
      <c r="G40" s="254">
        <v>4148.79</v>
      </c>
      <c r="H40" s="254">
        <v>4915.07</v>
      </c>
      <c r="I40" s="301"/>
      <c r="J40" s="301">
        <v>4550.32</v>
      </c>
      <c r="K40" s="402"/>
      <c r="L40" s="301">
        <f>G40-H40</f>
        <v>-766.27999999999975</v>
      </c>
      <c r="M40" s="489">
        <f>L40/H40</f>
        <v>-0.15590418854665342</v>
      </c>
      <c r="N40" s="595"/>
    </row>
    <row r="41" spans="1:16" s="69" customFormat="1" ht="20.25" x14ac:dyDescent="0.2">
      <c r="A41" s="68"/>
      <c r="B41" s="437"/>
      <c r="C41" s="80" t="s">
        <v>130</v>
      </c>
      <c r="D41" s="80"/>
      <c r="E41" s="80"/>
      <c r="F41" s="80"/>
      <c r="G41" s="254">
        <v>1685</v>
      </c>
      <c r="H41" s="254">
        <v>1693</v>
      </c>
      <c r="I41" s="301"/>
      <c r="J41" s="301">
        <v>1473</v>
      </c>
      <c r="K41" s="402"/>
      <c r="L41" s="301">
        <f>G41-H41</f>
        <v>-8</v>
      </c>
      <c r="M41" s="489">
        <f>L41/H41</f>
        <v>-4.7253396337861783E-3</v>
      </c>
      <c r="N41" s="595"/>
    </row>
    <row r="42" spans="1:16" s="69" customFormat="1" ht="20.25" x14ac:dyDescent="0.2">
      <c r="A42" s="68"/>
      <c r="B42" s="437"/>
      <c r="C42" s="80" t="s">
        <v>185</v>
      </c>
      <c r="D42" s="80"/>
      <c r="E42" s="80"/>
      <c r="F42" s="80"/>
      <c r="G42" s="254">
        <v>14944</v>
      </c>
      <c r="H42" s="254">
        <v>13502</v>
      </c>
      <c r="I42" s="301"/>
      <c r="J42" s="301">
        <v>11199</v>
      </c>
      <c r="K42" s="402"/>
      <c r="L42" s="301">
        <f>G42-H42</f>
        <v>1442</v>
      </c>
      <c r="M42" s="489">
        <f>L42/H42</f>
        <v>0.10679899274181602</v>
      </c>
      <c r="N42" s="595"/>
    </row>
    <row r="43" spans="1:16" s="69" customFormat="1" ht="20.25" x14ac:dyDescent="0.2">
      <c r="A43" s="68"/>
      <c r="B43" s="437"/>
      <c r="C43" s="770" t="s">
        <v>446</v>
      </c>
      <c r="D43" s="770"/>
      <c r="E43" s="770"/>
      <c r="F43" s="770"/>
      <c r="G43" s="254">
        <v>1100</v>
      </c>
      <c r="H43" s="254">
        <v>0</v>
      </c>
      <c r="I43" s="301"/>
      <c r="J43" s="301"/>
      <c r="K43" s="402"/>
      <c r="L43" s="301">
        <f>G43-H43</f>
        <v>1100</v>
      </c>
      <c r="M43" s="489">
        <v>1</v>
      </c>
      <c r="N43" s="595" t="s">
        <v>447</v>
      </c>
    </row>
    <row r="44" spans="1:16" s="77" customFormat="1" ht="20.25" x14ac:dyDescent="0.2">
      <c r="A44" s="80"/>
      <c r="B44" s="433"/>
      <c r="C44" s="80" t="s">
        <v>131</v>
      </c>
      <c r="D44" s="80"/>
      <c r="E44" s="80"/>
      <c r="F44" s="80"/>
      <c r="G44" s="356">
        <v>14050.28</v>
      </c>
      <c r="H44" s="356">
        <v>15421.71</v>
      </c>
      <c r="I44" s="443"/>
      <c r="J44" s="443">
        <v>15109.75</v>
      </c>
      <c r="K44" s="404"/>
      <c r="L44" s="301">
        <f>G44-H44</f>
        <v>-1371.4299999999985</v>
      </c>
      <c r="M44" s="489">
        <f>L44/H44</f>
        <v>-8.8928529974950807E-2</v>
      </c>
      <c r="N44" s="595"/>
    </row>
    <row r="45" spans="1:16" s="77" customFormat="1" ht="20.25" x14ac:dyDescent="0.2">
      <c r="A45" s="80"/>
      <c r="B45" s="433"/>
      <c r="C45" s="80" t="s">
        <v>132</v>
      </c>
      <c r="D45" s="80"/>
      <c r="E45" s="80"/>
      <c r="F45" s="80"/>
      <c r="G45" s="254">
        <v>14169.05</v>
      </c>
      <c r="H45" s="254">
        <v>13766.09</v>
      </c>
      <c r="I45" s="254"/>
      <c r="J45" s="356">
        <v>11450.24</v>
      </c>
      <c r="K45" s="404"/>
      <c r="L45" s="301">
        <f>G45-H45</f>
        <v>402.95999999999913</v>
      </c>
      <c r="M45" s="489">
        <f>L45/H45</f>
        <v>2.9271928339855334E-2</v>
      </c>
      <c r="N45" s="595"/>
    </row>
    <row r="46" spans="1:16" s="77" customFormat="1" ht="20.25" x14ac:dyDescent="0.2">
      <c r="A46" s="80"/>
      <c r="B46" s="433"/>
      <c r="C46" s="80" t="s">
        <v>141</v>
      </c>
      <c r="D46" s="80"/>
      <c r="E46" s="80"/>
      <c r="F46" s="80"/>
      <c r="G46" s="254">
        <f>2769+495.99</f>
        <v>3264.99</v>
      </c>
      <c r="H46" s="254">
        <f>379+237</f>
        <v>616</v>
      </c>
      <c r="I46" s="254"/>
      <c r="J46" s="356">
        <f>379+34</f>
        <v>413</v>
      </c>
      <c r="K46" s="404"/>
      <c r="L46" s="301">
        <f>G46-H46</f>
        <v>2648.99</v>
      </c>
      <c r="M46" s="489">
        <f>L46/H46</f>
        <v>4.3003084415584416</v>
      </c>
      <c r="N46" s="598" t="s">
        <v>481</v>
      </c>
      <c r="P46" s="270"/>
    </row>
    <row r="47" spans="1:16" s="77" customFormat="1" ht="20.25" x14ac:dyDescent="0.2">
      <c r="A47" s="80"/>
      <c r="B47" s="433"/>
      <c r="C47" s="80" t="s">
        <v>133</v>
      </c>
      <c r="D47" s="80"/>
      <c r="E47" s="80"/>
      <c r="F47" s="80"/>
      <c r="G47" s="356">
        <f>2210+14879.75</f>
        <v>17089.75</v>
      </c>
      <c r="H47" s="356">
        <f>1584.72+10342.45</f>
        <v>11927.17</v>
      </c>
      <c r="I47" s="254"/>
      <c r="J47" s="254">
        <f>9672.45+1584.72</f>
        <v>11257.17</v>
      </c>
      <c r="K47" s="404"/>
      <c r="L47" s="301">
        <f>G47-H47</f>
        <v>5162.58</v>
      </c>
      <c r="M47" s="489">
        <f>L47/H47</f>
        <v>0.43284199017872638</v>
      </c>
      <c r="N47" s="595" t="s">
        <v>482</v>
      </c>
      <c r="P47" s="270"/>
    </row>
    <row r="48" spans="1:16" s="69" customFormat="1" ht="20.25" x14ac:dyDescent="0.2">
      <c r="A48" s="68"/>
      <c r="B48" s="437"/>
      <c r="C48" s="80" t="s">
        <v>225</v>
      </c>
      <c r="D48" s="80"/>
      <c r="E48" s="80"/>
      <c r="F48" s="80"/>
      <c r="G48" s="254">
        <f>15301.65+249.5</f>
        <v>15551.15</v>
      </c>
      <c r="H48" s="254">
        <v>17242.599999999999</v>
      </c>
      <c r="I48" s="254"/>
      <c r="J48" s="254">
        <v>15010.44</v>
      </c>
      <c r="K48" s="402"/>
      <c r="L48" s="301">
        <f>G48-H48</f>
        <v>-1691.4499999999989</v>
      </c>
      <c r="M48" s="489">
        <f>L48/H48</f>
        <v>-9.8097154721445673E-2</v>
      </c>
      <c r="N48" s="595"/>
    </row>
    <row r="49" spans="1:18" s="77" customFormat="1" ht="20.25" x14ac:dyDescent="0.2">
      <c r="A49" s="80"/>
      <c r="B49" s="433"/>
      <c r="C49" s="80" t="s">
        <v>134</v>
      </c>
      <c r="D49" s="80"/>
      <c r="E49" s="80"/>
      <c r="F49" s="80"/>
      <c r="G49" s="356">
        <v>38171</v>
      </c>
      <c r="H49" s="356">
        <v>38084</v>
      </c>
      <c r="I49" s="254"/>
      <c r="J49" s="254">
        <v>31296</v>
      </c>
      <c r="K49" s="404"/>
      <c r="L49" s="301">
        <f>G49-H49</f>
        <v>87</v>
      </c>
      <c r="M49" s="489">
        <f>L49/H49</f>
        <v>2.2844239050519902E-3</v>
      </c>
      <c r="N49" s="595"/>
    </row>
    <row r="50" spans="1:18" s="77" customFormat="1" ht="20.25" x14ac:dyDescent="0.2">
      <c r="A50" s="80"/>
      <c r="B50" s="433"/>
      <c r="C50" s="80" t="s">
        <v>135</v>
      </c>
      <c r="D50" s="80"/>
      <c r="E50" s="80"/>
      <c r="F50" s="80"/>
      <c r="G50" s="356">
        <f>19870+3734+6282.5+330</f>
        <v>30216.5</v>
      </c>
      <c r="H50" s="356">
        <f>1870+7831.36+18685.5</f>
        <v>28386.86</v>
      </c>
      <c r="I50" s="254"/>
      <c r="J50" s="254">
        <f>7156.36+17548</f>
        <v>24704.36</v>
      </c>
      <c r="K50" s="404"/>
      <c r="L50" s="301">
        <f>G50-H50</f>
        <v>1829.6399999999994</v>
      </c>
      <c r="M50" s="489">
        <f>L50/H50</f>
        <v>6.4453764875720645E-2</v>
      </c>
      <c r="N50" s="595"/>
    </row>
    <row r="51" spans="1:18" s="77" customFormat="1" ht="20.25" x14ac:dyDescent="0.2">
      <c r="A51" s="80"/>
      <c r="B51" s="433"/>
      <c r="C51" s="80" t="s">
        <v>186</v>
      </c>
      <c r="D51" s="80"/>
      <c r="E51" s="80"/>
      <c r="F51" s="80"/>
      <c r="G51" s="254">
        <v>15857.57</v>
      </c>
      <c r="H51" s="254">
        <v>26257.759999999998</v>
      </c>
      <c r="I51" s="254"/>
      <c r="J51" s="254">
        <v>21537.24</v>
      </c>
      <c r="K51" s="404"/>
      <c r="L51" s="301">
        <f>G51-H51</f>
        <v>-10400.189999999999</v>
      </c>
      <c r="M51" s="489">
        <f>L51/H51</f>
        <v>-0.39608062530848021</v>
      </c>
      <c r="N51" s="595" t="s">
        <v>417</v>
      </c>
    </row>
    <row r="52" spans="1:18" s="77" customFormat="1" ht="20.25" x14ac:dyDescent="0.2">
      <c r="A52" s="80"/>
      <c r="B52" s="433"/>
      <c r="C52" s="80" t="s">
        <v>184</v>
      </c>
      <c r="D52" s="80"/>
      <c r="E52" s="80"/>
      <c r="F52" s="80"/>
      <c r="G52" s="254">
        <v>55006.41</v>
      </c>
      <c r="H52" s="254">
        <v>48922.63</v>
      </c>
      <c r="I52" s="254"/>
      <c r="J52" s="254">
        <v>39956.04</v>
      </c>
      <c r="K52" s="404"/>
      <c r="L52" s="301">
        <f>G52-H52</f>
        <v>6083.7800000000061</v>
      </c>
      <c r="M52" s="489">
        <f>L52/H52</f>
        <v>0.12435512972217574</v>
      </c>
      <c r="N52" s="595" t="s">
        <v>483</v>
      </c>
    </row>
    <row r="53" spans="1:18" s="77" customFormat="1" ht="20.25" x14ac:dyDescent="0.2">
      <c r="A53" s="80"/>
      <c r="B53" s="433"/>
      <c r="C53" s="80" t="s">
        <v>136</v>
      </c>
      <c r="D53" s="80"/>
      <c r="E53" s="80"/>
      <c r="F53" s="80"/>
      <c r="G53" s="254">
        <f>1929.47+127221.37</f>
        <v>129150.84</v>
      </c>
      <c r="H53" s="254">
        <f>135469.43+3919.04</f>
        <v>139388.47</v>
      </c>
      <c r="I53" s="254"/>
      <c r="J53" s="254">
        <f>3919.04+131008.98</f>
        <v>134928.01999999999</v>
      </c>
      <c r="K53" s="404"/>
      <c r="L53" s="301">
        <f>G53-H53</f>
        <v>-10237.630000000005</v>
      </c>
      <c r="M53" s="489">
        <f>L53/H53</f>
        <v>-7.3446749218210122E-2</v>
      </c>
      <c r="N53" s="595" t="s">
        <v>484</v>
      </c>
    </row>
    <row r="54" spans="1:18" s="77" customFormat="1" ht="21" thickBot="1" x14ac:dyDescent="0.25">
      <c r="A54" s="80"/>
      <c r="B54" s="433"/>
      <c r="C54" s="80" t="s">
        <v>378</v>
      </c>
      <c r="D54" s="80"/>
      <c r="E54" s="80"/>
      <c r="F54" s="80"/>
      <c r="G54" s="264">
        <v>100</v>
      </c>
      <c r="H54" s="264">
        <v>30</v>
      </c>
      <c r="I54" s="264"/>
      <c r="J54" s="264">
        <v>30</v>
      </c>
      <c r="K54" s="623"/>
      <c r="L54" s="420">
        <f>G54-H54</f>
        <v>70</v>
      </c>
      <c r="M54" s="519"/>
      <c r="N54" s="595"/>
    </row>
    <row r="55" spans="1:18" s="77" customFormat="1" ht="21" hidden="1" thickBot="1" x14ac:dyDescent="0.25">
      <c r="A55" s="80"/>
      <c r="B55" s="433"/>
      <c r="C55" s="80"/>
      <c r="D55" s="80"/>
      <c r="E55" s="80"/>
      <c r="F55" s="80"/>
      <c r="G55" s="264"/>
      <c r="H55" s="264"/>
      <c r="I55" s="254"/>
      <c r="J55" s="264"/>
      <c r="K55" s="404"/>
      <c r="L55" s="420"/>
      <c r="M55" s="519"/>
      <c r="N55" s="595"/>
    </row>
    <row r="56" spans="1:18" s="69" customFormat="1" ht="20.25" x14ac:dyDescent="0.2">
      <c r="A56" s="68"/>
      <c r="B56" s="437"/>
      <c r="C56" s="68"/>
      <c r="D56" s="74" t="s">
        <v>137</v>
      </c>
      <c r="E56" s="68"/>
      <c r="F56" s="68"/>
      <c r="G56" s="259">
        <f>SUM(G31:G54)</f>
        <v>1531772.0700000003</v>
      </c>
      <c r="H56" s="259">
        <f>SUM(H31:H54)</f>
        <v>1537779.96</v>
      </c>
      <c r="I56" s="254"/>
      <c r="J56" s="259">
        <f>SUM(J31:J54)</f>
        <v>1287953.7600000002</v>
      </c>
      <c r="K56" s="402"/>
      <c r="L56" s="256">
        <f>SUM(L31:L54)</f>
        <v>-6007.8899999999794</v>
      </c>
      <c r="M56" s="489">
        <f>L56/H56</f>
        <v>-3.9068593402660674E-3</v>
      </c>
      <c r="N56" s="599"/>
    </row>
    <row r="57" spans="1:18" s="69" customFormat="1" ht="10.5" customHeight="1" thickBot="1" x14ac:dyDescent="0.25">
      <c r="A57" s="68"/>
      <c r="B57" s="437"/>
      <c r="C57" s="68"/>
      <c r="D57" s="74"/>
      <c r="E57" s="68"/>
      <c r="F57" s="68"/>
      <c r="G57" s="264"/>
      <c r="H57" s="264"/>
      <c r="I57" s="254"/>
      <c r="J57" s="264"/>
      <c r="K57" s="402"/>
      <c r="L57" s="449"/>
      <c r="M57" s="580"/>
      <c r="N57" s="599"/>
    </row>
    <row r="58" spans="1:18" s="69" customFormat="1" ht="21" thickBot="1" x14ac:dyDescent="0.25">
      <c r="A58" s="68"/>
      <c r="B58" s="437"/>
      <c r="C58" s="68"/>
      <c r="D58" s="68" t="s">
        <v>138</v>
      </c>
      <c r="E58" s="68"/>
      <c r="F58" s="68"/>
      <c r="G58" s="264">
        <f>G28-G56</f>
        <v>24180.159999999916</v>
      </c>
      <c r="H58" s="264">
        <f>H28-H56</f>
        <v>13020.890000000363</v>
      </c>
      <c r="I58" s="254"/>
      <c r="J58" s="264">
        <f>J28-J56</f>
        <v>20655.239999999991</v>
      </c>
      <c r="K58" s="402"/>
      <c r="L58" s="264">
        <f>L28-L56</f>
        <v>11159.26999999994</v>
      </c>
      <c r="M58" s="574">
        <f>L58/H58</f>
        <v>0.85702820621321807</v>
      </c>
      <c r="N58" s="599"/>
    </row>
    <row r="59" spans="1:18" s="69" customFormat="1" ht="11.25" customHeight="1" x14ac:dyDescent="0.2">
      <c r="A59" s="68"/>
      <c r="B59" s="437"/>
      <c r="C59" s="68"/>
      <c r="D59" s="68"/>
      <c r="E59" s="68"/>
      <c r="F59" s="68"/>
      <c r="G59" s="254"/>
      <c r="H59" s="254"/>
      <c r="I59" s="254"/>
      <c r="J59" s="254"/>
      <c r="K59" s="402"/>
      <c r="L59" s="447"/>
      <c r="M59" s="579"/>
      <c r="N59" s="595"/>
    </row>
    <row r="60" spans="1:18" s="77" customFormat="1" ht="21" thickBot="1" x14ac:dyDescent="0.25">
      <c r="A60" s="80"/>
      <c r="B60" s="436" t="s">
        <v>139</v>
      </c>
      <c r="C60" s="88"/>
      <c r="D60" s="88"/>
      <c r="E60" s="88"/>
      <c r="F60" s="88"/>
      <c r="G60" s="446"/>
      <c r="H60" s="264"/>
      <c r="I60" s="254"/>
      <c r="J60" s="254"/>
      <c r="K60" s="404"/>
      <c r="L60" s="447"/>
      <c r="M60" s="579"/>
      <c r="N60" s="595"/>
    </row>
    <row r="61" spans="1:18" s="77" customFormat="1" ht="20.25" x14ac:dyDescent="0.2">
      <c r="A61" s="80"/>
      <c r="B61" s="437"/>
      <c r="C61" s="68"/>
      <c r="D61" s="68" t="s">
        <v>154</v>
      </c>
      <c r="E61" s="68"/>
      <c r="F61" s="68"/>
      <c r="G61" s="254"/>
      <c r="H61" s="254"/>
      <c r="I61" s="254"/>
      <c r="J61" s="254"/>
      <c r="K61" s="404"/>
      <c r="L61" s="447"/>
      <c r="M61" s="579"/>
      <c r="N61" s="595"/>
    </row>
    <row r="62" spans="1:18" s="77" customFormat="1" ht="20.25" x14ac:dyDescent="0.2">
      <c r="A62" s="80"/>
      <c r="B62" s="437"/>
      <c r="C62" s="68"/>
      <c r="D62" s="68"/>
      <c r="E62" s="80" t="s">
        <v>155</v>
      </c>
      <c r="F62" s="68"/>
      <c r="G62" s="254">
        <v>50000</v>
      </c>
      <c r="H62" s="254">
        <v>49000</v>
      </c>
      <c r="I62" s="254"/>
      <c r="J62" s="254">
        <v>49000</v>
      </c>
      <c r="K62" s="404"/>
      <c r="L62" s="301">
        <f>G62-H62</f>
        <v>1000</v>
      </c>
      <c r="M62" s="489">
        <f>L62/H62</f>
        <v>2.0408163265306121E-2</v>
      </c>
      <c r="N62" s="595"/>
      <c r="R62" s="270"/>
    </row>
    <row r="63" spans="1:18" s="77" customFormat="1" ht="20.25" x14ac:dyDescent="0.2">
      <c r="A63" s="80"/>
      <c r="B63" s="437"/>
      <c r="C63" s="68"/>
      <c r="D63" s="68"/>
      <c r="E63" s="80" t="s">
        <v>189</v>
      </c>
      <c r="F63" s="68"/>
      <c r="G63" s="254">
        <v>19000</v>
      </c>
      <c r="H63" s="254">
        <v>19000</v>
      </c>
      <c r="I63" s="254"/>
      <c r="J63" s="254">
        <f>G63</f>
        <v>19000</v>
      </c>
      <c r="K63" s="404"/>
      <c r="L63" s="301">
        <f>G63-H63</f>
        <v>0</v>
      </c>
      <c r="M63" s="489">
        <f>L63/H63</f>
        <v>0</v>
      </c>
      <c r="N63" s="595"/>
    </row>
    <row r="64" spans="1:18" s="77" customFormat="1" ht="20.25" x14ac:dyDescent="0.2">
      <c r="A64" s="80"/>
      <c r="B64" s="437"/>
      <c r="C64" s="68"/>
      <c r="D64" s="68"/>
      <c r="E64" s="80" t="s">
        <v>153</v>
      </c>
      <c r="F64" s="68"/>
      <c r="G64" s="257">
        <f>'Dec''18 Revenues &amp; Expenses'!H57+'Dec''18 Revenues &amp; Expenses'!H58+'Dec''18 Revenues &amp; Expenses'!H56</f>
        <v>15365</v>
      </c>
      <c r="H64" s="257">
        <v>23508.26</v>
      </c>
      <c r="I64" s="257"/>
      <c r="J64" s="257">
        <f>8237.5+6794.36</f>
        <v>15031.86</v>
      </c>
      <c r="K64" s="721"/>
      <c r="L64" s="722">
        <f>G64-H64</f>
        <v>-8143.2599999999984</v>
      </c>
      <c r="M64" s="577">
        <f>L64/H64</f>
        <v>-0.34639994623166492</v>
      </c>
      <c r="N64" s="595" t="s">
        <v>416</v>
      </c>
    </row>
    <row r="65" spans="1:14" s="77" customFormat="1" ht="21" thickBot="1" x14ac:dyDescent="0.25">
      <c r="A65" s="80"/>
      <c r="B65" s="437"/>
      <c r="C65" s="68"/>
      <c r="D65" s="68" t="s">
        <v>115</v>
      </c>
      <c r="E65" s="68"/>
      <c r="F65" s="68"/>
      <c r="G65" s="264">
        <f>-G27</f>
        <v>-91220.14</v>
      </c>
      <c r="H65" s="264">
        <f>-H27</f>
        <v>-85323.47</v>
      </c>
      <c r="I65" s="254"/>
      <c r="J65" s="264">
        <f>-J27</f>
        <v>-72007.06</v>
      </c>
      <c r="K65" s="404"/>
      <c r="L65" s="420">
        <f>G65-H65</f>
        <v>-5896.6699999999983</v>
      </c>
      <c r="M65" s="519">
        <f>L65/H65</f>
        <v>6.9109589659210977E-2</v>
      </c>
      <c r="N65" s="595"/>
    </row>
    <row r="66" spans="1:14" s="77" customFormat="1" ht="21" thickBot="1" x14ac:dyDescent="0.25">
      <c r="A66" s="80"/>
      <c r="B66" s="437"/>
      <c r="C66" s="68"/>
      <c r="D66" s="68"/>
      <c r="E66" s="68" t="s">
        <v>140</v>
      </c>
      <c r="F66" s="68"/>
      <c r="G66" s="264">
        <f>SUM(G61:G65)</f>
        <v>-6855.1399999999994</v>
      </c>
      <c r="H66" s="264">
        <f>SUM(H61:H65)</f>
        <v>6184.7899999999936</v>
      </c>
      <c r="I66" s="254"/>
      <c r="J66" s="264">
        <f>SUM(J61:J65)</f>
        <v>11024.800000000003</v>
      </c>
      <c r="K66" s="404"/>
      <c r="L66" s="264">
        <f>SUM(L62:L65)</f>
        <v>-13039.929999999997</v>
      </c>
      <c r="M66" s="519">
        <f>L66/H66</f>
        <v>-2.1083868651967181</v>
      </c>
      <c r="N66" s="595"/>
    </row>
    <row r="67" spans="1:14" s="69" customFormat="1" ht="7.5" customHeight="1" x14ac:dyDescent="0.2">
      <c r="A67" s="68"/>
      <c r="B67" s="437"/>
      <c r="C67" s="68"/>
      <c r="D67" s="68"/>
      <c r="E67" s="68"/>
      <c r="F67" s="68"/>
      <c r="G67" s="299"/>
      <c r="H67" s="299"/>
      <c r="I67" s="299"/>
      <c r="J67" s="299"/>
      <c r="K67" s="402"/>
      <c r="L67" s="447"/>
      <c r="M67" s="447"/>
      <c r="N67" s="595"/>
    </row>
    <row r="68" spans="1:14" s="69" customFormat="1" ht="20.25" x14ac:dyDescent="0.2">
      <c r="A68" s="68"/>
      <c r="B68" s="437"/>
      <c r="C68" s="68"/>
      <c r="D68" s="68"/>
      <c r="E68" s="68" t="s">
        <v>94</v>
      </c>
      <c r="F68" s="68"/>
      <c r="G68" s="259">
        <f>G58+G66</f>
        <v>17325.019999999917</v>
      </c>
      <c r="H68" s="259">
        <f>H58+H66</f>
        <v>19205.680000000357</v>
      </c>
      <c r="I68" s="259"/>
      <c r="J68" s="259">
        <f>J58+J66</f>
        <v>31680.039999999994</v>
      </c>
      <c r="K68" s="402"/>
      <c r="L68" s="259">
        <f>L58+L66</f>
        <v>-1880.6600000000562</v>
      </c>
      <c r="M68" s="259"/>
      <c r="N68" s="595"/>
    </row>
    <row r="69" spans="1:14" s="69" customFormat="1" ht="8.25" customHeight="1" x14ac:dyDescent="0.2">
      <c r="A69" s="68"/>
      <c r="B69" s="437"/>
      <c r="C69" s="68"/>
      <c r="D69" s="68"/>
      <c r="E69" s="68"/>
      <c r="F69" s="68"/>
      <c r="G69" s="254"/>
      <c r="H69" s="254"/>
      <c r="I69" s="254"/>
      <c r="J69" s="254"/>
      <c r="K69" s="402"/>
      <c r="L69" s="447"/>
      <c r="M69" s="447"/>
      <c r="N69" s="595"/>
    </row>
    <row r="70" spans="1:14" s="83" customFormat="1" ht="26.25" x14ac:dyDescent="0.2">
      <c r="A70" s="294"/>
      <c r="B70" s="438"/>
      <c r="C70" s="68"/>
      <c r="D70" s="68" t="s">
        <v>157</v>
      </c>
      <c r="E70" s="68"/>
      <c r="F70" s="68"/>
      <c r="G70" s="259">
        <f>H71</f>
        <v>669647.6800000004</v>
      </c>
      <c r="H70" s="259">
        <f>J70</f>
        <v>650442</v>
      </c>
      <c r="I70" s="259"/>
      <c r="J70" s="259">
        <v>650442</v>
      </c>
      <c r="K70" s="405"/>
      <c r="L70" s="448"/>
      <c r="M70" s="448"/>
      <c r="N70" s="600"/>
    </row>
    <row r="71" spans="1:14" s="85" customFormat="1" ht="21" thickBot="1" x14ac:dyDescent="0.25">
      <c r="A71" s="68"/>
      <c r="B71" s="437"/>
      <c r="C71" s="68"/>
      <c r="E71" s="68" t="s">
        <v>156</v>
      </c>
      <c r="F71" s="68"/>
      <c r="G71" s="355">
        <f>G68+G70</f>
        <v>686972.7000000003</v>
      </c>
      <c r="H71" s="355">
        <f>H68+H70</f>
        <v>669647.6800000004</v>
      </c>
      <c r="I71" s="299"/>
      <c r="J71" s="355">
        <f>J68+J70</f>
        <v>682122.04</v>
      </c>
      <c r="K71" s="406"/>
      <c r="L71" s="299"/>
      <c r="M71" s="448"/>
      <c r="N71" s="600"/>
    </row>
    <row r="72" spans="1:14" s="66" customFormat="1" ht="6.75" customHeight="1" thickTop="1" x14ac:dyDescent="0.2">
      <c r="A72" s="294"/>
      <c r="B72" s="438"/>
      <c r="C72" s="68"/>
      <c r="D72" s="294"/>
      <c r="E72" s="294"/>
      <c r="F72" s="294"/>
      <c r="G72" s="296"/>
      <c r="H72" s="254"/>
      <c r="I72" s="254"/>
      <c r="J72" s="254"/>
      <c r="K72" s="401"/>
      <c r="L72" s="447"/>
      <c r="M72" s="447"/>
      <c r="N72" s="595"/>
    </row>
    <row r="73" spans="1:14" s="69" customFormat="1" ht="16.5" customHeight="1" x14ac:dyDescent="0.2">
      <c r="A73" s="68"/>
      <c r="B73" s="437"/>
      <c r="D73" s="378"/>
      <c r="E73" s="68"/>
      <c r="G73" s="254"/>
      <c r="H73" s="254"/>
      <c r="I73" s="254"/>
      <c r="J73" s="254"/>
      <c r="K73" s="402"/>
      <c r="L73" s="447"/>
      <c r="M73" s="447"/>
      <c r="N73" s="595"/>
    </row>
    <row r="74" spans="1:14" s="69" customFormat="1" ht="23.25" x14ac:dyDescent="0.2">
      <c r="A74" s="68"/>
      <c r="B74" s="439"/>
      <c r="C74" s="68"/>
      <c r="D74" s="68"/>
      <c r="E74" s="68"/>
      <c r="F74" s="68"/>
      <c r="G74" s="254"/>
      <c r="H74" s="254"/>
      <c r="I74" s="254"/>
      <c r="J74" s="254"/>
      <c r="K74" s="402"/>
      <c r="L74" s="447"/>
      <c r="M74" s="447"/>
      <c r="N74" s="595"/>
    </row>
    <row r="75" spans="1:14" s="69" customFormat="1" ht="20.25" x14ac:dyDescent="0.2">
      <c r="A75" s="68"/>
      <c r="B75" s="437"/>
      <c r="C75" s="68"/>
      <c r="D75" s="68"/>
      <c r="E75" s="68"/>
      <c r="F75" s="68"/>
      <c r="G75" s="254"/>
      <c r="H75" s="254"/>
      <c r="I75" s="254"/>
      <c r="J75" s="254"/>
      <c r="K75" s="402"/>
      <c r="L75" s="447"/>
      <c r="M75" s="447"/>
      <c r="N75" s="595"/>
    </row>
    <row r="76" spans="1:14" s="77" customFormat="1" ht="20.25" x14ac:dyDescent="0.2">
      <c r="A76" s="80"/>
      <c r="B76" s="433"/>
      <c r="C76" s="80"/>
      <c r="D76" s="80"/>
      <c r="F76" s="80"/>
      <c r="G76" s="269"/>
      <c r="H76" s="254"/>
      <c r="I76" s="254"/>
      <c r="J76" s="254"/>
      <c r="K76" s="404"/>
      <c r="L76" s="447"/>
      <c r="M76" s="447"/>
      <c r="N76" s="595"/>
    </row>
    <row r="77" spans="1:14" s="77" customFormat="1" ht="20.25" x14ac:dyDescent="0.2">
      <c r="A77" s="80"/>
      <c r="B77" s="433"/>
      <c r="C77" s="80"/>
      <c r="D77" s="80"/>
      <c r="F77" s="80"/>
      <c r="G77" s="254"/>
      <c r="H77" s="254"/>
      <c r="I77" s="254"/>
      <c r="J77" s="254"/>
      <c r="K77" s="404"/>
      <c r="L77" s="447"/>
      <c r="M77" s="447"/>
      <c r="N77" s="595"/>
    </row>
    <row r="78" spans="1:14" s="77" customFormat="1" ht="20.25" x14ac:dyDescent="0.2">
      <c r="A78" s="80"/>
      <c r="B78" s="433"/>
      <c r="C78" s="80"/>
      <c r="D78" s="80"/>
      <c r="F78" s="80"/>
      <c r="G78" s="254"/>
      <c r="H78" s="254"/>
      <c r="I78" s="254"/>
      <c r="J78" s="254"/>
      <c r="K78" s="404"/>
      <c r="L78" s="447"/>
      <c r="M78" s="447"/>
      <c r="N78" s="595"/>
    </row>
    <row r="79" spans="1:14" s="77" customFormat="1" ht="20.25" x14ac:dyDescent="0.2">
      <c r="A79" s="80"/>
      <c r="B79" s="80"/>
      <c r="C79" s="80"/>
      <c r="D79" s="80"/>
      <c r="F79" s="80"/>
      <c r="G79" s="254"/>
      <c r="H79" s="254"/>
      <c r="I79" s="254"/>
      <c r="J79" s="254"/>
      <c r="K79" s="404"/>
      <c r="L79" s="447"/>
      <c r="M79" s="447"/>
      <c r="N79" s="595"/>
    </row>
    <row r="80" spans="1:14" s="77" customFormat="1" ht="20.25" x14ac:dyDescent="0.2">
      <c r="A80" s="80"/>
      <c r="B80" s="80"/>
      <c r="C80" s="80"/>
      <c r="D80" s="80"/>
      <c r="F80" s="80"/>
      <c r="G80" s="254"/>
      <c r="H80" s="254"/>
      <c r="I80" s="254"/>
      <c r="J80" s="254"/>
      <c r="K80" s="404"/>
      <c r="L80" s="447"/>
      <c r="M80" s="447"/>
      <c r="N80" s="595"/>
    </row>
    <row r="81" spans="1:14" s="77" customFormat="1" ht="20.25" x14ac:dyDescent="0.2">
      <c r="A81" s="80"/>
      <c r="B81" s="80"/>
      <c r="C81" s="80"/>
      <c r="D81" s="80"/>
      <c r="F81" s="80"/>
      <c r="G81" s="254"/>
      <c r="H81" s="254"/>
      <c r="I81" s="254"/>
      <c r="J81" s="254"/>
      <c r="K81" s="404"/>
      <c r="L81" s="447"/>
      <c r="M81" s="447"/>
      <c r="N81" s="595"/>
    </row>
    <row r="82" spans="1:14" s="77" customFormat="1" ht="20.25" x14ac:dyDescent="0.2">
      <c r="A82" s="80"/>
      <c r="B82" s="80"/>
      <c r="C82" s="68"/>
      <c r="D82" s="80"/>
      <c r="F82" s="80"/>
      <c r="G82" s="254"/>
      <c r="H82" s="254"/>
      <c r="I82" s="254"/>
      <c r="J82" s="254"/>
      <c r="K82" s="404"/>
      <c r="L82" s="447"/>
      <c r="M82" s="447"/>
      <c r="N82" s="595"/>
    </row>
    <row r="83" spans="1:14" s="77" customFormat="1" ht="20.25" x14ac:dyDescent="0.2">
      <c r="A83" s="80"/>
      <c r="B83" s="80"/>
      <c r="C83" s="80"/>
      <c r="D83" s="80"/>
      <c r="E83" s="80"/>
      <c r="F83" s="80"/>
      <c r="G83" s="254"/>
      <c r="H83" s="254"/>
      <c r="I83" s="254"/>
      <c r="J83" s="254"/>
      <c r="K83" s="404"/>
      <c r="L83" s="447"/>
      <c r="M83" s="447"/>
      <c r="N83" s="595"/>
    </row>
    <row r="84" spans="1:14" s="77" customFormat="1" ht="20.25" x14ac:dyDescent="0.2">
      <c r="A84" s="80"/>
      <c r="B84" s="80"/>
      <c r="C84" s="68"/>
      <c r="D84" s="68"/>
      <c r="G84" s="254"/>
      <c r="H84" s="254"/>
      <c r="I84" s="254"/>
      <c r="J84" s="254"/>
      <c r="K84" s="404"/>
      <c r="L84" s="447"/>
      <c r="M84" s="447"/>
      <c r="N84" s="595"/>
    </row>
    <row r="85" spans="1:14" s="77" customFormat="1" ht="20.25" x14ac:dyDescent="0.2">
      <c r="A85" s="80"/>
      <c r="B85" s="80"/>
      <c r="C85" s="80"/>
      <c r="D85" s="80"/>
      <c r="E85" s="80"/>
      <c r="F85" s="80"/>
      <c r="G85" s="254"/>
      <c r="H85" s="254"/>
      <c r="I85" s="254"/>
      <c r="J85" s="254"/>
      <c r="K85" s="404"/>
      <c r="L85" s="447"/>
      <c r="M85" s="447"/>
      <c r="N85" s="595"/>
    </row>
    <row r="86" spans="1:14" s="77" customFormat="1" ht="20.25" x14ac:dyDescent="0.2">
      <c r="A86" s="80"/>
      <c r="B86" s="80"/>
      <c r="C86" s="80"/>
      <c r="D86" s="80"/>
      <c r="E86" s="80"/>
      <c r="F86" s="80"/>
      <c r="G86" s="254"/>
      <c r="H86" s="254"/>
      <c r="I86" s="254"/>
      <c r="J86" s="254"/>
      <c r="K86" s="404"/>
      <c r="L86" s="447"/>
      <c r="M86" s="447"/>
      <c r="N86" s="595"/>
    </row>
    <row r="87" spans="1:14" s="77" customFormat="1" ht="20.25" x14ac:dyDescent="0.2">
      <c r="A87" s="80"/>
      <c r="B87" s="80"/>
      <c r="C87" s="80"/>
      <c r="D87" s="80"/>
      <c r="E87" s="80"/>
      <c r="F87" s="80"/>
      <c r="G87" s="254"/>
      <c r="H87" s="254"/>
      <c r="I87" s="254"/>
      <c r="J87" s="254"/>
      <c r="K87" s="404"/>
      <c r="L87" s="447"/>
      <c r="M87" s="447"/>
      <c r="N87" s="595"/>
    </row>
    <row r="88" spans="1:14" s="77" customFormat="1" ht="20.25" x14ac:dyDescent="0.2">
      <c r="A88" s="80"/>
      <c r="B88" s="80"/>
      <c r="C88" s="80"/>
      <c r="D88" s="80"/>
      <c r="E88" s="80"/>
      <c r="F88" s="80"/>
      <c r="G88" s="254"/>
      <c r="H88" s="254"/>
      <c r="I88" s="254"/>
      <c r="J88" s="254"/>
      <c r="K88" s="404"/>
      <c r="L88" s="447"/>
      <c r="M88" s="447"/>
      <c r="N88" s="595"/>
    </row>
    <row r="89" spans="1:14" s="77" customFormat="1" ht="20.25" x14ac:dyDescent="0.2">
      <c r="A89" s="80"/>
      <c r="B89" s="80"/>
      <c r="C89" s="68"/>
      <c r="D89" s="80"/>
      <c r="F89" s="80"/>
      <c r="G89" s="254"/>
      <c r="H89" s="254"/>
      <c r="I89" s="254"/>
      <c r="J89" s="254"/>
      <c r="K89" s="404"/>
      <c r="L89" s="447"/>
      <c r="M89" s="447"/>
      <c r="N89" s="595"/>
    </row>
    <row r="90" spans="1:14" s="77" customFormat="1" ht="20.25" x14ac:dyDescent="0.2">
      <c r="A90" s="80"/>
      <c r="B90" s="80"/>
      <c r="C90" s="80"/>
      <c r="D90" s="80"/>
      <c r="E90" s="80"/>
      <c r="F90" s="80"/>
      <c r="G90" s="254"/>
      <c r="H90" s="254"/>
      <c r="I90" s="254"/>
      <c r="J90" s="254"/>
      <c r="K90" s="404"/>
      <c r="L90" s="447"/>
      <c r="M90" s="447"/>
      <c r="N90" s="595"/>
    </row>
    <row r="91" spans="1:14" s="69" customFormat="1" ht="20.25" x14ac:dyDescent="0.2">
      <c r="A91" s="68"/>
      <c r="B91" s="68"/>
      <c r="C91" s="68"/>
      <c r="D91" s="68"/>
      <c r="E91" s="68"/>
      <c r="F91" s="68"/>
      <c r="G91" s="259"/>
      <c r="H91" s="259"/>
      <c r="I91" s="259"/>
      <c r="J91" s="259"/>
      <c r="K91" s="402"/>
      <c r="N91" s="595"/>
    </row>
    <row r="92" spans="1:14" s="69" customFormat="1" ht="20.25" x14ac:dyDescent="0.2">
      <c r="A92" s="68"/>
      <c r="B92" s="68"/>
      <c r="C92" s="68"/>
      <c r="D92" s="68"/>
      <c r="E92" s="68"/>
      <c r="F92" s="68"/>
      <c r="G92" s="259"/>
      <c r="H92" s="259"/>
      <c r="I92" s="259"/>
      <c r="J92" s="259"/>
      <c r="K92" s="402"/>
      <c r="N92" s="595"/>
    </row>
    <row r="93" spans="1:14" s="69" customFormat="1" ht="23.25" x14ac:dyDescent="0.2">
      <c r="A93" s="68"/>
      <c r="B93" s="297"/>
      <c r="C93" s="68"/>
      <c r="D93" s="68"/>
      <c r="E93" s="68"/>
      <c r="F93" s="68"/>
      <c r="G93" s="254"/>
      <c r="H93" s="254"/>
      <c r="I93" s="254"/>
      <c r="J93" s="254"/>
      <c r="K93" s="402"/>
      <c r="N93" s="595"/>
    </row>
    <row r="94" spans="1:14" s="77" customFormat="1" ht="20.25" x14ac:dyDescent="0.2">
      <c r="A94" s="80"/>
      <c r="B94" s="80"/>
      <c r="D94" s="80"/>
      <c r="E94" s="80"/>
      <c r="F94" s="80"/>
      <c r="G94" s="254"/>
      <c r="H94" s="254"/>
      <c r="I94" s="254"/>
      <c r="J94" s="254"/>
      <c r="K94" s="404"/>
      <c r="N94" s="595"/>
    </row>
    <row r="95" spans="1:14" s="77" customFormat="1" ht="20.25" x14ac:dyDescent="0.2">
      <c r="A95" s="80"/>
      <c r="B95" s="80"/>
      <c r="D95" s="80"/>
      <c r="E95" s="80"/>
      <c r="F95" s="80"/>
      <c r="G95" s="254"/>
      <c r="H95" s="254"/>
      <c r="I95" s="254"/>
      <c r="J95" s="254"/>
      <c r="K95" s="404"/>
      <c r="N95" s="595"/>
    </row>
    <row r="96" spans="1:14" s="69" customFormat="1" ht="20.25" x14ac:dyDescent="0.2">
      <c r="A96" s="68"/>
      <c r="B96" s="68"/>
      <c r="D96" s="80"/>
      <c r="E96" s="68"/>
      <c r="F96" s="68"/>
      <c r="G96" s="254"/>
      <c r="H96" s="254"/>
      <c r="I96" s="254"/>
      <c r="J96" s="254"/>
      <c r="K96" s="402"/>
      <c r="N96" s="595"/>
    </row>
    <row r="97" spans="1:14" s="69" customFormat="1" ht="23.25" x14ac:dyDescent="0.2">
      <c r="A97" s="68"/>
      <c r="B97" s="297"/>
      <c r="C97" s="68"/>
      <c r="D97" s="68"/>
      <c r="E97" s="68"/>
      <c r="F97" s="68"/>
      <c r="G97" s="259"/>
      <c r="H97" s="259"/>
      <c r="I97" s="259"/>
      <c r="J97" s="259"/>
      <c r="K97" s="402"/>
      <c r="N97" s="595"/>
    </row>
    <row r="98" spans="1:14" s="69" customFormat="1" ht="20.25" x14ac:dyDescent="0.2">
      <c r="A98" s="68"/>
      <c r="B98" s="68"/>
      <c r="C98" s="68"/>
      <c r="D98" s="68"/>
      <c r="E98" s="68"/>
      <c r="F98" s="68"/>
      <c r="G98" s="254"/>
      <c r="H98" s="254"/>
      <c r="I98" s="254"/>
      <c r="J98" s="254"/>
      <c r="K98" s="402"/>
      <c r="N98" s="595"/>
    </row>
    <row r="99" spans="1:14" s="83" customFormat="1" ht="26.25" x14ac:dyDescent="0.2">
      <c r="A99" s="294"/>
      <c r="B99" s="294"/>
      <c r="C99" s="294"/>
      <c r="D99" s="294"/>
      <c r="E99" s="294"/>
      <c r="F99" s="294"/>
      <c r="G99" s="295"/>
      <c r="H99" s="259"/>
      <c r="I99" s="259"/>
      <c r="J99" s="259"/>
      <c r="K99" s="405"/>
      <c r="N99" s="600"/>
    </row>
    <row r="100" spans="1:14" s="18" customFormat="1" ht="20.25" x14ac:dyDescent="0.3">
      <c r="A100" s="123"/>
      <c r="B100" s="123"/>
      <c r="C100" s="123"/>
      <c r="D100" s="123"/>
      <c r="E100" s="123"/>
      <c r="F100" s="123"/>
      <c r="G100" s="298"/>
      <c r="H100" s="303"/>
      <c r="I100" s="303"/>
      <c r="J100" s="303"/>
      <c r="K100" s="407"/>
      <c r="N100" s="601"/>
    </row>
    <row r="101" spans="1:14" ht="20.25" x14ac:dyDescent="0.3">
      <c r="H101" s="303"/>
      <c r="I101" s="303"/>
      <c r="J101" s="303"/>
    </row>
    <row r="102" spans="1:14" ht="20.25" x14ac:dyDescent="0.3">
      <c r="H102" s="303"/>
      <c r="I102" s="303"/>
      <c r="J102" s="303"/>
    </row>
    <row r="103" spans="1:14" ht="20.25" x14ac:dyDescent="0.3">
      <c r="H103" s="300"/>
      <c r="I103" s="300"/>
      <c r="J103" s="300"/>
    </row>
  </sheetData>
  <mergeCells count="3">
    <mergeCell ref="L8:M8"/>
    <mergeCell ref="G6:J6"/>
    <mergeCell ref="C43:F43"/>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8"/>
  <sheetViews>
    <sheetView zoomScale="75" zoomScaleNormal="75" workbookViewId="0">
      <selection activeCell="K66" sqref="K66"/>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66" hidden="1" customWidth="1"/>
    <col min="8" max="8" width="23.125" style="18" hidden="1" customWidth="1"/>
    <col min="9" max="9" width="1.625" style="18" hidden="1" customWidth="1"/>
    <col min="10" max="10" width="26.875" style="18" customWidth="1"/>
    <col min="11" max="11" width="24.5" style="18" customWidth="1"/>
    <col min="12" max="12" width="1.625" style="18" hidden="1" customWidth="1"/>
    <col min="13" max="13" width="23.125" style="18" hidden="1"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102</v>
      </c>
      <c r="B1" s="60"/>
      <c r="C1" s="61"/>
      <c r="D1" s="61"/>
      <c r="E1" s="61"/>
      <c r="F1" s="60"/>
      <c r="G1" s="252"/>
      <c r="H1" s="60"/>
      <c r="I1" s="60"/>
      <c r="J1" s="60"/>
      <c r="K1" s="60"/>
      <c r="L1" s="518"/>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246</v>
      </c>
      <c r="B2" s="60"/>
      <c r="C2" s="61"/>
      <c r="D2" s="61"/>
      <c r="E2" s="61"/>
      <c r="F2" s="60"/>
      <c r="G2" s="252"/>
      <c r="H2" s="60"/>
      <c r="I2" s="60"/>
      <c r="J2" s="60"/>
      <c r="K2" s="60"/>
      <c r="L2" s="518"/>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hidden="1" customHeight="1" x14ac:dyDescent="0.4">
      <c r="A3" s="59" t="str">
        <f>'Dec''18 State of Activities'!A3</f>
        <v>Ten Months Ended October 31, 2018 and 2017</v>
      </c>
      <c r="B3" s="60"/>
      <c r="C3" s="61"/>
      <c r="D3" s="61"/>
      <c r="E3" s="61"/>
      <c r="F3" s="60"/>
      <c r="G3" s="252"/>
      <c r="H3" s="60"/>
      <c r="I3" s="60"/>
      <c r="J3" s="60"/>
      <c r="K3" s="60"/>
      <c r="L3" s="518"/>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'Dec''18 State of Activities'!A4</f>
        <v>For the Years Ended December 31, 2018 &amp; 2017</v>
      </c>
      <c r="B4" s="60"/>
      <c r="C4" s="61"/>
      <c r="D4" s="61"/>
      <c r="E4" s="61"/>
      <c r="F4" s="60"/>
      <c r="G4" s="252"/>
      <c r="H4" s="60"/>
      <c r="I4" s="60"/>
      <c r="J4" s="60"/>
      <c r="K4" s="60"/>
      <c r="L4" s="518"/>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117</v>
      </c>
      <c r="B6" s="65"/>
      <c r="C6" s="65"/>
      <c r="D6" s="65"/>
      <c r="E6" s="65"/>
      <c r="F6" s="65"/>
      <c r="G6" s="572"/>
      <c r="H6" s="263" t="s">
        <v>56</v>
      </c>
      <c r="I6" s="263"/>
      <c r="J6" s="769" t="s">
        <v>56</v>
      </c>
      <c r="K6" s="769"/>
      <c r="L6" s="769"/>
      <c r="M6" s="769"/>
      <c r="P6" s="66"/>
      <c r="Q6" s="460" t="s">
        <v>205</v>
      </c>
      <c r="R6" s="457" t="s">
        <v>218</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109</v>
      </c>
      <c r="C8" s="155"/>
      <c r="D8" s="155"/>
      <c r="E8" s="155"/>
      <c r="F8" s="155"/>
      <c r="G8" s="308">
        <v>41090</v>
      </c>
      <c r="H8" s="308">
        <v>41274</v>
      </c>
      <c r="I8" s="357"/>
      <c r="J8" s="308">
        <f>'Dec''18 State of Activities'!G8</f>
        <v>43465</v>
      </c>
      <c r="K8" s="521">
        <f>'Dec''18 State of Activities'!H8</f>
        <v>43100</v>
      </c>
      <c r="L8" s="357"/>
      <c r="M8" s="308">
        <f>'Dec''18 State of Activities'!J8</f>
        <v>43100</v>
      </c>
      <c r="N8" s="72"/>
      <c r="O8" s="308">
        <v>42369</v>
      </c>
      <c r="P8" s="72"/>
      <c r="Q8" s="768" t="s">
        <v>449</v>
      </c>
      <c r="R8" s="768"/>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65" t="s">
        <v>163</v>
      </c>
      <c r="D9" s="465"/>
      <c r="E9" s="465"/>
      <c r="F9" s="74"/>
      <c r="G9" s="290">
        <v>127719</v>
      </c>
      <c r="H9" s="290">
        <v>67566.5</v>
      </c>
      <c r="I9" s="356"/>
      <c r="J9" s="360">
        <f>'Dec''18 State of Activities'!G11</f>
        <v>153483.23000000001</v>
      </c>
      <c r="K9" s="360">
        <f>'Dec''18 State of Activities'!H11</f>
        <v>157409.59</v>
      </c>
      <c r="L9" s="360"/>
      <c r="M9" s="360">
        <f>'Dec''18 State of Activities'!J11</f>
        <v>136146.63</v>
      </c>
      <c r="N9" s="551"/>
      <c r="O9" s="360">
        <v>156115.99</v>
      </c>
      <c r="P9" s="69"/>
      <c r="Q9" s="421">
        <f>J9-K9</f>
        <v>-3926.359999999986</v>
      </c>
      <c r="R9" s="458">
        <f>Q9/K9</f>
        <v>-2.4943588252786798E-2</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771" t="s">
        <v>392</v>
      </c>
      <c r="D10" s="771"/>
      <c r="E10" s="771"/>
      <c r="F10" s="771"/>
      <c r="G10" s="290"/>
      <c r="H10" s="290"/>
      <c r="I10" s="356"/>
      <c r="J10" s="701">
        <v>3122.52</v>
      </c>
      <c r="K10" s="360"/>
      <c r="L10" s="360"/>
      <c r="M10" s="360"/>
      <c r="N10" s="551"/>
      <c r="O10" s="360"/>
      <c r="P10" s="69"/>
      <c r="Q10" s="575">
        <f>J10-K10</f>
        <v>3122.52</v>
      </c>
      <c r="R10" s="48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65" t="s">
        <v>247</v>
      </c>
      <c r="D11" s="465"/>
      <c r="E11" s="465"/>
      <c r="F11" s="74"/>
      <c r="G11" s="289">
        <v>875436</v>
      </c>
      <c r="H11" s="289">
        <v>372424.1</v>
      </c>
      <c r="I11" s="360"/>
      <c r="J11" s="356">
        <f>10471.96+(5268.48+3381.01)*1.14</f>
        <v>20332.378599999996</v>
      </c>
      <c r="K11" s="356">
        <f>(2435.19+1402.42)*1.14+4437.21</f>
        <v>8812.0853999999999</v>
      </c>
      <c r="L11" s="360"/>
      <c r="M11" s="356">
        <f>4153.87+(2435.19+1402.42)*1.14</f>
        <v>8528.7453999999998</v>
      </c>
      <c r="N11" s="409"/>
      <c r="O11" s="356">
        <v>19926.495000000003</v>
      </c>
      <c r="P11" s="69"/>
      <c r="Q11" s="575">
        <f>J11-K11</f>
        <v>11520.293199999996</v>
      </c>
      <c r="R11" s="489">
        <f>Q11/K11</f>
        <v>1.3073288191237906</v>
      </c>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465" t="s">
        <v>111</v>
      </c>
      <c r="D12" s="465"/>
      <c r="E12" s="465"/>
      <c r="F12" s="74"/>
      <c r="G12" s="290"/>
      <c r="H12" s="290"/>
      <c r="I12" s="356"/>
      <c r="J12" s="356"/>
      <c r="K12" s="356"/>
      <c r="L12" s="356"/>
      <c r="M12" s="356"/>
      <c r="N12" s="409"/>
      <c r="O12" s="356"/>
      <c r="P12" s="69"/>
      <c r="Q12" s="575"/>
      <c r="R12" s="472"/>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65" t="s">
        <v>248</v>
      </c>
      <c r="E13" s="465"/>
      <c r="F13" s="74"/>
      <c r="G13" s="290">
        <v>94235.25</v>
      </c>
      <c r="H13" s="290">
        <v>37190.379999999997</v>
      </c>
      <c r="I13" s="356"/>
      <c r="J13" s="356">
        <f>'Dec''18 Revenues &amp; Expenses'!I18</f>
        <v>42500</v>
      </c>
      <c r="K13" s="356">
        <f>41500/12*12</f>
        <v>41500</v>
      </c>
      <c r="L13" s="356"/>
      <c r="M13" s="356">
        <f>41500/12*10</f>
        <v>34583.333333333336</v>
      </c>
      <c r="N13" s="409"/>
      <c r="O13" s="356">
        <v>30000</v>
      </c>
      <c r="P13" s="69"/>
      <c r="Q13" s="575">
        <f>J13-K13</f>
        <v>1000</v>
      </c>
      <c r="R13" s="489">
        <f>Q13/K13</f>
        <v>2.4096385542168676E-2</v>
      </c>
      <c r="S13" s="69"/>
      <c r="T13" s="525"/>
      <c r="U13" s="526"/>
      <c r="V13" s="525"/>
      <c r="W13" s="525"/>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8"/>
      <c r="D14" s="465" t="s">
        <v>174</v>
      </c>
      <c r="E14" s="465"/>
      <c r="F14" s="74"/>
      <c r="G14" s="290"/>
      <c r="H14" s="290"/>
      <c r="I14" s="356"/>
      <c r="J14" s="356">
        <f>750*12</f>
        <v>9000</v>
      </c>
      <c r="K14" s="356">
        <f>750*12</f>
        <v>9000</v>
      </c>
      <c r="L14" s="356"/>
      <c r="M14" s="356">
        <f>750*10</f>
        <v>7500</v>
      </c>
      <c r="N14" s="409"/>
      <c r="O14" s="356">
        <v>5416.6666666666661</v>
      </c>
      <c r="P14" s="69"/>
      <c r="Q14" s="575">
        <f>J14-K14</f>
        <v>0</v>
      </c>
      <c r="R14" s="489">
        <f>Q14/K14</f>
        <v>0</v>
      </c>
      <c r="S14" s="69"/>
      <c r="T14" s="69"/>
      <c r="U14" s="430"/>
      <c r="V14" s="527"/>
      <c r="W14" s="402"/>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65" t="s">
        <v>112</v>
      </c>
      <c r="D15" s="465"/>
      <c r="E15" s="465"/>
      <c r="F15" s="74"/>
      <c r="G15" s="290">
        <v>0</v>
      </c>
      <c r="H15" s="290">
        <v>3517</v>
      </c>
      <c r="I15" s="356"/>
      <c r="J15" s="356">
        <f>'Dec''18 State of Activities'!G17</f>
        <v>12796</v>
      </c>
      <c r="K15" s="356">
        <f>'Dec''18 State of Activities'!H17</f>
        <v>13675.25</v>
      </c>
      <c r="L15" s="356"/>
      <c r="M15" s="356">
        <f>'Dec''18 State of Activities'!J17</f>
        <v>11028.75</v>
      </c>
      <c r="N15" s="409"/>
      <c r="O15" s="356">
        <v>7518.43</v>
      </c>
      <c r="P15" s="69"/>
      <c r="Q15" s="575">
        <f>J15-K15</f>
        <v>-879.25</v>
      </c>
      <c r="R15" s="489">
        <f>Q15/K15</f>
        <v>-6.4294985466444854E-2</v>
      </c>
      <c r="S15" s="69"/>
      <c r="T15" s="69"/>
      <c r="U15" s="430"/>
      <c r="V15" s="527"/>
      <c r="W15" s="402"/>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65" t="s">
        <v>249</v>
      </c>
      <c r="D16" s="465"/>
      <c r="E16" s="465"/>
      <c r="F16" s="74"/>
      <c r="G16" s="290">
        <v>31459</v>
      </c>
      <c r="H16" s="290">
        <v>13920.35</v>
      </c>
      <c r="I16" s="356"/>
      <c r="J16" s="356">
        <f>'Dec''18 Revenues &amp; Expenses'!H36</f>
        <v>25000</v>
      </c>
      <c r="K16" s="356">
        <v>25000</v>
      </c>
      <c r="L16" s="356"/>
      <c r="M16" s="356">
        <v>20280.8</v>
      </c>
      <c r="N16" s="409"/>
      <c r="O16" s="356">
        <v>21179.81</v>
      </c>
      <c r="P16" s="69"/>
      <c r="Q16" s="575">
        <f>J16-K16</f>
        <v>0</v>
      </c>
      <c r="R16" s="489">
        <f>Q16/K16</f>
        <v>0</v>
      </c>
      <c r="S16" s="69"/>
      <c r="T16" s="69"/>
      <c r="U16" s="430"/>
      <c r="V16" s="527"/>
      <c r="W16" s="402"/>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465" t="s">
        <v>267</v>
      </c>
      <c r="D17" s="465"/>
      <c r="E17" s="465"/>
      <c r="F17" s="74"/>
      <c r="G17" s="290">
        <v>1125</v>
      </c>
      <c r="H17" s="290">
        <v>6050</v>
      </c>
      <c r="I17" s="356"/>
      <c r="J17" s="356">
        <f>'Dec''18 State of Activities'!G24</f>
        <v>0</v>
      </c>
      <c r="K17" s="356">
        <f>'Dec''18 State of Activities'!H24</f>
        <v>5175</v>
      </c>
      <c r="L17" s="356"/>
      <c r="M17" s="356">
        <f>'Dec''18 State of Activities'!J24</f>
        <v>5175</v>
      </c>
      <c r="N17" s="409"/>
      <c r="O17" s="356">
        <v>-6085</v>
      </c>
      <c r="P17" s="69"/>
      <c r="Q17" s="575">
        <f>J17-K17</f>
        <v>-5175</v>
      </c>
      <c r="R17" s="48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1" thickBot="1" x14ac:dyDescent="0.25">
      <c r="A18" s="74"/>
      <c r="B18" s="74"/>
      <c r="C18" s="465" t="s">
        <v>250</v>
      </c>
      <c r="D18" s="465"/>
      <c r="E18" s="465"/>
      <c r="F18" s="74"/>
      <c r="G18" s="291">
        <v>31250</v>
      </c>
      <c r="H18" s="291">
        <v>15624.98</v>
      </c>
      <c r="I18" s="356"/>
      <c r="J18" s="291">
        <f>'Dec''18 State of Activities'!G25*0.2</f>
        <v>9315</v>
      </c>
      <c r="K18" s="291">
        <f>'Dec''18 State of Activities'!H25*0.2</f>
        <v>9315</v>
      </c>
      <c r="L18" s="356"/>
      <c r="M18" s="291">
        <f>'Dec''18 State of Activities'!J25*0.2</f>
        <v>9315</v>
      </c>
      <c r="N18" s="409"/>
      <c r="O18" s="291">
        <v>9315</v>
      </c>
      <c r="P18" s="69"/>
      <c r="Q18" s="576">
        <f>J18-K18</f>
        <v>0</v>
      </c>
      <c r="R18" s="459">
        <v>0</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465"/>
      <c r="D19" s="74" t="s">
        <v>114</v>
      </c>
      <c r="E19" s="465"/>
      <c r="F19" s="74"/>
      <c r="G19" s="256">
        <v>1161224.25</v>
      </c>
      <c r="H19" s="256">
        <v>516293.30999999994</v>
      </c>
      <c r="I19" s="254"/>
      <c r="J19" s="290">
        <f>SUM(J9:J18)</f>
        <v>275549.1286</v>
      </c>
      <c r="K19" s="290">
        <f>SUM(K9:K18)</f>
        <v>269886.92540000001</v>
      </c>
      <c r="L19" s="356"/>
      <c r="M19" s="290">
        <f>SUM(M9:M18)</f>
        <v>232558.25873333335</v>
      </c>
      <c r="N19" s="409"/>
      <c r="O19" s="290">
        <v>293387.3916666666</v>
      </c>
      <c r="P19" s="69"/>
      <c r="Q19" s="301">
        <f>SUM(Q9:Q18)</f>
        <v>5662.2032000000108</v>
      </c>
      <c r="R19" s="489">
        <f>Q19/K19</f>
        <v>2.0979909240168071E-2</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251</v>
      </c>
      <c r="D20" s="465"/>
      <c r="E20" s="465"/>
      <c r="F20" s="74"/>
      <c r="G20" s="264">
        <v>150176</v>
      </c>
      <c r="H20" s="264">
        <v>47700.27</v>
      </c>
      <c r="I20" s="254"/>
      <c r="J20" s="356">
        <f>'Dec''18 Revenues &amp; Expenses'!J53</f>
        <v>19000</v>
      </c>
      <c r="K20" s="356">
        <v>19000</v>
      </c>
      <c r="L20" s="356"/>
      <c r="M20" s="356">
        <f>19000/12*10</f>
        <v>15833.333333333332</v>
      </c>
      <c r="N20" s="409"/>
      <c r="O20" s="547">
        <v>15833.333333333332</v>
      </c>
      <c r="P20" s="69"/>
      <c r="Q20" s="575">
        <f>J20-K20</f>
        <v>0</v>
      </c>
      <c r="R20" s="458">
        <f>Q20/K20</f>
        <v>0</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1" thickBot="1" x14ac:dyDescent="0.25">
      <c r="A21" s="74"/>
      <c r="B21" s="74"/>
      <c r="C21" s="74" t="s">
        <v>252</v>
      </c>
      <c r="D21" s="465"/>
      <c r="E21" s="465"/>
      <c r="F21" s="74"/>
      <c r="G21" s="254"/>
      <c r="H21" s="254"/>
      <c r="I21" s="254"/>
      <c r="J21" s="291">
        <v>37641.19</v>
      </c>
      <c r="K21" s="291">
        <v>33410.949999999997</v>
      </c>
      <c r="L21" s="356"/>
      <c r="M21" s="291">
        <v>27944.52</v>
      </c>
      <c r="N21" s="409"/>
      <c r="O21" s="291">
        <v>29553.69</v>
      </c>
      <c r="P21" s="69"/>
      <c r="Q21" s="420">
        <f>J21-K21</f>
        <v>4230.2400000000052</v>
      </c>
      <c r="R21" s="519">
        <f>Q21/K21</f>
        <v>0.12661238306603093</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65"/>
      <c r="D22" s="74" t="s">
        <v>116</v>
      </c>
      <c r="E22" s="465"/>
      <c r="F22" s="74"/>
      <c r="G22" s="256">
        <v>1311400.25</v>
      </c>
      <c r="H22" s="256">
        <v>563993.57999999996</v>
      </c>
      <c r="I22" s="254"/>
      <c r="J22" s="290">
        <f>SUM(J19:J21)</f>
        <v>332190.3186</v>
      </c>
      <c r="K22" s="290">
        <f>SUM(K19:K21)</f>
        <v>322297.87540000002</v>
      </c>
      <c r="L22" s="356"/>
      <c r="M22" s="290">
        <f>SUM(M19:M21)</f>
        <v>276336.11206666671</v>
      </c>
      <c r="N22" s="409"/>
      <c r="O22" s="290">
        <v>338774.41499999992</v>
      </c>
      <c r="P22" s="69"/>
      <c r="Q22" s="301">
        <f>J22-K22</f>
        <v>9892.4431999999797</v>
      </c>
      <c r="R22" s="489">
        <f>Q22/K22</f>
        <v>3.0693479402315597E-2</v>
      </c>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465"/>
      <c r="D23" s="74"/>
      <c r="E23" s="465"/>
      <c r="F23" s="74"/>
      <c r="G23" s="256"/>
      <c r="H23" s="256"/>
      <c r="I23" s="254"/>
      <c r="J23" s="356"/>
      <c r="K23" s="356"/>
      <c r="L23" s="356"/>
      <c r="M23" s="356"/>
      <c r="N23" s="409"/>
      <c r="O23" s="356"/>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88" t="s">
        <v>120</v>
      </c>
      <c r="C24" s="88"/>
      <c r="D24" s="88"/>
      <c r="E24" s="88"/>
      <c r="F24" s="88"/>
      <c r="G24" s="264"/>
      <c r="H24" s="69"/>
      <c r="I24" s="69"/>
      <c r="J24" s="356"/>
      <c r="K24" s="409"/>
      <c r="L24" s="409"/>
      <c r="M24" s="409"/>
      <c r="N24" s="409"/>
      <c r="O24" s="40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0.25" x14ac:dyDescent="0.2">
      <c r="A25" s="68"/>
      <c r="B25" s="68"/>
      <c r="C25" s="80" t="s">
        <v>253</v>
      </c>
      <c r="D25" s="80"/>
      <c r="E25" s="80"/>
      <c r="F25" s="80"/>
      <c r="G25" s="254">
        <v>733747.79999999993</v>
      </c>
      <c r="H25" s="301">
        <v>361976</v>
      </c>
      <c r="I25" s="301"/>
      <c r="J25" s="356"/>
      <c r="K25" s="442"/>
      <c r="L25" s="442"/>
      <c r="M25" s="442"/>
      <c r="N25" s="409"/>
      <c r="O25" s="442"/>
    </row>
    <row r="26" spans="1:63" s="69" customFormat="1" ht="20.25" x14ac:dyDescent="0.2">
      <c r="A26" s="68"/>
      <c r="B26" s="68"/>
      <c r="C26" s="80"/>
      <c r="D26" s="770" t="s">
        <v>254</v>
      </c>
      <c r="E26" s="770"/>
      <c r="F26" s="770"/>
      <c r="G26" s="254"/>
      <c r="H26" s="301"/>
      <c r="I26" s="301"/>
      <c r="J26" s="356">
        <v>146508.01999999999</v>
      </c>
      <c r="K26" s="356">
        <v>127641.57</v>
      </c>
      <c r="L26" s="442"/>
      <c r="M26" s="442">
        <v>106719.16</v>
      </c>
      <c r="N26" s="409"/>
      <c r="O26" s="442">
        <v>107250.37</v>
      </c>
      <c r="Q26" s="301">
        <f>J26-K26</f>
        <v>18866.449999999983</v>
      </c>
      <c r="R26" s="489">
        <f>Q26/K26</f>
        <v>0.14780803777327386</v>
      </c>
    </row>
    <row r="27" spans="1:63" s="69" customFormat="1" ht="20.25" x14ac:dyDescent="0.2">
      <c r="A27" s="68"/>
      <c r="B27" s="68"/>
      <c r="C27" s="80"/>
      <c r="D27" s="770" t="s">
        <v>255</v>
      </c>
      <c r="E27" s="770"/>
      <c r="F27" s="770"/>
      <c r="G27" s="254"/>
      <c r="H27" s="301"/>
      <c r="I27" s="301"/>
      <c r="J27" s="356">
        <f>36167.85+22862.33+605.09+292.95</f>
        <v>59928.219999999994</v>
      </c>
      <c r="K27" s="356">
        <f>34924.35+22312.7+586+303</f>
        <v>58126.05</v>
      </c>
      <c r="L27" s="442"/>
      <c r="M27" s="442">
        <f>28983.3+18773.95+484.4+228</f>
        <v>48469.65</v>
      </c>
      <c r="N27" s="409"/>
      <c r="O27" s="442">
        <v>45647.57</v>
      </c>
      <c r="Q27" s="301">
        <f>J27-K27</f>
        <v>1802.169999999991</v>
      </c>
      <c r="R27" s="489">
        <f>Q27/K27</f>
        <v>3.1004515187252373E-2</v>
      </c>
      <c r="T27" s="288"/>
    </row>
    <row r="28" spans="1:63" s="69" customFormat="1" ht="20.25" x14ac:dyDescent="0.2">
      <c r="A28" s="68"/>
      <c r="B28" s="68"/>
      <c r="C28" s="80"/>
      <c r="D28" s="770" t="s">
        <v>122</v>
      </c>
      <c r="E28" s="770"/>
      <c r="F28" s="770"/>
      <c r="G28" s="254"/>
      <c r="H28" s="301"/>
      <c r="I28" s="301"/>
      <c r="J28" s="356">
        <f>(J26+J27)*0.19</f>
        <v>39222.885600000001</v>
      </c>
      <c r="K28" s="356">
        <f>(K26+K27)*0.195+1639.81</f>
        <v>37864.495899999994</v>
      </c>
      <c r="L28" s="442"/>
      <c r="M28" s="356">
        <f>(M26+M27)*0.19</f>
        <v>29485.873899999999</v>
      </c>
      <c r="N28" s="409"/>
      <c r="O28" s="442">
        <v>32108.5674</v>
      </c>
      <c r="Q28" s="301">
        <f>J28-K28</f>
        <v>1358.389700000007</v>
      </c>
      <c r="R28" s="489">
        <f>Q28/K28</f>
        <v>3.5875024022173956E-2</v>
      </c>
    </row>
    <row r="29" spans="1:63" s="69" customFormat="1" ht="20.25" x14ac:dyDescent="0.2">
      <c r="A29" s="68"/>
      <c r="B29" s="68"/>
      <c r="C29" s="80" t="s">
        <v>330</v>
      </c>
      <c r="D29" s="80"/>
      <c r="E29" s="80"/>
      <c r="F29" s="80"/>
      <c r="G29" s="254">
        <v>44745.18</v>
      </c>
      <c r="H29" s="254">
        <v>20974.21</v>
      </c>
      <c r="I29" s="254"/>
      <c r="J29" s="356"/>
      <c r="K29" s="677"/>
      <c r="L29" s="356"/>
      <c r="M29" s="356"/>
      <c r="N29" s="409"/>
      <c r="O29" s="356"/>
      <c r="Q29" s="301">
        <f>J29-K29</f>
        <v>0</v>
      </c>
      <c r="R29" s="489"/>
    </row>
    <row r="30" spans="1:63" s="69" customFormat="1" ht="20.25" x14ac:dyDescent="0.2">
      <c r="A30" s="68"/>
      <c r="B30" s="68"/>
      <c r="C30" s="80"/>
      <c r="D30" s="770" t="s">
        <v>256</v>
      </c>
      <c r="E30" s="770"/>
      <c r="F30" s="770"/>
      <c r="G30" s="254"/>
      <c r="H30" s="254"/>
      <c r="I30" s="254"/>
      <c r="J30" s="356">
        <v>27183.82</v>
      </c>
      <c r="K30" s="356">
        <f>21360.73-604</f>
        <v>20756.73</v>
      </c>
      <c r="L30" s="356"/>
      <c r="M30" s="356">
        <v>17821.52</v>
      </c>
      <c r="N30" s="409"/>
      <c r="O30" s="356">
        <v>15165.56</v>
      </c>
      <c r="Q30" s="301">
        <f>J30-K30</f>
        <v>6427.09</v>
      </c>
      <c r="R30" s="489">
        <f>Q30/K30</f>
        <v>0.30963884966466299</v>
      </c>
    </row>
    <row r="31" spans="1:63" s="69" customFormat="1" ht="20.25" x14ac:dyDescent="0.2">
      <c r="A31" s="68"/>
      <c r="B31" s="68"/>
      <c r="C31" s="80"/>
      <c r="D31" s="770" t="s">
        <v>257</v>
      </c>
      <c r="E31" s="770"/>
      <c r="F31" s="770"/>
      <c r="G31" s="254"/>
      <c r="H31" s="254"/>
      <c r="I31" s="254"/>
      <c r="J31" s="356">
        <v>15153.33</v>
      </c>
      <c r="K31" s="356">
        <v>13639.75</v>
      </c>
      <c r="L31" s="356"/>
      <c r="M31" s="356">
        <v>11371.3</v>
      </c>
      <c r="N31" s="409"/>
      <c r="O31" s="356">
        <v>12730.77</v>
      </c>
      <c r="Q31" s="301">
        <f>J31-K31</f>
        <v>1513.58</v>
      </c>
      <c r="R31" s="489">
        <f>Q31/K31</f>
        <v>0.11096830953646511</v>
      </c>
    </row>
    <row r="32" spans="1:63" s="69" customFormat="1" ht="20.25" x14ac:dyDescent="0.2">
      <c r="A32" s="68"/>
      <c r="B32" s="68"/>
      <c r="C32" s="80"/>
      <c r="D32" s="770" t="s">
        <v>369</v>
      </c>
      <c r="E32" s="770"/>
      <c r="F32" s="770"/>
      <c r="G32" s="254"/>
      <c r="H32" s="254"/>
      <c r="I32" s="254"/>
      <c r="J32" s="356">
        <v>12292.26</v>
      </c>
      <c r="K32" s="356">
        <v>11691.65</v>
      </c>
      <c r="L32" s="356"/>
      <c r="M32" s="356">
        <v>8542.7199999999993</v>
      </c>
      <c r="N32" s="409"/>
      <c r="O32" s="356">
        <v>6887.16</v>
      </c>
      <c r="Q32" s="301">
        <f>J32-K32</f>
        <v>600.61000000000058</v>
      </c>
      <c r="R32" s="489">
        <f>Q32/K32</f>
        <v>5.1370850136636025E-2</v>
      </c>
    </row>
    <row r="33" spans="1:18" s="69" customFormat="1" ht="20.25" x14ac:dyDescent="0.2">
      <c r="A33" s="68"/>
      <c r="B33" s="68"/>
      <c r="C33" s="80"/>
      <c r="D33" s="770" t="s">
        <v>258</v>
      </c>
      <c r="E33" s="770"/>
      <c r="F33" s="770"/>
      <c r="G33" s="254"/>
      <c r="H33" s="254"/>
      <c r="I33" s="254"/>
      <c r="J33" s="356"/>
      <c r="K33" s="356">
        <v>1100</v>
      </c>
      <c r="L33" s="356"/>
      <c r="M33" s="356">
        <v>1100</v>
      </c>
      <c r="N33" s="409"/>
      <c r="O33" s="356">
        <v>5500</v>
      </c>
      <c r="Q33" s="301">
        <f>J33-K33</f>
        <v>-1100</v>
      </c>
      <c r="R33" s="489">
        <f>Q33/K33</f>
        <v>-1</v>
      </c>
    </row>
    <row r="34" spans="1:18" s="69" customFormat="1" ht="20.25" x14ac:dyDescent="0.2">
      <c r="A34" s="68"/>
      <c r="B34" s="68"/>
      <c r="C34" s="80"/>
      <c r="D34" s="770" t="s">
        <v>259</v>
      </c>
      <c r="E34" s="770"/>
      <c r="F34" s="770"/>
      <c r="G34" s="254"/>
      <c r="H34" s="254"/>
      <c r="I34" s="254"/>
      <c r="J34" s="356">
        <v>377</v>
      </c>
      <c r="K34" s="356">
        <v>1130.5</v>
      </c>
      <c r="L34" s="356"/>
      <c r="M34" s="356">
        <v>1120.5</v>
      </c>
      <c r="N34" s="409"/>
      <c r="O34" s="356">
        <v>491.5</v>
      </c>
      <c r="Q34" s="301">
        <f>J34-K34</f>
        <v>-753.5</v>
      </c>
      <c r="R34" s="489">
        <f>Q34/K34</f>
        <v>-0.66651923927465728</v>
      </c>
    </row>
    <row r="35" spans="1:18" s="69" customFormat="1" ht="20.25" x14ac:dyDescent="0.2">
      <c r="A35" s="68"/>
      <c r="B35" s="68"/>
      <c r="C35" s="80" t="s">
        <v>260</v>
      </c>
      <c r="D35" s="80"/>
      <c r="E35" s="80"/>
      <c r="F35" s="80"/>
      <c r="G35" s="254">
        <v>27200</v>
      </c>
      <c r="H35" s="254">
        <v>11327</v>
      </c>
      <c r="I35" s="254"/>
      <c r="J35" s="356">
        <f>1668+23520</f>
        <v>25188</v>
      </c>
      <c r="K35" s="356">
        <f>1862.04+21745.96</f>
        <v>23608</v>
      </c>
      <c r="L35" s="356"/>
      <c r="M35" s="356">
        <f>1551.7+17684.3</f>
        <v>19236</v>
      </c>
      <c r="N35" s="409"/>
      <c r="O35" s="356">
        <v>19880</v>
      </c>
      <c r="Q35" s="301">
        <f>J35-K35</f>
        <v>1580</v>
      </c>
      <c r="R35" s="489">
        <f>Q35/K35</f>
        <v>6.6926465604879706E-2</v>
      </c>
    </row>
    <row r="36" spans="1:18" s="69" customFormat="1" ht="20.25" x14ac:dyDescent="0.2">
      <c r="A36" s="68"/>
      <c r="B36" s="68"/>
      <c r="C36" s="80" t="s">
        <v>113</v>
      </c>
      <c r="D36" s="80"/>
      <c r="E36" s="80"/>
      <c r="F36" s="80"/>
      <c r="G36" s="254">
        <v>150176</v>
      </c>
      <c r="H36" s="301">
        <v>47700.27</v>
      </c>
      <c r="I36" s="301"/>
      <c r="J36" s="356">
        <f>J18</f>
        <v>9315</v>
      </c>
      <c r="K36" s="356">
        <f>K18</f>
        <v>9315</v>
      </c>
      <c r="L36" s="442"/>
      <c r="M36" s="442">
        <f>M18</f>
        <v>9315</v>
      </c>
      <c r="N36" s="409"/>
      <c r="O36" s="442">
        <v>9315</v>
      </c>
      <c r="Q36" s="301">
        <f>J36-K36</f>
        <v>0</v>
      </c>
      <c r="R36" s="489">
        <f>Q36/K36</f>
        <v>0</v>
      </c>
    </row>
    <row r="37" spans="1:18" s="69" customFormat="1" ht="20.25" x14ac:dyDescent="0.2">
      <c r="A37" s="68"/>
      <c r="B37" s="68"/>
      <c r="C37" s="80" t="s">
        <v>400</v>
      </c>
      <c r="D37" s="80"/>
      <c r="E37" s="80"/>
      <c r="F37" s="80"/>
      <c r="G37" s="254"/>
      <c r="H37" s="301"/>
      <c r="I37" s="301"/>
      <c r="J37" s="356">
        <f>3734+330</f>
        <v>4064</v>
      </c>
      <c r="K37" s="356">
        <f>296.04+3688.96</f>
        <v>3985</v>
      </c>
      <c r="L37" s="442"/>
      <c r="M37" s="442">
        <f>246.7+3063.3</f>
        <v>3310</v>
      </c>
      <c r="N37" s="409"/>
      <c r="O37" s="442"/>
      <c r="Q37" s="301">
        <f>J37-K37</f>
        <v>79</v>
      </c>
      <c r="R37" s="489">
        <f>Q37/K37</f>
        <v>1.9824341279799249E-2</v>
      </c>
    </row>
    <row r="38" spans="1:18" s="69" customFormat="1" ht="20.25" x14ac:dyDescent="0.2">
      <c r="A38" s="68"/>
      <c r="B38" s="68"/>
      <c r="C38" s="80" t="s">
        <v>261</v>
      </c>
      <c r="D38" s="80"/>
      <c r="E38" s="80"/>
      <c r="F38" s="80"/>
      <c r="G38" s="254"/>
      <c r="H38" s="301"/>
      <c r="I38" s="301"/>
      <c r="J38" s="356">
        <f>1290.16+15.2+190.96</f>
        <v>1496.3200000000002</v>
      </c>
      <c r="K38" s="356">
        <v>665</v>
      </c>
      <c r="L38" s="442"/>
      <c r="M38" s="442">
        <v>665</v>
      </c>
      <c r="N38" s="409"/>
      <c r="O38" s="442">
        <v>1454.17</v>
      </c>
      <c r="Q38" s="301">
        <f>J38-K38</f>
        <v>831.32000000000016</v>
      </c>
      <c r="R38" s="489"/>
    </row>
    <row r="39" spans="1:18" s="69" customFormat="1" ht="20.25" x14ac:dyDescent="0.2">
      <c r="A39" s="68"/>
      <c r="B39" s="68"/>
      <c r="C39" s="80" t="s">
        <v>124</v>
      </c>
      <c r="D39" s="80"/>
      <c r="E39" s="80"/>
      <c r="F39" s="80"/>
      <c r="G39" s="254">
        <v>10993.12</v>
      </c>
      <c r="H39" s="301">
        <v>4904.57</v>
      </c>
      <c r="I39" s="301"/>
      <c r="J39" s="356">
        <f>57.72+3372.18</f>
        <v>3429.8999999999996</v>
      </c>
      <c r="K39" s="356">
        <f>52.41+2480.43</f>
        <v>2532.8399999999997</v>
      </c>
      <c r="L39" s="442"/>
      <c r="M39" s="442">
        <f>43.49+2062.69</f>
        <v>2106.1799999999998</v>
      </c>
      <c r="N39" s="409"/>
      <c r="O39" s="442">
        <v>2085.69</v>
      </c>
      <c r="Q39" s="301">
        <f>J39-K39</f>
        <v>897.06</v>
      </c>
      <c r="R39" s="489">
        <f>Q39/K39</f>
        <v>0.35417160183825275</v>
      </c>
    </row>
    <row r="40" spans="1:18" s="69" customFormat="1" ht="20.25" x14ac:dyDescent="0.2">
      <c r="A40" s="68"/>
      <c r="B40" s="68"/>
      <c r="C40" s="80" t="s">
        <v>262</v>
      </c>
      <c r="D40" s="80"/>
      <c r="E40" s="80"/>
      <c r="F40" s="80"/>
      <c r="G40" s="254">
        <v>10250.949999999999</v>
      </c>
      <c r="H40" s="301">
        <v>3982.99</v>
      </c>
      <c r="I40" s="301"/>
      <c r="J40" s="356">
        <f>11.1+45.5+41.14+361.67</f>
        <v>459.41</v>
      </c>
      <c r="K40" s="356">
        <f>51.1+541.91</f>
        <v>593.01</v>
      </c>
      <c r="L40" s="442"/>
      <c r="M40" s="442">
        <f>92.54+359.45+44.4+6.7</f>
        <v>503.09</v>
      </c>
      <c r="N40" s="409"/>
      <c r="O40" s="442">
        <v>701.85</v>
      </c>
      <c r="Q40" s="301">
        <f>J40-K40</f>
        <v>-133.59999999999997</v>
      </c>
      <c r="R40" s="489">
        <f>Q40/K40</f>
        <v>-0.22529131043321354</v>
      </c>
    </row>
    <row r="41" spans="1:18" s="69" customFormat="1" ht="20.25" x14ac:dyDescent="0.2">
      <c r="A41" s="68"/>
      <c r="B41" s="68"/>
      <c r="C41" s="80" t="s">
        <v>131</v>
      </c>
      <c r="D41" s="80"/>
      <c r="E41" s="80"/>
      <c r="F41" s="80"/>
      <c r="G41" s="254">
        <v>4412.53</v>
      </c>
      <c r="H41" s="302">
        <v>5667</v>
      </c>
      <c r="I41" s="302"/>
      <c r="J41" s="356">
        <f>168.42+872.46</f>
        <v>1040.8800000000001</v>
      </c>
      <c r="K41" s="356">
        <f>269.31+701.29</f>
        <v>970.59999999999991</v>
      </c>
      <c r="L41" s="443"/>
      <c r="M41" s="443">
        <f>210.91+651.42</f>
        <v>862.32999999999993</v>
      </c>
      <c r="N41" s="409"/>
      <c r="O41" s="356">
        <v>904.99</v>
      </c>
      <c r="Q41" s="301">
        <f>J41-K41</f>
        <v>70.2800000000002</v>
      </c>
      <c r="R41" s="489">
        <f>Q41/K41</f>
        <v>7.2408819287039156E-2</v>
      </c>
    </row>
    <row r="42" spans="1:18" s="69" customFormat="1" ht="20.25" x14ac:dyDescent="0.2">
      <c r="A42" s="68"/>
      <c r="B42" s="68"/>
      <c r="C42" s="80" t="s">
        <v>129</v>
      </c>
      <c r="D42" s="80"/>
      <c r="E42" s="80"/>
      <c r="F42" s="80"/>
      <c r="G42" s="254">
        <v>7901</v>
      </c>
      <c r="H42" s="301">
        <v>4149.6000000000004</v>
      </c>
      <c r="I42" s="301"/>
      <c r="J42" s="356">
        <v>436.33</v>
      </c>
      <c r="K42" s="356">
        <f>4.1+426.89</f>
        <v>430.99</v>
      </c>
      <c r="L42" s="442"/>
      <c r="M42" s="442">
        <f>4.1+397.56</f>
        <v>401.66</v>
      </c>
      <c r="N42" s="409"/>
      <c r="O42" s="442">
        <v>587.55999999999995</v>
      </c>
      <c r="Q42" s="301">
        <f>J42-K42</f>
        <v>5.339999999999975</v>
      </c>
      <c r="R42" s="489">
        <f>Q42/K42</f>
        <v>1.2390078656117253E-2</v>
      </c>
    </row>
    <row r="43" spans="1:18" s="69" customFormat="1" ht="20.25" hidden="1" x14ac:dyDescent="0.2">
      <c r="A43" s="68"/>
      <c r="B43" s="68"/>
      <c r="C43" s="80" t="s">
        <v>263</v>
      </c>
      <c r="D43" s="80"/>
      <c r="E43" s="80"/>
      <c r="F43" s="80"/>
      <c r="G43" s="254"/>
      <c r="H43" s="301"/>
      <c r="I43" s="301"/>
      <c r="J43" s="356"/>
      <c r="K43" s="356"/>
      <c r="L43" s="442"/>
      <c r="M43" s="442">
        <v>0</v>
      </c>
      <c r="N43" s="409"/>
      <c r="O43" s="442">
        <v>570</v>
      </c>
      <c r="Q43" s="301">
        <f>J43-K43</f>
        <v>0</v>
      </c>
      <c r="R43" s="489"/>
    </row>
    <row r="44" spans="1:18" s="77" customFormat="1" ht="20.25" x14ac:dyDescent="0.2">
      <c r="A44" s="80"/>
      <c r="B44" s="80"/>
      <c r="C44" s="80" t="s">
        <v>125</v>
      </c>
      <c r="D44" s="80"/>
      <c r="E44" s="80"/>
      <c r="F44" s="80"/>
      <c r="G44" s="254">
        <v>5428.37</v>
      </c>
      <c r="H44" s="301">
        <v>2024.52</v>
      </c>
      <c r="I44" s="301"/>
      <c r="J44" s="356">
        <f>204.69+0.75</f>
        <v>205.44</v>
      </c>
      <c r="K44" s="356">
        <v>209.23</v>
      </c>
      <c r="L44" s="442"/>
      <c r="M44" s="442">
        <f>190.97</f>
        <v>190.97</v>
      </c>
      <c r="N44" s="408"/>
      <c r="O44" s="442">
        <v>90.95</v>
      </c>
      <c r="Q44" s="301">
        <f>J44-K44</f>
        <v>-3.789999999999992</v>
      </c>
      <c r="R44" s="489">
        <f>Q44/K44</f>
        <v>-1.8114037183960197E-2</v>
      </c>
    </row>
    <row r="45" spans="1:18" s="77" customFormat="1" ht="20.25" x14ac:dyDescent="0.2">
      <c r="A45" s="80"/>
      <c r="B45" s="80"/>
      <c r="C45" s="80" t="s">
        <v>264</v>
      </c>
      <c r="D45" s="80"/>
      <c r="E45" s="80"/>
      <c r="F45" s="80"/>
      <c r="G45" s="254">
        <v>83462.91</v>
      </c>
      <c r="H45" s="254">
        <v>18995.71</v>
      </c>
      <c r="I45" s="254"/>
      <c r="J45" s="441">
        <f>201.52+30+242+94.56</f>
        <v>568.07999999999993</v>
      </c>
      <c r="K45" s="441">
        <f>10.7+280.5+25.7</f>
        <v>316.89999999999998</v>
      </c>
      <c r="L45" s="356"/>
      <c r="M45" s="356">
        <f>10.7</f>
        <v>10.7</v>
      </c>
      <c r="N45" s="408"/>
      <c r="O45" s="356">
        <v>18</v>
      </c>
      <c r="Q45" s="578">
        <f>J45-K45</f>
        <v>251.17999999999995</v>
      </c>
      <c r="R45" s="577"/>
    </row>
    <row r="46" spans="1:18" s="69" customFormat="1" ht="21" thickBot="1" x14ac:dyDescent="0.25">
      <c r="A46" s="68"/>
      <c r="B46" s="68"/>
      <c r="C46" s="68"/>
      <c r="D46" s="74" t="s">
        <v>137</v>
      </c>
      <c r="E46" s="68"/>
      <c r="F46" s="68"/>
      <c r="G46" s="264">
        <v>1078317.8599999999</v>
      </c>
      <c r="H46" s="264">
        <v>481701.87000000005</v>
      </c>
      <c r="I46" s="254"/>
      <c r="J46" s="522">
        <f>SUM(J26:J45)</f>
        <v>346868.89560000005</v>
      </c>
      <c r="K46" s="522">
        <f>SUM(K26:K45)</f>
        <v>314577.31589999999</v>
      </c>
      <c r="L46" s="356"/>
      <c r="M46" s="522">
        <f>SUM(M26:M45)</f>
        <v>261231.65389999998</v>
      </c>
      <c r="N46" s="409"/>
      <c r="O46" s="522">
        <v>261389.70740000001</v>
      </c>
      <c r="Q46" s="522">
        <f>J46-K46</f>
        <v>32291.57970000006</v>
      </c>
      <c r="R46" s="519">
        <f>Q46/K46</f>
        <v>0.102650693701847</v>
      </c>
    </row>
    <row r="47" spans="1:18" s="69" customFormat="1" ht="21" thickBot="1" x14ac:dyDescent="0.25">
      <c r="A47" s="68"/>
      <c r="B47" s="68"/>
      <c r="C47" s="68"/>
      <c r="D47" s="68" t="s">
        <v>138</v>
      </c>
      <c r="E47" s="68"/>
      <c r="F47" s="68"/>
      <c r="G47" s="264">
        <v>233082.39000000013</v>
      </c>
      <c r="H47" s="264">
        <v>82291.709999999905</v>
      </c>
      <c r="I47" s="254"/>
      <c r="J47" s="523">
        <f>J22-J46</f>
        <v>-14678.577000000048</v>
      </c>
      <c r="K47" s="523">
        <f>K22-K46</f>
        <v>7720.5595000000321</v>
      </c>
      <c r="L47" s="356"/>
      <c r="M47" s="523">
        <f>M22-M46</f>
        <v>15104.458166666736</v>
      </c>
      <c r="N47" s="409"/>
      <c r="O47" s="523">
        <v>77384.707599999907</v>
      </c>
      <c r="Q47" s="420">
        <f>J47-K47</f>
        <v>-22399.136500000081</v>
      </c>
      <c r="R47" s="519">
        <f>Q47/K47</f>
        <v>-2.9012322876340746</v>
      </c>
    </row>
    <row r="48" spans="1:18" s="69" customFormat="1" ht="20.25" x14ac:dyDescent="0.2">
      <c r="A48" s="68"/>
      <c r="B48" s="68"/>
      <c r="C48" s="68"/>
      <c r="D48" s="68"/>
      <c r="E48" s="68"/>
      <c r="F48" s="68"/>
      <c r="G48" s="254"/>
      <c r="H48" s="254"/>
      <c r="I48" s="254"/>
      <c r="J48" s="356"/>
      <c r="K48" s="356"/>
      <c r="L48" s="356"/>
      <c r="M48" s="356"/>
      <c r="N48" s="409"/>
      <c r="O48" s="356"/>
    </row>
    <row r="49" spans="1:18" s="66" customFormat="1" ht="26.25" x14ac:dyDescent="0.2">
      <c r="A49" s="294"/>
      <c r="B49" s="294"/>
      <c r="C49" s="80" t="s">
        <v>310</v>
      </c>
      <c r="E49" s="80"/>
      <c r="F49" s="80"/>
      <c r="G49" s="296"/>
      <c r="H49" s="254"/>
      <c r="I49" s="254"/>
      <c r="J49" s="356">
        <f>-21893.75-22992.03</f>
        <v>-44885.78</v>
      </c>
      <c r="K49" s="356">
        <v>-49047</v>
      </c>
      <c r="L49" s="356"/>
      <c r="M49" s="356">
        <f>K49</f>
        <v>-49047</v>
      </c>
      <c r="N49" s="552"/>
      <c r="O49" s="356">
        <v>-50000</v>
      </c>
      <c r="Q49" s="301">
        <f>J49-K49</f>
        <v>4161.2200000000012</v>
      </c>
      <c r="R49" s="458"/>
    </row>
    <row r="50" spans="1:18" s="69" customFormat="1" ht="20.25" x14ac:dyDescent="0.2">
      <c r="A50" s="68"/>
      <c r="B50" s="68"/>
      <c r="C50" s="80" t="s">
        <v>265</v>
      </c>
      <c r="E50" s="68"/>
      <c r="G50" s="254"/>
      <c r="H50" s="254"/>
      <c r="I50" s="254"/>
      <c r="J50" s="356">
        <f>J35</f>
        <v>25188</v>
      </c>
      <c r="K50" s="356">
        <f>K35</f>
        <v>23608</v>
      </c>
      <c r="L50" s="356"/>
      <c r="M50" s="356">
        <f>M35</f>
        <v>19236</v>
      </c>
      <c r="N50" s="409"/>
      <c r="O50" s="356">
        <v>19880</v>
      </c>
      <c r="Q50" s="301">
        <f>J50-K50</f>
        <v>1580</v>
      </c>
      <c r="R50" s="458">
        <v>3.5414486921529216E-2</v>
      </c>
    </row>
    <row r="51" spans="1:18" s="69" customFormat="1" ht="24" thickBot="1" x14ac:dyDescent="0.25">
      <c r="A51" s="68"/>
      <c r="B51" s="439"/>
      <c r="C51" s="68"/>
      <c r="D51" s="772" t="s">
        <v>266</v>
      </c>
      <c r="E51" s="772"/>
      <c r="F51" s="772"/>
      <c r="G51" s="254"/>
      <c r="H51" s="254"/>
      <c r="I51" s="254"/>
      <c r="J51" s="524">
        <f>J47+J49+J50</f>
        <v>-34376.357000000047</v>
      </c>
      <c r="K51" s="524">
        <f>K47+K49+K50</f>
        <v>-17718.440499999968</v>
      </c>
      <c r="L51" s="360"/>
      <c r="M51" s="524">
        <f>M47+M49+M50</f>
        <v>-14706.541833333264</v>
      </c>
      <c r="N51" s="551"/>
      <c r="O51" s="524">
        <v>47264.707599999907</v>
      </c>
      <c r="P51" s="430"/>
      <c r="Q51" s="520">
        <f>J51-K51</f>
        <v>-16657.916500000079</v>
      </c>
      <c r="R51" s="567">
        <v>2.1062768618503362E-2</v>
      </c>
    </row>
    <row r="52" spans="1:18" s="69" customFormat="1" ht="42" customHeight="1" thickTop="1" x14ac:dyDescent="0.2">
      <c r="A52" s="68"/>
      <c r="B52" s="68"/>
      <c r="C52" s="68"/>
      <c r="D52" s="68"/>
      <c r="E52" s="68"/>
      <c r="F52" s="68"/>
      <c r="G52" s="254"/>
      <c r="H52" s="254"/>
      <c r="I52" s="254"/>
      <c r="J52" s="356"/>
      <c r="K52" s="254"/>
      <c r="L52" s="254"/>
      <c r="M52" s="254"/>
      <c r="O52" s="254"/>
    </row>
    <row r="53" spans="1:18" s="77" customFormat="1" ht="20.25" x14ac:dyDescent="0.2">
      <c r="A53" s="80"/>
      <c r="B53" s="80"/>
      <c r="C53" s="80"/>
      <c r="D53" s="80"/>
      <c r="F53" s="80" t="s">
        <v>379</v>
      </c>
      <c r="G53" s="269"/>
      <c r="H53" s="254"/>
      <c r="I53" s="254"/>
      <c r="J53" s="356">
        <v>225930</v>
      </c>
      <c r="K53" s="356">
        <v>201286</v>
      </c>
      <c r="L53" s="356"/>
      <c r="M53" s="356">
        <v>170482</v>
      </c>
      <c r="Q53" s="270"/>
    </row>
    <row r="54" spans="1:18" s="77" customFormat="1" ht="21" thickBot="1" x14ac:dyDescent="0.25">
      <c r="A54" s="80"/>
      <c r="B54" s="80"/>
      <c r="C54" s="80"/>
      <c r="D54" s="80"/>
      <c r="F54" s="80" t="s">
        <v>402</v>
      </c>
      <c r="G54" s="254"/>
      <c r="H54" s="254"/>
      <c r="I54" s="254"/>
      <c r="J54" s="711">
        <f>(J46-J35-J36)/J53</f>
        <v>1.3825782127207544</v>
      </c>
      <c r="K54" s="711">
        <f>(K46-K35-K36)/K53</f>
        <v>1.3992742460975924</v>
      </c>
      <c r="L54" s="712"/>
      <c r="M54" s="711">
        <f>(M46-M35-M36)/M53</f>
        <v>1.3648400059830361</v>
      </c>
    </row>
    <row r="55" spans="1:18" s="77" customFormat="1" ht="20.25" x14ac:dyDescent="0.2">
      <c r="A55" s="80"/>
      <c r="B55" s="80"/>
      <c r="C55" s="80"/>
      <c r="D55" s="80"/>
      <c r="F55" s="80"/>
      <c r="G55" s="254"/>
      <c r="H55" s="254"/>
      <c r="I55" s="254"/>
      <c r="J55" s="356"/>
      <c r="K55" s="356"/>
      <c r="L55" s="356"/>
      <c r="M55" s="356"/>
    </row>
    <row r="56" spans="1:18" s="77" customFormat="1" ht="20.25" x14ac:dyDescent="0.2">
      <c r="A56" s="80"/>
      <c r="B56" s="80"/>
      <c r="C56" s="80"/>
      <c r="D56" s="80"/>
      <c r="F56" s="80" t="s">
        <v>389</v>
      </c>
      <c r="G56" s="254"/>
      <c r="H56" s="254"/>
      <c r="I56" s="254"/>
      <c r="J56" s="356">
        <v>15755</v>
      </c>
      <c r="K56" s="356">
        <v>14712</v>
      </c>
      <c r="L56" s="356"/>
      <c r="M56" s="356">
        <v>12166</v>
      </c>
      <c r="R56" s="270"/>
    </row>
    <row r="57" spans="1:18" s="77" customFormat="1" ht="21" thickBot="1" x14ac:dyDescent="0.25">
      <c r="A57" s="80"/>
      <c r="B57" s="80"/>
      <c r="C57" s="80"/>
      <c r="D57" s="80"/>
      <c r="F57" s="80" t="s">
        <v>401</v>
      </c>
      <c r="G57" s="254"/>
      <c r="H57" s="254"/>
      <c r="I57" s="254"/>
      <c r="J57" s="711">
        <f>(J46-J35-J36)/J56</f>
        <v>19.826461161536024</v>
      </c>
      <c r="K57" s="711">
        <f>(K46-K35-K36)/K56</f>
        <v>19.144529356987491</v>
      </c>
      <c r="L57" s="356"/>
      <c r="M57" s="711">
        <f>(M46-M35-M36)/M56</f>
        <v>19.125485278645403</v>
      </c>
    </row>
    <row r="58" spans="1:18" s="77" customFormat="1" ht="20.25" x14ac:dyDescent="0.2">
      <c r="A58" s="80"/>
      <c r="B58" s="80"/>
      <c r="C58" s="80"/>
      <c r="D58" s="80"/>
      <c r="F58" s="80"/>
      <c r="G58" s="254"/>
      <c r="H58" s="254"/>
      <c r="I58" s="254"/>
      <c r="J58" s="356"/>
      <c r="K58" s="356"/>
      <c r="L58" s="356"/>
      <c r="M58" s="356"/>
    </row>
    <row r="59" spans="1:18" s="77" customFormat="1" ht="20.25" x14ac:dyDescent="0.2">
      <c r="A59" s="80"/>
      <c r="B59" s="80"/>
      <c r="C59" s="68"/>
      <c r="D59" s="80"/>
      <c r="F59" s="80" t="s">
        <v>390</v>
      </c>
      <c r="G59" s="254"/>
      <c r="H59" s="254"/>
      <c r="I59" s="254"/>
      <c r="J59" s="356">
        <v>7063</v>
      </c>
      <c r="K59" s="356">
        <v>7273</v>
      </c>
      <c r="L59" s="356"/>
      <c r="M59" s="356">
        <v>6137</v>
      </c>
    </row>
    <row r="60" spans="1:18" s="77" customFormat="1" ht="21" thickBot="1" x14ac:dyDescent="0.25">
      <c r="A60" s="80"/>
      <c r="B60" s="80"/>
      <c r="C60" s="80"/>
      <c r="D60" s="80"/>
      <c r="E60" s="80"/>
      <c r="F60" s="80" t="s">
        <v>391</v>
      </c>
      <c r="G60" s="254"/>
      <c r="H60" s="254"/>
      <c r="I60" s="254"/>
      <c r="J60" s="711">
        <f>J9/J59</f>
        <v>21.730600311482373</v>
      </c>
      <c r="K60" s="711">
        <f t="shared" ref="K60" si="0">K9/K59</f>
        <v>21.643007012237042</v>
      </c>
      <c r="L60" s="356"/>
      <c r="M60" s="711">
        <f>M9/M59</f>
        <v>22.184557601433927</v>
      </c>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68"/>
      <c r="D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69" customFormat="1" ht="20.25" x14ac:dyDescent="0.2">
      <c r="A66" s="68"/>
      <c r="B66" s="68"/>
      <c r="C66" s="68"/>
      <c r="D66" s="68"/>
      <c r="E66" s="68"/>
      <c r="F66" s="68"/>
      <c r="G66" s="259"/>
      <c r="H66" s="259"/>
      <c r="I66" s="259"/>
      <c r="J66" s="259"/>
      <c r="K66" s="259"/>
      <c r="L66" s="259"/>
      <c r="M66" s="259"/>
    </row>
    <row r="67" spans="1:13" s="69" customFormat="1" ht="20.25" x14ac:dyDescent="0.2">
      <c r="A67" s="68"/>
      <c r="B67" s="68"/>
      <c r="C67" s="68"/>
      <c r="D67" s="68"/>
      <c r="E67" s="68"/>
      <c r="F67" s="68"/>
      <c r="G67" s="259"/>
      <c r="H67" s="259"/>
      <c r="I67" s="259"/>
      <c r="J67" s="259"/>
      <c r="K67" s="259"/>
      <c r="L67" s="259"/>
      <c r="M67" s="259"/>
    </row>
    <row r="68" spans="1:13" s="69" customFormat="1" ht="23.25" x14ac:dyDescent="0.2">
      <c r="A68" s="68"/>
      <c r="B68" s="297"/>
      <c r="C68" s="68"/>
      <c r="D68" s="68"/>
      <c r="E68" s="68"/>
      <c r="F68" s="68"/>
      <c r="G68" s="254"/>
      <c r="H68" s="254"/>
      <c r="I68" s="254"/>
      <c r="J68" s="254"/>
      <c r="K68" s="254"/>
      <c r="L68" s="254"/>
      <c r="M68" s="254"/>
    </row>
    <row r="69" spans="1:13" s="77" customFormat="1" ht="20.25" x14ac:dyDescent="0.2">
      <c r="A69" s="80"/>
      <c r="B69" s="80"/>
      <c r="D69" s="80"/>
      <c r="E69" s="80"/>
      <c r="F69" s="80"/>
      <c r="G69" s="254"/>
      <c r="H69" s="254"/>
      <c r="I69" s="254"/>
      <c r="J69" s="254"/>
      <c r="K69" s="254"/>
      <c r="L69" s="254"/>
      <c r="M69" s="254"/>
    </row>
    <row r="70" spans="1:13" s="77" customFormat="1" ht="20.25" x14ac:dyDescent="0.2">
      <c r="A70" s="80"/>
      <c r="B70" s="80"/>
      <c r="D70" s="80"/>
      <c r="E70" s="80"/>
      <c r="F70" s="80"/>
      <c r="G70" s="254"/>
      <c r="H70" s="254"/>
      <c r="I70" s="254"/>
      <c r="J70" s="254"/>
      <c r="K70" s="254"/>
      <c r="L70" s="254"/>
      <c r="M70" s="254"/>
    </row>
    <row r="71" spans="1:13" s="69" customFormat="1" ht="20.25" x14ac:dyDescent="0.2">
      <c r="A71" s="68"/>
      <c r="B71" s="68"/>
      <c r="D71" s="80"/>
      <c r="E71" s="68"/>
      <c r="F71" s="68"/>
      <c r="G71" s="254"/>
      <c r="H71" s="254"/>
      <c r="I71" s="254"/>
      <c r="J71" s="254"/>
      <c r="K71" s="254"/>
      <c r="L71" s="254"/>
      <c r="M71" s="254"/>
    </row>
    <row r="72" spans="1:13" s="69" customFormat="1" ht="23.25" x14ac:dyDescent="0.2">
      <c r="A72" s="68"/>
      <c r="B72" s="297"/>
      <c r="C72" s="68"/>
      <c r="D72" s="68"/>
      <c r="E72" s="68"/>
      <c r="F72" s="68"/>
      <c r="G72" s="259"/>
      <c r="H72" s="259"/>
      <c r="I72" s="259"/>
      <c r="J72" s="259"/>
      <c r="K72" s="259"/>
      <c r="L72" s="259"/>
      <c r="M72" s="259"/>
    </row>
    <row r="73" spans="1:13" s="69" customFormat="1" ht="20.25" x14ac:dyDescent="0.2">
      <c r="A73" s="68"/>
      <c r="B73" s="68"/>
      <c r="C73" s="68"/>
      <c r="D73" s="68"/>
      <c r="E73" s="68"/>
      <c r="F73" s="68"/>
      <c r="G73" s="254"/>
      <c r="H73" s="254"/>
      <c r="I73" s="254"/>
      <c r="J73" s="254"/>
      <c r="K73" s="254"/>
      <c r="L73" s="254"/>
      <c r="M73" s="254"/>
    </row>
    <row r="74" spans="1:13" s="83" customFormat="1" ht="26.25" x14ac:dyDescent="0.2">
      <c r="A74" s="294"/>
      <c r="B74" s="294"/>
      <c r="C74" s="294"/>
      <c r="D74" s="294"/>
      <c r="E74" s="294"/>
      <c r="F74" s="294"/>
      <c r="G74" s="295"/>
      <c r="H74" s="259"/>
      <c r="I74" s="259"/>
      <c r="J74" s="259"/>
      <c r="K74" s="259"/>
      <c r="L74" s="259"/>
      <c r="M74" s="259"/>
    </row>
    <row r="75" spans="1:13" s="18" customFormat="1" ht="20.25" x14ac:dyDescent="0.3">
      <c r="A75" s="123"/>
      <c r="B75" s="123"/>
      <c r="C75" s="123"/>
      <c r="D75" s="123"/>
      <c r="E75" s="123"/>
      <c r="F75" s="123"/>
      <c r="G75" s="298"/>
      <c r="H75" s="303"/>
      <c r="I75" s="303"/>
      <c r="J75" s="303"/>
      <c r="K75" s="303"/>
      <c r="L75" s="303"/>
      <c r="M75" s="303"/>
    </row>
    <row r="76" spans="1:13" ht="20.25" x14ac:dyDescent="0.3">
      <c r="H76" s="303"/>
      <c r="I76" s="303"/>
      <c r="J76" s="303"/>
      <c r="K76" s="303"/>
      <c r="L76" s="303"/>
      <c r="M76" s="303"/>
    </row>
    <row r="77" spans="1:13" ht="20.25" x14ac:dyDescent="0.3">
      <c r="H77" s="303"/>
      <c r="I77" s="303"/>
      <c r="J77" s="303"/>
      <c r="K77" s="303"/>
      <c r="L77" s="303"/>
      <c r="M77" s="303"/>
    </row>
    <row r="78" spans="1:13" ht="20.25" x14ac:dyDescent="0.3">
      <c r="H78" s="300"/>
      <c r="I78" s="300"/>
      <c r="J78" s="300"/>
      <c r="K78" s="300"/>
      <c r="L78" s="300"/>
      <c r="M78" s="300"/>
    </row>
  </sheetData>
  <mergeCells count="12">
    <mergeCell ref="D51:F51"/>
    <mergeCell ref="Q8:R8"/>
    <mergeCell ref="D26:F26"/>
    <mergeCell ref="D27:F27"/>
    <mergeCell ref="D28:F28"/>
    <mergeCell ref="D30:F30"/>
    <mergeCell ref="J6:M6"/>
    <mergeCell ref="D31:F31"/>
    <mergeCell ref="D32:F32"/>
    <mergeCell ref="D33:F33"/>
    <mergeCell ref="D34:F34"/>
    <mergeCell ref="C10:F10"/>
  </mergeCells>
  <pageMargins left="0.2" right="0" top="0.5" bottom="0.5" header="0.3" footer="0.3"/>
  <pageSetup scale="6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102</v>
      </c>
      <c r="B1" s="60"/>
      <c r="C1" s="61"/>
      <c r="D1" s="61"/>
      <c r="E1" s="61"/>
      <c r="F1" s="60"/>
      <c r="G1" s="252"/>
    </row>
    <row r="2" spans="1:9" ht="26.25" x14ac:dyDescent="0.4">
      <c r="A2" s="59" t="s">
        <v>308</v>
      </c>
      <c r="B2" s="60"/>
      <c r="C2" s="61"/>
      <c r="D2" s="61"/>
      <c r="E2" s="61"/>
      <c r="F2" s="60"/>
      <c r="G2" s="252"/>
    </row>
    <row r="3" spans="1:9" ht="26.25" x14ac:dyDescent="0.4">
      <c r="A3" s="59" t="s">
        <v>418</v>
      </c>
      <c r="B3" s="60"/>
      <c r="C3" s="61"/>
      <c r="D3" s="61"/>
      <c r="E3" s="61"/>
      <c r="F3" s="60"/>
      <c r="G3" s="252"/>
    </row>
    <row r="4" spans="1:9" ht="21" thickBot="1" x14ac:dyDescent="0.25">
      <c r="A4" s="62"/>
      <c r="B4" s="62"/>
      <c r="C4" s="62"/>
      <c r="D4" s="62"/>
      <c r="E4" s="62"/>
      <c r="F4" s="62"/>
      <c r="G4" s="253"/>
    </row>
    <row r="5" spans="1:9" ht="27.75" thickTop="1" thickBot="1" x14ac:dyDescent="0.25">
      <c r="A5" s="65"/>
      <c r="B5" s="65"/>
      <c r="C5" s="65"/>
      <c r="D5" s="65"/>
      <c r="E5" s="65"/>
      <c r="F5" s="65"/>
      <c r="G5" s="713" t="s">
        <v>56</v>
      </c>
    </row>
    <row r="6" spans="1:9" ht="21" thickTop="1" x14ac:dyDescent="0.2">
      <c r="A6" s="68"/>
      <c r="B6" s="68"/>
      <c r="C6" s="68"/>
      <c r="D6" s="68"/>
      <c r="E6" s="68"/>
      <c r="F6" s="68"/>
      <c r="G6" s="254"/>
    </row>
    <row r="7" spans="1:9" ht="21" thickBot="1" x14ac:dyDescent="0.35">
      <c r="A7" s="70"/>
      <c r="B7" s="155" t="s">
        <v>109</v>
      </c>
      <c r="C7" s="155"/>
      <c r="D7" s="155"/>
      <c r="E7" s="155"/>
      <c r="F7" s="155"/>
      <c r="G7" s="308"/>
    </row>
    <row r="8" spans="1:9" ht="20.25" x14ac:dyDescent="0.2">
      <c r="A8" s="74"/>
      <c r="B8" s="74"/>
      <c r="C8" s="465" t="s">
        <v>110</v>
      </c>
      <c r="D8" s="465"/>
      <c r="E8" s="465"/>
      <c r="F8" s="74"/>
      <c r="G8" s="289">
        <v>791718</v>
      </c>
    </row>
    <row r="9" spans="1:9" ht="20.25" x14ac:dyDescent="0.2">
      <c r="A9" s="74"/>
      <c r="B9" s="74"/>
      <c r="C9" s="465" t="s">
        <v>419</v>
      </c>
      <c r="D9" s="465"/>
      <c r="E9" s="465"/>
      <c r="F9" s="74"/>
      <c r="G9" s="290">
        <v>25000</v>
      </c>
    </row>
    <row r="10" spans="1:9" ht="20.25" x14ac:dyDescent="0.2">
      <c r="A10" s="74"/>
      <c r="B10" s="435"/>
      <c r="C10" s="465" t="s">
        <v>163</v>
      </c>
      <c r="D10" s="465"/>
      <c r="E10" s="465"/>
      <c r="F10" s="74"/>
      <c r="G10" s="290">
        <v>147000</v>
      </c>
    </row>
    <row r="11" spans="1:9" ht="20.25" x14ac:dyDescent="0.2">
      <c r="A11" s="74"/>
      <c r="B11" s="435"/>
      <c r="C11" s="465" t="s">
        <v>203</v>
      </c>
      <c r="D11" s="465"/>
      <c r="E11" s="465"/>
      <c r="F11" s="74"/>
      <c r="G11" s="290">
        <v>43322</v>
      </c>
      <c r="I11" s="266"/>
    </row>
    <row r="12" spans="1:9" ht="20.25" x14ac:dyDescent="0.2">
      <c r="A12" s="74"/>
      <c r="B12" s="435"/>
      <c r="C12" s="465" t="s">
        <v>111</v>
      </c>
      <c r="D12" s="465"/>
      <c r="E12" s="465"/>
      <c r="F12" s="74"/>
      <c r="G12" s="290"/>
    </row>
    <row r="13" spans="1:9" ht="20.25" x14ac:dyDescent="0.2">
      <c r="A13" s="74"/>
      <c r="B13" s="435"/>
      <c r="C13" s="78"/>
      <c r="D13" s="465" t="s">
        <v>152</v>
      </c>
      <c r="E13" s="465"/>
      <c r="F13" s="74"/>
      <c r="G13" s="290">
        <f>43500+158022</f>
        <v>201522</v>
      </c>
    </row>
    <row r="14" spans="1:9" ht="20.25" x14ac:dyDescent="0.2">
      <c r="A14" s="74"/>
      <c r="B14" s="435"/>
      <c r="C14" s="78"/>
      <c r="D14" s="465" t="s">
        <v>174</v>
      </c>
      <c r="E14" s="465"/>
      <c r="F14" s="74"/>
      <c r="G14" s="290">
        <v>13000</v>
      </c>
    </row>
    <row r="15" spans="1:9" ht="20.25" x14ac:dyDescent="0.2">
      <c r="A15" s="74"/>
      <c r="B15" s="435"/>
      <c r="C15" s="465" t="s">
        <v>112</v>
      </c>
      <c r="D15" s="465"/>
      <c r="E15" s="465"/>
      <c r="F15" s="74"/>
      <c r="G15" s="290">
        <v>12500</v>
      </c>
    </row>
    <row r="16" spans="1:9" ht="20.25" x14ac:dyDescent="0.2">
      <c r="A16" s="74"/>
      <c r="B16" s="435"/>
      <c r="C16" s="465" t="s">
        <v>119</v>
      </c>
      <c r="D16" s="465"/>
      <c r="E16" s="465"/>
      <c r="F16" s="74"/>
      <c r="G16" s="290">
        <v>1200</v>
      </c>
    </row>
    <row r="17" spans="1:9" ht="20.25" x14ac:dyDescent="0.2">
      <c r="A17" s="74"/>
      <c r="B17" s="435"/>
      <c r="C17" s="465" t="s">
        <v>275</v>
      </c>
      <c r="D17" s="465"/>
      <c r="E17" s="465"/>
      <c r="F17" s="74"/>
      <c r="G17" s="290">
        <v>4200</v>
      </c>
    </row>
    <row r="18" spans="1:9" ht="20.25" x14ac:dyDescent="0.2">
      <c r="A18" s="74"/>
      <c r="B18" s="435"/>
      <c r="C18" s="465" t="s">
        <v>421</v>
      </c>
      <c r="D18" s="465"/>
      <c r="E18" s="465"/>
      <c r="F18" s="74"/>
      <c r="G18" s="290">
        <v>1500</v>
      </c>
    </row>
    <row r="19" spans="1:9" ht="20.25" x14ac:dyDescent="0.2">
      <c r="A19" s="74"/>
      <c r="B19" s="435"/>
      <c r="C19" s="465" t="s">
        <v>276</v>
      </c>
      <c r="D19" s="465"/>
      <c r="E19" s="465"/>
      <c r="F19" s="74"/>
      <c r="G19" s="290"/>
    </row>
    <row r="20" spans="1:9" ht="20.25" x14ac:dyDescent="0.2">
      <c r="A20" s="74"/>
      <c r="B20" s="435"/>
      <c r="C20" s="465"/>
      <c r="D20" s="465" t="s">
        <v>13</v>
      </c>
      <c r="E20" s="465"/>
      <c r="F20" s="74"/>
      <c r="G20" s="290">
        <f>73338-45000</f>
        <v>28338</v>
      </c>
    </row>
    <row r="21" spans="1:9" ht="20.25" x14ac:dyDescent="0.2">
      <c r="A21" s="74"/>
      <c r="B21" s="435"/>
      <c r="C21" s="465"/>
      <c r="D21" s="465" t="s">
        <v>19</v>
      </c>
      <c r="E21" s="465"/>
      <c r="F21" s="74"/>
      <c r="G21" s="290">
        <v>45000</v>
      </c>
    </row>
    <row r="22" spans="1:9" ht="20.25" x14ac:dyDescent="0.2">
      <c r="A22" s="74"/>
      <c r="B22" s="435"/>
      <c r="C22" s="465" t="s">
        <v>423</v>
      </c>
      <c r="D22" s="465"/>
      <c r="E22" s="465"/>
      <c r="F22" s="74"/>
      <c r="G22" s="290">
        <v>2500</v>
      </c>
    </row>
    <row r="23" spans="1:9" ht="20.25" x14ac:dyDescent="0.2">
      <c r="A23" s="74"/>
      <c r="B23" s="435"/>
      <c r="C23" s="465" t="s">
        <v>118</v>
      </c>
      <c r="D23" s="465"/>
      <c r="E23" s="465"/>
      <c r="F23" s="74"/>
      <c r="G23" s="356">
        <v>46575</v>
      </c>
    </row>
    <row r="24" spans="1:9" ht="20.25" x14ac:dyDescent="0.2">
      <c r="A24" s="74"/>
      <c r="B24" s="435"/>
      <c r="C24" s="465" t="s">
        <v>424</v>
      </c>
      <c r="D24" s="465"/>
      <c r="E24" s="465"/>
      <c r="F24" s="74"/>
      <c r="G24" s="356">
        <v>1531</v>
      </c>
    </row>
    <row r="25" spans="1:9" ht="20.25" x14ac:dyDescent="0.2">
      <c r="A25" s="74"/>
      <c r="B25" s="435"/>
      <c r="C25" s="465" t="s">
        <v>111</v>
      </c>
      <c r="D25" s="465"/>
      <c r="E25" s="465"/>
      <c r="F25" s="74"/>
      <c r="G25" s="356">
        <v>19000</v>
      </c>
    </row>
    <row r="26" spans="1:9" ht="20.25" x14ac:dyDescent="0.2">
      <c r="A26" s="74"/>
      <c r="B26" s="435"/>
      <c r="C26" s="465" t="s">
        <v>420</v>
      </c>
      <c r="D26" s="465"/>
      <c r="E26" s="465"/>
      <c r="F26" s="74"/>
      <c r="G26" s="356">
        <v>51000</v>
      </c>
    </row>
    <row r="27" spans="1:9" ht="20.25" x14ac:dyDescent="0.2">
      <c r="A27" s="74"/>
      <c r="B27" s="435"/>
      <c r="C27" s="465" t="s">
        <v>422</v>
      </c>
      <c r="D27" s="465"/>
      <c r="E27" s="465"/>
      <c r="F27" s="74"/>
      <c r="G27" s="356">
        <v>20655</v>
      </c>
    </row>
    <row r="28" spans="1:9" ht="20.25" x14ac:dyDescent="0.2">
      <c r="A28" s="74"/>
      <c r="B28" s="435"/>
      <c r="C28" s="465"/>
      <c r="D28" s="74" t="s">
        <v>114</v>
      </c>
      <c r="E28" s="465"/>
      <c r="F28" s="74"/>
      <c r="G28" s="265">
        <f>SUM(G8:G27)</f>
        <v>1455561</v>
      </c>
      <c r="I28" s="266"/>
    </row>
    <row r="29" spans="1:9" ht="20.25" x14ac:dyDescent="0.2">
      <c r="A29" s="74"/>
      <c r="B29" s="435"/>
      <c r="C29" s="465"/>
      <c r="D29" s="74"/>
      <c r="E29" s="465"/>
      <c r="F29" s="74"/>
      <c r="G29" s="256"/>
    </row>
    <row r="30" spans="1:9" ht="21" thickBot="1" x14ac:dyDescent="0.25">
      <c r="A30" s="74"/>
      <c r="B30" s="436" t="s">
        <v>120</v>
      </c>
      <c r="C30" s="88"/>
      <c r="D30" s="88"/>
      <c r="E30" s="88"/>
      <c r="F30" s="88"/>
      <c r="G30" s="264"/>
    </row>
    <row r="31" spans="1:9" ht="20.25" x14ac:dyDescent="0.2">
      <c r="A31" s="68"/>
      <c r="B31" s="437"/>
      <c r="C31" s="80" t="s">
        <v>121</v>
      </c>
      <c r="D31" s="80"/>
      <c r="E31" s="80"/>
      <c r="F31" s="80"/>
      <c r="G31" s="254">
        <v>889720</v>
      </c>
    </row>
    <row r="32" spans="1:9" ht="20.25" x14ac:dyDescent="0.2">
      <c r="A32" s="68"/>
      <c r="B32" s="437"/>
      <c r="C32" s="80" t="s">
        <v>122</v>
      </c>
      <c r="D32" s="80"/>
      <c r="E32" s="80"/>
      <c r="F32" s="80"/>
      <c r="G32" s="254">
        <v>192602</v>
      </c>
    </row>
    <row r="33" spans="1:7" ht="20.25" x14ac:dyDescent="0.2">
      <c r="A33" s="68"/>
      <c r="B33" s="437"/>
      <c r="C33" s="80" t="s">
        <v>123</v>
      </c>
      <c r="D33" s="80"/>
      <c r="E33" s="80"/>
      <c r="F33" s="80"/>
      <c r="G33" s="254">
        <v>3600</v>
      </c>
    </row>
    <row r="34" spans="1:7" ht="20.25" x14ac:dyDescent="0.2">
      <c r="A34" s="68"/>
      <c r="B34" s="437"/>
      <c r="C34" s="80" t="s">
        <v>113</v>
      </c>
      <c r="D34" s="80"/>
      <c r="E34" s="80"/>
      <c r="F34" s="80"/>
      <c r="G34" s="254">
        <f>G23</f>
        <v>46575</v>
      </c>
    </row>
    <row r="35" spans="1:7" ht="20.25" x14ac:dyDescent="0.2">
      <c r="A35" s="68"/>
      <c r="B35" s="437"/>
      <c r="C35" s="80" t="s">
        <v>124</v>
      </c>
      <c r="D35" s="80"/>
      <c r="E35" s="80"/>
      <c r="F35" s="80"/>
      <c r="G35" s="254">
        <v>17595</v>
      </c>
    </row>
    <row r="36" spans="1:7" ht="20.25" x14ac:dyDescent="0.2">
      <c r="A36" s="68"/>
      <c r="B36" s="437"/>
      <c r="C36" s="80" t="s">
        <v>125</v>
      </c>
      <c r="D36" s="80"/>
      <c r="E36" s="80"/>
      <c r="F36" s="80"/>
      <c r="G36" s="254">
        <v>2821</v>
      </c>
    </row>
    <row r="37" spans="1:7" ht="20.25" x14ac:dyDescent="0.2">
      <c r="A37" s="68"/>
      <c r="B37" s="437"/>
      <c r="C37" s="80" t="s">
        <v>126</v>
      </c>
      <c r="D37" s="80"/>
      <c r="E37" s="80"/>
      <c r="F37" s="80"/>
      <c r="G37" s="254">
        <v>5032</v>
      </c>
    </row>
    <row r="38" spans="1:7" ht="20.25" x14ac:dyDescent="0.2">
      <c r="A38" s="68"/>
      <c r="B38" s="437"/>
      <c r="C38" s="80" t="s">
        <v>127</v>
      </c>
      <c r="D38" s="80"/>
      <c r="E38" s="80"/>
      <c r="F38" s="80"/>
      <c r="G38" s="254">
        <v>12216</v>
      </c>
    </row>
    <row r="39" spans="1:7" ht="20.25" x14ac:dyDescent="0.2">
      <c r="A39" s="68"/>
      <c r="B39" s="437"/>
      <c r="C39" s="80" t="s">
        <v>128</v>
      </c>
      <c r="D39" s="80"/>
      <c r="E39" s="80"/>
      <c r="F39" s="80"/>
      <c r="G39" s="254">
        <v>39500</v>
      </c>
    </row>
    <row r="40" spans="1:7" ht="20.25" x14ac:dyDescent="0.2">
      <c r="A40" s="68"/>
      <c r="B40" s="437"/>
      <c r="C40" s="80" t="s">
        <v>129</v>
      </c>
      <c r="D40" s="80"/>
      <c r="E40" s="80"/>
      <c r="F40" s="80"/>
      <c r="G40" s="254">
        <v>4840</v>
      </c>
    </row>
    <row r="41" spans="1:7" ht="20.25" x14ac:dyDescent="0.2">
      <c r="A41" s="68"/>
      <c r="B41" s="437"/>
      <c r="C41" s="80" t="s">
        <v>130</v>
      </c>
      <c r="D41" s="80"/>
      <c r="E41" s="80"/>
      <c r="F41" s="80"/>
      <c r="G41" s="254">
        <v>1735</v>
      </c>
    </row>
    <row r="42" spans="1:7" ht="20.25" x14ac:dyDescent="0.2">
      <c r="A42" s="68"/>
      <c r="B42" s="437"/>
      <c r="C42" s="80" t="s">
        <v>185</v>
      </c>
      <c r="D42" s="80"/>
      <c r="E42" s="80"/>
      <c r="F42" s="80"/>
      <c r="G42" s="254">
        <v>12125</v>
      </c>
    </row>
    <row r="43" spans="1:7" ht="20.25" x14ac:dyDescent="0.2">
      <c r="A43" s="80"/>
      <c r="B43" s="433"/>
      <c r="C43" s="80" t="s">
        <v>131</v>
      </c>
      <c r="D43" s="80"/>
      <c r="E43" s="80"/>
      <c r="F43" s="80"/>
      <c r="G43" s="356">
        <v>12252</v>
      </c>
    </row>
    <row r="44" spans="1:7" ht="20.25" x14ac:dyDescent="0.2">
      <c r="A44" s="80"/>
      <c r="B44" s="433"/>
      <c r="C44" s="80" t="s">
        <v>132</v>
      </c>
      <c r="D44" s="80"/>
      <c r="E44" s="80"/>
      <c r="F44" s="80"/>
      <c r="G44" s="254">
        <v>13564</v>
      </c>
    </row>
    <row r="45" spans="1:7" ht="20.25" x14ac:dyDescent="0.2">
      <c r="A45" s="80"/>
      <c r="B45" s="433"/>
      <c r="C45" s="80" t="s">
        <v>141</v>
      </c>
      <c r="D45" s="80"/>
      <c r="E45" s="80"/>
      <c r="F45" s="80"/>
      <c r="G45" s="254">
        <v>875</v>
      </c>
    </row>
    <row r="46" spans="1:7" ht="20.25" x14ac:dyDescent="0.2">
      <c r="A46" s="80"/>
      <c r="B46" s="433"/>
      <c r="C46" s="80" t="s">
        <v>133</v>
      </c>
      <c r="D46" s="80"/>
      <c r="E46" s="80"/>
      <c r="F46" s="80"/>
      <c r="G46" s="356">
        <f>10039+1500</f>
        <v>11539</v>
      </c>
    </row>
    <row r="47" spans="1:7" ht="20.25" x14ac:dyDescent="0.2">
      <c r="A47" s="68"/>
      <c r="B47" s="437"/>
      <c r="C47" s="80" t="s">
        <v>225</v>
      </c>
      <c r="D47" s="80"/>
      <c r="E47" s="80"/>
      <c r="F47" s="80"/>
      <c r="G47" s="254">
        <f>12623+2660</f>
        <v>15283</v>
      </c>
    </row>
    <row r="48" spans="1:7" ht="20.25" x14ac:dyDescent="0.2">
      <c r="A48" s="80"/>
      <c r="B48" s="433"/>
      <c r="C48" s="80" t="s">
        <v>134</v>
      </c>
      <c r="D48" s="80"/>
      <c r="E48" s="80"/>
      <c r="F48" s="80"/>
      <c r="G48" s="356">
        <v>39977</v>
      </c>
    </row>
    <row r="49" spans="1:7" ht="20.25" x14ac:dyDescent="0.2">
      <c r="A49" s="80"/>
      <c r="B49" s="433"/>
      <c r="C49" s="80" t="s">
        <v>135</v>
      </c>
      <c r="D49" s="80"/>
      <c r="E49" s="80"/>
      <c r="F49" s="80"/>
      <c r="G49" s="356">
        <v>19556</v>
      </c>
    </row>
    <row r="50" spans="1:7" ht="20.25" x14ac:dyDescent="0.2">
      <c r="A50" s="80"/>
      <c r="B50" s="433"/>
      <c r="C50" s="80" t="s">
        <v>184</v>
      </c>
      <c r="D50" s="80"/>
      <c r="E50" s="80"/>
      <c r="F50" s="80"/>
      <c r="G50" s="254">
        <v>56100</v>
      </c>
    </row>
    <row r="51" spans="1:7" ht="20.25" x14ac:dyDescent="0.2">
      <c r="A51" s="80"/>
      <c r="B51" s="433"/>
      <c r="C51" s="80" t="s">
        <v>136</v>
      </c>
      <c r="D51" s="80"/>
      <c r="E51" s="80"/>
      <c r="F51" s="80"/>
      <c r="G51" s="254">
        <f>750+86095</f>
        <v>86845</v>
      </c>
    </row>
    <row r="52" spans="1:7" ht="21" thickBot="1" x14ac:dyDescent="0.25">
      <c r="A52" s="80"/>
      <c r="B52" s="433"/>
      <c r="C52" s="80"/>
      <c r="D52" s="80"/>
      <c r="E52" s="80"/>
      <c r="F52" s="80"/>
      <c r="G52" s="264"/>
    </row>
    <row r="53" spans="1:7" ht="20.25" x14ac:dyDescent="0.2">
      <c r="A53" s="68"/>
      <c r="B53" s="437"/>
      <c r="C53" s="68"/>
      <c r="D53" s="74" t="s">
        <v>137</v>
      </c>
      <c r="E53" s="68"/>
      <c r="F53" s="68"/>
      <c r="G53" s="259">
        <f>SUM(G31:G51)</f>
        <v>1484352</v>
      </c>
    </row>
    <row r="54" spans="1:7" ht="21" thickBot="1" x14ac:dyDescent="0.25">
      <c r="A54" s="68"/>
      <c r="B54" s="437"/>
      <c r="C54" s="68"/>
      <c r="D54" s="74"/>
      <c r="E54" s="68"/>
      <c r="F54" s="68"/>
      <c r="G54" s="264"/>
    </row>
    <row r="55" spans="1:7" ht="21" thickBot="1" x14ac:dyDescent="0.25">
      <c r="A55" s="68"/>
      <c r="B55" s="437"/>
      <c r="C55" s="68"/>
      <c r="D55" s="68" t="s">
        <v>138</v>
      </c>
      <c r="E55" s="68"/>
      <c r="F55" s="68"/>
      <c r="G55" s="264">
        <f>G28-G53</f>
        <v>-28791</v>
      </c>
    </row>
    <row r="56" spans="1:7" ht="20.25" x14ac:dyDescent="0.2">
      <c r="A56" s="68"/>
      <c r="B56" s="437"/>
      <c r="C56" s="68"/>
      <c r="D56" s="68"/>
      <c r="E56" s="68"/>
      <c r="F56" s="68"/>
      <c r="G56" s="254"/>
    </row>
  </sheetData>
  <pageMargins left="1.2" right="0" top="0.5" bottom="0.5" header="0.3" footer="0.3"/>
  <pageSetup scale="6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629" hidden="1" customWidth="1"/>
    <col min="4" max="7" width="15" customWidth="1"/>
    <col min="8" max="8" width="14.625" customWidth="1"/>
  </cols>
  <sheetData>
    <row r="1" spans="1:130" ht="21" x14ac:dyDescent="0.35">
      <c r="A1" s="669" t="s">
        <v>102</v>
      </c>
      <c r="B1" s="60"/>
      <c r="C1" s="61"/>
      <c r="D1" s="61"/>
      <c r="E1" s="61"/>
      <c r="F1" s="60"/>
      <c r="G1" s="252"/>
      <c r="H1" s="60"/>
      <c r="I1" s="60"/>
      <c r="J1" s="60"/>
      <c r="K1" s="60"/>
      <c r="L1" s="518"/>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69" t="s">
        <v>361</v>
      </c>
      <c r="B2" s="60"/>
      <c r="C2" s="61"/>
      <c r="D2" s="61"/>
      <c r="E2" s="61"/>
      <c r="F2" s="60"/>
      <c r="G2" s="252"/>
      <c r="H2" s="60"/>
      <c r="I2" s="60"/>
      <c r="J2" s="60"/>
      <c r="K2" s="60"/>
      <c r="L2" s="518"/>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69" t="str">
        <f>'Dec''18 State of Activities'!A3</f>
        <v>Ten Months Ended October 31, 2018 and 2017</v>
      </c>
      <c r="B3" s="60"/>
      <c r="C3" s="61"/>
      <c r="D3" s="61"/>
      <c r="E3" s="61"/>
      <c r="F3" s="60"/>
      <c r="G3" s="252"/>
      <c r="H3" s="60"/>
      <c r="I3" s="60"/>
      <c r="J3" s="60"/>
      <c r="K3" s="60"/>
      <c r="L3" s="518"/>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773" t="s">
        <v>333</v>
      </c>
      <c r="B5" s="774"/>
      <c r="C5" s="774"/>
      <c r="D5" s="774"/>
      <c r="E5" s="774"/>
      <c r="F5" s="774"/>
      <c r="G5" s="774"/>
      <c r="H5" s="775"/>
    </row>
    <row r="6" spans="1:130" ht="7.5" customHeight="1" thickBot="1" x14ac:dyDescent="0.25">
      <c r="E6" s="630"/>
      <c r="F6" s="630"/>
      <c r="G6" s="630"/>
    </row>
    <row r="7" spans="1:130" ht="15.75" x14ac:dyDescent="0.25">
      <c r="A7" s="631" t="s">
        <v>334</v>
      </c>
      <c r="B7" s="632" t="s">
        <v>335</v>
      </c>
      <c r="C7" s="632" t="s">
        <v>336</v>
      </c>
      <c r="D7" s="632" t="s">
        <v>337</v>
      </c>
      <c r="E7" s="632" t="s">
        <v>338</v>
      </c>
      <c r="F7" s="632" t="s">
        <v>339</v>
      </c>
      <c r="G7" s="632" t="s">
        <v>340</v>
      </c>
      <c r="H7" s="631" t="s">
        <v>341</v>
      </c>
    </row>
    <row r="8" spans="1:130" ht="16.5" thickBot="1" x14ac:dyDescent="0.3">
      <c r="A8" s="633"/>
      <c r="B8" s="634" t="s">
        <v>342</v>
      </c>
      <c r="C8" s="634" t="s">
        <v>342</v>
      </c>
      <c r="D8" s="634" t="s">
        <v>342</v>
      </c>
      <c r="E8" s="634" t="s">
        <v>342</v>
      </c>
      <c r="F8" s="634" t="s">
        <v>342</v>
      </c>
      <c r="G8" s="634" t="s">
        <v>342</v>
      </c>
      <c r="H8" s="635" t="s">
        <v>343</v>
      </c>
    </row>
    <row r="9" spans="1:130" x14ac:dyDescent="0.2">
      <c r="A9" s="636">
        <v>42741</v>
      </c>
      <c r="B9" s="637">
        <v>1059.72</v>
      </c>
      <c r="C9" s="638">
        <f>6123.86-3246.88</f>
        <v>2876.9799999999996</v>
      </c>
      <c r="D9" s="637">
        <f>160.4+1401.46</f>
        <v>1561.8600000000001</v>
      </c>
      <c r="E9" s="637">
        <f>2007.36+883.16</f>
        <v>2890.52</v>
      </c>
      <c r="F9" s="637">
        <v>4174.08</v>
      </c>
      <c r="G9" s="637">
        <v>3187.95</v>
      </c>
      <c r="H9" s="637">
        <f>G9-F9</f>
        <v>-986.13000000000011</v>
      </c>
    </row>
    <row r="10" spans="1:130" x14ac:dyDescent="0.2">
      <c r="A10" s="639">
        <v>42748</v>
      </c>
      <c r="B10" s="640">
        <v>1351.72</v>
      </c>
      <c r="C10" s="641">
        <f>7232.22-3246.88</f>
        <v>3985.34</v>
      </c>
      <c r="D10" s="640">
        <v>3927.82</v>
      </c>
      <c r="E10" s="640">
        <v>3364.16</v>
      </c>
      <c r="F10" s="637">
        <v>4643.2299999999996</v>
      </c>
      <c r="G10" s="637">
        <v>3858.57</v>
      </c>
      <c r="H10" s="637">
        <f t="shared" ref="H10:H21" si="0">G10-F10</f>
        <v>-784.6599999999994</v>
      </c>
    </row>
    <row r="11" spans="1:130" x14ac:dyDescent="0.2">
      <c r="A11" s="639">
        <v>42755</v>
      </c>
      <c r="B11" s="640">
        <v>1237.58</v>
      </c>
      <c r="C11" s="642">
        <f>5493.18-2496.78</f>
        <v>2996.4</v>
      </c>
      <c r="D11" s="640">
        <v>3463.28</v>
      </c>
      <c r="E11" s="640">
        <v>3723.22</v>
      </c>
      <c r="F11" s="637">
        <v>3257.98</v>
      </c>
      <c r="G11" s="637">
        <v>2816.13</v>
      </c>
      <c r="H11" s="637">
        <f t="shared" si="0"/>
        <v>-441.84999999999991</v>
      </c>
    </row>
    <row r="12" spans="1:130" x14ac:dyDescent="0.2">
      <c r="A12" s="639">
        <v>42762</v>
      </c>
      <c r="B12" s="640">
        <v>1829.66</v>
      </c>
      <c r="C12" s="642">
        <f>6125.18-2535</f>
        <v>3590.1800000000003</v>
      </c>
      <c r="D12" s="640">
        <v>2947.54</v>
      </c>
      <c r="E12" s="640">
        <v>3026.63</v>
      </c>
      <c r="F12" s="637">
        <v>3503.82</v>
      </c>
      <c r="G12" s="637">
        <v>2957.14</v>
      </c>
      <c r="H12" s="637">
        <f t="shared" si="0"/>
        <v>-546.68000000000029</v>
      </c>
    </row>
    <row r="13" spans="1:130" x14ac:dyDescent="0.2">
      <c r="A13" s="639">
        <v>42769</v>
      </c>
      <c r="B13" s="640">
        <v>2363.12</v>
      </c>
      <c r="C13" s="642">
        <f>-3488.68+8424.94</f>
        <v>4936.26</v>
      </c>
      <c r="D13" s="640">
        <v>3434.46</v>
      </c>
      <c r="E13" s="640">
        <v>2986.58</v>
      </c>
      <c r="F13" s="637">
        <v>4063.43</v>
      </c>
      <c r="G13" s="637">
        <v>3878.62</v>
      </c>
      <c r="H13" s="637">
        <f t="shared" si="0"/>
        <v>-184.80999999999995</v>
      </c>
    </row>
    <row r="14" spans="1:130" x14ac:dyDescent="0.2">
      <c r="A14" s="639">
        <v>42776</v>
      </c>
      <c r="B14" s="640">
        <v>1902.16</v>
      </c>
      <c r="C14" s="642">
        <f>-2931.5+7254.06</f>
        <v>4322.5600000000004</v>
      </c>
      <c r="D14" s="640">
        <v>2818.82</v>
      </c>
      <c r="E14" s="640">
        <f>2800.67</f>
        <v>2800.67</v>
      </c>
      <c r="F14" s="637">
        <v>4002.46</v>
      </c>
      <c r="G14" s="637">
        <v>2987.96</v>
      </c>
      <c r="H14" s="637">
        <f t="shared" si="0"/>
        <v>-1014.5</v>
      </c>
    </row>
    <row r="15" spans="1:130" x14ac:dyDescent="0.2">
      <c r="A15" s="639">
        <v>42783</v>
      </c>
      <c r="B15" s="640">
        <v>2134.56</v>
      </c>
      <c r="C15" s="642">
        <f>-3653.28+8329.5-700</f>
        <v>3976.2199999999993</v>
      </c>
      <c r="D15" s="640">
        <v>2157.96</v>
      </c>
      <c r="E15" s="640">
        <v>2584.04</v>
      </c>
      <c r="F15" s="637">
        <v>2886.61</v>
      </c>
      <c r="G15" s="637">
        <v>3373.08</v>
      </c>
      <c r="H15" s="637">
        <f t="shared" si="0"/>
        <v>486.4699999999998</v>
      </c>
    </row>
    <row r="16" spans="1:130" x14ac:dyDescent="0.2">
      <c r="A16" s="639">
        <v>42790</v>
      </c>
      <c r="B16" s="640">
        <v>1676.08</v>
      </c>
      <c r="C16" s="642">
        <f>-2869.88+6693.6</f>
        <v>3823.7200000000003</v>
      </c>
      <c r="D16" s="640">
        <v>3063.52</v>
      </c>
      <c r="E16" s="640">
        <v>3161.19</v>
      </c>
      <c r="F16" s="637">
        <v>3994.7</v>
      </c>
      <c r="G16" s="637">
        <v>3335.8</v>
      </c>
      <c r="H16" s="637">
        <f t="shared" si="0"/>
        <v>-658.89999999999964</v>
      </c>
    </row>
    <row r="17" spans="1:8" x14ac:dyDescent="0.2">
      <c r="A17" s="639">
        <v>42797</v>
      </c>
      <c r="B17" s="640">
        <v>1418.9</v>
      </c>
      <c r="C17" s="642">
        <f>-3427.32+8141.08</f>
        <v>4713.76</v>
      </c>
      <c r="D17" s="640">
        <v>4534.3</v>
      </c>
      <c r="E17" s="640">
        <v>3860.23</v>
      </c>
      <c r="F17" s="637">
        <v>4172.5600000000004</v>
      </c>
      <c r="G17" s="637">
        <v>2335.96</v>
      </c>
      <c r="H17" s="637">
        <f t="shared" si="0"/>
        <v>-1836.6000000000004</v>
      </c>
    </row>
    <row r="18" spans="1:8" x14ac:dyDescent="0.2">
      <c r="A18" s="639">
        <v>42804</v>
      </c>
      <c r="B18" s="640">
        <v>1013.74</v>
      </c>
      <c r="C18" s="642">
        <f>-2919.8+6449.26</f>
        <v>3529.46</v>
      </c>
      <c r="D18" s="640">
        <v>3673.88</v>
      </c>
      <c r="E18" s="640">
        <v>4004</v>
      </c>
      <c r="F18" s="637">
        <v>3762.8</v>
      </c>
      <c r="G18" s="637">
        <v>1711.94</v>
      </c>
      <c r="H18" s="637">
        <f t="shared" si="0"/>
        <v>-2050.86</v>
      </c>
    </row>
    <row r="19" spans="1:8" x14ac:dyDescent="0.2">
      <c r="A19" s="639">
        <v>42811</v>
      </c>
      <c r="B19" s="643">
        <v>3629.96</v>
      </c>
      <c r="C19" s="642">
        <f>-3708.38+7621.78</f>
        <v>3913.3999999999996</v>
      </c>
      <c r="D19" s="640">
        <v>4030.4</v>
      </c>
      <c r="E19" s="640">
        <v>3222.03</v>
      </c>
      <c r="F19" s="637">
        <v>4340.3</v>
      </c>
      <c r="G19" s="637">
        <v>942.16</v>
      </c>
      <c r="H19" s="637">
        <f t="shared" si="0"/>
        <v>-3398.1400000000003</v>
      </c>
    </row>
    <row r="20" spans="1:8" x14ac:dyDescent="0.2">
      <c r="A20" s="639">
        <v>42818</v>
      </c>
      <c r="B20" s="643">
        <v>3364</v>
      </c>
      <c r="C20" s="642">
        <f>-3726.84+7846.28</f>
        <v>4119.4399999999996</v>
      </c>
      <c r="D20" s="640">
        <v>3975.2</v>
      </c>
      <c r="E20" s="640">
        <v>3684.17</v>
      </c>
      <c r="F20" s="637">
        <v>3849.95</v>
      </c>
      <c r="G20" s="637">
        <v>1706.08</v>
      </c>
      <c r="H20" s="637">
        <f t="shared" si="0"/>
        <v>-2143.87</v>
      </c>
    </row>
    <row r="21" spans="1:8" ht="15" thickBot="1" x14ac:dyDescent="0.25">
      <c r="A21" s="639">
        <v>42825</v>
      </c>
      <c r="B21" s="643">
        <v>3587</v>
      </c>
      <c r="C21" s="642">
        <f>-3329.82+7562.9</f>
        <v>4233.08</v>
      </c>
      <c r="D21" s="640">
        <v>4280.8</v>
      </c>
      <c r="E21" s="643">
        <v>4118.96</v>
      </c>
      <c r="F21" s="644">
        <v>4082.74</v>
      </c>
      <c r="G21" s="644">
        <v>2002.52</v>
      </c>
      <c r="H21" s="637">
        <f t="shared" si="0"/>
        <v>-2080.2199999999998</v>
      </c>
    </row>
    <row r="22" spans="1:8" ht="16.5" thickBot="1" x14ac:dyDescent="0.25">
      <c r="A22" s="645" t="s">
        <v>344</v>
      </c>
      <c r="B22" s="646">
        <f t="shared" ref="B22:H22" si="1">SUM(B9:B21)</f>
        <v>26568.2</v>
      </c>
      <c r="C22" s="646">
        <f t="shared" si="1"/>
        <v>51016.80000000001</v>
      </c>
      <c r="D22" s="646">
        <f t="shared" si="1"/>
        <v>43869.84</v>
      </c>
      <c r="E22" s="646">
        <f t="shared" si="1"/>
        <v>43426.399999999994</v>
      </c>
      <c r="F22" s="646">
        <f t="shared" si="1"/>
        <v>50734.659999999996</v>
      </c>
      <c r="G22" s="646">
        <f t="shared" si="1"/>
        <v>35093.909999999989</v>
      </c>
      <c r="H22" s="646">
        <f t="shared" si="1"/>
        <v>-15640.749999999998</v>
      </c>
    </row>
    <row r="23" spans="1:8" x14ac:dyDescent="0.2">
      <c r="A23" s="647">
        <v>42832</v>
      </c>
      <c r="B23" s="640">
        <v>3525.02</v>
      </c>
      <c r="C23" s="637">
        <v>4517.8999999999996</v>
      </c>
      <c r="D23" s="637">
        <v>4162.12</v>
      </c>
      <c r="E23" s="637">
        <v>4043.7</v>
      </c>
      <c r="F23" s="637">
        <v>3768.69</v>
      </c>
      <c r="G23" s="637">
        <v>2018.44</v>
      </c>
      <c r="H23" s="637">
        <f>G23-F23</f>
        <v>-1750.25</v>
      </c>
    </row>
    <row r="24" spans="1:8" x14ac:dyDescent="0.2">
      <c r="A24" s="647">
        <v>42839</v>
      </c>
      <c r="B24" s="640">
        <v>3842.84</v>
      </c>
      <c r="C24" s="637">
        <v>4554.42</v>
      </c>
      <c r="D24" s="640">
        <v>4616</v>
      </c>
      <c r="E24" s="640">
        <v>4136.18</v>
      </c>
      <c r="F24" s="637">
        <v>4345.16</v>
      </c>
      <c r="G24" s="637">
        <v>5284.52</v>
      </c>
      <c r="H24" s="637">
        <f t="shared" ref="H24:H63" si="2">G24-F24</f>
        <v>939.36000000000058</v>
      </c>
    </row>
    <row r="25" spans="1:8" x14ac:dyDescent="0.2">
      <c r="A25" s="647">
        <v>42846</v>
      </c>
      <c r="B25" s="640">
        <v>5337.82</v>
      </c>
      <c r="C25" s="640">
        <v>4041.14</v>
      </c>
      <c r="D25" s="640">
        <v>3729.1</v>
      </c>
      <c r="E25" s="640">
        <v>4132.83</v>
      </c>
      <c r="F25" s="637">
        <v>4267.46</v>
      </c>
      <c r="G25" s="637">
        <v>4715.9799999999996</v>
      </c>
      <c r="H25" s="637">
        <f t="shared" si="2"/>
        <v>448.51999999999953</v>
      </c>
    </row>
    <row r="26" spans="1:8" x14ac:dyDescent="0.2">
      <c r="A26" s="647">
        <v>42853</v>
      </c>
      <c r="B26" s="640">
        <v>4973.68</v>
      </c>
      <c r="C26" s="640">
        <v>4321.8599999999997</v>
      </c>
      <c r="D26" s="640">
        <v>3706.08</v>
      </c>
      <c r="E26" s="640">
        <v>4536.74</v>
      </c>
      <c r="F26" s="637">
        <v>3953.61</v>
      </c>
      <c r="G26" s="637">
        <v>4499.7</v>
      </c>
      <c r="H26" s="637">
        <f t="shared" si="2"/>
        <v>546.08999999999969</v>
      </c>
    </row>
    <row r="27" spans="1:8" x14ac:dyDescent="0.2">
      <c r="A27" s="647">
        <v>42860</v>
      </c>
      <c r="B27" s="640">
        <v>3187.22</v>
      </c>
      <c r="C27" s="640">
        <v>4732.8999999999996</v>
      </c>
      <c r="D27" s="640">
        <v>3421.72</v>
      </c>
      <c r="E27" s="640">
        <f>3478.64+72+758.56</f>
        <v>4309.2</v>
      </c>
      <c r="F27" s="637">
        <v>4192.32</v>
      </c>
      <c r="G27" s="637">
        <v>4204.16</v>
      </c>
      <c r="H27" s="637">
        <f t="shared" si="2"/>
        <v>11.840000000000146</v>
      </c>
    </row>
    <row r="28" spans="1:8" x14ac:dyDescent="0.2">
      <c r="A28" s="647">
        <v>42867</v>
      </c>
      <c r="B28" s="640">
        <v>2237.2399999999998</v>
      </c>
      <c r="C28" s="640">
        <v>4138.8999999999996</v>
      </c>
      <c r="D28" s="640">
        <v>3907.94</v>
      </c>
      <c r="E28" s="640">
        <f>4050.94+212.76</f>
        <v>4263.7</v>
      </c>
      <c r="F28" s="637">
        <v>4361.47</v>
      </c>
      <c r="G28" s="637">
        <v>4571.82</v>
      </c>
      <c r="H28" s="637">
        <f t="shared" si="2"/>
        <v>210.34999999999945</v>
      </c>
    </row>
    <row r="29" spans="1:8" x14ac:dyDescent="0.2">
      <c r="A29" s="647">
        <v>42874</v>
      </c>
      <c r="B29" s="640">
        <v>3446.22</v>
      </c>
      <c r="C29" s="640">
        <v>5447.82</v>
      </c>
      <c r="D29" s="640">
        <f>3359.74+70.28</f>
        <v>3430.02</v>
      </c>
      <c r="E29" s="640">
        <v>3958.56</v>
      </c>
      <c r="F29" s="637">
        <v>3957.78</v>
      </c>
      <c r="G29" s="637">
        <v>4089.18</v>
      </c>
      <c r="H29" s="637">
        <f t="shared" si="2"/>
        <v>131.39999999999964</v>
      </c>
    </row>
    <row r="30" spans="1:8" x14ac:dyDescent="0.2">
      <c r="A30" s="647">
        <v>42881</v>
      </c>
      <c r="B30" s="640">
        <v>3507.94</v>
      </c>
      <c r="C30" s="640">
        <v>4315.03</v>
      </c>
      <c r="D30" s="640">
        <v>3880.8</v>
      </c>
      <c r="E30" s="640">
        <v>4314.9799999999996</v>
      </c>
      <c r="F30" s="637">
        <v>3634.01</v>
      </c>
      <c r="G30" s="637">
        <v>3993.63</v>
      </c>
      <c r="H30" s="637">
        <f t="shared" si="2"/>
        <v>359.61999999999989</v>
      </c>
    </row>
    <row r="31" spans="1:8" x14ac:dyDescent="0.2">
      <c r="A31" s="647">
        <v>42888</v>
      </c>
      <c r="B31" s="640">
        <v>3609.72</v>
      </c>
      <c r="C31" s="640">
        <v>3053.8</v>
      </c>
      <c r="D31" s="640">
        <v>2686.82</v>
      </c>
      <c r="E31" s="640">
        <v>2987.04</v>
      </c>
      <c r="F31" s="637">
        <v>2684.24</v>
      </c>
      <c r="G31" s="637">
        <v>2384.3200000000002</v>
      </c>
      <c r="H31" s="637">
        <f t="shared" si="2"/>
        <v>-299.91999999999962</v>
      </c>
    </row>
    <row r="32" spans="1:8" x14ac:dyDescent="0.2">
      <c r="A32" s="647">
        <v>42895</v>
      </c>
      <c r="B32" s="640">
        <v>2033.76</v>
      </c>
      <c r="C32" s="640">
        <v>4194.8599999999997</v>
      </c>
      <c r="D32" s="640">
        <v>3006.14</v>
      </c>
      <c r="E32" s="640">
        <v>3675.8</v>
      </c>
      <c r="F32" s="637">
        <v>3674.42</v>
      </c>
      <c r="G32" s="637">
        <v>3297.66</v>
      </c>
      <c r="H32" s="637">
        <f t="shared" si="2"/>
        <v>-376.76000000000022</v>
      </c>
    </row>
    <row r="33" spans="1:8" x14ac:dyDescent="0.2">
      <c r="A33" s="647">
        <v>42902</v>
      </c>
      <c r="B33" s="640">
        <v>2786.98</v>
      </c>
      <c r="C33" s="640">
        <v>3980.08</v>
      </c>
      <c r="D33" s="640">
        <v>3579.53</v>
      </c>
      <c r="E33" s="640">
        <v>4147.8999999999996</v>
      </c>
      <c r="F33" s="637">
        <v>4182.5200000000004</v>
      </c>
      <c r="G33" s="637">
        <v>3252.16</v>
      </c>
      <c r="H33" s="637">
        <f t="shared" si="2"/>
        <v>-930.36000000000058</v>
      </c>
    </row>
    <row r="34" spans="1:8" x14ac:dyDescent="0.2">
      <c r="A34" s="647">
        <v>42909</v>
      </c>
      <c r="B34" s="643">
        <v>2436.9</v>
      </c>
      <c r="C34" s="640">
        <v>4001.26</v>
      </c>
      <c r="D34" s="640">
        <v>3401.21</v>
      </c>
      <c r="E34" s="640">
        <v>3774.82</v>
      </c>
      <c r="F34" s="637">
        <v>3596.56</v>
      </c>
      <c r="G34" s="637">
        <v>3139.68</v>
      </c>
      <c r="H34" s="637">
        <f t="shared" si="2"/>
        <v>-456.88000000000011</v>
      </c>
    </row>
    <row r="35" spans="1:8" ht="15" thickBot="1" x14ac:dyDescent="0.25">
      <c r="A35" s="647">
        <v>42916</v>
      </c>
      <c r="B35" s="643">
        <v>2410.56</v>
      </c>
      <c r="C35" s="640">
        <v>3928.74</v>
      </c>
      <c r="D35" s="643">
        <v>3288.01</v>
      </c>
      <c r="E35" s="643">
        <v>3466.07</v>
      </c>
      <c r="F35" s="644">
        <v>3867.92</v>
      </c>
      <c r="G35" s="644">
        <v>3368.72</v>
      </c>
      <c r="H35" s="637">
        <f t="shared" si="2"/>
        <v>-499.20000000000027</v>
      </c>
    </row>
    <row r="36" spans="1:8" ht="16.5" thickBot="1" x14ac:dyDescent="0.25">
      <c r="A36" s="645" t="s">
        <v>345</v>
      </c>
      <c r="B36" s="646">
        <f t="shared" ref="B36:H36" si="3">SUM(B23:B35)</f>
        <v>43335.9</v>
      </c>
      <c r="C36" s="646">
        <f t="shared" si="3"/>
        <v>55228.710000000006</v>
      </c>
      <c r="D36" s="646">
        <f t="shared" si="3"/>
        <v>46815.49</v>
      </c>
      <c r="E36" s="646">
        <f t="shared" si="3"/>
        <v>51747.520000000004</v>
      </c>
      <c r="F36" s="646">
        <f t="shared" si="3"/>
        <v>50486.159999999989</v>
      </c>
      <c r="G36" s="646">
        <f t="shared" si="3"/>
        <v>48819.970000000008</v>
      </c>
      <c r="H36" s="646">
        <f t="shared" si="3"/>
        <v>-1666.1900000000019</v>
      </c>
    </row>
    <row r="37" spans="1:8" x14ac:dyDescent="0.2">
      <c r="A37" s="647">
        <v>42923</v>
      </c>
      <c r="B37" s="637">
        <f>899.92+2410.56</f>
        <v>3310.48</v>
      </c>
      <c r="C37" s="637">
        <v>3059.59</v>
      </c>
      <c r="D37" s="637">
        <f>952.56+2445.69</f>
        <v>3398.25</v>
      </c>
      <c r="E37" s="637">
        <f>1313.52+1315.48</f>
        <v>2629</v>
      </c>
      <c r="F37" s="637">
        <v>3092.18</v>
      </c>
      <c r="G37" s="637">
        <v>2501.6799999999998</v>
      </c>
      <c r="H37" s="637">
        <f t="shared" si="2"/>
        <v>-590.5</v>
      </c>
    </row>
    <row r="38" spans="1:8" x14ac:dyDescent="0.2">
      <c r="A38" s="639">
        <v>42930</v>
      </c>
      <c r="B38" s="637">
        <v>2613.8200000000002</v>
      </c>
      <c r="C38" s="637">
        <v>4164.28</v>
      </c>
      <c r="D38" s="640">
        <v>3621.49</v>
      </c>
      <c r="E38" s="640">
        <v>3328.78</v>
      </c>
      <c r="F38" s="637">
        <v>4363</v>
      </c>
      <c r="G38" s="637">
        <v>3463.97</v>
      </c>
      <c r="H38" s="637">
        <f t="shared" si="2"/>
        <v>-899.0300000000002</v>
      </c>
    </row>
    <row r="39" spans="1:8" x14ac:dyDescent="0.2">
      <c r="A39" s="639">
        <v>42937</v>
      </c>
      <c r="B39" s="640">
        <v>2285.09</v>
      </c>
      <c r="C39" s="640">
        <v>3698.36</v>
      </c>
      <c r="D39" s="640">
        <v>3478.53</v>
      </c>
      <c r="E39" s="640">
        <v>4114.08</v>
      </c>
      <c r="F39" s="637">
        <v>3936.33</v>
      </c>
      <c r="G39" s="637">
        <v>3416.66</v>
      </c>
      <c r="H39" s="637">
        <f t="shared" si="2"/>
        <v>-519.67000000000007</v>
      </c>
    </row>
    <row r="40" spans="1:8" x14ac:dyDescent="0.2">
      <c r="A40" s="639">
        <v>42944</v>
      </c>
      <c r="B40" s="640">
        <v>1982.06</v>
      </c>
      <c r="C40" s="640">
        <v>3907.78</v>
      </c>
      <c r="D40" s="640">
        <v>3713.11</v>
      </c>
      <c r="E40" s="640">
        <v>4010.57</v>
      </c>
      <c r="F40" s="637">
        <v>3962.85</v>
      </c>
      <c r="G40" s="637">
        <v>3139.68</v>
      </c>
      <c r="H40" s="637">
        <f t="shared" si="2"/>
        <v>-823.17000000000007</v>
      </c>
    </row>
    <row r="41" spans="1:8" x14ac:dyDescent="0.2">
      <c r="A41" s="639">
        <v>42951</v>
      </c>
      <c r="B41" s="640">
        <v>2442</v>
      </c>
      <c r="C41" s="640">
        <v>3807.12</v>
      </c>
      <c r="D41" s="640">
        <v>3318.21</v>
      </c>
      <c r="E41" s="640">
        <v>3520.16</v>
      </c>
      <c r="F41" s="637">
        <v>3810.8</v>
      </c>
      <c r="G41" s="637">
        <v>3171.9</v>
      </c>
      <c r="H41" s="637">
        <f t="shared" si="2"/>
        <v>-638.90000000000009</v>
      </c>
    </row>
    <row r="42" spans="1:8" x14ac:dyDescent="0.2">
      <c r="A42" s="639">
        <v>42958</v>
      </c>
      <c r="B42" s="640">
        <v>2003.68</v>
      </c>
      <c r="C42" s="640">
        <v>3636.64</v>
      </c>
      <c r="D42" s="640">
        <v>2999.63</v>
      </c>
      <c r="E42" s="640">
        <v>3150.64</v>
      </c>
      <c r="F42" s="637">
        <v>3905.08</v>
      </c>
      <c r="G42" s="637">
        <v>3339.76</v>
      </c>
      <c r="H42" s="637">
        <f t="shared" si="2"/>
        <v>-565.31999999999971</v>
      </c>
    </row>
    <row r="43" spans="1:8" x14ac:dyDescent="0.2">
      <c r="A43" s="639">
        <v>42965</v>
      </c>
      <c r="B43" s="640">
        <v>1971.38</v>
      </c>
      <c r="C43" s="640">
        <v>3658.28</v>
      </c>
      <c r="D43" s="640">
        <v>4080.16</v>
      </c>
      <c r="E43" s="640">
        <v>3780.2</v>
      </c>
      <c r="F43" s="637">
        <v>3747.05</v>
      </c>
      <c r="G43" s="637">
        <v>3333.42</v>
      </c>
      <c r="H43" s="637">
        <f t="shared" si="2"/>
        <v>-413.63000000000011</v>
      </c>
    </row>
    <row r="44" spans="1:8" x14ac:dyDescent="0.2">
      <c r="A44" s="639">
        <v>42972</v>
      </c>
      <c r="B44" s="640">
        <v>2725.14</v>
      </c>
      <c r="C44" s="640">
        <v>4096.0200000000004</v>
      </c>
      <c r="D44" s="640">
        <v>4309.82</v>
      </c>
      <c r="E44" s="640">
        <v>3361.86</v>
      </c>
      <c r="F44" s="637">
        <v>3788.4</v>
      </c>
      <c r="G44" s="637">
        <v>3772.14</v>
      </c>
      <c r="H44" s="637">
        <f t="shared" si="2"/>
        <v>-16.260000000000218</v>
      </c>
    </row>
    <row r="45" spans="1:8" x14ac:dyDescent="0.2">
      <c r="A45" s="639">
        <v>42979</v>
      </c>
      <c r="B45" s="640">
        <v>2749.96</v>
      </c>
      <c r="C45" s="640">
        <v>3825.18</v>
      </c>
      <c r="D45" s="640">
        <v>3712.48</v>
      </c>
      <c r="E45" s="640">
        <v>3605.07</v>
      </c>
      <c r="F45" s="637">
        <v>3858.34</v>
      </c>
      <c r="G45" s="637">
        <v>3206</v>
      </c>
      <c r="H45" s="637">
        <f t="shared" si="2"/>
        <v>-652.34000000000015</v>
      </c>
    </row>
    <row r="46" spans="1:8" x14ac:dyDescent="0.2">
      <c r="A46" s="639">
        <v>42986</v>
      </c>
      <c r="B46" s="640">
        <v>2323.9</v>
      </c>
      <c r="C46" s="640">
        <v>2717.46</v>
      </c>
      <c r="D46" s="640">
        <v>3072.96</v>
      </c>
      <c r="E46" s="640">
        <f>753.86+2730.15</f>
        <v>3484.01</v>
      </c>
      <c r="F46" s="637">
        <v>3265.99</v>
      </c>
      <c r="G46" s="637">
        <v>2271.2199999999998</v>
      </c>
      <c r="H46" s="637">
        <f t="shared" si="2"/>
        <v>-994.77</v>
      </c>
    </row>
    <row r="47" spans="1:8" x14ac:dyDescent="0.2">
      <c r="A47" s="639">
        <v>42993</v>
      </c>
      <c r="B47" s="640">
        <v>2621.61</v>
      </c>
      <c r="C47" s="640">
        <v>3748.38</v>
      </c>
      <c r="D47" s="640">
        <v>3926.25</v>
      </c>
      <c r="E47" s="640">
        <v>3212.96</v>
      </c>
      <c r="F47" s="637">
        <v>3712.16</v>
      </c>
      <c r="G47" s="637">
        <v>2688.36</v>
      </c>
      <c r="H47" s="637">
        <f t="shared" si="2"/>
        <v>-1023.7999999999997</v>
      </c>
    </row>
    <row r="48" spans="1:8" x14ac:dyDescent="0.2">
      <c r="A48" s="639">
        <v>43000</v>
      </c>
      <c r="B48" s="640">
        <v>2394.14</v>
      </c>
      <c r="C48" s="640">
        <v>3766.8</v>
      </c>
      <c r="D48" s="640">
        <v>4164.1899999999996</v>
      </c>
      <c r="E48" s="640">
        <v>4004.92</v>
      </c>
      <c r="F48" s="637">
        <v>3509.17</v>
      </c>
      <c r="G48" s="637">
        <v>3180.04</v>
      </c>
      <c r="H48" s="637">
        <f t="shared" si="2"/>
        <v>-329.13000000000011</v>
      </c>
    </row>
    <row r="49" spans="1:8" ht="15" thickBot="1" x14ac:dyDescent="0.25">
      <c r="A49" s="639">
        <v>43007</v>
      </c>
      <c r="B49" s="643">
        <v>2669.64</v>
      </c>
      <c r="C49" s="643">
        <v>4136.58</v>
      </c>
      <c r="D49" s="643">
        <v>3566.31</v>
      </c>
      <c r="E49" s="643">
        <v>3837.41</v>
      </c>
      <c r="F49" s="644">
        <v>3803.3</v>
      </c>
      <c r="G49" s="644">
        <v>2437.88</v>
      </c>
      <c r="H49" s="637">
        <f t="shared" si="2"/>
        <v>-1365.42</v>
      </c>
    </row>
    <row r="50" spans="1:8" ht="16.5" thickBot="1" x14ac:dyDescent="0.25">
      <c r="A50" s="645" t="s">
        <v>346</v>
      </c>
      <c r="B50" s="646">
        <f>SUM(B37:B49)</f>
        <v>32092.899999999998</v>
      </c>
      <c r="C50" s="646">
        <f>SUM(C37:C49)</f>
        <v>48222.47</v>
      </c>
      <c r="D50" s="646">
        <f>SUM(D37:D49)</f>
        <v>47361.39</v>
      </c>
      <c r="E50" s="646">
        <f>SUM(E37:E49)</f>
        <v>46039.66</v>
      </c>
      <c r="F50" s="646">
        <f t="shared" ref="F50:H50" si="4">SUM(F37:F49)</f>
        <v>48754.649999999994</v>
      </c>
      <c r="G50" s="646">
        <f t="shared" si="4"/>
        <v>39922.71</v>
      </c>
      <c r="H50" s="646">
        <f t="shared" si="4"/>
        <v>-8831.9399999999987</v>
      </c>
    </row>
    <row r="51" spans="1:8" x14ac:dyDescent="0.2">
      <c r="A51" s="647">
        <v>43014</v>
      </c>
      <c r="B51" s="637">
        <v>3051.16</v>
      </c>
      <c r="C51" s="637">
        <v>4721</v>
      </c>
      <c r="D51" s="637">
        <f>1531.24+2227.04</f>
        <v>3758.2799999999997</v>
      </c>
      <c r="E51" s="637">
        <v>3921.83</v>
      </c>
      <c r="F51" s="637">
        <v>3911.96</v>
      </c>
      <c r="G51" s="637">
        <v>3047.82</v>
      </c>
      <c r="H51" s="637">
        <f t="shared" si="2"/>
        <v>-864.13999999999987</v>
      </c>
    </row>
    <row r="52" spans="1:8" x14ac:dyDescent="0.2">
      <c r="A52" s="639">
        <v>43021</v>
      </c>
      <c r="B52" s="640">
        <v>2579.96</v>
      </c>
      <c r="C52" s="640">
        <v>4035.24</v>
      </c>
      <c r="D52" s="640">
        <v>4232.92</v>
      </c>
      <c r="E52" s="640">
        <v>3403.46</v>
      </c>
      <c r="F52" s="637">
        <v>3093.5</v>
      </c>
      <c r="G52" s="637">
        <v>2010.94</v>
      </c>
      <c r="H52" s="637">
        <f t="shared" si="2"/>
        <v>-1082.56</v>
      </c>
    </row>
    <row r="53" spans="1:8" x14ac:dyDescent="0.2">
      <c r="A53" s="639">
        <v>43028</v>
      </c>
      <c r="B53" s="640">
        <v>3119.16</v>
      </c>
      <c r="C53" s="640">
        <v>2972.08</v>
      </c>
      <c r="D53" s="640">
        <v>3057.22</v>
      </c>
      <c r="E53" s="640">
        <v>3116.16</v>
      </c>
      <c r="F53" s="637">
        <v>4261.32</v>
      </c>
      <c r="G53" s="637">
        <v>3314.5</v>
      </c>
      <c r="H53" s="637">
        <f t="shared" si="2"/>
        <v>-946.81999999999971</v>
      </c>
    </row>
    <row r="54" spans="1:8" x14ac:dyDescent="0.2">
      <c r="A54" s="639">
        <v>43035</v>
      </c>
      <c r="B54" s="640">
        <v>2378.1999999999998</v>
      </c>
      <c r="C54" s="640">
        <v>3341.66</v>
      </c>
      <c r="D54" s="640">
        <v>3745.65</v>
      </c>
      <c r="E54" s="640">
        <v>3664.58</v>
      </c>
      <c r="F54" s="637">
        <v>3860.55</v>
      </c>
      <c r="G54" s="637">
        <v>2905</v>
      </c>
      <c r="H54" s="637">
        <f t="shared" si="2"/>
        <v>-955.55000000000018</v>
      </c>
    </row>
    <row r="55" spans="1:8" x14ac:dyDescent="0.2">
      <c r="A55" s="639">
        <v>43042</v>
      </c>
      <c r="B55" s="640">
        <v>2153.36</v>
      </c>
      <c r="C55" s="640">
        <v>3165.08</v>
      </c>
      <c r="D55" s="640">
        <f>3171.04+47.44+30.24</f>
        <v>3248.72</v>
      </c>
      <c r="E55" s="640">
        <v>3792.71</v>
      </c>
      <c r="F55" s="637">
        <v>3942.48</v>
      </c>
      <c r="G55" s="637">
        <v>3169.18</v>
      </c>
      <c r="H55" s="637">
        <f t="shared" si="2"/>
        <v>-773.30000000000018</v>
      </c>
    </row>
    <row r="56" spans="1:8" x14ac:dyDescent="0.2">
      <c r="A56" s="639">
        <v>43049</v>
      </c>
      <c r="B56" s="640">
        <v>1549.7</v>
      </c>
      <c r="C56" s="640">
        <v>3024.18</v>
      </c>
      <c r="D56" s="640">
        <v>3967.37</v>
      </c>
      <c r="E56" s="640">
        <v>3804.52</v>
      </c>
      <c r="F56" s="637">
        <v>3933.48</v>
      </c>
      <c r="G56" s="637">
        <v>2670.04</v>
      </c>
      <c r="H56" s="637">
        <f t="shared" si="2"/>
        <v>-1263.44</v>
      </c>
    </row>
    <row r="57" spans="1:8" x14ac:dyDescent="0.2">
      <c r="A57" s="639">
        <v>43056</v>
      </c>
      <c r="B57" s="640">
        <f>(5311.2-178.1)*0.5</f>
        <v>2566.5499999999997</v>
      </c>
      <c r="C57" s="640">
        <v>3500.86</v>
      </c>
      <c r="D57" s="640">
        <v>4007.55</v>
      </c>
      <c r="E57" s="640">
        <v>3693.64</v>
      </c>
      <c r="F57" s="637">
        <v>3860.4</v>
      </c>
      <c r="G57" s="637">
        <v>2400.7199999999998</v>
      </c>
      <c r="H57" s="637">
        <f t="shared" si="2"/>
        <v>-1459.6800000000003</v>
      </c>
    </row>
    <row r="58" spans="1:8" x14ac:dyDescent="0.2">
      <c r="A58" s="639">
        <v>43063</v>
      </c>
      <c r="B58" s="640">
        <f>(5311.2-178.1)*0.5</f>
        <v>2566.5499999999997</v>
      </c>
      <c r="C58" s="640">
        <v>4015.8</v>
      </c>
      <c r="D58" s="640">
        <v>4445.62</v>
      </c>
      <c r="E58" s="640">
        <v>3499.88</v>
      </c>
      <c r="F58" s="637">
        <v>1675.8</v>
      </c>
      <c r="G58" s="637">
        <v>1268.44</v>
      </c>
      <c r="H58" s="637">
        <f t="shared" si="2"/>
        <v>-407.3599999999999</v>
      </c>
    </row>
    <row r="59" spans="1:8" x14ac:dyDescent="0.2">
      <c r="A59" s="639">
        <v>43070</v>
      </c>
      <c r="B59" s="640">
        <v>3577.34</v>
      </c>
      <c r="C59" s="640">
        <v>2434.3200000000002</v>
      </c>
      <c r="D59" s="640">
        <v>1953.09</v>
      </c>
      <c r="E59" s="640">
        <v>2000.54</v>
      </c>
      <c r="F59" s="637">
        <v>3669.06</v>
      </c>
      <c r="G59" s="637">
        <v>2816.72</v>
      </c>
      <c r="H59" s="637">
        <f t="shared" si="2"/>
        <v>-852.34000000000015</v>
      </c>
    </row>
    <row r="60" spans="1:8" x14ac:dyDescent="0.2">
      <c r="A60" s="639">
        <v>43077</v>
      </c>
      <c r="B60" s="640">
        <v>3486.12</v>
      </c>
      <c r="C60" s="640">
        <v>3291.9</v>
      </c>
      <c r="D60" s="640">
        <v>3710.06</v>
      </c>
      <c r="E60" s="640">
        <f>2372.46+627.88</f>
        <v>3000.34</v>
      </c>
      <c r="F60" s="637">
        <v>3225.52</v>
      </c>
      <c r="G60" s="637">
        <v>2427</v>
      </c>
      <c r="H60" s="637">
        <f t="shared" si="2"/>
        <v>-798.52</v>
      </c>
    </row>
    <row r="61" spans="1:8" x14ac:dyDescent="0.2">
      <c r="A61" s="639">
        <v>43084</v>
      </c>
      <c r="B61" s="640">
        <v>3539.16</v>
      </c>
      <c r="C61" s="640">
        <v>4047.94</v>
      </c>
      <c r="D61" s="640">
        <v>3873.59</v>
      </c>
      <c r="E61" s="640">
        <v>4104.09</v>
      </c>
      <c r="F61" s="637">
        <v>2933.78</v>
      </c>
      <c r="G61" s="637">
        <v>2427</v>
      </c>
      <c r="H61" s="637">
        <f t="shared" si="2"/>
        <v>-506.7800000000002</v>
      </c>
    </row>
    <row r="62" spans="1:8" x14ac:dyDescent="0.2">
      <c r="A62" s="639">
        <v>43091</v>
      </c>
      <c r="B62" s="640">
        <v>1609.64</v>
      </c>
      <c r="C62" s="640">
        <v>3903.54</v>
      </c>
      <c r="D62" s="640">
        <v>3580.24</v>
      </c>
      <c r="E62" s="640">
        <v>3625.1</v>
      </c>
      <c r="F62" s="637">
        <v>3555.5</v>
      </c>
      <c r="G62" s="637">
        <v>2649.12</v>
      </c>
      <c r="H62" s="637">
        <f t="shared" si="2"/>
        <v>-906.38000000000011</v>
      </c>
    </row>
    <row r="63" spans="1:8" ht="15" thickBot="1" x14ac:dyDescent="0.25">
      <c r="A63" s="648">
        <v>43098</v>
      </c>
      <c r="B63" s="649">
        <v>5154.84</v>
      </c>
      <c r="C63" s="649">
        <v>2331.48</v>
      </c>
      <c r="D63" s="649">
        <v>2383.63</v>
      </c>
      <c r="E63" s="649">
        <v>2256.69</v>
      </c>
      <c r="F63" s="650">
        <v>2486.06</v>
      </c>
      <c r="G63" s="650">
        <v>2088.3000000000002</v>
      </c>
      <c r="H63" s="637">
        <f t="shared" si="2"/>
        <v>-397.75999999999976</v>
      </c>
    </row>
    <row r="64" spans="1:8" ht="16.5" thickBot="1" x14ac:dyDescent="0.25">
      <c r="A64" s="645" t="s">
        <v>347</v>
      </c>
      <c r="B64" s="646">
        <f>SUM(B51:B63)</f>
        <v>37331.74</v>
      </c>
      <c r="C64" s="646">
        <f>SUM(C51:C63)</f>
        <v>44785.08</v>
      </c>
      <c r="D64" s="646">
        <f>SUM(D51:D63)</f>
        <v>45963.939999999988</v>
      </c>
      <c r="E64" s="646">
        <f>SUM(E51:E63)</f>
        <v>43883.54</v>
      </c>
      <c r="F64" s="646">
        <f>SUM(F51:F63)</f>
        <v>44409.409999999996</v>
      </c>
      <c r="G64" s="646">
        <f t="shared" ref="G64" si="5">SUM(G51:G63)</f>
        <v>33194.78</v>
      </c>
      <c r="H64" s="646">
        <f>SUM(H51:H63)</f>
        <v>-11214.63</v>
      </c>
    </row>
    <row r="65" spans="1:8" ht="15.75" x14ac:dyDescent="0.25">
      <c r="A65" s="651" t="s">
        <v>348</v>
      </c>
      <c r="B65" s="652">
        <f t="shared" ref="B65:H65" si="6">SUM(B9:B63)-B22-B36-B50</f>
        <v>139328.74</v>
      </c>
      <c r="C65" s="652">
        <f t="shared" si="6"/>
        <v>199253.05999999985</v>
      </c>
      <c r="D65" s="652">
        <f t="shared" si="6"/>
        <v>184010.66000000003</v>
      </c>
      <c r="E65" s="652">
        <f t="shared" si="6"/>
        <v>185097.12000000014</v>
      </c>
      <c r="F65" s="652">
        <f t="shared" si="6"/>
        <v>194384.88000000003</v>
      </c>
      <c r="G65" s="652">
        <f t="shared" si="6"/>
        <v>157031.36999999994</v>
      </c>
      <c r="H65" s="652">
        <f t="shared" si="6"/>
        <v>-37353.509999999995</v>
      </c>
    </row>
    <row r="66" spans="1:8" x14ac:dyDescent="0.2">
      <c r="A66" s="57" t="s">
        <v>349</v>
      </c>
      <c r="B66" s="653">
        <f t="shared" ref="B66:G66" si="7">AVERAGE(B9:B21)</f>
        <v>2043.7076923076925</v>
      </c>
      <c r="C66" s="654">
        <f t="shared" si="7"/>
        <v>3924.3692307692318</v>
      </c>
      <c r="D66" s="654">
        <f t="shared" si="7"/>
        <v>3374.6030769230765</v>
      </c>
      <c r="E66" s="654">
        <f t="shared" si="7"/>
        <v>3340.4923076923073</v>
      </c>
      <c r="F66" s="654">
        <f t="shared" si="7"/>
        <v>3902.6661538461535</v>
      </c>
      <c r="G66" s="653">
        <f t="shared" si="7"/>
        <v>2699.5315384615378</v>
      </c>
      <c r="H66" s="655">
        <f>G66-F66</f>
        <v>-1203.1346153846157</v>
      </c>
    </row>
    <row r="67" spans="1:8" x14ac:dyDescent="0.2">
      <c r="A67" s="57" t="s">
        <v>350</v>
      </c>
      <c r="B67" s="656">
        <f t="shared" ref="B67:G67" si="8">AVERAGE(B23:B35)</f>
        <v>3333.5307692307692</v>
      </c>
      <c r="C67" s="657">
        <f t="shared" si="8"/>
        <v>4248.3623076923086</v>
      </c>
      <c r="D67" s="657">
        <f t="shared" si="8"/>
        <v>3601.1915384615381</v>
      </c>
      <c r="E67" s="657">
        <f t="shared" si="8"/>
        <v>3980.5784615384619</v>
      </c>
      <c r="F67" s="657">
        <f t="shared" si="8"/>
        <v>3883.5507692307683</v>
      </c>
      <c r="G67" s="656">
        <f t="shared" si="8"/>
        <v>3755.3823076923081</v>
      </c>
      <c r="H67" s="658">
        <f>G67-F67</f>
        <v>-128.16846153846018</v>
      </c>
    </row>
    <row r="68" spans="1:8" x14ac:dyDescent="0.2">
      <c r="A68" s="57" t="s">
        <v>351</v>
      </c>
      <c r="B68" s="656">
        <f t="shared" ref="B68:F68" si="9">AVERAGE(B37:B49)</f>
        <v>2468.6846153846154</v>
      </c>
      <c r="C68" s="657">
        <f t="shared" si="9"/>
        <v>3709.4207692307691</v>
      </c>
      <c r="D68" s="657">
        <f t="shared" si="9"/>
        <v>3643.1838461538459</v>
      </c>
      <c r="E68" s="657">
        <f t="shared" si="9"/>
        <v>3541.5123076923078</v>
      </c>
      <c r="F68" s="657">
        <f t="shared" si="9"/>
        <v>3750.3576923076917</v>
      </c>
      <c r="G68" s="657">
        <f>AVERAGE(G37:G49)</f>
        <v>3070.9776923076925</v>
      </c>
      <c r="H68" s="658">
        <f>G68-F68</f>
        <v>-679.3799999999992</v>
      </c>
    </row>
    <row r="69" spans="1:8" x14ac:dyDescent="0.2">
      <c r="A69" s="57" t="s">
        <v>352</v>
      </c>
      <c r="B69" s="659">
        <f t="shared" ref="B69:G69" si="10">AVERAGE(B51:B63)</f>
        <v>2871.6723076923076</v>
      </c>
      <c r="C69" s="660">
        <f t="shared" si="10"/>
        <v>3445.0061538461541</v>
      </c>
      <c r="D69" s="660">
        <f t="shared" si="10"/>
        <v>3535.6876923076916</v>
      </c>
      <c r="E69" s="661">
        <f t="shared" si="10"/>
        <v>3375.6569230769232</v>
      </c>
      <c r="F69" s="661">
        <f t="shared" si="10"/>
        <v>3416.1084615384611</v>
      </c>
      <c r="G69" s="661">
        <f t="shared" si="10"/>
        <v>2553.4446153846152</v>
      </c>
      <c r="H69" s="662">
        <f>G69-F69</f>
        <v>-862.66384615384595</v>
      </c>
    </row>
    <row r="71" spans="1:8" x14ac:dyDescent="0.2">
      <c r="H71" s="629"/>
    </row>
    <row r="74" spans="1:8" x14ac:dyDescent="0.2">
      <c r="C74" s="630"/>
    </row>
    <row r="75" spans="1:8" x14ac:dyDescent="0.2">
      <c r="C75" s="630"/>
    </row>
  </sheetData>
  <mergeCells count="1">
    <mergeCell ref="A5:H5"/>
  </mergeCells>
  <pageMargins left="1.2" right="0.2" top="0.25" bottom="0.5" header="0.3" footer="0.3"/>
  <pageSetup scale="7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102</v>
      </c>
      <c r="B1" s="60"/>
      <c r="C1" s="61"/>
      <c r="D1" s="61"/>
      <c r="E1" s="61"/>
      <c r="F1" s="60"/>
      <c r="G1" s="252"/>
      <c r="H1" s="568"/>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308</v>
      </c>
      <c r="B2" s="60"/>
      <c r="C2" s="61"/>
      <c r="D2" s="61"/>
      <c r="E2" s="61"/>
      <c r="F2" s="60"/>
      <c r="G2" s="252"/>
      <c r="H2" s="568"/>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302</v>
      </c>
      <c r="B3" s="60"/>
      <c r="C3" s="61"/>
      <c r="D3" s="61"/>
      <c r="E3" s="61"/>
      <c r="F3" s="60"/>
      <c r="G3" s="252"/>
      <c r="H3" s="568"/>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309</v>
      </c>
      <c r="B4" s="60"/>
      <c r="C4" s="61"/>
      <c r="D4" s="61"/>
      <c r="E4" s="61"/>
      <c r="F4" s="60"/>
      <c r="G4" s="252"/>
      <c r="H4" s="568"/>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69"/>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64" t="s">
        <v>56</v>
      </c>
      <c r="H6" s="552"/>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09"/>
    </row>
    <row r="8" spans="1:143" s="73" customFormat="1" ht="21" thickBot="1" x14ac:dyDescent="0.35">
      <c r="A8" s="70"/>
      <c r="B8" s="155" t="s">
        <v>109</v>
      </c>
      <c r="C8" s="155"/>
      <c r="D8" s="155"/>
      <c r="E8" s="155"/>
      <c r="F8" s="155"/>
      <c r="G8" s="308"/>
      <c r="H8" s="570"/>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65" t="s">
        <v>110</v>
      </c>
      <c r="D9" s="465"/>
      <c r="E9" s="465"/>
      <c r="F9" s="74"/>
      <c r="G9" s="289">
        <v>1015000</v>
      </c>
      <c r="H9" s="40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65" t="s">
        <v>193</v>
      </c>
      <c r="D10" s="465"/>
      <c r="E10" s="465"/>
      <c r="F10" s="74"/>
      <c r="G10" s="290">
        <v>13000</v>
      </c>
      <c r="H10" s="40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35"/>
      <c r="C11" s="465" t="s">
        <v>163</v>
      </c>
      <c r="D11" s="465"/>
      <c r="E11" s="465"/>
      <c r="F11" s="74"/>
      <c r="G11" s="290">
        <v>195000</v>
      </c>
      <c r="H11" s="40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35"/>
      <c r="C12" s="465" t="s">
        <v>203</v>
      </c>
      <c r="D12" s="465"/>
      <c r="E12" s="465"/>
      <c r="F12" s="74"/>
      <c r="G12" s="290">
        <v>40000</v>
      </c>
      <c r="H12" s="40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35"/>
      <c r="C13" s="465" t="s">
        <v>111</v>
      </c>
      <c r="D13" s="465"/>
      <c r="E13" s="465"/>
      <c r="F13" s="74"/>
      <c r="G13" s="290"/>
      <c r="H13" s="40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35"/>
      <c r="C14" s="78"/>
      <c r="D14" s="465" t="s">
        <v>152</v>
      </c>
      <c r="E14" s="465"/>
      <c r="F14" s="74"/>
      <c r="G14" s="290">
        <f>43900+41500+122000</f>
        <v>207400</v>
      </c>
      <c r="H14" s="40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35"/>
      <c r="C15" s="78"/>
      <c r="D15" s="465" t="s">
        <v>174</v>
      </c>
      <c r="E15" s="465"/>
      <c r="F15" s="74"/>
      <c r="G15" s="290">
        <v>11000</v>
      </c>
      <c r="H15" s="40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35"/>
      <c r="C16" s="465" t="s">
        <v>112</v>
      </c>
      <c r="D16" s="465"/>
      <c r="E16" s="465"/>
      <c r="F16" s="74"/>
      <c r="G16" s="290">
        <v>9500</v>
      </c>
      <c r="H16" s="40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35"/>
      <c r="C17" s="465" t="s">
        <v>119</v>
      </c>
      <c r="D17" s="465"/>
      <c r="E17" s="465"/>
      <c r="F17" s="74"/>
      <c r="G17" s="290">
        <v>1000</v>
      </c>
      <c r="H17" s="40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35"/>
      <c r="C18" s="465" t="s">
        <v>275</v>
      </c>
      <c r="D18" s="465"/>
      <c r="E18" s="465"/>
      <c r="F18" s="74"/>
      <c r="G18" s="290">
        <v>3000</v>
      </c>
      <c r="H18" s="40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35"/>
      <c r="C19" s="465" t="s">
        <v>276</v>
      </c>
      <c r="D19" s="465"/>
      <c r="E19" s="465"/>
      <c r="F19" s="74"/>
      <c r="G19" s="290">
        <f>25000+8000+20000</f>
        <v>53000</v>
      </c>
      <c r="H19" s="40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35"/>
      <c r="C20" s="465" t="s">
        <v>158</v>
      </c>
      <c r="D20" s="465"/>
      <c r="E20" s="465"/>
      <c r="F20" s="74"/>
      <c r="G20" s="290">
        <v>500</v>
      </c>
      <c r="H20" s="40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35"/>
      <c r="C21" s="465" t="s">
        <v>183</v>
      </c>
      <c r="D21" s="465"/>
      <c r="E21" s="465"/>
      <c r="F21" s="74"/>
      <c r="G21" s="290"/>
      <c r="H21" s="40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35"/>
      <c r="C22" s="465" t="s">
        <v>118</v>
      </c>
      <c r="D22" s="465"/>
      <c r="E22" s="465"/>
      <c r="F22" s="74"/>
      <c r="G22" s="291">
        <v>46575</v>
      </c>
      <c r="H22" s="40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35"/>
      <c r="C23" s="465"/>
      <c r="D23" s="74" t="s">
        <v>114</v>
      </c>
      <c r="E23" s="465"/>
      <c r="F23" s="74"/>
      <c r="G23" s="256">
        <f>SUM(G9:G22)</f>
        <v>1594975</v>
      </c>
      <c r="H23" s="40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35"/>
      <c r="C24" s="74" t="s">
        <v>115</v>
      </c>
      <c r="D24" s="465"/>
      <c r="E24" s="465"/>
      <c r="F24" s="74"/>
      <c r="G24" s="264">
        <f>68000+18000</f>
        <v>86000</v>
      </c>
      <c r="H24" s="40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35"/>
      <c r="C25" s="465"/>
      <c r="D25" s="74" t="s">
        <v>116</v>
      </c>
      <c r="E25" s="465"/>
      <c r="F25" s="74"/>
      <c r="G25" s="256">
        <f>SUM(G23:G24)</f>
        <v>1680975</v>
      </c>
      <c r="H25" s="40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35"/>
      <c r="C26" s="465"/>
      <c r="D26" s="74"/>
      <c r="E26" s="465"/>
      <c r="F26" s="74"/>
      <c r="G26" s="256"/>
      <c r="H26" s="40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36" t="s">
        <v>120</v>
      </c>
      <c r="C27" s="88"/>
      <c r="D27" s="88"/>
      <c r="E27" s="88"/>
      <c r="F27" s="88"/>
      <c r="G27" s="264"/>
      <c r="H27" s="40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37"/>
      <c r="C28" s="80" t="s">
        <v>121</v>
      </c>
      <c r="D28" s="80"/>
      <c r="E28" s="80"/>
      <c r="F28" s="80"/>
      <c r="G28" s="254">
        <f>ROUND((898643.55+40000)*1.02,-2)</f>
        <v>957400</v>
      </c>
      <c r="H28" s="409"/>
    </row>
    <row r="29" spans="1:143" s="69" customFormat="1" ht="20.25" x14ac:dyDescent="0.2">
      <c r="A29" s="68"/>
      <c r="B29" s="437"/>
      <c r="C29" s="80" t="s">
        <v>122</v>
      </c>
      <c r="D29" s="80"/>
      <c r="E29" s="80"/>
      <c r="F29" s="80"/>
      <c r="G29" s="254">
        <f>ROUNDUP(G28*0.195,-2)</f>
        <v>186700</v>
      </c>
      <c r="H29" s="409"/>
    </row>
    <row r="30" spans="1:143" s="69" customFormat="1" ht="20.25" x14ac:dyDescent="0.2">
      <c r="A30" s="68"/>
      <c r="B30" s="437"/>
      <c r="C30" s="80" t="s">
        <v>123</v>
      </c>
      <c r="D30" s="80"/>
      <c r="E30" s="80"/>
      <c r="F30" s="80"/>
      <c r="G30" s="254">
        <f>48831-G22</f>
        <v>2256</v>
      </c>
      <c r="H30" s="409"/>
    </row>
    <row r="31" spans="1:143" s="69" customFormat="1" ht="20.25" x14ac:dyDescent="0.2">
      <c r="A31" s="68"/>
      <c r="B31" s="437"/>
      <c r="C31" s="80" t="s">
        <v>113</v>
      </c>
      <c r="D31" s="80"/>
      <c r="E31" s="80"/>
      <c r="F31" s="80"/>
      <c r="G31" s="254">
        <f>G22</f>
        <v>46575</v>
      </c>
      <c r="H31" s="409"/>
    </row>
    <row r="32" spans="1:143" s="69" customFormat="1" ht="20.25" x14ac:dyDescent="0.2">
      <c r="A32" s="68"/>
      <c r="B32" s="437"/>
      <c r="C32" s="80" t="s">
        <v>124</v>
      </c>
      <c r="D32" s="80"/>
      <c r="E32" s="80"/>
      <c r="F32" s="80"/>
      <c r="G32" s="254">
        <v>14000</v>
      </c>
      <c r="H32" s="409"/>
    </row>
    <row r="33" spans="1:8" s="69" customFormat="1" ht="20.25" x14ac:dyDescent="0.2">
      <c r="A33" s="68"/>
      <c r="B33" s="437"/>
      <c r="C33" s="80" t="s">
        <v>125</v>
      </c>
      <c r="D33" s="80"/>
      <c r="E33" s="80"/>
      <c r="F33" s="80"/>
      <c r="G33" s="254">
        <v>3500</v>
      </c>
      <c r="H33" s="409"/>
    </row>
    <row r="34" spans="1:8" s="69" customFormat="1" ht="20.25" x14ac:dyDescent="0.2">
      <c r="A34" s="68"/>
      <c r="B34" s="437"/>
      <c r="C34" s="80" t="s">
        <v>126</v>
      </c>
      <c r="D34" s="80"/>
      <c r="E34" s="80"/>
      <c r="F34" s="80"/>
      <c r="G34" s="254">
        <v>7000</v>
      </c>
      <c r="H34" s="409"/>
    </row>
    <row r="35" spans="1:8" s="69" customFormat="1" ht="20.25" x14ac:dyDescent="0.2">
      <c r="A35" s="68"/>
      <c r="B35" s="437"/>
      <c r="C35" s="80" t="s">
        <v>127</v>
      </c>
      <c r="D35" s="80"/>
      <c r="E35" s="80"/>
      <c r="F35" s="80"/>
      <c r="G35" s="254">
        <v>13500</v>
      </c>
      <c r="H35" s="409"/>
    </row>
    <row r="36" spans="1:8" s="69" customFormat="1" ht="20.25" x14ac:dyDescent="0.2">
      <c r="A36" s="68"/>
      <c r="B36" s="437"/>
      <c r="C36" s="80" t="s">
        <v>128</v>
      </c>
      <c r="D36" s="80"/>
      <c r="E36" s="80"/>
      <c r="F36" s="80"/>
      <c r="G36" s="254">
        <v>40000</v>
      </c>
      <c r="H36" s="409"/>
    </row>
    <row r="37" spans="1:8" s="69" customFormat="1" ht="20.25" x14ac:dyDescent="0.2">
      <c r="A37" s="68"/>
      <c r="B37" s="437"/>
      <c r="C37" s="80" t="s">
        <v>129</v>
      </c>
      <c r="D37" s="80"/>
      <c r="E37" s="80"/>
      <c r="F37" s="80"/>
      <c r="G37" s="254">
        <v>6600</v>
      </c>
      <c r="H37" s="409"/>
    </row>
    <row r="38" spans="1:8" s="69" customFormat="1" ht="20.25" x14ac:dyDescent="0.2">
      <c r="A38" s="68"/>
      <c r="B38" s="437"/>
      <c r="C38" s="80" t="s">
        <v>130</v>
      </c>
      <c r="D38" s="80"/>
      <c r="E38" s="80"/>
      <c r="F38" s="80"/>
      <c r="G38" s="254">
        <v>1500</v>
      </c>
      <c r="H38" s="409"/>
    </row>
    <row r="39" spans="1:8" s="69" customFormat="1" ht="20.25" x14ac:dyDescent="0.2">
      <c r="A39" s="68"/>
      <c r="B39" s="437"/>
      <c r="C39" s="80" t="s">
        <v>185</v>
      </c>
      <c r="D39" s="80"/>
      <c r="E39" s="80"/>
      <c r="F39" s="80"/>
      <c r="G39" s="254">
        <v>13700</v>
      </c>
      <c r="H39" s="409"/>
    </row>
    <row r="40" spans="1:8" s="77" customFormat="1" ht="20.25" x14ac:dyDescent="0.2">
      <c r="A40" s="80"/>
      <c r="B40" s="433"/>
      <c r="C40" s="80" t="s">
        <v>131</v>
      </c>
      <c r="D40" s="80"/>
      <c r="E40" s="80"/>
      <c r="F40" s="80"/>
      <c r="G40" s="356">
        <f>ROUNDUP(13248.87*1.05,-2)</f>
        <v>14000</v>
      </c>
      <c r="H40" s="408"/>
    </row>
    <row r="41" spans="1:8" s="77" customFormat="1" ht="20.25" x14ac:dyDescent="0.2">
      <c r="A41" s="80"/>
      <c r="B41" s="433"/>
      <c r="C41" s="80" t="s">
        <v>132</v>
      </c>
      <c r="D41" s="80"/>
      <c r="E41" s="80"/>
      <c r="F41" s="80"/>
      <c r="G41" s="254">
        <f>ROUNDUP(12343.85*1.03,-2)</f>
        <v>12800</v>
      </c>
      <c r="H41" s="408"/>
    </row>
    <row r="42" spans="1:8" s="77" customFormat="1" ht="20.25" x14ac:dyDescent="0.2">
      <c r="A42" s="80"/>
      <c r="B42" s="433"/>
      <c r="C42" s="80" t="s">
        <v>141</v>
      </c>
      <c r="D42" s="80"/>
      <c r="E42" s="80"/>
      <c r="F42" s="80"/>
      <c r="G42" s="254">
        <v>3000</v>
      </c>
      <c r="H42" s="408"/>
    </row>
    <row r="43" spans="1:8" s="77" customFormat="1" ht="20.25" x14ac:dyDescent="0.2">
      <c r="A43" s="80"/>
      <c r="B43" s="433"/>
      <c r="C43" s="80" t="s">
        <v>133</v>
      </c>
      <c r="D43" s="80"/>
      <c r="E43" s="80"/>
      <c r="F43" s="80"/>
      <c r="G43" s="356">
        <f>ROUNDUP((3067.88+8008.83)*1.05,-2)</f>
        <v>11700</v>
      </c>
      <c r="H43" s="408"/>
    </row>
    <row r="44" spans="1:8" s="69" customFormat="1" ht="20.25" x14ac:dyDescent="0.2">
      <c r="A44" s="68"/>
      <c r="B44" s="437"/>
      <c r="C44" s="80" t="s">
        <v>225</v>
      </c>
      <c r="D44" s="80"/>
      <c r="E44" s="80"/>
      <c r="F44" s="80"/>
      <c r="G44" s="254">
        <v>17000</v>
      </c>
      <c r="H44" s="409"/>
    </row>
    <row r="45" spans="1:8" s="77" customFormat="1" ht="20.25" x14ac:dyDescent="0.2">
      <c r="A45" s="80"/>
      <c r="B45" s="433"/>
      <c r="C45" s="80" t="s">
        <v>134</v>
      </c>
      <c r="D45" s="80"/>
      <c r="E45" s="80"/>
      <c r="F45" s="80"/>
      <c r="G45" s="356">
        <v>41000</v>
      </c>
      <c r="H45" s="408"/>
    </row>
    <row r="46" spans="1:8" s="77" customFormat="1" ht="20.25" x14ac:dyDescent="0.2">
      <c r="A46" s="80"/>
      <c r="B46" s="433"/>
      <c r="C46" s="80" t="s">
        <v>135</v>
      </c>
      <c r="D46" s="80"/>
      <c r="E46" s="80"/>
      <c r="F46" s="80"/>
      <c r="G46" s="356">
        <f>ROUNDUP((1800+4675.64+34905.29+1033.01-10000-2673-17150-1033+14000)*1.01,-2)</f>
        <v>25900</v>
      </c>
      <c r="H46" s="408"/>
    </row>
    <row r="47" spans="1:8" s="77" customFormat="1" ht="20.25" x14ac:dyDescent="0.2">
      <c r="A47" s="80"/>
      <c r="B47" s="433"/>
      <c r="C47" s="80" t="s">
        <v>186</v>
      </c>
      <c r="D47" s="80"/>
      <c r="E47" s="80"/>
      <c r="F47" s="80"/>
      <c r="G47" s="254">
        <v>36000</v>
      </c>
      <c r="H47" s="408"/>
    </row>
    <row r="48" spans="1:8" s="77" customFormat="1" ht="20.25" x14ac:dyDescent="0.2">
      <c r="A48" s="80"/>
      <c r="B48" s="433"/>
      <c r="C48" s="80" t="s">
        <v>184</v>
      </c>
      <c r="D48" s="80"/>
      <c r="E48" s="80"/>
      <c r="F48" s="80"/>
      <c r="G48" s="254">
        <f>ROUNDUP(46266.27*1.02,-2)</f>
        <v>47200</v>
      </c>
      <c r="H48" s="408"/>
    </row>
    <row r="49" spans="1:8" s="77" customFormat="1" ht="20.25" x14ac:dyDescent="0.2">
      <c r="A49" s="80"/>
      <c r="B49" s="433"/>
      <c r="C49" s="80" t="s">
        <v>136</v>
      </c>
      <c r="D49" s="80"/>
      <c r="E49" s="80"/>
      <c r="F49" s="80"/>
      <c r="G49" s="254">
        <f>ROUND((2604.31+166143.24-12000)*1.01,-2)</f>
        <v>158300</v>
      </c>
      <c r="H49" s="408"/>
    </row>
    <row r="50" spans="1:8" s="77" customFormat="1" ht="20.25" hidden="1" x14ac:dyDescent="0.2">
      <c r="A50" s="80"/>
      <c r="B50" s="433"/>
      <c r="C50" s="80" t="s">
        <v>304</v>
      </c>
      <c r="D50" s="80"/>
      <c r="E50" s="80"/>
      <c r="F50" s="80"/>
      <c r="G50" s="254"/>
      <c r="H50" s="408"/>
    </row>
    <row r="51" spans="1:8" s="69" customFormat="1" ht="20.25" x14ac:dyDescent="0.2">
      <c r="A51" s="68"/>
      <c r="B51" s="437"/>
      <c r="C51" s="68"/>
      <c r="D51" s="74" t="s">
        <v>137</v>
      </c>
      <c r="E51" s="68"/>
      <c r="F51" s="68"/>
      <c r="G51" s="259">
        <f>SUM(G28:G50)</f>
        <v>1659631</v>
      </c>
      <c r="H51" s="409"/>
    </row>
    <row r="52" spans="1:8" s="69" customFormat="1" ht="10.5" customHeight="1" thickBot="1" x14ac:dyDescent="0.25">
      <c r="A52" s="68"/>
      <c r="B52" s="437"/>
      <c r="C52" s="68"/>
      <c r="D52" s="74"/>
      <c r="E52" s="68"/>
      <c r="F52" s="68"/>
      <c r="G52" s="264"/>
      <c r="H52" s="409"/>
    </row>
    <row r="53" spans="1:8" s="69" customFormat="1" ht="21" thickBot="1" x14ac:dyDescent="0.25">
      <c r="A53" s="68"/>
      <c r="B53" s="437"/>
      <c r="C53" s="68"/>
      <c r="D53" s="68" t="s">
        <v>138</v>
      </c>
      <c r="E53" s="68"/>
      <c r="F53" s="68"/>
      <c r="G53" s="264">
        <f>G25-G51</f>
        <v>21344</v>
      </c>
      <c r="H53" s="409"/>
    </row>
    <row r="54" spans="1:8" s="69" customFormat="1" ht="11.25" customHeight="1" x14ac:dyDescent="0.2">
      <c r="A54" s="68"/>
      <c r="B54" s="437"/>
      <c r="C54" s="68"/>
      <c r="D54" s="68"/>
      <c r="E54" s="68"/>
      <c r="F54" s="68"/>
      <c r="G54" s="254"/>
      <c r="H54" s="409"/>
    </row>
    <row r="55" spans="1:8" s="77" customFormat="1" ht="20.25" x14ac:dyDescent="0.2">
      <c r="A55" s="80"/>
      <c r="B55" s="433"/>
      <c r="C55" s="80"/>
      <c r="D55" s="80"/>
      <c r="F55" s="80"/>
      <c r="G55" s="269"/>
      <c r="H55" s="408"/>
    </row>
    <row r="56" spans="1:8" s="77" customFormat="1" ht="20.25" x14ac:dyDescent="0.2">
      <c r="A56" s="80"/>
      <c r="B56" s="433"/>
      <c r="C56" s="80"/>
      <c r="D56" s="80"/>
      <c r="F56" s="80"/>
      <c r="G56" s="254"/>
      <c r="H56" s="408"/>
    </row>
    <row r="57" spans="1:8" s="77" customFormat="1" ht="20.25" x14ac:dyDescent="0.2">
      <c r="A57" s="80"/>
      <c r="B57" s="433"/>
      <c r="C57" s="80"/>
      <c r="D57" s="80"/>
      <c r="F57" s="80"/>
      <c r="G57" s="254"/>
      <c r="H57" s="408"/>
    </row>
    <row r="58" spans="1:8" s="77" customFormat="1" ht="20.25" x14ac:dyDescent="0.2">
      <c r="A58" s="80"/>
      <c r="B58" s="80"/>
      <c r="C58" s="80"/>
      <c r="D58" s="80"/>
      <c r="F58" s="80"/>
      <c r="G58" s="254"/>
      <c r="H58" s="408"/>
    </row>
    <row r="59" spans="1:8" s="77" customFormat="1" ht="20.25" x14ac:dyDescent="0.2">
      <c r="A59" s="80"/>
      <c r="B59" s="80"/>
      <c r="C59" s="80"/>
      <c r="D59" s="80"/>
      <c r="F59" s="80"/>
      <c r="G59" s="254"/>
      <c r="H59" s="408"/>
    </row>
    <row r="60" spans="1:8" s="77" customFormat="1" ht="20.25" x14ac:dyDescent="0.2">
      <c r="A60" s="80"/>
      <c r="B60" s="80"/>
      <c r="C60" s="80"/>
      <c r="D60" s="80"/>
      <c r="F60" s="80"/>
      <c r="G60" s="254"/>
      <c r="H60" s="408"/>
    </row>
    <row r="61" spans="1:8" s="77" customFormat="1" ht="20.25" x14ac:dyDescent="0.2">
      <c r="A61" s="80"/>
      <c r="B61" s="80"/>
      <c r="C61" s="68"/>
      <c r="D61" s="80"/>
      <c r="F61" s="80"/>
      <c r="G61" s="254"/>
      <c r="H61" s="408"/>
    </row>
    <row r="62" spans="1:8" s="77" customFormat="1" ht="20.25" x14ac:dyDescent="0.2">
      <c r="A62" s="80"/>
      <c r="B62" s="80"/>
      <c r="C62" s="80"/>
      <c r="D62" s="80"/>
      <c r="E62" s="80"/>
      <c r="F62" s="80"/>
      <c r="G62" s="254"/>
      <c r="H62" s="408"/>
    </row>
    <row r="63" spans="1:8" s="77" customFormat="1" ht="20.25" x14ac:dyDescent="0.2">
      <c r="A63" s="80"/>
      <c r="B63" s="80"/>
      <c r="C63" s="68"/>
      <c r="D63" s="68"/>
      <c r="G63" s="254"/>
      <c r="H63" s="408"/>
    </row>
    <row r="64" spans="1:8" s="77" customFormat="1" ht="20.25" x14ac:dyDescent="0.2">
      <c r="A64" s="80"/>
      <c r="B64" s="80"/>
      <c r="C64" s="80"/>
      <c r="D64" s="80"/>
      <c r="E64" s="80"/>
      <c r="F64" s="80"/>
      <c r="G64" s="254"/>
      <c r="H64" s="408"/>
    </row>
    <row r="65" spans="1:8" s="77" customFormat="1" ht="20.25" x14ac:dyDescent="0.2">
      <c r="A65" s="80"/>
      <c r="B65" s="80"/>
      <c r="C65" s="80"/>
      <c r="D65" s="80"/>
      <c r="E65" s="80"/>
      <c r="F65" s="80"/>
      <c r="G65" s="254"/>
      <c r="H65" s="408"/>
    </row>
    <row r="66" spans="1:8" s="77" customFormat="1" ht="20.25" x14ac:dyDescent="0.2">
      <c r="A66" s="80"/>
      <c r="B66" s="80"/>
      <c r="C66" s="80"/>
      <c r="D66" s="80"/>
      <c r="E66" s="80"/>
      <c r="F66" s="80"/>
      <c r="G66" s="254"/>
      <c r="H66" s="408"/>
    </row>
    <row r="67" spans="1:8" s="77" customFormat="1" ht="20.25" x14ac:dyDescent="0.2">
      <c r="A67" s="80"/>
      <c r="B67" s="80"/>
      <c r="C67" s="80"/>
      <c r="D67" s="80"/>
      <c r="E67" s="80"/>
      <c r="F67" s="80"/>
      <c r="G67" s="254"/>
      <c r="H67" s="408"/>
    </row>
    <row r="68" spans="1:8" s="77" customFormat="1" ht="20.25" x14ac:dyDescent="0.2">
      <c r="A68" s="80"/>
      <c r="B68" s="80"/>
      <c r="C68" s="68"/>
      <c r="D68" s="80"/>
      <c r="F68" s="80"/>
      <c r="G68" s="254"/>
      <c r="H68" s="408"/>
    </row>
    <row r="69" spans="1:8" s="77" customFormat="1" ht="20.25" x14ac:dyDescent="0.2">
      <c r="A69" s="80"/>
      <c r="B69" s="80"/>
      <c r="C69" s="80"/>
      <c r="D69" s="80"/>
      <c r="E69" s="80"/>
      <c r="F69" s="80"/>
      <c r="G69" s="254"/>
      <c r="H69" s="408"/>
    </row>
    <row r="70" spans="1:8" s="69" customFormat="1" ht="20.25" x14ac:dyDescent="0.2">
      <c r="A70" s="68"/>
      <c r="B70" s="68"/>
      <c r="C70" s="68"/>
      <c r="D70" s="68"/>
      <c r="E70" s="68"/>
      <c r="F70" s="68"/>
      <c r="G70" s="259"/>
      <c r="H70" s="409"/>
    </row>
    <row r="71" spans="1:8" s="69" customFormat="1" ht="20.25" x14ac:dyDescent="0.2">
      <c r="A71" s="68"/>
      <c r="B71" s="68"/>
      <c r="C71" s="68"/>
      <c r="D71" s="68"/>
      <c r="E71" s="68"/>
      <c r="F71" s="68"/>
      <c r="G71" s="259"/>
      <c r="H71" s="409"/>
    </row>
    <row r="72" spans="1:8" s="69" customFormat="1" ht="23.25" x14ac:dyDescent="0.2">
      <c r="A72" s="68"/>
      <c r="B72" s="297"/>
      <c r="C72" s="68"/>
      <c r="D72" s="68"/>
      <c r="E72" s="68"/>
      <c r="F72" s="68"/>
      <c r="G72" s="254"/>
      <c r="H72" s="409"/>
    </row>
    <row r="73" spans="1:8" s="77" customFormat="1" ht="20.25" x14ac:dyDescent="0.2">
      <c r="A73" s="80"/>
      <c r="B73" s="80"/>
      <c r="D73" s="80"/>
      <c r="E73" s="80"/>
      <c r="F73" s="80"/>
      <c r="G73" s="254"/>
      <c r="H73" s="408"/>
    </row>
    <row r="74" spans="1:8" s="77" customFormat="1" ht="20.25" x14ac:dyDescent="0.2">
      <c r="A74" s="80"/>
      <c r="B74" s="80"/>
      <c r="D74" s="80"/>
      <c r="E74" s="80"/>
      <c r="F74" s="80"/>
      <c r="G74" s="254"/>
      <c r="H74" s="408"/>
    </row>
    <row r="75" spans="1:8" s="69" customFormat="1" ht="20.25" x14ac:dyDescent="0.2">
      <c r="A75" s="68"/>
      <c r="B75" s="68"/>
      <c r="D75" s="80"/>
      <c r="E75" s="68"/>
      <c r="F75" s="68"/>
      <c r="G75" s="254"/>
      <c r="H75" s="409"/>
    </row>
    <row r="76" spans="1:8" s="69" customFormat="1" ht="23.25" x14ac:dyDescent="0.2">
      <c r="A76" s="68"/>
      <c r="B76" s="297"/>
      <c r="C76" s="68"/>
      <c r="D76" s="68"/>
      <c r="E76" s="68"/>
      <c r="F76" s="68"/>
      <c r="G76" s="259"/>
      <c r="H76" s="409"/>
    </row>
    <row r="77" spans="1:8" s="69" customFormat="1" ht="20.25" x14ac:dyDescent="0.2">
      <c r="A77" s="68"/>
      <c r="B77" s="68"/>
      <c r="C77" s="68"/>
      <c r="D77" s="68"/>
      <c r="E77" s="68"/>
      <c r="F77" s="68"/>
      <c r="G77" s="254"/>
      <c r="H77" s="409"/>
    </row>
    <row r="78" spans="1:8" s="83" customFormat="1" ht="26.25" x14ac:dyDescent="0.2">
      <c r="A78" s="294"/>
      <c r="B78" s="294"/>
      <c r="C78" s="294"/>
      <c r="D78" s="294"/>
      <c r="E78" s="294"/>
      <c r="F78" s="294"/>
      <c r="G78" s="295"/>
      <c r="H78" s="571"/>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102</v>
      </c>
      <c r="B1" s="60"/>
      <c r="C1" s="61"/>
      <c r="D1" s="61"/>
      <c r="E1" s="61"/>
      <c r="F1" s="60"/>
      <c r="G1" s="60"/>
    </row>
    <row r="2" spans="1:23" ht="26.25" x14ac:dyDescent="0.4">
      <c r="A2" s="59" t="s">
        <v>206</v>
      </c>
      <c r="B2" s="60"/>
      <c r="C2" s="61"/>
      <c r="D2" s="61"/>
      <c r="E2" s="61"/>
      <c r="F2" s="60"/>
      <c r="G2" s="60"/>
    </row>
    <row r="3" spans="1:23" ht="11.25" customHeight="1" thickBot="1" x14ac:dyDescent="0.25">
      <c r="A3" s="62"/>
      <c r="B3" s="62"/>
      <c r="C3" s="62"/>
      <c r="D3" s="62"/>
      <c r="E3" s="62"/>
      <c r="F3" s="62"/>
      <c r="G3" s="354"/>
    </row>
    <row r="4" spans="1:23" ht="27.75" thickTop="1" thickBot="1" x14ac:dyDescent="0.25">
      <c r="A4" s="65"/>
      <c r="B4" s="65"/>
      <c r="C4" s="65"/>
      <c r="D4" s="65" t="s">
        <v>55</v>
      </c>
      <c r="E4" s="65"/>
      <c r="F4" s="65"/>
      <c r="G4" s="450" t="s">
        <v>56</v>
      </c>
      <c r="H4" s="450"/>
      <c r="I4" s="450"/>
      <c r="J4" s="450"/>
      <c r="K4" s="450"/>
      <c r="L4" s="450"/>
      <c r="M4" s="450"/>
      <c r="N4" s="450"/>
      <c r="O4" s="450"/>
      <c r="P4" s="450"/>
      <c r="Q4" s="450"/>
      <c r="R4" s="450"/>
      <c r="S4" s="450"/>
      <c r="T4" s="450"/>
      <c r="U4" s="450"/>
      <c r="V4" s="450"/>
      <c r="W4" s="450"/>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53"/>
      <c r="B6" s="776" t="s">
        <v>207</v>
      </c>
      <c r="C6" s="776"/>
      <c r="D6" s="776"/>
      <c r="E6" s="776"/>
      <c r="F6" s="776"/>
      <c r="G6" s="454">
        <v>42004</v>
      </c>
      <c r="H6" s="454">
        <v>41639</v>
      </c>
      <c r="I6" s="454">
        <v>41274</v>
      </c>
      <c r="J6" s="454">
        <v>41090</v>
      </c>
      <c r="K6" s="454">
        <v>40724</v>
      </c>
      <c r="L6" s="454">
        <v>40359</v>
      </c>
      <c r="M6" s="454">
        <v>39994</v>
      </c>
      <c r="N6" s="454">
        <v>39629</v>
      </c>
      <c r="O6" s="454">
        <v>39263</v>
      </c>
      <c r="P6" s="454">
        <v>38898</v>
      </c>
      <c r="Q6" s="454">
        <v>38533</v>
      </c>
      <c r="R6" s="454">
        <v>38168</v>
      </c>
      <c r="S6" s="454">
        <v>37802</v>
      </c>
      <c r="T6" s="454">
        <v>37437</v>
      </c>
      <c r="U6" s="454">
        <v>37072</v>
      </c>
      <c r="V6" s="454">
        <v>36707</v>
      </c>
      <c r="W6" s="454">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208</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51"/>
      <c r="B9" s="451"/>
      <c r="C9" s="74" t="s">
        <v>209</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51"/>
      <c r="B10" s="451"/>
      <c r="C10" s="777" t="s">
        <v>178</v>
      </c>
      <c r="D10" s="777"/>
      <c r="E10" s="777"/>
      <c r="F10" s="777"/>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51"/>
      <c r="B11" s="451"/>
      <c r="C11" s="74" t="s">
        <v>210</v>
      </c>
      <c r="D11" s="451"/>
      <c r="E11" s="451"/>
      <c r="F11" s="451"/>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51"/>
      <c r="B12" s="451"/>
      <c r="C12" s="74" t="s">
        <v>172</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211</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65</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59"/>
      <c r="H20" s="359"/>
      <c r="I20" s="359"/>
      <c r="J20" s="359"/>
      <c r="K20" s="359"/>
      <c r="L20" s="359"/>
      <c r="M20" s="359"/>
      <c r="N20" s="359"/>
      <c r="O20" s="359"/>
      <c r="P20" s="359"/>
      <c r="Q20" s="359"/>
      <c r="R20" s="359"/>
      <c r="S20" s="359"/>
      <c r="T20" s="359"/>
      <c r="U20" s="359"/>
      <c r="V20" s="359"/>
      <c r="W20" s="359"/>
    </row>
    <row r="21" spans="1:23" ht="27.75" thickTop="1" thickBot="1" x14ac:dyDescent="0.25">
      <c r="A21" s="65"/>
      <c r="B21" s="65"/>
      <c r="C21" s="65"/>
      <c r="D21" s="65" t="s">
        <v>66</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67</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212</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51"/>
      <c r="B26" s="451"/>
      <c r="C26" s="451"/>
      <c r="D26" s="451" t="s">
        <v>162</v>
      </c>
      <c r="E26" s="78"/>
      <c r="F26" s="451"/>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51"/>
      <c r="B27" s="451"/>
      <c r="C27" s="451"/>
      <c r="D27" s="451" t="s">
        <v>213</v>
      </c>
      <c r="E27" s="78"/>
      <c r="F27" s="451"/>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51"/>
      <c r="B28" s="451"/>
      <c r="C28" s="451"/>
      <c r="D28" s="451" t="s">
        <v>96</v>
      </c>
      <c r="E28" s="78"/>
      <c r="F28" s="451"/>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51"/>
      <c r="B29" s="451"/>
      <c r="C29" s="451"/>
      <c r="D29" s="451" t="s">
        <v>214</v>
      </c>
      <c r="E29" s="78"/>
      <c r="F29" s="451"/>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51"/>
      <c r="B30" s="451"/>
      <c r="C30" s="451"/>
      <c r="D30" s="80" t="s">
        <v>103</v>
      </c>
      <c r="E30" s="78"/>
      <c r="F30" s="451"/>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51"/>
      <c r="B31" s="451"/>
      <c r="C31" s="451"/>
      <c r="D31" s="79" t="s">
        <v>215</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51"/>
      <c r="B32" s="451"/>
      <c r="C32" s="81" t="s">
        <v>79</v>
      </c>
      <c r="D32" s="451"/>
      <c r="E32" s="78"/>
      <c r="F32" s="451"/>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51"/>
      <c r="B33" s="451"/>
      <c r="C33" s="451"/>
      <c r="D33" s="451"/>
      <c r="E33" s="451"/>
      <c r="F33" s="451"/>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56"/>
      <c r="H34" s="456"/>
      <c r="I34" s="456"/>
      <c r="J34" s="456"/>
      <c r="K34" s="456"/>
      <c r="L34" s="258"/>
      <c r="M34" s="258"/>
      <c r="N34" s="258"/>
      <c r="O34" s="258"/>
      <c r="P34" s="258"/>
      <c r="Q34" s="258"/>
      <c r="R34" s="258"/>
      <c r="S34" s="258"/>
      <c r="T34" s="258"/>
      <c r="U34" s="258"/>
      <c r="V34" s="258"/>
      <c r="W34" s="258"/>
    </row>
    <row r="35" spans="1:23" ht="24" thickBot="1" x14ac:dyDescent="0.25">
      <c r="A35" s="74"/>
      <c r="B35" s="87" t="s">
        <v>216</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51" t="s">
        <v>99</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51"/>
      <c r="B37" s="451"/>
      <c r="C37" s="78"/>
      <c r="D37" s="451" t="s">
        <v>93</v>
      </c>
      <c r="E37" s="452"/>
      <c r="F37" s="452"/>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70</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71</v>
      </c>
      <c r="B40" s="82"/>
      <c r="C40" s="82"/>
      <c r="D40" s="82"/>
      <c r="E40" s="82"/>
      <c r="F40" s="82"/>
      <c r="G40" s="393">
        <f>G32+G38</f>
        <v>739679.76000000013</v>
      </c>
      <c r="H40" s="393">
        <f>H32+H38</f>
        <v>651526</v>
      </c>
      <c r="I40" s="393">
        <f>I32+I38</f>
        <v>573888</v>
      </c>
      <c r="J40" s="393">
        <f>J32+J38</f>
        <v>623376</v>
      </c>
      <c r="K40" s="393">
        <f>K32+K38</f>
        <v>647895</v>
      </c>
      <c r="L40" s="393">
        <f t="shared" ref="L40:W40" si="4">L32+L38</f>
        <v>573053</v>
      </c>
      <c r="M40" s="393">
        <f t="shared" si="4"/>
        <v>506508</v>
      </c>
      <c r="N40" s="393">
        <f t="shared" si="4"/>
        <v>504878</v>
      </c>
      <c r="O40" s="393">
        <f t="shared" si="4"/>
        <v>395848</v>
      </c>
      <c r="P40" s="393">
        <f t="shared" si="4"/>
        <v>321564</v>
      </c>
      <c r="Q40" s="393">
        <f t="shared" si="4"/>
        <v>342293</v>
      </c>
      <c r="R40" s="393">
        <f t="shared" si="4"/>
        <v>368082</v>
      </c>
      <c r="S40" s="393">
        <f t="shared" si="4"/>
        <v>328444</v>
      </c>
      <c r="T40" s="393">
        <f t="shared" si="4"/>
        <v>320712</v>
      </c>
      <c r="U40" s="393">
        <f t="shared" si="4"/>
        <v>243322</v>
      </c>
      <c r="V40" s="393">
        <f t="shared" si="4"/>
        <v>188596</v>
      </c>
      <c r="W40" s="393">
        <f t="shared" si="4"/>
        <v>77876</v>
      </c>
    </row>
    <row r="41" spans="1:23" ht="15" thickTop="1" x14ac:dyDescent="0.2">
      <c r="D41" s="378"/>
      <c r="H41" s="18"/>
      <c r="I41" s="18"/>
      <c r="J41" s="18"/>
      <c r="K41" s="18"/>
      <c r="L41" s="18"/>
      <c r="M41" s="18"/>
      <c r="N41" s="18"/>
      <c r="O41" s="18"/>
      <c r="P41" s="18"/>
      <c r="Q41" s="18"/>
      <c r="R41" s="18"/>
      <c r="S41" s="18"/>
      <c r="T41" s="18"/>
      <c r="U41" s="18"/>
      <c r="V41" s="18"/>
      <c r="W41" s="18"/>
    </row>
    <row r="42" spans="1:23" s="266" customFormat="1" x14ac:dyDescent="0.2">
      <c r="A42" s="455"/>
      <c r="B42" s="455"/>
      <c r="C42" s="455"/>
      <c r="D42" s="455"/>
      <c r="E42" s="455"/>
      <c r="F42" s="455"/>
      <c r="G42" s="298"/>
    </row>
    <row r="43" spans="1:23" s="266" customFormat="1" x14ac:dyDescent="0.2">
      <c r="A43" s="455"/>
      <c r="B43" s="455"/>
      <c r="C43" s="455"/>
      <c r="D43" s="455"/>
      <c r="E43" s="455"/>
      <c r="F43" s="455"/>
      <c r="G43" s="298"/>
    </row>
    <row r="44" spans="1:23" s="266" customFormat="1" x14ac:dyDescent="0.2">
      <c r="A44" s="455"/>
      <c r="B44" s="455"/>
      <c r="C44" s="455"/>
      <c r="D44" s="455"/>
      <c r="E44" s="455"/>
      <c r="F44" s="455"/>
      <c r="G44" s="298"/>
    </row>
    <row r="45" spans="1:23" s="266" customFormat="1" x14ac:dyDescent="0.2">
      <c r="A45" s="455"/>
      <c r="B45" s="455"/>
      <c r="C45" s="455"/>
      <c r="D45" s="455"/>
      <c r="E45" s="455"/>
      <c r="F45" s="455"/>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Notes</vt:lpstr>
      <vt:lpstr>Data</vt:lpstr>
      <vt:lpstr>Dec'18 Revenues &amp; Expenses</vt:lpstr>
      <vt:lpstr>Dec'18 AR Aging </vt:lpstr>
      <vt:lpstr>Dec'18 Financial Position</vt:lpstr>
      <vt:lpstr>Dec'18 State of Activities</vt:lpstr>
      <vt:lpstr>Dec'18 Transportation</vt:lpstr>
      <vt:lpstr>2019 Budget</vt:lpstr>
      <vt:lpstr>2017 Medicaid Revenue</vt:lpstr>
      <vt:lpstr>Budget</vt:lpstr>
      <vt:lpstr>YE Historic Data</vt:lpstr>
      <vt:lpstr>'2017 Medicaid Revenue'!Print_Area</vt:lpstr>
      <vt:lpstr>Budget!Print_Area</vt:lpstr>
      <vt:lpstr>'Dec''18 AR Aging '!Print_Area</vt:lpstr>
      <vt:lpstr>'Dec''18 Financial Position'!Print_Area</vt:lpstr>
      <vt:lpstr>'Dec''18 Revenues &amp; Expenses'!Print_Area</vt:lpstr>
      <vt:lpstr>'Dec''18 State of Activities'!Print_Area</vt:lpstr>
      <vt:lpstr>'Dec''18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2019-01-15T19:07:19Z</cp:lastPrinted>
  <dcterms:created xsi:type="dcterms:W3CDTF">2011-11-03T17:20:29Z</dcterms:created>
  <dcterms:modified xsi:type="dcterms:W3CDTF">2019-01-15T22:37:44Z</dcterms:modified>
</cp:coreProperties>
</file>